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0" yWindow="0" windowWidth="19440" windowHeight="12315"/>
  </bookViews>
  <sheets>
    <sheet name="Лист1" sheetId="1" r:id="rId1"/>
  </sheets>
  <definedNames>
    <definedName name="_xlnm._FilterDatabase" localSheetId="0" hidden="1">Лист1!$A$4:$L$8112</definedName>
  </definedNames>
  <calcPr calcId="125725" refMode="R1C1"/>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576" i="1"/>
  <c r="J3576" s="1"/>
  <c r="G3538"/>
  <c r="J3538" s="1"/>
  <c r="G3514"/>
  <c r="J3514" s="1"/>
  <c r="G3475"/>
  <c r="J3475" s="1"/>
  <c r="J3341"/>
  <c r="G3299"/>
  <c r="J3299" s="1"/>
  <c r="G3267"/>
  <c r="J3267" s="1"/>
  <c r="G3257"/>
  <c r="J3257" s="1"/>
  <c r="G3246"/>
  <c r="J3246" s="1"/>
  <c r="G3206"/>
  <c r="J3206" s="1"/>
  <c r="G3186"/>
  <c r="J3186" s="1"/>
  <c r="G3027"/>
  <c r="J3027" s="1"/>
  <c r="J2986"/>
  <c r="G2575"/>
  <c r="J2575" s="1"/>
  <c r="G2567"/>
  <c r="J2567" s="1"/>
  <c r="G2532"/>
  <c r="J2532" s="1"/>
  <c r="G2531"/>
  <c r="J2531" s="1"/>
  <c r="G2527"/>
  <c r="J2527" s="1"/>
  <c r="G2519"/>
  <c r="J2519" s="1"/>
  <c r="G2511"/>
  <c r="J2511" s="1"/>
  <c r="G2453"/>
  <c r="J2453" s="1"/>
  <c r="G2451"/>
  <c r="J2451" s="1"/>
  <c r="J2448"/>
  <c r="G2439"/>
  <c r="J2439" s="1"/>
  <c r="G2426"/>
  <c r="J2426" s="1"/>
  <c r="G2404"/>
  <c r="J2404" s="1"/>
  <c r="G2372"/>
  <c r="J2372" s="1"/>
  <c r="G2357"/>
  <c r="J2357" s="1"/>
  <c r="G2354"/>
  <c r="J2354" s="1"/>
  <c r="G2349"/>
  <c r="J2349" s="1"/>
  <c r="G2347"/>
  <c r="J2347" s="1"/>
  <c r="G2333"/>
  <c r="J2333" s="1"/>
  <c r="G2332"/>
  <c r="J2332" s="1"/>
  <c r="G2329"/>
  <c r="J2329" s="1"/>
  <c r="G2328"/>
  <c r="J2328" s="1"/>
  <c r="J2327"/>
  <c r="G2319"/>
  <c r="J2319" s="1"/>
  <c r="G2318"/>
  <c r="J2318" s="1"/>
  <c r="G2302"/>
  <c r="J2302" s="1"/>
  <c r="G2284"/>
  <c r="J2284" s="1"/>
  <c r="G2276"/>
  <c r="J2276" s="1"/>
  <c r="G2222"/>
  <c r="J2222" s="1"/>
  <c r="G2215"/>
  <c r="J2215" s="1"/>
  <c r="J2204"/>
  <c r="J2203"/>
  <c r="J2193"/>
  <c r="J2189"/>
  <c r="J2188"/>
  <c r="J2186"/>
  <c r="J2178"/>
  <c r="J2067"/>
  <c r="J2062"/>
  <c r="J2046"/>
  <c r="J2045"/>
  <c r="J2038"/>
  <c r="J2008"/>
  <c r="J1998"/>
  <c r="J1994"/>
  <c r="J1972"/>
  <c r="J1970"/>
  <c r="J1944"/>
  <c r="J1942"/>
  <c r="J1940"/>
  <c r="J1884"/>
  <c r="J1881"/>
  <c r="J1880"/>
  <c r="J1863"/>
  <c r="J1860"/>
  <c r="J1823"/>
  <c r="J1822"/>
  <c r="J1821"/>
  <c r="J1820"/>
  <c r="J1817"/>
  <c r="J1811"/>
  <c r="J1803"/>
  <c r="J1783"/>
  <c r="J1782"/>
  <c r="J1774"/>
  <c r="J1769"/>
  <c r="J1768"/>
  <c r="J1761"/>
  <c r="J1760"/>
  <c r="J1759"/>
  <c r="J1726"/>
  <c r="G1718"/>
  <c r="J1718" s="1"/>
  <c r="G1717"/>
  <c r="J1717" s="1"/>
  <c r="G1704"/>
  <c r="J1704" s="1"/>
  <c r="G1696"/>
  <c r="J1696" s="1"/>
  <c r="G1693"/>
  <c r="J1693" s="1"/>
  <c r="G1691"/>
  <c r="J1691" s="1"/>
  <c r="G1688"/>
  <c r="J1688" s="1"/>
  <c r="G1687"/>
  <c r="J1687" s="1"/>
  <c r="J1666"/>
  <c r="G1563"/>
  <c r="J1563" s="1"/>
  <c r="G1562"/>
  <c r="J1562" s="1"/>
  <c r="G1485"/>
  <c r="J1485" s="1"/>
  <c r="G1484"/>
  <c r="J1484" s="1"/>
  <c r="G1445"/>
  <c r="J1445" s="1"/>
  <c r="G1399"/>
  <c r="J1399" s="1"/>
  <c r="G1397"/>
  <c r="J1397" s="1"/>
  <c r="G1394"/>
  <c r="J1394" s="1"/>
  <c r="G1389"/>
  <c r="J1389" s="1"/>
  <c r="J1202"/>
  <c r="J1087"/>
  <c r="J1077"/>
  <c r="J984"/>
  <c r="J123"/>
  <c r="D3506"/>
  <c r="I3116"/>
  <c r="I3395"/>
  <c r="D2730"/>
  <c r="G3463"/>
  <c r="G3334"/>
  <c r="I3459"/>
  <c r="D2298"/>
  <c r="D3087"/>
  <c r="D3514"/>
  <c r="D2056"/>
  <c r="D2264"/>
  <c r="D2939"/>
  <c r="D2224"/>
  <c r="I2736"/>
  <c r="I3082"/>
  <c r="G3533"/>
  <c r="G3298"/>
  <c r="I3055"/>
  <c r="G2100"/>
  <c r="D2631"/>
  <c r="I2648"/>
  <c r="I3143"/>
  <c r="D2855"/>
  <c r="I3475"/>
  <c r="D3583"/>
  <c r="I3315"/>
  <c r="I2404"/>
  <c r="I3073"/>
  <c r="I2761"/>
  <c r="G2915"/>
  <c r="G3593"/>
  <c r="D3550"/>
  <c r="G3561"/>
  <c r="G3466"/>
  <c r="D2541"/>
  <c r="G3205"/>
  <c r="I3536"/>
  <c r="I2320"/>
  <c r="D3469"/>
  <c r="D3584"/>
  <c r="I2733"/>
  <c r="I2211"/>
  <c r="I2636"/>
  <c r="I3555"/>
  <c r="G2756"/>
  <c r="I2549"/>
  <c r="D2799"/>
  <c r="G3318"/>
  <c r="G2795"/>
  <c r="G2540"/>
  <c r="I2475"/>
  <c r="D3497"/>
  <c r="D2531"/>
  <c r="G2896"/>
  <c r="D3030"/>
  <c r="I3520"/>
  <c r="G2305"/>
  <c r="I3578"/>
  <c r="D3248"/>
  <c r="D2961"/>
  <c r="G3185"/>
  <c r="G2499"/>
  <c r="I3121"/>
  <c r="I3460"/>
  <c r="D3568"/>
  <c r="G3241"/>
  <c r="D2140"/>
  <c r="D2971"/>
  <c r="G3569"/>
  <c r="D2902"/>
  <c r="G3275"/>
  <c r="I3512"/>
  <c r="G3573"/>
  <c r="D2762"/>
  <c r="G2929"/>
  <c r="D3128"/>
  <c r="D3077"/>
  <c r="D2543"/>
  <c r="G2583"/>
  <c r="D2599"/>
  <c r="I3036"/>
  <c r="I2708"/>
  <c r="G2817"/>
  <c r="G2851"/>
  <c r="D3596"/>
  <c r="I2992"/>
  <c r="I3558"/>
  <c r="D2185"/>
  <c r="I2304"/>
  <c r="I2777"/>
  <c r="D3605"/>
  <c r="I2931"/>
  <c r="I3023"/>
  <c r="G2168"/>
  <c r="I3067"/>
  <c r="G3398"/>
  <c r="G3099"/>
  <c r="G3063"/>
  <c r="I2066"/>
  <c r="I3064"/>
  <c r="I2943"/>
  <c r="I3081"/>
  <c r="G3528"/>
  <c r="I3546"/>
  <c r="I2764"/>
  <c r="G2480"/>
  <c r="D2446"/>
  <c r="G3557"/>
  <c r="D3595"/>
  <c r="D3038"/>
  <c r="I3035"/>
  <c r="D3556"/>
  <c r="D3572"/>
  <c r="I2772"/>
  <c r="G2739"/>
  <c r="G3428"/>
  <c r="D2399"/>
  <c r="D3203"/>
  <c r="I2973"/>
  <c r="D3602"/>
  <c r="I2881"/>
  <c r="G2888"/>
  <c r="G2868"/>
  <c r="G3585"/>
  <c r="D2414"/>
  <c r="D3397"/>
  <c r="D2638"/>
  <c r="D2343"/>
  <c r="G3543"/>
  <c r="G3597"/>
  <c r="G3470"/>
  <c r="D3508"/>
  <c r="I1498"/>
  <c r="G3360"/>
  <c r="I2825"/>
  <c r="G1910"/>
  <c r="G3332"/>
  <c r="G3600"/>
  <c r="D3399"/>
  <c r="D3593"/>
  <c r="I2186"/>
  <c r="G3224"/>
  <c r="G1985"/>
  <c r="D2149"/>
  <c r="G2735"/>
  <c r="D2894"/>
  <c r="G2760"/>
  <c r="I3407"/>
  <c r="G2584"/>
  <c r="I2841"/>
  <c r="I3551"/>
  <c r="D3488"/>
  <c r="D2603"/>
  <c r="G2910"/>
  <c r="I2428"/>
  <c r="D3460"/>
  <c r="G3232"/>
  <c r="G2691"/>
  <c r="D2933"/>
  <c r="G2815"/>
  <c r="G3046"/>
  <c r="G2568"/>
  <c r="I2861"/>
  <c r="I3519"/>
  <c r="G2116"/>
  <c r="I2884"/>
  <c r="G2807"/>
  <c r="D2182"/>
  <c r="G2019"/>
  <c r="D3552"/>
  <c r="D3002"/>
  <c r="D3089"/>
  <c r="D2774"/>
  <c r="D2221"/>
  <c r="D2485"/>
  <c r="G3521"/>
  <c r="G2883"/>
  <c r="I2564"/>
  <c r="D3523"/>
  <c r="I3598"/>
  <c r="I3524"/>
  <c r="G2715"/>
  <c r="I3441"/>
  <c r="G2648"/>
  <c r="G3326"/>
  <c r="G2486"/>
  <c r="D2233"/>
  <c r="D2562"/>
  <c r="D3255"/>
  <c r="D2675"/>
  <c r="G2520"/>
  <c r="D2067"/>
  <c r="I2250"/>
  <c r="I3008"/>
  <c r="I3384"/>
  <c r="I3056"/>
  <c r="D3600"/>
  <c r="D2614"/>
  <c r="D3265"/>
  <c r="G3490"/>
  <c r="G2487"/>
  <c r="I3318"/>
  <c r="D1604"/>
  <c r="I3033"/>
  <c r="I2560"/>
  <c r="I1883"/>
  <c r="I2704"/>
  <c r="I3103"/>
  <c r="I2124"/>
  <c r="I2109"/>
  <c r="G2139"/>
  <c r="G1240"/>
  <c r="G3331"/>
  <c r="G2182"/>
  <c r="G3507"/>
  <c r="D2519"/>
  <c r="D3246"/>
  <c r="D2850"/>
  <c r="I3025"/>
  <c r="G2179"/>
  <c r="D3011"/>
  <c r="G1441"/>
  <c r="I2797"/>
  <c r="D3303"/>
  <c r="D3472"/>
  <c r="D3144"/>
  <c r="I1946"/>
  <c r="D2065"/>
  <c r="G2049"/>
  <c r="I1590"/>
  <c r="D3311"/>
  <c r="I2388"/>
  <c r="G3253"/>
  <c r="I2078"/>
  <c r="G1156"/>
  <c r="D2072"/>
  <c r="D2469"/>
  <c r="I2757"/>
  <c r="G3376"/>
  <c r="G2205"/>
  <c r="D2654"/>
  <c r="G3560"/>
  <c r="I2840"/>
  <c r="I2294"/>
  <c r="G2481"/>
  <c r="G2659"/>
  <c r="G3192"/>
  <c r="I3583"/>
  <c r="D2130"/>
  <c r="D1980"/>
  <c r="G3260"/>
  <c r="G2399"/>
  <c r="I1731"/>
  <c r="I2010"/>
  <c r="G2895"/>
  <c r="I1933"/>
  <c r="G1945"/>
  <c r="G2435"/>
  <c r="D2778"/>
  <c r="D2611"/>
  <c r="D2697"/>
  <c r="D2984"/>
  <c r="G3117"/>
  <c r="G2911"/>
  <c r="G2611"/>
  <c r="I2706"/>
  <c r="G2217"/>
  <c r="I2143"/>
  <c r="D2670"/>
  <c r="I1530"/>
  <c r="I2322"/>
  <c r="I2737"/>
  <c r="G2663"/>
  <c r="I937"/>
  <c r="D1928"/>
  <c r="G2450"/>
  <c r="D2426"/>
  <c r="I2285"/>
  <c r="I2152"/>
  <c r="I3380"/>
  <c r="I1962"/>
  <c r="G2711"/>
  <c r="D1948"/>
  <c r="G3052"/>
  <c r="I3492"/>
  <c r="I2372"/>
  <c r="G2512"/>
  <c r="I2410"/>
  <c r="D3167"/>
  <c r="G1919"/>
  <c r="D2696"/>
  <c r="G2146"/>
  <c r="D3223"/>
  <c r="G2599"/>
  <c r="G2930"/>
  <c r="D2981"/>
  <c r="D2197"/>
  <c r="D3450"/>
  <c r="I2654"/>
  <c r="D3287"/>
  <c r="I3266"/>
  <c r="G2979"/>
  <c r="I3131"/>
  <c r="I965"/>
  <c r="I3110"/>
  <c r="I2783"/>
  <c r="D1582"/>
  <c r="I3401"/>
  <c r="G3301"/>
  <c r="D3509"/>
  <c r="I3105"/>
  <c r="I2889"/>
  <c r="I2227"/>
  <c r="G869"/>
  <c r="D2606"/>
  <c r="D2430"/>
  <c r="D1325"/>
  <c r="G1969"/>
  <c r="G2304"/>
  <c r="I1938"/>
  <c r="G2859"/>
  <c r="G2835"/>
  <c r="G3508"/>
  <c r="D2566"/>
  <c r="G2238"/>
  <c r="I2561"/>
  <c r="D3391"/>
  <c r="I3201"/>
  <c r="G3394"/>
  <c r="I3012"/>
  <c r="G2367"/>
  <c r="I3451"/>
  <c r="I3606"/>
  <c r="D2387"/>
  <c r="D3598"/>
  <c r="G2570"/>
  <c r="D1629"/>
  <c r="G2961"/>
  <c r="I564"/>
  <c r="I2594"/>
  <c r="G1798"/>
  <c r="G13"/>
  <c r="G2393"/>
  <c r="I3383"/>
  <c r="D2802"/>
  <c r="D2663"/>
  <c r="D3458"/>
  <c r="G3364"/>
  <c r="D3160"/>
  <c r="G2899"/>
  <c r="I1840"/>
  <c r="D2731"/>
  <c r="G3325"/>
  <c r="G3599"/>
  <c r="I3435"/>
  <c r="I3482"/>
  <c r="G1981"/>
  <c r="G2992"/>
  <c r="I2128"/>
  <c r="D1920"/>
  <c r="I2263"/>
  <c r="D2628"/>
  <c r="I3096"/>
  <c r="D2955"/>
  <c r="I2984"/>
  <c r="D3404"/>
  <c r="D3033"/>
  <c r="G2096"/>
  <c r="G3386"/>
  <c r="G2009"/>
  <c r="I1681"/>
  <c r="I1268"/>
  <c r="D3461"/>
  <c r="D2453"/>
  <c r="D3526"/>
  <c r="G3402"/>
  <c r="I3285"/>
  <c r="D3348"/>
  <c r="D3215"/>
  <c r="D2705"/>
  <c r="G2496"/>
  <c r="I2586"/>
  <c r="G3476"/>
  <c r="I3188"/>
  <c r="D1258"/>
  <c r="I2938"/>
  <c r="G3287"/>
  <c r="I3337"/>
  <c r="D3053"/>
  <c r="G3142"/>
  <c r="D344"/>
  <c r="G2675"/>
  <c r="D3335"/>
  <c r="G3122"/>
  <c r="G3266"/>
  <c r="G3336"/>
  <c r="I2969"/>
  <c r="I2282"/>
  <c r="G3553"/>
  <c r="I2195"/>
  <c r="G2479"/>
  <c r="D3024"/>
  <c r="D2169"/>
  <c r="D2844"/>
  <c r="I3132"/>
  <c r="I2716"/>
  <c r="D2882"/>
  <c r="I3507"/>
  <c r="I3159"/>
  <c r="I3419"/>
  <c r="D3560"/>
  <c r="G3289"/>
  <c r="I2581"/>
  <c r="G3418"/>
  <c r="G3019"/>
  <c r="D2917"/>
  <c r="G3323"/>
  <c r="G2869"/>
  <c r="D3071"/>
  <c r="I320"/>
  <c r="G3413"/>
  <c r="I2651"/>
  <c r="G2228"/>
  <c r="I2613"/>
  <c r="G3311"/>
  <c r="I1555"/>
  <c r="I1697"/>
  <c r="I3002"/>
  <c r="G2154"/>
  <c r="D2358"/>
  <c r="I3461"/>
  <c r="D3150"/>
  <c r="I2376"/>
  <c r="G2346"/>
  <c r="I2129"/>
  <c r="G2702"/>
  <c r="G1314"/>
  <c r="I2939"/>
  <c r="D3573"/>
  <c r="D2053"/>
  <c r="G2331"/>
  <c r="D2756"/>
  <c r="G1764"/>
  <c r="I3403"/>
  <c r="G2904"/>
  <c r="G2037"/>
  <c r="G2458"/>
  <c r="I3176"/>
  <c r="I3147"/>
  <c r="I2472"/>
  <c r="G3014"/>
  <c r="G2767"/>
  <c r="D2941"/>
  <c r="G1381"/>
  <c r="G2498"/>
  <c r="I1902"/>
  <c r="D1858"/>
  <c r="G3236"/>
  <c r="G1747"/>
  <c r="I2758"/>
  <c r="I2272"/>
  <c r="I1381"/>
  <c r="D3441"/>
  <c r="D3549"/>
  <c r="G3601"/>
  <c r="G2509"/>
  <c r="D2618"/>
  <c r="G2432"/>
  <c r="G3278"/>
  <c r="G3554"/>
  <c r="I2669"/>
  <c r="I2994"/>
  <c r="G723"/>
  <c r="I3516"/>
  <c r="D3438"/>
  <c r="D3289"/>
  <c r="I2101"/>
  <c r="I2144"/>
  <c r="D2949"/>
  <c r="D3286"/>
  <c r="G2926"/>
  <c r="G1250"/>
  <c r="D2755"/>
  <c r="D2874"/>
  <c r="G2214"/>
  <c r="I3474"/>
  <c r="I3412"/>
  <c r="D2466"/>
  <c r="D3377"/>
  <c r="G3010"/>
  <c r="I1918"/>
  <c r="D2989"/>
  <c r="I2433"/>
  <c r="I2632"/>
  <c r="G3262"/>
  <c r="G2636"/>
  <c r="D3371"/>
  <c r="I3084"/>
  <c r="I2279"/>
  <c r="D2857"/>
  <c r="G3023"/>
  <c r="G2025"/>
  <c r="I2365"/>
  <c r="G3489"/>
  <c r="G3024"/>
  <c r="D3010"/>
  <c r="G2277"/>
  <c r="G2407"/>
  <c r="G3018"/>
  <c r="G3156"/>
  <c r="I3198"/>
  <c r="I2268"/>
  <c r="G3136"/>
  <c r="D2163"/>
  <c r="D1231"/>
  <c r="I1343"/>
  <c r="D1923"/>
  <c r="D2845"/>
  <c r="I2105"/>
  <c r="D2222"/>
  <c r="D2165"/>
  <c r="D2875"/>
  <c r="D1600"/>
  <c r="G2053"/>
  <c r="I2300"/>
  <c r="D3420"/>
  <c r="I3154"/>
  <c r="I3099"/>
  <c r="D3484"/>
  <c r="G2954"/>
  <c r="D3405"/>
  <c r="D462"/>
  <c r="G659"/>
  <c r="D3586"/>
  <c r="D3433"/>
  <c r="I1030"/>
  <c r="I2714"/>
  <c r="I2829"/>
  <c r="I1198"/>
  <c r="D2187"/>
  <c r="I1737"/>
  <c r="I2845"/>
  <c r="G2623"/>
  <c r="D3282"/>
  <c r="I160"/>
  <c r="I3242"/>
  <c r="G2604"/>
  <c r="I2380"/>
  <c r="G3190"/>
  <c r="D2992"/>
  <c r="I2169"/>
  <c r="G3435"/>
  <c r="D2963"/>
  <c r="D2398"/>
  <c r="I3293"/>
  <c r="D3019"/>
  <c r="I2160"/>
  <c r="I2507"/>
  <c r="D3161"/>
  <c r="I2357"/>
  <c r="D1839"/>
  <c r="I2036"/>
  <c r="G3050"/>
  <c r="G191"/>
  <c r="D2757"/>
  <c r="I3061"/>
  <c r="I506"/>
  <c r="I799"/>
  <c r="D1177"/>
  <c r="D2782"/>
  <c r="G2721"/>
  <c r="I931"/>
  <c r="G82"/>
  <c r="I3360"/>
  <c r="D2770"/>
  <c r="D2156"/>
  <c r="D3398"/>
  <c r="D2181"/>
  <c r="I2876"/>
  <c r="D2128"/>
  <c r="I3169"/>
  <c r="I2982"/>
  <c r="D2288"/>
  <c r="D120"/>
  <c r="G3149"/>
  <c r="I1006"/>
  <c r="I3140"/>
  <c r="D2223"/>
  <c r="G799"/>
  <c r="D3051"/>
  <c r="D2713"/>
  <c r="D2911"/>
  <c r="I282"/>
  <c r="D127"/>
  <c r="I1843"/>
  <c r="I3050"/>
  <c r="I2990"/>
  <c r="G1002"/>
  <c r="D3025"/>
  <c r="G3135"/>
  <c r="D2703"/>
  <c r="I2697"/>
  <c r="I2323"/>
  <c r="D27"/>
  <c r="G743"/>
  <c r="D3480"/>
  <c r="I3210"/>
  <c r="D2273"/>
  <c r="D3477"/>
  <c r="I2849"/>
  <c r="G2645"/>
  <c r="D714"/>
  <c r="G675"/>
  <c r="D1259"/>
  <c r="D2126"/>
  <c r="D2158"/>
  <c r="D2783"/>
  <c r="D2683"/>
  <c r="I3571"/>
  <c r="D2714"/>
  <c r="D109"/>
  <c r="D1924"/>
  <c r="D2672"/>
  <c r="I3528"/>
  <c r="I1863"/>
  <c r="I2685"/>
  <c r="D3359"/>
  <c r="I2183"/>
  <c r="G2388"/>
  <c r="D2520"/>
  <c r="G3168"/>
  <c r="D3176"/>
  <c r="G3526"/>
  <c r="I2804"/>
  <c r="I2997"/>
  <c r="I3271"/>
  <c r="G3274"/>
  <c r="G2221"/>
  <c r="D3281"/>
  <c r="G1939"/>
  <c r="D2888"/>
  <c r="D3031"/>
  <c r="D2633"/>
  <c r="I2629"/>
  <c r="D2553"/>
  <c r="I2136"/>
  <c r="D3510"/>
  <c r="D2937"/>
  <c r="I1422"/>
  <c r="G2799"/>
  <c r="G3340"/>
  <c r="I2571"/>
  <c r="G2884"/>
  <c r="D2960"/>
  <c r="D3014"/>
  <c r="D2269"/>
  <c r="I2886"/>
  <c r="D2720"/>
  <c r="D2763"/>
  <c r="G3044"/>
  <c r="I2988"/>
  <c r="G2159"/>
  <c r="I2957"/>
  <c r="I2609"/>
  <c r="G3519"/>
  <c r="G3447"/>
  <c r="G2360"/>
  <c r="G2946"/>
  <c r="G2033"/>
  <c r="G3273"/>
  <c r="D3146"/>
  <c r="D2338"/>
  <c r="D1936"/>
  <c r="D3386"/>
  <c r="G3511"/>
  <c r="D3110"/>
  <c r="I2556"/>
  <c r="G3524"/>
  <c r="I2948"/>
  <c r="I1740"/>
  <c r="G1513"/>
  <c r="D1171"/>
  <c r="I2459"/>
  <c r="G2166"/>
  <c r="I1476"/>
  <c r="G2191"/>
  <c r="D3576"/>
  <c r="G3515"/>
  <c r="I2164"/>
  <c r="I2946"/>
  <c r="I1067"/>
  <c r="G2873"/>
  <c r="D2390"/>
  <c r="I2724"/>
  <c r="G3259"/>
  <c r="D3453"/>
  <c r="I2275"/>
  <c r="I330"/>
  <c r="I1878"/>
  <c r="G2339"/>
  <c r="G1639"/>
  <c r="I2075"/>
  <c r="D2922"/>
  <c r="I2450"/>
  <c r="I2741"/>
  <c r="G1594"/>
  <c r="G2323"/>
  <c r="D2287"/>
  <c r="I3246"/>
  <c r="G2427"/>
  <c r="D3300"/>
  <c r="G3503"/>
  <c r="D2948"/>
  <c r="I2337"/>
  <c r="G2174"/>
  <c r="I3124"/>
  <c r="D3158"/>
  <c r="D2362"/>
  <c r="G3531"/>
  <c r="D3502"/>
  <c r="D2698"/>
  <c r="G3474"/>
  <c r="G2780"/>
  <c r="I879"/>
  <c r="G3166"/>
  <c r="D3037"/>
  <c r="G1253"/>
  <c r="I3379"/>
  <c r="D2101"/>
  <c r="I2262"/>
  <c r="I3330"/>
  <c r="I3363"/>
  <c r="G3071"/>
  <c r="D2493"/>
  <c r="I3593"/>
  <c r="G1954"/>
  <c r="G514"/>
  <c r="D2816"/>
  <c r="G3498"/>
  <c r="I2179"/>
  <c r="I1779"/>
  <c r="I2083"/>
  <c r="G2743"/>
  <c r="G2171"/>
  <c r="G3411"/>
  <c r="I1055"/>
  <c r="D3202"/>
  <c r="I1793"/>
  <c r="G1827"/>
  <c r="I2879"/>
  <c r="I1015"/>
  <c r="D2918"/>
  <c r="D3126"/>
  <c r="G1286"/>
  <c r="D878"/>
  <c r="G1950"/>
  <c r="G3055"/>
  <c r="D317"/>
  <c r="G2313"/>
  <c r="G2581"/>
  <c r="D2818"/>
  <c r="I2175"/>
  <c r="I3566"/>
  <c r="I3473"/>
  <c r="I2621"/>
  <c r="I1704"/>
  <c r="D1273"/>
  <c r="D2381"/>
  <c r="D2164"/>
  <c r="I2593"/>
  <c r="G1125"/>
  <c r="D3548"/>
  <c r="D2410"/>
  <c r="I2425"/>
  <c r="D2718"/>
  <c r="I2640"/>
  <c r="I2356"/>
  <c r="I3574"/>
  <c r="I2780"/>
  <c r="G2162"/>
  <c r="I2732"/>
  <c r="I2907"/>
  <c r="I3455"/>
  <c r="D3524"/>
  <c r="I3362"/>
  <c r="D800"/>
  <c r="G3330"/>
  <c r="D3298"/>
  <c r="G3427"/>
  <c r="G2692"/>
  <c r="I3065"/>
  <c r="D710"/>
  <c r="D3239"/>
  <c r="I2950"/>
  <c r="D2863"/>
  <c r="I2405"/>
  <c r="I2274"/>
  <c r="G2696"/>
  <c r="G3228"/>
  <c r="G2112"/>
  <c r="I1522"/>
  <c r="I3385"/>
  <c r="G2962"/>
  <c r="D2515"/>
  <c r="D2690"/>
  <c r="I3123"/>
  <c r="D2463"/>
  <c r="G2336"/>
  <c r="D3104"/>
  <c r="G3517"/>
  <c r="G3577"/>
  <c r="D2967"/>
  <c r="D2095"/>
  <c r="D2608"/>
  <c r="G2957"/>
  <c r="I2691"/>
  <c r="G2359"/>
  <c r="I2728"/>
  <c r="G1419"/>
  <c r="D1337"/>
  <c r="I3054"/>
  <c r="I1521"/>
  <c r="I497"/>
  <c r="G2647"/>
  <c r="G2143"/>
  <c r="G1993"/>
  <c r="G1952"/>
  <c r="G2291"/>
  <c r="I1692"/>
  <c r="D2734"/>
  <c r="G2288"/>
  <c r="I3211"/>
  <c r="I2296"/>
  <c r="G3443"/>
  <c r="D3534"/>
  <c r="G2536"/>
  <c r="G2812"/>
  <c r="G3458"/>
  <c r="D3511"/>
  <c r="I2476"/>
  <c r="G469"/>
  <c r="I3469"/>
  <c r="D3368"/>
  <c r="G2887"/>
  <c r="G2905"/>
  <c r="G2492"/>
  <c r="I2681"/>
  <c r="I2573"/>
  <c r="D3072"/>
  <c r="I3310"/>
  <c r="G2552"/>
  <c r="I2900"/>
  <c r="I3494"/>
  <c r="D3235"/>
  <c r="D3517"/>
  <c r="D3042"/>
  <c r="G1235"/>
  <c r="D2331"/>
  <c r="D1864"/>
  <c r="D2282"/>
  <c r="G3390"/>
  <c r="I3249"/>
  <c r="G1728"/>
  <c r="I2568"/>
  <c r="D2605"/>
  <c r="G3252"/>
  <c r="D1838"/>
  <c r="G2468"/>
  <c r="G3450"/>
  <c r="G2462"/>
  <c r="G3525"/>
  <c r="G3150"/>
  <c r="G2403"/>
  <c r="G3473"/>
  <c r="G676"/>
  <c r="D1100"/>
  <c r="G2343"/>
  <c r="D3507"/>
  <c r="G2855"/>
  <c r="I2935"/>
  <c r="I311"/>
  <c r="D2798"/>
  <c r="D277"/>
  <c r="I549"/>
  <c r="G2610"/>
  <c r="G3552"/>
  <c r="G2731"/>
  <c r="D216"/>
  <c r="D1965"/>
  <c r="D3567"/>
  <c r="I3029"/>
  <c r="D3156"/>
  <c r="I3463"/>
  <c r="D3492"/>
  <c r="D2339"/>
  <c r="G109"/>
  <c r="I2190"/>
  <c r="I2978"/>
  <c r="D627"/>
  <c r="G267"/>
  <c r="G437"/>
  <c r="D3538"/>
  <c r="I572"/>
  <c r="D1865"/>
  <c r="D3421"/>
  <c r="I1048"/>
  <c r="I3371"/>
  <c r="I3044"/>
  <c r="G938"/>
  <c r="G2482"/>
  <c r="D3487"/>
  <c r="G3003"/>
  <c r="I3417"/>
  <c r="I2531"/>
  <c r="G452"/>
  <c r="I331"/>
  <c r="G667"/>
  <c r="D1988"/>
  <c r="D676"/>
  <c r="G1144"/>
  <c r="D2872"/>
  <c r="G88"/>
  <c r="D169"/>
  <c r="I2687"/>
  <c r="G465"/>
  <c r="D414"/>
  <c r="I3472"/>
  <c r="G2466"/>
  <c r="D2890"/>
  <c r="G2803"/>
  <c r="I2631"/>
  <c r="G2843"/>
  <c r="G2571"/>
  <c r="G3377"/>
  <c r="D3522"/>
  <c r="D3409"/>
  <c r="I3137"/>
  <c r="I1911"/>
  <c r="G2995"/>
  <c r="D3105"/>
  <c r="I3217"/>
  <c r="D3544"/>
  <c r="G2707"/>
  <c r="I2750"/>
  <c r="G2819"/>
  <c r="D2767"/>
  <c r="G413"/>
  <c r="I3041"/>
  <c r="G2753"/>
  <c r="I2711"/>
  <c r="I3320"/>
  <c r="G2612"/>
  <c r="D2323"/>
  <c r="D2145"/>
  <c r="D561"/>
  <c r="D2819"/>
  <c r="G2197"/>
  <c r="D2150"/>
  <c r="G3426"/>
  <c r="I3229"/>
  <c r="G2545"/>
  <c r="I3261"/>
  <c r="I2833"/>
  <c r="I874"/>
  <c r="I2270"/>
  <c r="I2808"/>
  <c r="D2527"/>
  <c r="G3324"/>
  <c r="D2355"/>
  <c r="I3465"/>
  <c r="D3582"/>
  <c r="G2311"/>
  <c r="D2232"/>
  <c r="D3295"/>
  <c r="I1974"/>
  <c r="G2548"/>
  <c r="G2474"/>
  <c r="G2257"/>
  <c r="D3284"/>
  <c r="I3589"/>
  <c r="D2586"/>
  <c r="D3191"/>
  <c r="D2040"/>
  <c r="G3568"/>
  <c r="G3184"/>
  <c r="D3347"/>
  <c r="D2177"/>
  <c r="D3054"/>
  <c r="D3375"/>
  <c r="D2659"/>
  <c r="I2837"/>
  <c r="I3573"/>
  <c r="D1956"/>
  <c r="I2924"/>
  <c r="I2720"/>
  <c r="I3141"/>
  <c r="D2579"/>
  <c r="I2443"/>
  <c r="D3413"/>
  <c r="I2239"/>
  <c r="I2537"/>
  <c r="D2695"/>
  <c r="G2796"/>
  <c r="D2842"/>
  <c r="G2541"/>
  <c r="D2302"/>
  <c r="G1289"/>
  <c r="I2421"/>
  <c r="I3406"/>
  <c r="G3492"/>
  <c r="I3365"/>
  <c r="D2306"/>
  <c r="D2738"/>
  <c r="G2875"/>
  <c r="I2229"/>
  <c r="G2235"/>
  <c r="I797"/>
  <c r="D721"/>
  <c r="I3292"/>
  <c r="G2671"/>
  <c r="I2418"/>
  <c r="G2262"/>
  <c r="D1940"/>
  <c r="I2521"/>
  <c r="I2467"/>
  <c r="G3144"/>
  <c r="D3332"/>
  <c r="G3030"/>
  <c r="I2608"/>
  <c r="G2524"/>
  <c r="G3066"/>
  <c r="I3309"/>
  <c r="D2982"/>
  <c r="I3470"/>
  <c r="D2364"/>
  <c r="I433"/>
  <c r="I2430"/>
  <c r="G3382"/>
  <c r="G2187"/>
  <c r="D2887"/>
  <c r="G714"/>
  <c r="I2358"/>
  <c r="D3309"/>
  <c r="D2694"/>
  <c r="I2312"/>
  <c r="G1547"/>
  <c r="D3057"/>
  <c r="I792"/>
  <c r="G3022"/>
  <c r="G3591"/>
  <c r="D2386"/>
  <c r="G3516"/>
  <c r="D2786"/>
  <c r="D2807"/>
  <c r="I1239"/>
  <c r="I3602"/>
  <c r="I2030"/>
  <c r="I2546"/>
  <c r="D2688"/>
  <c r="G1521"/>
  <c r="G2390"/>
  <c r="G2556"/>
  <c r="I3431"/>
  <c r="I102"/>
  <c r="D1031"/>
  <c r="I2359"/>
  <c r="G2695"/>
  <c r="G2633"/>
  <c r="G3178"/>
  <c r="D313"/>
  <c r="D2402"/>
  <c r="I2738"/>
  <c r="G1935"/>
  <c r="D2148"/>
  <c r="I1329"/>
  <c r="I3351"/>
  <c r="G2751"/>
  <c r="G1752"/>
  <c r="D2209"/>
  <c r="G618"/>
  <c r="I964"/>
  <c r="G1819"/>
  <c r="I3037"/>
  <c r="G989"/>
  <c r="I2412"/>
  <c r="I89"/>
  <c r="G568"/>
  <c r="I1981"/>
  <c r="G1497"/>
  <c r="I2918"/>
  <c r="G2566"/>
  <c r="G1411"/>
  <c r="I3427"/>
  <c r="G1757"/>
  <c r="D1779"/>
  <c r="I1362"/>
  <c r="G3029"/>
  <c r="D2898"/>
  <c r="I2986"/>
  <c r="D3577"/>
  <c r="G3054"/>
  <c r="D1994"/>
  <c r="D116"/>
  <c r="G2036"/>
  <c r="I1299"/>
  <c r="I855"/>
  <c r="I142"/>
  <c r="D2651"/>
  <c r="I1850"/>
  <c r="I166"/>
  <c r="D1995"/>
  <c r="I2256"/>
  <c r="I3097"/>
  <c r="G2684"/>
  <c r="G2316"/>
  <c r="G2508"/>
  <c r="G3182"/>
  <c r="I2689"/>
  <c r="D3516"/>
  <c r="G2088"/>
  <c r="I23"/>
  <c r="G2666"/>
  <c r="D2862"/>
  <c r="I252"/>
  <c r="I3291"/>
  <c r="D3475"/>
  <c r="D3407"/>
  <c r="I1745"/>
  <c r="D674"/>
  <c r="G2315"/>
  <c r="G1933"/>
  <c r="G3564"/>
  <c r="D2866"/>
  <c r="I2652"/>
  <c r="I2538"/>
  <c r="G3079"/>
  <c r="G3550"/>
  <c r="I2424"/>
  <c r="G2613"/>
  <c r="I1360"/>
  <c r="I3095"/>
  <c r="G1644"/>
  <c r="D2787"/>
  <c r="D3209"/>
  <c r="I3498"/>
  <c r="I2893"/>
  <c r="D2094"/>
  <c r="I2333"/>
  <c r="G2073"/>
  <c r="D2512"/>
  <c r="I2974"/>
  <c r="D2173"/>
  <c r="G3455"/>
  <c r="D2664"/>
  <c r="I2067"/>
  <c r="G3161"/>
  <c r="I2514"/>
  <c r="I2776"/>
  <c r="G3233"/>
  <c r="D2582"/>
  <c r="D3199"/>
  <c r="I2712"/>
  <c r="I3334"/>
  <c r="I2680"/>
  <c r="G3369"/>
  <c r="I969"/>
  <c r="D2348"/>
  <c r="D2249"/>
  <c r="I2413"/>
  <c r="G2661"/>
  <c r="D3365"/>
  <c r="D2748"/>
  <c r="D3040"/>
  <c r="D2861"/>
  <c r="I352"/>
  <c r="I365"/>
  <c r="G2493"/>
  <c r="G1134"/>
  <c r="G1089"/>
  <c r="I2215"/>
  <c r="G50"/>
  <c r="I1689"/>
  <c r="I1719"/>
  <c r="G3119"/>
  <c r="D1245"/>
  <c r="G2934"/>
  <c r="D93"/>
  <c r="I3094"/>
  <c r="G3592"/>
  <c r="D3570"/>
  <c r="I1163"/>
  <c r="D184"/>
  <c r="I2505"/>
  <c r="I620"/>
  <c r="G1548"/>
  <c r="I3585"/>
  <c r="G3321"/>
  <c r="D3429"/>
  <c r="G940"/>
  <c r="G2588"/>
  <c r="D3374"/>
  <c r="G3114"/>
  <c r="I1711"/>
  <c r="I2379"/>
  <c r="G2973"/>
  <c r="G3607"/>
  <c r="G2420"/>
  <c r="G2942"/>
  <c r="I684"/>
  <c r="G3209"/>
  <c r="G1734"/>
  <c r="I1593"/>
  <c r="G2745"/>
  <c r="D179"/>
  <c r="G2533"/>
  <c r="I3529"/>
  <c r="D1316"/>
  <c r="I1996"/>
  <c r="G3213"/>
  <c r="I3093"/>
  <c r="D2092"/>
  <c r="I2354"/>
  <c r="G2529"/>
  <c r="G3121"/>
  <c r="G2952"/>
  <c r="G2478"/>
  <c r="G3565"/>
  <c r="G2624"/>
  <c r="D3211"/>
  <c r="D637"/>
  <c r="G2074"/>
  <c r="I3296"/>
  <c r="I3174"/>
  <c r="G3151"/>
  <c r="I2698"/>
  <c r="I184"/>
  <c r="D3320"/>
  <c r="I2811"/>
  <c r="D3389"/>
  <c r="D11"/>
  <c r="I2925"/>
  <c r="I2800"/>
  <c r="D2921"/>
  <c r="G2490"/>
  <c r="I1859"/>
  <c r="D2186"/>
  <c r="I2439"/>
  <c r="D2443"/>
  <c r="I3404"/>
  <c r="I3508"/>
  <c r="I277"/>
  <c r="I1900"/>
  <c r="I1203"/>
  <c r="G2383"/>
  <c r="D2452"/>
  <c r="G1845"/>
  <c r="I336"/>
  <c r="I1978"/>
  <c r="I1575"/>
  <c r="D868"/>
  <c r="I227"/>
  <c r="G1184"/>
  <c r="I1180"/>
  <c r="D2745"/>
  <c r="G3073"/>
  <c r="G1444"/>
  <c r="G2579"/>
  <c r="D2867"/>
  <c r="I2008"/>
  <c r="I2885"/>
  <c r="I1572"/>
  <c r="D2646"/>
  <c r="I3080"/>
  <c r="D2154"/>
  <c r="I2638"/>
  <c r="I2184"/>
  <c r="G2699"/>
  <c r="I1338"/>
  <c r="G114"/>
  <c r="D2811"/>
  <c r="G26"/>
  <c r="G1800"/>
  <c r="G3316"/>
  <c r="I1932"/>
  <c r="G1297"/>
  <c r="D3119"/>
  <c r="D3313"/>
  <c r="G2395"/>
  <c r="G2619"/>
  <c r="D3230"/>
  <c r="D3291"/>
  <c r="D2489"/>
  <c r="D1326"/>
  <c r="G616"/>
  <c r="D2018"/>
  <c r="I19"/>
  <c r="D1997"/>
  <c r="G3422"/>
  <c r="D2363"/>
  <c r="G1812"/>
  <c r="I1202"/>
  <c r="D3410"/>
  <c r="I2087"/>
  <c r="I1178"/>
  <c r="D1018"/>
  <c r="D2640"/>
  <c r="G2375"/>
  <c r="I3428"/>
  <c r="G3368"/>
  <c r="I2709"/>
  <c r="D2988"/>
  <c r="I1210"/>
  <c r="G3380"/>
  <c r="D2766"/>
  <c r="I2157"/>
  <c r="I1589"/>
  <c r="D2715"/>
  <c r="D2419"/>
  <c r="I2132"/>
  <c r="G2980"/>
  <c r="D2674"/>
  <c r="G2679"/>
  <c r="G2742"/>
  <c r="G2229"/>
  <c r="G3310"/>
  <c r="I1941"/>
  <c r="D2248"/>
  <c r="G2996"/>
  <c r="D2927"/>
  <c r="I3586"/>
  <c r="G3562"/>
  <c r="I2502"/>
  <c r="G3175"/>
  <c r="I3420"/>
  <c r="G2366"/>
  <c r="D2473"/>
  <c r="D3345"/>
  <c r="I3071"/>
  <c r="D1812"/>
  <c r="I2947"/>
  <c r="I2964"/>
  <c r="D3206"/>
  <c r="I3083"/>
  <c r="G2269"/>
  <c r="I2344"/>
  <c r="I2955"/>
  <c r="G2295"/>
  <c r="G3034"/>
  <c r="G2651"/>
  <c r="G1254"/>
  <c r="D3140"/>
  <c r="I2238"/>
  <c r="D2626"/>
  <c r="D3004"/>
  <c r="G3442"/>
  <c r="I1304"/>
  <c r="I3576"/>
  <c r="I2617"/>
  <c r="I3187"/>
  <c r="G3431"/>
  <c r="I222"/>
  <c r="I646"/>
  <c r="G459"/>
  <c r="D3385"/>
  <c r="D2213"/>
  <c r="G2271"/>
  <c r="D1011"/>
  <c r="I2661"/>
  <c r="I2699"/>
  <c r="G356"/>
  <c r="D626"/>
  <c r="G2086"/>
  <c r="G2058"/>
  <c r="I1903"/>
  <c r="G1029"/>
  <c r="G845"/>
  <c r="I2172"/>
  <c r="D950"/>
  <c r="I652"/>
  <c r="D5"/>
  <c r="G1503"/>
  <c r="D1657"/>
  <c r="D3452"/>
  <c r="D2709"/>
  <c r="D3274"/>
  <c r="I2684"/>
  <c r="G2730"/>
  <c r="I1942"/>
  <c r="G3038"/>
  <c r="I386"/>
  <c r="D3100"/>
  <c r="D1410"/>
  <c r="G2132"/>
  <c r="I3043"/>
  <c r="D3336"/>
  <c r="D3463"/>
  <c r="I2281"/>
  <c r="G3309"/>
  <c r="I1516"/>
  <c r="D2639"/>
  <c r="I1968"/>
  <c r="I675"/>
  <c r="G3037"/>
  <c r="D3111"/>
  <c r="I1833"/>
  <c r="D1996"/>
  <c r="I2522"/>
  <c r="I2620"/>
  <c r="D2260"/>
  <c r="I3200"/>
  <c r="I3587"/>
  <c r="G3381"/>
  <c r="G3454"/>
  <c r="D2994"/>
  <c r="G3258"/>
  <c r="I2781"/>
  <c r="I2553"/>
  <c r="D2228"/>
  <c r="I3364"/>
  <c r="I3297"/>
  <c r="D266"/>
  <c r="I165"/>
  <c r="I3253"/>
  <c r="D2739"/>
  <c r="D3588"/>
  <c r="I2452"/>
  <c r="D3278"/>
  <c r="I3299"/>
  <c r="G3020"/>
  <c r="I3567"/>
  <c r="D3138"/>
  <c r="G3530"/>
  <c r="D2189"/>
  <c r="G3116"/>
  <c r="G2460"/>
  <c r="D2702"/>
  <c r="G3077"/>
  <c r="D1127"/>
  <c r="G1069"/>
  <c r="I78"/>
  <c r="D3382"/>
  <c r="D2448"/>
  <c r="I2299"/>
  <c r="I2774"/>
  <c r="I3205"/>
  <c r="I1956"/>
  <c r="I3370"/>
  <c r="G2424"/>
  <c r="G2380"/>
  <c r="D1415"/>
  <c r="I3422"/>
  <c r="D2395"/>
  <c r="D3165"/>
  <c r="G2296"/>
  <c r="I351"/>
  <c r="I3254"/>
  <c r="D2865"/>
  <c r="I1702"/>
  <c r="I3570"/>
  <c r="I2457"/>
  <c r="I1744"/>
  <c r="I1535"/>
  <c r="G3399"/>
  <c r="D2831"/>
  <c r="D3435"/>
  <c r="I2178"/>
  <c r="G2938"/>
  <c r="I3180"/>
  <c r="D2152"/>
  <c r="G2292"/>
  <c r="I3447"/>
  <c r="D3254"/>
  <c r="D3388"/>
  <c r="G3082"/>
  <c r="I2625"/>
  <c r="D2019"/>
  <c r="I3034"/>
  <c r="I1870"/>
  <c r="I3283"/>
  <c r="I2612"/>
  <c r="I3298"/>
  <c r="G1159"/>
  <c r="G2387"/>
  <c r="I3378"/>
  <c r="G1746"/>
  <c r="D1078"/>
  <c r="G1775"/>
  <c r="D2320"/>
  <c r="I2392"/>
  <c r="I2307"/>
  <c r="D1281"/>
  <c r="D555"/>
  <c r="D2276"/>
  <c r="I1388"/>
  <c r="I3148"/>
  <c r="D3495"/>
  <c r="D2411"/>
  <c r="G3566"/>
  <c r="G2589"/>
  <c r="D3123"/>
  <c r="D1843"/>
  <c r="I488"/>
  <c r="I2409"/>
  <c r="G2170"/>
  <c r="D2296"/>
  <c r="D2107"/>
  <c r="I2666"/>
  <c r="I3542"/>
  <c r="G3291"/>
  <c r="I2865"/>
  <c r="D3525"/>
  <c r="I2897"/>
  <c r="D3027"/>
  <c r="G1791"/>
  <c r="G1929"/>
  <c r="D2064"/>
  <c r="G3375"/>
  <c r="G2446"/>
  <c r="D2587"/>
  <c r="D2080"/>
  <c r="D2471"/>
  <c r="D2258"/>
  <c r="G2771"/>
  <c r="I3243"/>
  <c r="D2846"/>
  <c r="I2298"/>
  <c r="D3188"/>
  <c r="I3160"/>
  <c r="I2993"/>
  <c r="G3261"/>
  <c r="I3349"/>
  <c r="G2184"/>
  <c r="G2005"/>
  <c r="G3404"/>
  <c r="D1637"/>
  <c r="I2206"/>
  <c r="G3141"/>
  <c r="I2293"/>
  <c r="I3272"/>
  <c r="D3292"/>
  <c r="D2170"/>
  <c r="D475"/>
  <c r="D3337"/>
  <c r="G2668"/>
  <c r="I3603"/>
  <c r="G2449"/>
  <c r="I1480"/>
  <c r="I734"/>
  <c r="G3567"/>
  <c r="G2582"/>
  <c r="D1979"/>
  <c r="G3251"/>
  <c r="I161"/>
  <c r="G1107"/>
  <c r="G2131"/>
  <c r="I2799"/>
  <c r="D1072"/>
  <c r="G685"/>
  <c r="D2196"/>
  <c r="G1917"/>
  <c r="G1878"/>
  <c r="G1577"/>
  <c r="I1986"/>
  <c r="G3164"/>
  <c r="G715"/>
  <c r="G2268"/>
  <c r="D2666"/>
  <c r="G2752"/>
  <c r="I3377"/>
  <c r="G2231"/>
  <c r="G59"/>
  <c r="D3021"/>
  <c r="G2255"/>
  <c r="I2490"/>
  <c r="G3160"/>
  <c r="G1722"/>
  <c r="I3020"/>
  <c r="D383"/>
  <c r="D31"/>
  <c r="G2514"/>
  <c r="I2095"/>
  <c r="I1934"/>
  <c r="G2709"/>
  <c r="G2483"/>
  <c r="I176"/>
  <c r="I511"/>
  <c r="D3120"/>
  <c r="D3321"/>
  <c r="G3169"/>
  <c r="D2099"/>
  <c r="I3374"/>
  <c r="D3542"/>
  <c r="I3245"/>
  <c r="D3530"/>
  <c r="D2622"/>
  <c r="I2769"/>
  <c r="G1888"/>
  <c r="D2935"/>
  <c r="G2110"/>
  <c r="I2371"/>
  <c r="D2523"/>
  <c r="D2418"/>
  <c r="D2839"/>
  <c r="I1787"/>
  <c r="D1795"/>
  <c r="D3462"/>
  <c r="D3228"/>
  <c r="I2557"/>
  <c r="D2775"/>
  <c r="D3434"/>
  <c r="G1354"/>
  <c r="D3001"/>
  <c r="D3073"/>
  <c r="D2123"/>
  <c r="I2927"/>
  <c r="D3518"/>
  <c r="D2272"/>
  <c r="G3540"/>
  <c r="I1417"/>
  <c r="D2753"/>
  <c r="G3505"/>
  <c r="I2369"/>
  <c r="D2136"/>
  <c r="G2736"/>
  <c r="G2831"/>
  <c r="D3343"/>
  <c r="I2313"/>
  <c r="D310"/>
  <c r="G1037"/>
  <c r="I2223"/>
  <c r="G3535"/>
  <c r="D3095"/>
  <c r="G1709"/>
  <c r="G1529"/>
  <c r="D2852"/>
  <c r="I243"/>
  <c r="I2247"/>
  <c r="G2141"/>
  <c r="D557"/>
  <c r="I1741"/>
  <c r="D927"/>
  <c r="I1073"/>
  <c r="D1550"/>
  <c r="G2338"/>
  <c r="D2581"/>
  <c r="D1650"/>
  <c r="G2006"/>
  <c r="D3481"/>
  <c r="G274"/>
  <c r="G368"/>
  <c r="G1500"/>
  <c r="G3015"/>
  <c r="I3448"/>
  <c r="G1116"/>
  <c r="G106"/>
  <c r="D2371"/>
  <c r="G2925"/>
  <c r="D2650"/>
  <c r="D2342"/>
  <c r="D2319"/>
  <c r="G753"/>
  <c r="D3554"/>
  <c r="I1467"/>
  <c r="I3487"/>
  <c r="I1386"/>
  <c r="I3269"/>
  <c r="I3316"/>
  <c r="I3511"/>
  <c r="I851"/>
  <c r="G3460"/>
  <c r="D3422"/>
  <c r="I3503"/>
  <c r="D1338"/>
  <c r="I2677"/>
  <c r="D2451"/>
  <c r="D896"/>
  <c r="G35"/>
  <c r="G2776"/>
  <c r="I1894"/>
  <c r="I3028"/>
  <c r="I2824"/>
  <c r="G1619"/>
  <c r="D3226"/>
  <c r="I3464"/>
  <c r="I1925"/>
  <c r="D3048"/>
  <c r="I3553"/>
  <c r="D1893"/>
  <c r="I2592"/>
  <c r="I280"/>
  <c r="D3099"/>
  <c r="I2214"/>
  <c r="I2550"/>
  <c r="D3257"/>
  <c r="G3243"/>
  <c r="D2704"/>
  <c r="G3187"/>
  <c r="D765"/>
  <c r="G2716"/>
  <c r="I3304"/>
  <c r="G1731"/>
  <c r="I2870"/>
  <c r="I3007"/>
  <c r="G2376"/>
  <c r="D2567"/>
  <c r="G3026"/>
  <c r="D2193"/>
  <c r="G3214"/>
  <c r="I2165"/>
  <c r="I2018"/>
  <c r="G2818"/>
  <c r="I2869"/>
  <c r="D2968"/>
  <c r="D2383"/>
  <c r="I3433"/>
  <c r="D3207"/>
  <c r="I3568"/>
  <c r="G3115"/>
  <c r="I2326"/>
  <c r="D2291"/>
  <c r="G3106"/>
  <c r="D1823"/>
  <c r="I2672"/>
  <c r="G2551"/>
  <c r="G517"/>
  <c r="D2569"/>
  <c r="D3016"/>
  <c r="I2117"/>
  <c r="D512"/>
  <c r="I3347"/>
  <c r="I2604"/>
  <c r="D2495"/>
  <c r="I3115"/>
  <c r="G2364"/>
  <c r="I3581"/>
  <c r="G1882"/>
  <c r="G2823"/>
  <c r="I2121"/>
  <c r="G3446"/>
  <c r="I3237"/>
  <c r="I1602"/>
  <c r="G2423"/>
  <c r="I3190"/>
  <c r="I2576"/>
  <c r="I1513"/>
  <c r="I2297"/>
  <c r="G2965"/>
  <c r="I3015"/>
  <c r="D2536"/>
  <c r="D2834"/>
  <c r="D2030"/>
  <c r="G1735"/>
  <c r="G2943"/>
  <c r="D695"/>
  <c r="I1367"/>
  <c r="G3280"/>
  <c r="I757"/>
  <c r="I710"/>
  <c r="I1109"/>
  <c r="I2662"/>
  <c r="I2283"/>
  <c r="D2212"/>
  <c r="D2692"/>
  <c r="I3152"/>
  <c r="G1879"/>
  <c r="I634"/>
  <c r="G1846"/>
  <c r="I1336"/>
  <c r="D85"/>
  <c r="I2768"/>
  <c r="I2664"/>
  <c r="D3234"/>
  <c r="G2680"/>
  <c r="G961"/>
  <c r="G2632"/>
  <c r="D3134"/>
  <c r="D2828"/>
  <c r="I1160"/>
  <c r="D3196"/>
  <c r="I2316"/>
  <c r="G526"/>
  <c r="G603"/>
  <c r="G1110"/>
  <c r="D2929"/>
  <c r="I3241"/>
  <c r="D2031"/>
  <c r="I491"/>
  <c r="D3537"/>
  <c r="I2954"/>
  <c r="I2309"/>
  <c r="G2242"/>
  <c r="I2942"/>
  <c r="G2068"/>
  <c r="I2221"/>
  <c r="D3395"/>
  <c r="G3069"/>
  <c r="D2490"/>
  <c r="I3195"/>
  <c r="I2838"/>
  <c r="I3517"/>
  <c r="G2117"/>
  <c r="I3019"/>
  <c r="G899"/>
  <c r="D3090"/>
  <c r="D2990"/>
  <c r="I1768"/>
  <c r="I3279"/>
  <c r="G3604"/>
  <c r="G2476"/>
  <c r="D286"/>
  <c r="I1928"/>
  <c r="I3079"/>
  <c r="G1995"/>
  <c r="I2902"/>
  <c r="I1173"/>
  <c r="G3348"/>
  <c r="G3028"/>
  <c r="D2205"/>
  <c r="G3143"/>
  <c r="G2245"/>
  <c r="I2163"/>
  <c r="I3575"/>
  <c r="G157"/>
  <c r="G2688"/>
  <c r="G2444"/>
  <c r="G1736"/>
  <c r="D2351"/>
  <c r="G1531"/>
  <c r="I3504"/>
  <c r="G1527"/>
  <c r="I1613"/>
  <c r="D2822"/>
  <c r="G1851"/>
  <c r="G2455"/>
  <c r="D1814"/>
  <c r="I2076"/>
  <c r="I1943"/>
  <c r="D1765"/>
  <c r="G2165"/>
  <c r="G1307"/>
  <c r="D1947"/>
  <c r="G2900"/>
  <c r="I560"/>
  <c r="D2517"/>
  <c r="G2352"/>
  <c r="D89"/>
  <c r="D3102"/>
  <c r="D1805"/>
  <c r="G1221"/>
  <c r="D252"/>
  <c r="G3112"/>
  <c r="I2965"/>
  <c r="I600"/>
  <c r="G1461"/>
  <c r="D3393"/>
  <c r="D2406"/>
  <c r="D2008"/>
  <c r="I1862"/>
  <c r="D1761"/>
  <c r="I3368"/>
  <c r="G2000"/>
  <c r="G1835"/>
  <c r="D3216"/>
  <c r="G2136"/>
  <c r="D2244"/>
  <c r="I2212"/>
  <c r="D3266"/>
  <c r="D3093"/>
  <c r="I2209"/>
  <c r="I1808"/>
  <c r="I618"/>
  <c r="D2983"/>
  <c r="G2035"/>
  <c r="D3293"/>
  <c r="I3189"/>
  <c r="D2450"/>
  <c r="I389"/>
  <c r="I1635"/>
  <c r="D1468"/>
  <c r="D2024"/>
  <c r="I2266"/>
  <c r="G2809"/>
  <c r="D2000"/>
  <c r="D2115"/>
  <c r="I2040"/>
  <c r="D3297"/>
  <c r="G3288"/>
  <c r="I2420"/>
  <c r="G3606"/>
  <c r="D3565"/>
  <c r="I2447"/>
  <c r="G2150"/>
  <c r="G2065"/>
  <c r="D2445"/>
  <c r="G2916"/>
  <c r="D2858"/>
  <c r="I3521"/>
  <c r="D3367"/>
  <c r="I2286"/>
  <c r="D2087"/>
  <c r="I582"/>
  <c r="I2605"/>
  <c r="D3029"/>
  <c r="I3533"/>
  <c r="I2074"/>
  <c r="I2210"/>
  <c r="I2107"/>
  <c r="G2754"/>
  <c r="I3590"/>
  <c r="D2349"/>
  <c r="G505"/>
  <c r="D2401"/>
  <c r="D2052"/>
  <c r="D123"/>
  <c r="I3605"/>
  <c r="G2254"/>
  <c r="D2350"/>
  <c r="G949"/>
  <c r="G2128"/>
  <c r="G3244"/>
  <c r="I2518"/>
  <c r="I2891"/>
  <c r="G3128"/>
  <c r="D2378"/>
  <c r="I2862"/>
  <c r="I3090"/>
  <c r="I2819"/>
  <c r="G903"/>
  <c r="D3122"/>
  <c r="G1431"/>
  <c r="G2931"/>
  <c r="G2549"/>
  <c r="D2895"/>
  <c r="D2370"/>
  <c r="D256"/>
  <c r="G2142"/>
  <c r="D2806"/>
  <c r="I1462"/>
  <c r="G2865"/>
  <c r="D2084"/>
  <c r="D1828"/>
  <c r="I492"/>
  <c r="G290"/>
  <c r="G1626"/>
  <c r="D1758"/>
  <c r="D3183"/>
  <c r="G2471"/>
  <c r="D2063"/>
  <c r="I1743"/>
  <c r="G3165"/>
  <c r="G219"/>
  <c r="D2899"/>
  <c r="D167"/>
  <c r="D953"/>
  <c r="G117"/>
  <c r="I1063"/>
  <c r="I3112"/>
  <c r="G1955"/>
  <c r="I3390"/>
  <c r="D2571"/>
  <c r="I3072"/>
  <c r="I1806"/>
  <c r="G3469"/>
  <c r="G2978"/>
  <c r="G1780"/>
  <c r="G2522"/>
  <c r="G1593"/>
  <c r="D247"/>
  <c r="G2233"/>
  <c r="D2656"/>
  <c r="I460"/>
  <c r="D2194"/>
  <c r="G3506"/>
  <c r="G1150"/>
  <c r="I1966"/>
  <c r="G2572"/>
  <c r="I167"/>
  <c r="G199"/>
  <c r="G599"/>
  <c r="D3112"/>
  <c r="I2975"/>
  <c r="I2001"/>
  <c r="D2545"/>
  <c r="G3335"/>
  <c r="D3187"/>
  <c r="D3009"/>
  <c r="D2403"/>
  <c r="I3273"/>
  <c r="I2374"/>
  <c r="G2839"/>
  <c r="D2707"/>
  <c r="D2172"/>
  <c r="G2259"/>
  <c r="D1897"/>
  <c r="I1314"/>
  <c r="G130"/>
  <c r="I2597"/>
  <c r="D2627"/>
  <c r="G1755"/>
  <c r="D3055"/>
  <c r="G3083"/>
  <c r="I2544"/>
  <c r="D2457"/>
  <c r="G3059"/>
  <c r="I3047"/>
  <c r="I2180"/>
  <c r="D2327"/>
  <c r="I1358"/>
  <c r="I2387"/>
  <c r="D474"/>
  <c r="G3436"/>
  <c r="G930"/>
  <c r="G3383"/>
  <c r="D3339"/>
  <c r="I3059"/>
  <c r="G741"/>
  <c r="D2568"/>
  <c r="D2594"/>
  <c r="D3006"/>
  <c r="G1748"/>
  <c r="I1672"/>
  <c r="D3145"/>
  <c r="I470"/>
  <c r="I2375"/>
  <c r="I2173"/>
  <c r="D3448"/>
  <c r="I424"/>
  <c r="I2226"/>
  <c r="D1084"/>
  <c r="D3136"/>
  <c r="I3559"/>
  <c r="D1803"/>
  <c r="G654"/>
  <c r="D985"/>
  <c r="I3104"/>
  <c r="I434"/>
  <c r="D3013"/>
  <c r="I3287"/>
  <c r="I2814"/>
  <c r="D257"/>
  <c r="I2644"/>
  <c r="I2730"/>
  <c r="G2130"/>
  <c r="G3095"/>
  <c r="D2059"/>
  <c r="I2937"/>
  <c r="G3101"/>
  <c r="I2567"/>
  <c r="D2879"/>
  <c r="G2597"/>
  <c r="D2372"/>
  <c r="G2842"/>
  <c r="G3529"/>
  <c r="G2601"/>
  <c r="D79"/>
  <c r="I2488"/>
  <c r="D2176"/>
  <c r="I3256"/>
  <c r="G2811"/>
  <c r="G3085"/>
  <c r="G3351"/>
  <c r="D619"/>
  <c r="D1932"/>
  <c r="I2763"/>
  <c r="D1762"/>
  <c r="I1619"/>
  <c r="D139"/>
  <c r="I2146"/>
  <c r="D520"/>
  <c r="D1971"/>
  <c r="D633"/>
  <c r="I787"/>
  <c r="D1120"/>
  <c r="G2489"/>
  <c r="I2334"/>
  <c r="G1045"/>
  <c r="G3449"/>
  <c r="D2481"/>
  <c r="D3212"/>
  <c r="D3563"/>
  <c r="G2785"/>
  <c r="G3317"/>
  <c r="D3094"/>
  <c r="G3378"/>
  <c r="I1326"/>
  <c r="G730"/>
  <c r="G1046"/>
  <c r="D1362"/>
  <c r="I1104"/>
  <c r="I2301"/>
  <c r="D1901"/>
  <c r="I3357"/>
  <c r="D1001"/>
  <c r="D750"/>
  <c r="G2212"/>
  <c r="I312"/>
  <c r="G3445"/>
  <c r="G883"/>
  <c r="D948"/>
  <c r="I1568"/>
  <c r="I418"/>
  <c r="I953"/>
  <c r="D1336"/>
  <c r="G348"/>
  <c r="I619"/>
  <c r="G545"/>
  <c r="G1316"/>
  <c r="D2299"/>
  <c r="I2540"/>
  <c r="I2971"/>
  <c r="G3017"/>
  <c r="D3046"/>
  <c r="G355"/>
  <c r="D170"/>
  <c r="G474"/>
  <c r="G1111"/>
  <c r="D525"/>
  <c r="G1281"/>
  <c r="G1507"/>
  <c r="G3180"/>
  <c r="I3458"/>
  <c r="G976"/>
  <c r="I847"/>
  <c r="I515"/>
  <c r="D1905"/>
  <c r="D1500"/>
  <c r="I3202"/>
  <c r="D3086"/>
  <c r="G419"/>
  <c r="D3275"/>
  <c r="D3575"/>
  <c r="G2700"/>
  <c r="G2293"/>
  <c r="I2671"/>
  <c r="I2497"/>
  <c r="G749"/>
  <c r="G2445"/>
  <c r="D153"/>
  <c r="D1871"/>
  <c r="G2994"/>
  <c r="D3328"/>
  <c r="D1623"/>
  <c r="D3442"/>
  <c r="I2159"/>
  <c r="G1927"/>
  <c r="I465"/>
  <c r="G2750"/>
  <c r="D2686"/>
  <c r="G3212"/>
  <c r="I3527"/>
  <c r="G2927"/>
  <c r="D2247"/>
  <c r="G186"/>
  <c r="I2535"/>
  <c r="G1509"/>
  <c r="G709"/>
  <c r="D1523"/>
  <c r="I3344"/>
  <c r="I3522"/>
  <c r="G70"/>
  <c r="G916"/>
  <c r="G931"/>
  <c r="I611"/>
  <c r="I2340"/>
  <c r="I2602"/>
  <c r="I2803"/>
  <c r="G128"/>
  <c r="I1124"/>
  <c r="G3494"/>
  <c r="G2618"/>
  <c r="I1830"/>
  <c r="I2851"/>
  <c r="D292"/>
  <c r="I909"/>
  <c r="I1585"/>
  <c r="G2299"/>
  <c r="G3353"/>
  <c r="G3347"/>
  <c r="G1671"/>
  <c r="I1684"/>
  <c r="I2460"/>
  <c r="G750"/>
  <c r="D1462"/>
  <c r="I3496"/>
  <c r="D2032"/>
  <c r="G943"/>
  <c r="D1399"/>
  <c r="D295"/>
  <c r="I1625"/>
  <c r="I2989"/>
  <c r="G574"/>
  <c r="D3342"/>
  <c r="G2303"/>
  <c r="D2333"/>
  <c r="D2204"/>
  <c r="I3150"/>
  <c r="G3513"/>
  <c r="I3432"/>
  <c r="D1306"/>
  <c r="I3226"/>
  <c r="D2796"/>
  <c r="I904"/>
  <c r="G1920"/>
  <c r="I1407"/>
  <c r="G2356"/>
  <c r="D2294"/>
  <c r="I1456"/>
  <c r="G3451"/>
  <c r="D3416"/>
  <c r="D3221"/>
  <c r="D2010"/>
  <c r="D1015"/>
  <c r="D380"/>
  <c r="I1457"/>
  <c r="D834"/>
  <c r="D3269"/>
  <c r="I826"/>
  <c r="G981"/>
  <c r="G2559"/>
  <c r="I2451"/>
  <c r="G2108"/>
  <c r="G525"/>
  <c r="G1214"/>
  <c r="D3214"/>
  <c r="I3186"/>
  <c r="G3523"/>
  <c r="G3605"/>
  <c r="I2234"/>
  <c r="I3582"/>
  <c r="I3532"/>
  <c r="G3504"/>
  <c r="G3123"/>
  <c r="D3306"/>
  <c r="G901"/>
  <c r="G2470"/>
  <c r="I616"/>
  <c r="I2816"/>
  <c r="G2123"/>
  <c r="I3167"/>
  <c r="G2969"/>
  <c r="G3462"/>
  <c r="D3564"/>
  <c r="G2592"/>
  <c r="D3338"/>
  <c r="G3148"/>
  <c r="D3195"/>
  <c r="I3153"/>
  <c r="G454"/>
  <c r="I2848"/>
  <c r="I2801"/>
  <c r="I3336"/>
  <c r="D3243"/>
  <c r="I3545"/>
  <c r="D3035"/>
  <c r="D2462"/>
  <c r="I2338"/>
  <c r="G519"/>
  <c r="D2216"/>
  <c r="D2564"/>
  <c r="G69"/>
  <c r="D3318"/>
  <c r="I2080"/>
  <c r="D2760"/>
  <c r="I2456"/>
  <c r="D1954"/>
  <c r="G3217"/>
  <c r="I2276"/>
  <c r="D2583"/>
  <c r="I185"/>
  <c r="G412"/>
  <c r="G194"/>
  <c r="D1274"/>
  <c r="I1013"/>
  <c r="D2441"/>
  <c r="G451"/>
  <c r="G3354"/>
  <c r="G5"/>
  <c r="G796"/>
  <c r="I2860"/>
  <c r="D2769"/>
  <c r="D2936"/>
  <c r="I3117"/>
  <c r="D2619"/>
  <c r="G3290"/>
  <c r="I3233"/>
  <c r="G691"/>
  <c r="G1988"/>
  <c r="G2950"/>
  <c r="I438"/>
  <c r="D1671"/>
  <c r="D430"/>
  <c r="I3361"/>
  <c r="D2551"/>
  <c r="G571"/>
  <c r="I2812"/>
  <c r="G2001"/>
  <c r="G3416"/>
  <c r="D3279"/>
  <c r="I590"/>
  <c r="G2724"/>
  <c r="I2996"/>
  <c r="I2171"/>
  <c r="I2267"/>
  <c r="I2060"/>
  <c r="I1563"/>
  <c r="G2428"/>
  <c r="D3454"/>
  <c r="I2292"/>
  <c r="D784"/>
  <c r="D3189"/>
  <c r="I1649"/>
  <c r="D3426"/>
  <c r="G963"/>
  <c r="I2616"/>
  <c r="I657"/>
  <c r="I2747"/>
  <c r="G2017"/>
  <c r="I2880"/>
  <c r="G2526"/>
  <c r="D2268"/>
  <c r="D777"/>
  <c r="D1841"/>
  <c r="D3417"/>
  <c r="D2314"/>
  <c r="G3086"/>
  <c r="I1460"/>
  <c r="G1813"/>
  <c r="I1750"/>
  <c r="D2877"/>
  <c r="I785"/>
  <c r="I1501"/>
  <c r="G2847"/>
  <c r="I539"/>
  <c r="I38"/>
  <c r="G2874"/>
  <c r="G2330"/>
  <c r="D2573"/>
  <c r="D2082"/>
  <c r="G3039"/>
  <c r="I1939"/>
  <c r="G2643"/>
  <c r="G3080"/>
  <c r="I540"/>
  <c r="D154"/>
  <c r="I276"/>
  <c r="G600"/>
  <c r="D373"/>
  <c r="G3480"/>
  <c r="D2980"/>
  <c r="I3495"/>
  <c r="D3402"/>
  <c r="I3535"/>
  <c r="D856"/>
  <c r="G2057"/>
  <c r="G3356"/>
  <c r="D3312"/>
  <c r="G2797"/>
  <c r="D3200"/>
  <c r="D3540"/>
  <c r="I2855"/>
  <c r="G1856"/>
  <c r="D2814"/>
  <c r="D3319"/>
  <c r="D2595"/>
  <c r="G3546"/>
  <c r="G1379"/>
  <c r="G2101"/>
  <c r="G2252"/>
  <c r="G2202"/>
  <c r="D3401"/>
  <c r="D3296"/>
  <c r="I1332"/>
  <c r="G1556"/>
  <c r="G2412"/>
  <c r="D2144"/>
  <c r="G286"/>
  <c r="I2321"/>
  <c r="I2207"/>
  <c r="G1090"/>
  <c r="G3408"/>
  <c r="G2290"/>
  <c r="D2344"/>
  <c r="I2766"/>
  <c r="I3537"/>
  <c r="D2038"/>
  <c r="G2787"/>
  <c r="D2226"/>
  <c r="I1083"/>
  <c r="D2577"/>
  <c r="D69"/>
  <c r="I3184"/>
  <c r="D2020"/>
  <c r="G2781"/>
  <c r="I2098"/>
  <c r="I2585"/>
  <c r="D263"/>
  <c r="I63"/>
  <c r="I2633"/>
  <c r="I1518"/>
  <c r="G1831"/>
  <c r="D622"/>
  <c r="I2277"/>
  <c r="D92"/>
  <c r="D1602"/>
  <c r="I1746"/>
  <c r="G309"/>
  <c r="I1657"/>
  <c r="I2524"/>
  <c r="D791"/>
  <c r="I159"/>
  <c r="I2071"/>
  <c r="G3126"/>
  <c r="G119"/>
  <c r="G336"/>
  <c r="I1647"/>
  <c r="I2498"/>
  <c r="I1344"/>
  <c r="D3539"/>
  <c r="G1794"/>
  <c r="I1270"/>
  <c r="I503"/>
  <c r="G207"/>
  <c r="I164"/>
  <c r="G1427"/>
  <c r="I3181"/>
  <c r="I548"/>
  <c r="D1703"/>
  <c r="G239"/>
  <c r="G1636"/>
  <c r="G3456"/>
  <c r="D112"/>
  <c r="I1637"/>
  <c r="I2843"/>
  <c r="G980"/>
  <c r="I2839"/>
  <c r="D3591"/>
  <c r="G2879"/>
  <c r="G254"/>
  <c r="I1168"/>
  <c r="G3491"/>
  <c r="D212"/>
  <c r="G2381"/>
  <c r="D1876"/>
  <c r="G2414"/>
  <c r="I2394"/>
  <c r="G2069"/>
  <c r="G3270"/>
  <c r="D399"/>
  <c r="D1061"/>
  <c r="G1932"/>
  <c r="G2772"/>
  <c r="I3075"/>
  <c r="G3313"/>
  <c r="D2240"/>
  <c r="D2722"/>
  <c r="G2971"/>
  <c r="D3109"/>
  <c r="D508"/>
  <c r="I771"/>
  <c r="I2089"/>
  <c r="G2595"/>
  <c r="I1644"/>
  <c r="G3437"/>
  <c r="D2976"/>
  <c r="D2724"/>
  <c r="G1923"/>
  <c r="G1153"/>
  <c r="D227"/>
  <c r="I605"/>
  <c r="D347"/>
  <c r="I373"/>
  <c r="G3300"/>
  <c r="I170"/>
  <c r="I1658"/>
  <c r="G1861"/>
  <c r="G2241"/>
  <c r="D2166"/>
  <c r="I472"/>
  <c r="I443"/>
  <c r="G2644"/>
  <c r="G2608"/>
  <c r="D1741"/>
  <c r="I3543"/>
  <c r="I896"/>
  <c r="D853"/>
  <c r="D1046"/>
  <c r="D701"/>
  <c r="G907"/>
  <c r="D642"/>
  <c r="D954"/>
  <c r="I20"/>
  <c r="D848"/>
  <c r="G701"/>
  <c r="D3585"/>
  <c r="D3467"/>
  <c r="D780"/>
  <c r="G3091"/>
  <c r="G2281"/>
  <c r="I2257"/>
  <c r="G3033"/>
  <c r="I2832"/>
  <c r="D2487"/>
  <c r="I3327"/>
  <c r="D3166"/>
  <c r="I345"/>
  <c r="G2833"/>
  <c r="G3363"/>
  <c r="D2998"/>
  <c r="I2539"/>
  <c r="I1546"/>
  <c r="D3445"/>
  <c r="D1903"/>
  <c r="I2533"/>
  <c r="G3407"/>
  <c r="D2431"/>
  <c r="D3325"/>
  <c r="D2334"/>
  <c r="I2856"/>
  <c r="I2806"/>
  <c r="D2555"/>
  <c r="D1280"/>
  <c r="G1797"/>
  <c r="I3136"/>
  <c r="G3222"/>
  <c r="D3050"/>
  <c r="D326"/>
  <c r="D3425"/>
  <c r="G2416"/>
  <c r="D3273"/>
  <c r="G2631"/>
  <c r="D2803"/>
  <c r="I2888"/>
  <c r="G2344"/>
  <c r="D2944"/>
  <c r="G1713"/>
  <c r="G2872"/>
  <c r="G3512"/>
  <c r="D893"/>
  <c r="I3478"/>
  <c r="I726"/>
  <c r="D2700"/>
  <c r="G2998"/>
  <c r="D2001"/>
  <c r="G2991"/>
  <c r="I3561"/>
  <c r="G2223"/>
  <c r="I1993"/>
  <c r="I3526"/>
  <c r="I2688"/>
  <c r="G3477"/>
  <c r="G2226"/>
  <c r="G1973"/>
  <c r="G710"/>
  <c r="I2798"/>
  <c r="D1136"/>
  <c r="D2800"/>
  <c r="G830"/>
  <c r="G2127"/>
  <c r="G2983"/>
  <c r="I3328"/>
  <c r="D3352"/>
  <c r="G2120"/>
  <c r="G2917"/>
  <c r="G3062"/>
  <c r="D1597"/>
  <c r="G3045"/>
  <c r="I3113"/>
  <c r="I3437"/>
  <c r="G2746"/>
  <c r="I793"/>
  <c r="I2692"/>
  <c r="G3481"/>
  <c r="D1411"/>
  <c r="D2570"/>
  <c r="D2813"/>
  <c r="I1823"/>
  <c r="I902"/>
  <c r="I1947"/>
  <c r="I991"/>
  <c r="I1992"/>
  <c r="D3383"/>
  <c r="D1168"/>
  <c r="G409"/>
  <c r="G177"/>
  <c r="G183"/>
  <c r="D2625"/>
  <c r="G3502"/>
  <c r="I2449"/>
  <c r="D1166"/>
  <c r="G3439"/>
  <c r="I2577"/>
  <c r="G1595"/>
  <c r="I2153"/>
  <c r="I3592"/>
  <c r="I1271"/>
  <c r="G2606"/>
  <c r="I2503"/>
  <c r="D1826"/>
  <c r="D1799"/>
  <c r="D2117"/>
  <c r="I2063"/>
  <c r="I3288"/>
  <c r="D2396"/>
  <c r="I253"/>
  <c r="D2601"/>
  <c r="I231"/>
  <c r="I1630"/>
  <c r="G3130"/>
  <c r="D3557"/>
  <c r="G3167"/>
  <c r="D3267"/>
  <c r="I2028"/>
  <c r="I3319"/>
  <c r="D2959"/>
  <c r="I1868"/>
  <c r="I1645"/>
  <c r="G2769"/>
  <c r="D1918"/>
  <c r="D682"/>
  <c r="I1012"/>
  <c r="G3305"/>
  <c r="G2094"/>
  <c r="G2441"/>
  <c r="G3276"/>
  <c r="G3357"/>
  <c r="I1945"/>
  <c r="D1417"/>
  <c r="G872"/>
  <c r="I3021"/>
  <c r="I2222"/>
  <c r="I2021"/>
  <c r="I3177"/>
  <c r="I1541"/>
  <c r="I2690"/>
  <c r="I860"/>
  <c r="D2612"/>
  <c r="G2638"/>
  <c r="G843"/>
  <c r="G2396"/>
  <c r="I2471"/>
  <c r="G1323"/>
  <c r="I3525"/>
  <c r="D3080"/>
  <c r="D3205"/>
  <c r="I2495"/>
  <c r="D3061"/>
  <c r="I473"/>
  <c r="D1158"/>
  <c r="I3438"/>
  <c r="G3131"/>
  <c r="I3426"/>
  <c r="G3067"/>
  <c r="D3026"/>
  <c r="G228"/>
  <c r="D3430"/>
  <c r="G674"/>
  <c r="D1867"/>
  <c r="G1898"/>
  <c r="D2749"/>
  <c r="I2703"/>
  <c r="I1508"/>
  <c r="D2178"/>
  <c r="I2230"/>
  <c r="G988"/>
  <c r="I3312"/>
  <c r="I3005"/>
  <c r="D1594"/>
  <c r="G2251"/>
  <c r="G1984"/>
  <c r="I2099"/>
  <c r="G892"/>
  <c r="I1892"/>
  <c r="G2091"/>
  <c r="G1658"/>
  <c r="G190"/>
  <c r="G2249"/>
  <c r="I1087"/>
  <c r="D2048"/>
  <c r="D885"/>
  <c r="G57"/>
  <c r="D574"/>
  <c r="D504"/>
  <c r="G399"/>
  <c r="I2182"/>
  <c r="D421"/>
  <c r="D2238"/>
  <c r="I2330"/>
  <c r="I2874"/>
  <c r="D335"/>
  <c r="I862"/>
  <c r="I557"/>
  <c r="I2308"/>
  <c r="G1074"/>
  <c r="I468"/>
  <c r="G1931"/>
  <c r="G2286"/>
  <c r="I1729"/>
  <c r="I1929"/>
  <c r="G99"/>
  <c r="I3214"/>
  <c r="D264"/>
  <c r="D2120"/>
  <c r="I2082"/>
  <c r="D3079"/>
  <c r="D2883"/>
  <c r="I830"/>
  <c r="I1450"/>
  <c r="I1961"/>
  <c r="D2712"/>
  <c r="I1717"/>
  <c r="G1408"/>
  <c r="D1181"/>
  <c r="G1961"/>
  <c r="G2244"/>
  <c r="G3041"/>
  <c r="D2522"/>
  <c r="G3571"/>
  <c r="I1724"/>
  <c r="I1798"/>
  <c r="G3556"/>
  <c r="I3436"/>
  <c r="I3563"/>
  <c r="I2590"/>
  <c r="I3111"/>
  <c r="I1070"/>
  <c r="I2363"/>
  <c r="D2973"/>
  <c r="D500"/>
  <c r="G215"/>
  <c r="D1246"/>
  <c r="D2312"/>
  <c r="I178"/>
  <c r="D3419"/>
  <c r="I1380"/>
  <c r="D2556"/>
  <c r="I2657"/>
  <c r="I2382"/>
  <c r="G1120"/>
  <c r="G3163"/>
  <c r="D3519"/>
  <c r="I3490"/>
  <c r="I2093"/>
  <c r="I2878"/>
  <c r="D2518"/>
  <c r="D358"/>
  <c r="I3454"/>
  <c r="I2831"/>
  <c r="D330"/>
  <c r="G3295"/>
  <c r="D1501"/>
  <c r="I1621"/>
  <c r="D3084"/>
  <c r="I1973"/>
  <c r="I612"/>
  <c r="I1412"/>
  <c r="G1489"/>
  <c r="D2330"/>
  <c r="D544"/>
  <c r="I2584"/>
  <c r="I1437"/>
  <c r="I781"/>
  <c r="I2462"/>
  <c r="D160"/>
  <c r="G477"/>
  <c r="G2555"/>
  <c r="D1027"/>
  <c r="I3231"/>
  <c r="D3493"/>
  <c r="I3488"/>
  <c r="G159"/>
  <c r="D2630"/>
  <c r="I2429"/>
  <c r="G2854"/>
  <c r="G3056"/>
  <c r="D3271"/>
  <c r="I2269"/>
  <c r="G2804"/>
  <c r="G2976"/>
  <c r="I3277"/>
  <c r="G338"/>
  <c r="I2336"/>
  <c r="G3367"/>
  <c r="G547"/>
  <c r="D2045"/>
  <c r="D2427"/>
  <c r="I3502"/>
  <c r="D996"/>
  <c r="G2860"/>
  <c r="G2652"/>
  <c r="D2315"/>
  <c r="I2141"/>
  <c r="D2468"/>
  <c r="D3252"/>
  <c r="D467"/>
  <c r="D61"/>
  <c r="D1269"/>
  <c r="I3306"/>
  <c r="G3555"/>
  <c r="G2409"/>
  <c r="G3349"/>
  <c r="I235"/>
  <c r="G428"/>
  <c r="I1448"/>
  <c r="G3392"/>
  <c r="D1670"/>
  <c r="G387"/>
  <c r="G875"/>
  <c r="G1609"/>
  <c r="G385"/>
  <c r="G2198"/>
  <c r="I2645"/>
  <c r="I3486"/>
  <c r="I824"/>
  <c r="D2747"/>
  <c r="G1633"/>
  <c r="G3154"/>
  <c r="D2416"/>
  <c r="G2635"/>
  <c r="I2588"/>
  <c r="I2501"/>
  <c r="I3057"/>
  <c r="I2417"/>
  <c r="G2081"/>
  <c r="G350"/>
  <c r="D3543"/>
  <c r="D2701"/>
  <c r="G1904"/>
  <c r="G3031"/>
  <c r="G3035"/>
  <c r="D431"/>
  <c r="G3574"/>
  <c r="G2924"/>
  <c r="D3474"/>
  <c r="D3482"/>
  <c r="I3175"/>
  <c r="D3168"/>
  <c r="G635"/>
  <c r="I2219"/>
  <c r="I3338"/>
  <c r="I2653"/>
  <c r="D2909"/>
  <c r="G3497"/>
  <c r="G1964"/>
  <c r="D2494"/>
  <c r="G3468"/>
  <c r="I1447"/>
  <c r="I1571"/>
  <c r="D2356"/>
  <c r="G2501"/>
  <c r="G3430"/>
  <c r="G1317"/>
  <c r="G2097"/>
  <c r="I2823"/>
  <c r="I938"/>
  <c r="I2373"/>
  <c r="G727"/>
  <c r="G1242"/>
  <c r="D3085"/>
  <c r="G142"/>
  <c r="I3539"/>
  <c r="D3118"/>
  <c r="D361"/>
  <c r="I1636"/>
  <c r="D2326"/>
  <c r="D1069"/>
  <c r="I1339"/>
  <c r="I2695"/>
  <c r="D2578"/>
  <c r="I3358"/>
  <c r="D3503"/>
  <c r="D3173"/>
  <c r="D1329"/>
  <c r="D3366"/>
  <c r="G627"/>
  <c r="D2685"/>
  <c r="D3465"/>
  <c r="G2600"/>
  <c r="D945"/>
  <c r="I1194"/>
  <c r="I1769"/>
  <c r="D3290"/>
  <c r="G983"/>
  <c r="G269"/>
  <c r="D2160"/>
  <c r="D3428"/>
  <c r="G3196"/>
  <c r="G2028"/>
  <c r="G1148"/>
  <c r="D1378"/>
  <c r="D2975"/>
  <c r="I1492"/>
  <c r="I2225"/>
  <c r="G2312"/>
  <c r="G2881"/>
  <c r="G1957"/>
  <c r="I1958"/>
  <c r="G700"/>
  <c r="I3372"/>
  <c r="I2396"/>
  <c r="G1112"/>
  <c r="G2682"/>
  <c r="D2033"/>
  <c r="D2878"/>
  <c r="G2095"/>
  <c r="I2479"/>
  <c r="G878"/>
  <c r="D3431"/>
  <c r="D2868"/>
  <c r="I2813"/>
  <c r="I690"/>
  <c r="D1292"/>
  <c r="I2970"/>
  <c r="I2637"/>
  <c r="D2174"/>
  <c r="I2751"/>
  <c r="D3370"/>
  <c r="G774"/>
  <c r="D2352"/>
  <c r="G1815"/>
  <c r="I93"/>
  <c r="D2458"/>
  <c r="D1249"/>
  <c r="G3584"/>
  <c r="D3532"/>
  <c r="G853"/>
  <c r="G271"/>
  <c r="D2607"/>
  <c r="D2042"/>
  <c r="D600"/>
  <c r="I262"/>
  <c r="I1529"/>
  <c r="I2115"/>
  <c r="G637"/>
  <c r="G866"/>
  <c r="I3471"/>
  <c r="D2253"/>
  <c r="G3008"/>
  <c r="I992"/>
  <c r="G84"/>
  <c r="I850"/>
  <c r="I1880"/>
  <c r="D1161"/>
  <c r="D444"/>
  <c r="D739"/>
  <c r="I2489"/>
  <c r="I3538"/>
  <c r="G3021"/>
  <c r="D3308"/>
  <c r="D2290"/>
  <c r="D2133"/>
  <c r="D1267"/>
  <c r="D941"/>
  <c r="D2380"/>
  <c r="G2640"/>
  <c r="G1958"/>
  <c r="G64"/>
  <c r="I2676"/>
  <c r="G3108"/>
  <c r="I2784"/>
  <c r="G2517"/>
  <c r="I324"/>
  <c r="D1094"/>
  <c r="I3499"/>
  <c r="D3571"/>
  <c r="I2261"/>
  <c r="D2379"/>
  <c r="I1038"/>
  <c r="D3039"/>
  <c r="D1929"/>
  <c r="I3270"/>
  <c r="D3376"/>
  <c r="I1440"/>
  <c r="D1488"/>
  <c r="I3350"/>
  <c r="I2882"/>
  <c r="D1516"/>
  <c r="I1579"/>
  <c r="G1422"/>
  <c r="G1004"/>
  <c r="D1052"/>
  <c r="I2455"/>
  <c r="G1135"/>
  <c r="G2358"/>
  <c r="D3280"/>
  <c r="D3153"/>
  <c r="I2118"/>
  <c r="D2375"/>
  <c r="I2534"/>
  <c r="I2791"/>
  <c r="G864"/>
  <c r="D3466"/>
  <c r="I917"/>
  <c r="G295"/>
  <c r="D219"/>
  <c r="G288"/>
  <c r="G886"/>
  <c r="I701"/>
  <c r="D830"/>
  <c r="I1845"/>
  <c r="G1763"/>
  <c r="I583"/>
  <c r="D1935"/>
  <c r="I148"/>
  <c r="D3499"/>
  <c r="D1033"/>
  <c r="G3412"/>
  <c r="D210"/>
  <c r="I1300"/>
  <c r="I2168"/>
  <c r="G1862"/>
  <c r="G1343"/>
  <c r="G1603"/>
  <c r="G2744"/>
  <c r="I59"/>
  <c r="D403"/>
  <c r="D1855"/>
  <c r="D3479"/>
  <c r="G3397"/>
  <c r="D2954"/>
  <c r="G1263"/>
  <c r="D610"/>
  <c r="D638"/>
  <c r="G2113"/>
  <c r="I2864"/>
  <c r="G2042"/>
  <c r="I806"/>
  <c r="G3534"/>
  <c r="D1719"/>
  <c r="I3091"/>
  <c r="G2133"/>
  <c r="D352"/>
  <c r="D3439"/>
  <c r="G549"/>
  <c r="I279"/>
  <c r="I274"/>
  <c r="D1271"/>
  <c r="G3076"/>
  <c r="I2779"/>
  <c r="I2245"/>
  <c r="D3562"/>
  <c r="I3301"/>
  <c r="D1113"/>
  <c r="G1071"/>
  <c r="G2683"/>
  <c r="G3237"/>
  <c r="I1461"/>
  <c r="G3201"/>
  <c r="I3276"/>
  <c r="G3100"/>
  <c r="I721"/>
  <c r="D2157"/>
  <c r="I2991"/>
  <c r="I2682"/>
  <c r="I2069"/>
  <c r="G2844"/>
  <c r="D2847"/>
  <c r="I119"/>
  <c r="G2472"/>
  <c r="I1170"/>
  <c r="I3333"/>
  <c r="I3392"/>
  <c r="D2478"/>
  <c r="D3164"/>
  <c r="D3060"/>
  <c r="I1714"/>
  <c r="I526"/>
  <c r="D448"/>
  <c r="G1192"/>
  <c r="G3315"/>
  <c r="G3495"/>
  <c r="I2905"/>
  <c r="D3340"/>
  <c r="I1122"/>
  <c r="G2591"/>
  <c r="G3195"/>
  <c r="I1908"/>
  <c r="D3127"/>
  <c r="D2823"/>
  <c r="I1693"/>
  <c r="D1055"/>
  <c r="G3406"/>
  <c r="D2307"/>
  <c r="G3588"/>
  <c r="I718"/>
  <c r="I2915"/>
  <c r="D2321"/>
  <c r="D353"/>
  <c r="D3225"/>
  <c r="G2322"/>
  <c r="I2002"/>
  <c r="G1476"/>
  <c r="G1872"/>
  <c r="I712"/>
  <c r="G2719"/>
  <c r="G997"/>
  <c r="D1369"/>
  <c r="G2454"/>
  <c r="G2561"/>
  <c r="D1314"/>
  <c r="I2551"/>
  <c r="I1106"/>
  <c r="D146"/>
  <c r="G2968"/>
  <c r="I1324"/>
  <c r="G2320"/>
  <c r="D420"/>
  <c r="D439"/>
  <c r="G958"/>
  <c r="D2374"/>
  <c r="D3432"/>
  <c r="D1991"/>
  <c r="G2379"/>
  <c r="I533"/>
  <c r="I2012"/>
  <c r="I3518"/>
  <c r="D2788"/>
  <c r="I347"/>
  <c r="I1000"/>
  <c r="I811"/>
  <c r="D2793"/>
  <c r="D712"/>
  <c r="G180"/>
  <c r="I769"/>
  <c r="D2824"/>
  <c r="I479"/>
  <c r="G1443"/>
  <c r="G2149"/>
  <c r="I597"/>
  <c r="D978"/>
  <c r="D1328"/>
  <c r="I2253"/>
  <c r="I1081"/>
  <c r="I3209"/>
  <c r="I3501"/>
  <c r="D297"/>
  <c r="G1465"/>
  <c r="D1889"/>
  <c r="G3343"/>
  <c r="I3009"/>
  <c r="D698"/>
  <c r="D2459"/>
  <c r="I1246"/>
  <c r="G1784"/>
  <c r="D193"/>
  <c r="D986"/>
  <c r="I813"/>
  <c r="I2216"/>
  <c r="I3066"/>
  <c r="D3498"/>
  <c r="G2966"/>
  <c r="D2301"/>
  <c r="D1925"/>
  <c r="G1059"/>
  <c r="D3322"/>
  <c r="I1098"/>
  <c r="G733"/>
  <c r="G55"/>
  <c r="I689"/>
  <c r="I906"/>
  <c r="D2254"/>
  <c r="D1112"/>
  <c r="G1597"/>
  <c r="D2309"/>
  <c r="G3361"/>
  <c r="G1788"/>
  <c r="I702"/>
  <c r="G511"/>
  <c r="D3247"/>
  <c r="G2999"/>
  <c r="I2325"/>
  <c r="D2964"/>
  <c r="I1989"/>
  <c r="D667"/>
  <c r="G266"/>
  <c r="G204"/>
  <c r="I2834"/>
  <c r="D3326"/>
  <c r="D2678"/>
  <c r="G3537"/>
  <c r="G2940"/>
  <c r="D2629"/>
  <c r="I2416"/>
  <c r="G1380"/>
  <c r="D3092"/>
  <c r="G2510"/>
  <c r="I3600"/>
  <c r="G717"/>
  <c r="I209"/>
  <c r="G1953"/>
  <c r="D2642"/>
  <c r="G1052"/>
  <c r="G2385"/>
  <c r="D3485"/>
  <c r="D2400"/>
  <c r="G770"/>
  <c r="D1146"/>
  <c r="D3581"/>
  <c r="G808"/>
  <c r="I801"/>
  <c r="G2076"/>
  <c r="D348"/>
  <c r="D567"/>
  <c r="G2656"/>
  <c r="G2371"/>
  <c r="I3341"/>
  <c r="D3251"/>
  <c r="D700"/>
  <c r="I2400"/>
  <c r="D2535"/>
  <c r="G3589"/>
  <c r="G3153"/>
  <c r="I247"/>
  <c r="I2529"/>
  <c r="G782"/>
  <c r="I2575"/>
  <c r="I2717"/>
  <c r="G3013"/>
  <c r="D3081"/>
  <c r="G1127"/>
  <c r="I2642"/>
  <c r="G2353"/>
  <c r="I1742"/>
  <c r="I48"/>
  <c r="G3129"/>
  <c r="I1998"/>
  <c r="D2550"/>
  <c r="G2506"/>
  <c r="G570"/>
  <c r="D2251"/>
  <c r="G222"/>
  <c r="G503"/>
  <c r="I1527"/>
  <c r="I983"/>
  <c r="D671"/>
  <c r="I1867"/>
  <c r="I798"/>
  <c r="I1811"/>
  <c r="D3406"/>
  <c r="I2437"/>
  <c r="G3173"/>
  <c r="G3249"/>
  <c r="G373"/>
  <c r="I263"/>
  <c r="G3231"/>
  <c r="I1140"/>
  <c r="D2977"/>
  <c r="I264"/>
  <c r="G2194"/>
  <c r="G3245"/>
  <c r="G2528"/>
  <c r="I3596"/>
  <c r="D2432"/>
  <c r="G1573"/>
  <c r="D3363"/>
  <c r="G2681"/>
  <c r="I1639"/>
  <c r="I60"/>
  <c r="I2079"/>
  <c r="I955"/>
  <c r="I1074"/>
  <c r="G302"/>
  <c r="I1279"/>
  <c r="G372"/>
  <c r="G670"/>
  <c r="D3238"/>
  <c r="I1144"/>
  <c r="G53"/>
  <c r="I3134"/>
  <c r="G1554"/>
  <c r="D105"/>
  <c r="D1164"/>
  <c r="D2062"/>
  <c r="I364"/>
  <c r="I2478"/>
  <c r="I2088"/>
  <c r="G3558"/>
  <c r="G2665"/>
  <c r="D564"/>
  <c r="G2975"/>
  <c r="D774"/>
  <c r="G919"/>
  <c r="G1466"/>
  <c r="G661"/>
  <c r="I1152"/>
  <c r="I1725"/>
  <c r="D2641"/>
  <c r="D2328"/>
  <c r="D3075"/>
  <c r="I2815"/>
  <c r="I2111"/>
  <c r="I2866"/>
  <c r="D764"/>
  <c r="G478"/>
  <c r="D2804"/>
  <c r="G1834"/>
  <c r="G2043"/>
  <c r="D2970"/>
  <c r="I116"/>
  <c r="I2014"/>
  <c r="D1847"/>
  <c r="D502"/>
  <c r="D3157"/>
  <c r="I755"/>
  <c r="G1928"/>
  <c r="G1268"/>
  <c r="I843"/>
  <c r="G602"/>
  <c r="I5"/>
  <c r="G735"/>
  <c r="G1373"/>
  <c r="G1169"/>
  <c r="G1585"/>
  <c r="G3051"/>
  <c r="D913"/>
  <c r="I3135"/>
  <c r="G40"/>
  <c r="I3264"/>
  <c r="I289"/>
  <c r="G1015"/>
  <c r="D3464"/>
  <c r="D1907"/>
  <c r="G255"/>
  <c r="G2410"/>
  <c r="D1429"/>
  <c r="I135"/>
  <c r="G2063"/>
  <c r="I1025"/>
  <c r="G2075"/>
  <c r="G2430"/>
  <c r="G935"/>
  <c r="G3000"/>
  <c r="D2881"/>
  <c r="I2765"/>
  <c r="G3140"/>
  <c r="G3438"/>
  <c r="D1751"/>
  <c r="D2892"/>
  <c r="I2364"/>
  <c r="D3351"/>
  <c r="D1165"/>
  <c r="D523"/>
  <c r="G1608"/>
  <c r="G86"/>
  <c r="G2297"/>
  <c r="I2700"/>
  <c r="I3601"/>
  <c r="G2596"/>
  <c r="I2739"/>
  <c r="D881"/>
  <c r="D2151"/>
  <c r="G3465"/>
  <c r="I429"/>
  <c r="G3314"/>
  <c r="I2072"/>
  <c r="I1871"/>
  <c r="I305"/>
  <c r="G1494"/>
  <c r="D3302"/>
  <c r="G3061"/>
  <c r="D719"/>
  <c r="G396"/>
  <c r="G1723"/>
  <c r="G235"/>
  <c r="G1428"/>
  <c r="G1292"/>
  <c r="G1270"/>
  <c r="D1016"/>
  <c r="I2436"/>
  <c r="G2598"/>
  <c r="G1256"/>
  <c r="D2974"/>
  <c r="G955"/>
  <c r="G3579"/>
  <c r="G3200"/>
  <c r="D3305"/>
  <c r="I2830"/>
  <c r="I3088"/>
  <c r="I3183"/>
  <c r="G3545"/>
  <c r="G151"/>
  <c r="G2261"/>
  <c r="I2906"/>
  <c r="G1829"/>
  <c r="G1710"/>
  <c r="D538"/>
  <c r="I3394"/>
  <c r="I3193"/>
  <c r="G2158"/>
  <c r="G1613"/>
  <c r="I2401"/>
  <c r="I2562"/>
  <c r="I1795"/>
  <c r="G1540"/>
  <c r="D2655"/>
  <c r="D3182"/>
  <c r="G1196"/>
  <c r="I2548"/>
  <c r="G589"/>
  <c r="G3520"/>
  <c r="G1448"/>
  <c r="I3172"/>
  <c r="D1944"/>
  <c r="D2241"/>
  <c r="I673"/>
  <c r="G2340"/>
  <c r="D570"/>
  <c r="D2006"/>
  <c r="G2106"/>
  <c r="G1246"/>
  <c r="G77"/>
  <c r="D1295"/>
  <c r="D611"/>
  <c r="I1341"/>
  <c r="D2043"/>
  <c r="I1283"/>
  <c r="I2729"/>
  <c r="D705"/>
  <c r="I988"/>
  <c r="G3210"/>
  <c r="D362"/>
  <c r="D249"/>
  <c r="I3307"/>
  <c r="D3423"/>
  <c r="G3064"/>
  <c r="D1361"/>
  <c r="I1935"/>
  <c r="I1337"/>
  <c r="G1347"/>
  <c r="G2794"/>
  <c r="I2138"/>
  <c r="G92"/>
  <c r="G3188"/>
  <c r="D3066"/>
  <c r="D185"/>
  <c r="I45"/>
  <c r="D2999"/>
  <c r="I876"/>
  <c r="I440"/>
  <c r="D428"/>
  <c r="D2297"/>
  <c r="I3100"/>
  <c r="G252"/>
  <c r="G529"/>
  <c r="D2836"/>
  <c r="I122"/>
  <c r="G404"/>
  <c r="I3070"/>
  <c r="I2319"/>
  <c r="D550"/>
  <c r="G2614"/>
  <c r="G1475"/>
  <c r="D424"/>
  <c r="I299"/>
  <c r="G2764"/>
  <c r="D2449"/>
  <c r="D1268"/>
  <c r="D2647"/>
  <c r="G1605"/>
  <c r="D148"/>
  <c r="I2665"/>
  <c r="I903"/>
  <c r="G3042"/>
  <c r="G2578"/>
  <c r="D3244"/>
  <c r="I17"/>
  <c r="I392"/>
  <c r="I2271"/>
  <c r="D2635"/>
  <c r="G2337"/>
  <c r="I883"/>
  <c r="G213"/>
  <c r="I1597"/>
  <c r="I1223"/>
  <c r="D598"/>
  <c r="I1464"/>
  <c r="G1832"/>
  <c r="I1094"/>
  <c r="G278"/>
  <c r="D3569"/>
  <c r="G2889"/>
  <c r="D2851"/>
  <c r="G403"/>
  <c r="I200"/>
  <c r="G2145"/>
  <c r="G2394"/>
  <c r="D1589"/>
  <c r="G2129"/>
  <c r="G1518"/>
  <c r="G1139"/>
  <c r="I1150"/>
  <c r="I887"/>
  <c r="G1429"/>
  <c r="G3138"/>
  <c r="G165"/>
  <c r="D1938"/>
  <c r="D2139"/>
  <c r="I2189"/>
  <c r="I267"/>
  <c r="D2283"/>
  <c r="G237"/>
  <c r="D2496"/>
  <c r="I800"/>
  <c r="G2620"/>
  <c r="G2157"/>
  <c r="I1607"/>
  <c r="D437"/>
  <c r="I1310"/>
  <c r="G1876"/>
  <c r="D2624"/>
  <c r="D2231"/>
  <c r="G76"/>
  <c r="I1747"/>
  <c r="G2386"/>
  <c r="D2962"/>
  <c r="G33"/>
  <c r="D111"/>
  <c r="I1545"/>
  <c r="I75"/>
  <c r="D1213"/>
  <c r="I621"/>
  <c r="G1325"/>
  <c r="D2129"/>
  <c r="I877"/>
  <c r="I872"/>
  <c r="I2673"/>
  <c r="I525"/>
  <c r="I1598"/>
  <c r="D1322"/>
  <c r="D1287"/>
  <c r="D3242"/>
  <c r="I504"/>
  <c r="I3275"/>
  <c r="G2759"/>
  <c r="G1285"/>
  <c r="G3157"/>
  <c r="G2653"/>
  <c r="G167"/>
  <c r="G2877"/>
  <c r="G1552"/>
  <c r="I435"/>
  <c r="G3410"/>
  <c r="I650"/>
  <c r="G83"/>
  <c r="I2116"/>
  <c r="D1757"/>
  <c r="I2346"/>
  <c r="G2294"/>
  <c r="I845"/>
  <c r="I1709"/>
  <c r="I1137"/>
  <c r="G360"/>
  <c r="D1470"/>
  <c r="D1047"/>
  <c r="I2102"/>
  <c r="I1364"/>
  <c r="I3322"/>
  <c r="D360"/>
  <c r="I2290"/>
  <c r="I16"/>
  <c r="D2413"/>
  <c r="I1089"/>
  <c r="I762"/>
  <c r="D2821"/>
  <c r="D2643"/>
  <c r="G3281"/>
  <c r="I2176"/>
  <c r="I2735"/>
  <c r="I3156"/>
  <c r="D1154"/>
  <c r="I861"/>
  <c r="I1113"/>
  <c r="I2618"/>
  <c r="I3051"/>
  <c r="D636"/>
  <c r="G2921"/>
  <c r="G2701"/>
  <c r="D845"/>
  <c r="I3166"/>
  <c r="I565"/>
  <c r="G2031"/>
  <c r="D2575"/>
  <c r="D3059"/>
  <c r="I649"/>
  <c r="I3011"/>
  <c r="G2720"/>
  <c r="I1317"/>
  <c r="D915"/>
  <c r="D905"/>
  <c r="G510"/>
  <c r="G364"/>
  <c r="D1159"/>
  <c r="I802"/>
  <c r="I832"/>
  <c r="I26"/>
  <c r="I91"/>
  <c r="G537"/>
  <c r="D959"/>
  <c r="I569"/>
  <c r="D2359"/>
  <c r="I1888"/>
  <c r="G540"/>
  <c r="I2454"/>
  <c r="D934"/>
  <c r="G1690"/>
  <c r="I1041"/>
  <c r="D3317"/>
  <c r="D2098"/>
  <c r="G1936"/>
  <c r="I1024"/>
  <c r="D997"/>
  <c r="I1533"/>
  <c r="I2909"/>
  <c r="D858"/>
  <c r="G900"/>
  <c r="I41"/>
  <c r="D786"/>
  <c r="D851"/>
  <c r="G740"/>
  <c r="I294"/>
  <c r="D198"/>
  <c r="D2003"/>
  <c r="G2789"/>
  <c r="D254"/>
  <c r="G2137"/>
  <c r="G1420"/>
  <c r="I1039"/>
  <c r="G644"/>
  <c r="I405"/>
  <c r="I1814"/>
  <c r="I384"/>
  <c r="I3045"/>
  <c r="D336"/>
  <c r="I1205"/>
  <c r="I2929"/>
  <c r="I1730"/>
  <c r="G3070"/>
  <c r="I598"/>
  <c r="D2524"/>
  <c r="G3365"/>
  <c r="G1535"/>
  <c r="D271"/>
  <c r="I205"/>
  <c r="D2610"/>
  <c r="I1524"/>
  <c r="D689"/>
  <c r="G1660"/>
  <c r="D3007"/>
  <c r="G78"/>
  <c r="D2079"/>
  <c r="G1398"/>
  <c r="G1072"/>
  <c r="I2515"/>
  <c r="G2580"/>
  <c r="D2215"/>
  <c r="G366"/>
  <c r="I3308"/>
  <c r="I823"/>
  <c r="D140"/>
  <c r="G1386"/>
  <c r="D971"/>
  <c r="I3165"/>
  <c r="G58"/>
  <c r="I2899"/>
  <c r="I2868"/>
  <c r="I1967"/>
  <c r="G392"/>
  <c r="D3606"/>
  <c r="G153"/>
  <c r="G1471"/>
  <c r="I884"/>
  <c r="G2667"/>
  <c r="D1135"/>
  <c r="I602"/>
  <c r="G2218"/>
  <c r="D94"/>
  <c r="G898"/>
  <c r="I623"/>
  <c r="I1363"/>
  <c r="D3315"/>
  <c r="G801"/>
  <c r="D450"/>
  <c r="I1586"/>
  <c r="I3182"/>
  <c r="I439"/>
  <c r="I1439"/>
  <c r="G954"/>
  <c r="D871"/>
  <c r="I338"/>
  <c r="G1642"/>
  <c r="G1477"/>
  <c r="G3429"/>
  <c r="D2662"/>
  <c r="G2542"/>
  <c r="D1878"/>
  <c r="G1212"/>
  <c r="G310"/>
  <c r="D973"/>
  <c r="G2236"/>
  <c r="D1157"/>
  <c r="I892"/>
  <c r="G1871"/>
  <c r="D2561"/>
  <c r="G3544"/>
  <c r="G243"/>
  <c r="I933"/>
  <c r="G1581"/>
  <c r="G573"/>
  <c r="G909"/>
  <c r="D2385"/>
  <c r="D563"/>
  <c r="D12"/>
  <c r="D77"/>
  <c r="D2376"/>
  <c r="G2134"/>
  <c r="D785"/>
  <c r="I1608"/>
  <c r="D1060"/>
  <c r="D397"/>
  <c r="I317"/>
  <c r="D359"/>
  <c r="G14"/>
  <c r="D884"/>
  <c r="I742"/>
  <c r="G487"/>
  <c r="G2876"/>
  <c r="G1772"/>
  <c r="G2199"/>
  <c r="G1260"/>
  <c r="G1025"/>
  <c r="D2472"/>
  <c r="I2052"/>
  <c r="G29"/>
  <c r="G2021"/>
  <c r="I2435"/>
  <c r="I3238"/>
  <c r="I3280"/>
  <c r="I998"/>
  <c r="D1111"/>
  <c r="D2953"/>
  <c r="G3603"/>
  <c r="I2202"/>
  <c r="I2972"/>
  <c r="I1327"/>
  <c r="D64"/>
  <c r="D3172"/>
  <c r="I1913"/>
  <c r="D2835"/>
  <c r="D2202"/>
  <c r="D513"/>
  <c r="G354"/>
  <c r="G24"/>
  <c r="G3113"/>
  <c r="I272"/>
  <c r="G995"/>
  <c r="G1895"/>
  <c r="G3355"/>
  <c r="I1940"/>
  <c r="D2480"/>
  <c r="G427"/>
  <c r="D2789"/>
  <c r="D3471"/>
  <c r="G2672"/>
  <c r="I518"/>
  <c r="D363"/>
  <c r="G2832"/>
  <c r="I189"/>
  <c r="D144"/>
  <c r="D1754"/>
  <c r="G614"/>
  <c r="G826"/>
  <c r="D975"/>
  <c r="I3355"/>
  <c r="I2329"/>
  <c r="G2289"/>
  <c r="G32"/>
  <c r="G3159"/>
  <c r="I1014"/>
  <c r="D214"/>
  <c r="I1392"/>
  <c r="I1654"/>
  <c r="D209"/>
  <c r="G173"/>
  <c r="G431"/>
  <c r="D2210"/>
  <c r="G3155"/>
  <c r="G3279"/>
  <c r="G1869"/>
  <c r="G1450"/>
  <c r="I2745"/>
  <c r="D3373"/>
  <c r="I1295"/>
  <c r="D2572"/>
  <c r="G2607"/>
  <c r="I3505"/>
  <c r="I2923"/>
  <c r="G2984"/>
  <c r="I2565"/>
  <c r="D2236"/>
  <c r="I1970"/>
  <c r="I2641"/>
  <c r="I2903"/>
  <c r="G2609"/>
  <c r="I2039"/>
  <c r="I1839"/>
  <c r="D2956"/>
  <c r="I2787"/>
  <c r="D3178"/>
  <c r="G2793"/>
  <c r="I2402"/>
  <c r="D1766"/>
  <c r="I550"/>
  <c r="D1482"/>
  <c r="I1254"/>
  <c r="G2784"/>
  <c r="D635"/>
  <c r="G2949"/>
  <c r="D2658"/>
  <c r="G2309"/>
  <c r="G994"/>
  <c r="I651"/>
  <c r="G625"/>
  <c r="I416"/>
  <c r="I1713"/>
  <c r="I3497"/>
  <c r="G2757"/>
  <c r="D2227"/>
  <c r="I1950"/>
  <c r="I2963"/>
  <c r="G2892"/>
  <c r="I706"/>
  <c r="I2034"/>
  <c r="G561"/>
  <c r="G1651"/>
  <c r="G407"/>
  <c r="I2043"/>
  <c r="G2002"/>
  <c r="I2399"/>
  <c r="I3170"/>
  <c r="G2447"/>
  <c r="G2250"/>
  <c r="D294"/>
  <c r="G2779"/>
  <c r="I2624"/>
  <c r="D3457"/>
  <c r="D207"/>
  <c r="G297"/>
  <c r="D3201"/>
  <c r="D527"/>
  <c r="I1060"/>
  <c r="I1528"/>
  <c r="G3372"/>
  <c r="G2436"/>
  <c r="D2764"/>
  <c r="G3248"/>
  <c r="G270"/>
  <c r="I3144"/>
  <c r="I3006"/>
  <c r="I57"/>
  <c r="I3022"/>
  <c r="D2071"/>
  <c r="I3506"/>
  <c r="D2389"/>
  <c r="G3032"/>
  <c r="D2217"/>
  <c r="G985"/>
  <c r="D496"/>
  <c r="I2003"/>
  <c r="D1669"/>
  <c r="I2542"/>
  <c r="I2053"/>
  <c r="G538"/>
  <c r="I3423"/>
  <c r="G1842"/>
  <c r="I2650"/>
  <c r="D687"/>
  <c r="D2412"/>
  <c r="D2991"/>
  <c r="G1733"/>
  <c r="G2981"/>
  <c r="D2815"/>
  <c r="G349"/>
  <c r="G411"/>
  <c r="I3409"/>
  <c r="G1273"/>
  <c r="G3548"/>
  <c r="G1921"/>
  <c r="I1196"/>
  <c r="G2211"/>
  <c r="G160"/>
  <c r="I1312"/>
  <c r="I1443"/>
  <c r="I2383"/>
  <c r="G1662"/>
  <c r="G2670"/>
  <c r="I387"/>
  <c r="D1145"/>
  <c r="I1432"/>
  <c r="G854"/>
  <c r="I1474"/>
  <c r="D820"/>
  <c r="D3329"/>
  <c r="G3320"/>
  <c r="I474"/>
  <c r="D640"/>
  <c r="G1828"/>
  <c r="G1905"/>
  <c r="I1131"/>
  <c r="G2535"/>
  <c r="I2004"/>
  <c r="D1192"/>
  <c r="G2421"/>
  <c r="I2050"/>
  <c r="D2513"/>
  <c r="I2335"/>
  <c r="I2474"/>
  <c r="D1163"/>
  <c r="G1716"/>
  <c r="G1330"/>
  <c r="G2903"/>
  <c r="I1316"/>
  <c r="I603"/>
  <c r="G942"/>
  <c r="D673"/>
  <c r="I926"/>
  <c r="I1369"/>
  <c r="I2790"/>
  <c r="D3261"/>
  <c r="G1337"/>
  <c r="I3534"/>
  <c r="I2930"/>
  <c r="D323"/>
  <c r="D3231"/>
  <c r="G1376"/>
  <c r="D3018"/>
  <c r="G1308"/>
  <c r="G507"/>
  <c r="I3284"/>
  <c r="G1853"/>
  <c r="D125"/>
  <c r="D505"/>
  <c r="G2246"/>
  <c r="D1915"/>
  <c r="G1462"/>
  <c r="I314"/>
  <c r="I1225"/>
  <c r="I1376"/>
  <c r="I1534"/>
  <c r="G2913"/>
  <c r="I738"/>
  <c r="G522"/>
  <c r="G630"/>
  <c r="G1064"/>
  <c r="I1660"/>
  <c r="D118"/>
  <c r="D2771"/>
  <c r="D2920"/>
  <c r="D1197"/>
  <c r="I2288"/>
  <c r="I1305"/>
  <c r="G464"/>
  <c r="G3420"/>
  <c r="I2725"/>
  <c r="I3216"/>
  <c r="I2254"/>
  <c r="I3326"/>
  <c r="D2940"/>
  <c r="I2120"/>
  <c r="G1033"/>
  <c r="D1297"/>
  <c r="I3442"/>
  <c r="I751"/>
  <c r="I2820"/>
  <c r="D76"/>
  <c r="D1045"/>
  <c r="I478"/>
  <c r="G1889"/>
  <c r="G2078"/>
  <c r="G2181"/>
  <c r="I3530"/>
  <c r="G1628"/>
  <c r="D2377"/>
  <c r="I1669"/>
  <c r="D811"/>
  <c r="I1829"/>
  <c r="I604"/>
  <c r="I1783"/>
  <c r="G1744"/>
  <c r="I208"/>
  <c r="D3003"/>
  <c r="D1910"/>
  <c r="D944"/>
  <c r="G2054"/>
  <c r="D2484"/>
  <c r="I2911"/>
  <c r="D2602"/>
  <c r="G695"/>
  <c r="G3007"/>
  <c r="D2028"/>
  <c r="D828"/>
  <c r="G3240"/>
  <c r="I1603"/>
  <c r="D1457"/>
  <c r="I2619"/>
  <c r="G1694"/>
  <c r="D301"/>
  <c r="I959"/>
  <c r="I3120"/>
  <c r="I3594"/>
  <c r="D887"/>
  <c r="I1020"/>
  <c r="G3500"/>
  <c r="G2840"/>
  <c r="I1451"/>
  <c r="I1836"/>
  <c r="I2847"/>
  <c r="G2935"/>
  <c r="G646"/>
  <c r="G48"/>
  <c r="D1964"/>
  <c r="G1446"/>
  <c r="G3202"/>
  <c r="D3316"/>
  <c r="D2089"/>
  <c r="D442"/>
  <c r="G3011"/>
  <c r="I2701"/>
  <c r="G1024"/>
  <c r="G1558"/>
  <c r="D763"/>
  <c r="G3493"/>
  <c r="G2491"/>
  <c r="G466"/>
  <c r="I158"/>
  <c r="D17"/>
  <c r="D96"/>
  <c r="D2711"/>
  <c r="G1371"/>
  <c r="I1134"/>
  <c r="I2532"/>
  <c r="G3308"/>
  <c r="D650"/>
  <c r="G3518"/>
  <c r="I2258"/>
  <c r="I288"/>
  <c r="D3000"/>
  <c r="D902"/>
  <c r="G2849"/>
  <c r="G307"/>
  <c r="I2055"/>
  <c r="I313"/>
  <c r="D1881"/>
  <c r="D2880"/>
  <c r="D596"/>
  <c r="G704"/>
  <c r="D1693"/>
  <c r="I1569"/>
  <c r="D521"/>
  <c r="I894"/>
  <c r="D2870"/>
  <c r="G3296"/>
  <c r="G268"/>
  <c r="I2580"/>
  <c r="D2461"/>
  <c r="D3307"/>
  <c r="G686"/>
  <c r="D571"/>
  <c r="I531"/>
  <c r="I226"/>
  <c r="I2341"/>
  <c r="G587"/>
  <c r="I2473"/>
  <c r="G882"/>
  <c r="I1108"/>
  <c r="G1306"/>
  <c r="I2090"/>
  <c r="D1776"/>
  <c r="G242"/>
  <c r="I3485"/>
  <c r="G584"/>
  <c r="G1974"/>
  <c r="D1254"/>
  <c r="I867"/>
  <c r="I1130"/>
  <c r="I3449"/>
  <c r="D1678"/>
  <c r="G1409"/>
  <c r="D2576"/>
  <c r="G2301"/>
  <c r="D1191"/>
  <c r="I73"/>
  <c r="G813"/>
  <c r="D1543"/>
  <c r="G1899"/>
  <c r="D88"/>
  <c r="G2085"/>
  <c r="D601"/>
  <c r="D1780"/>
  <c r="G1480"/>
  <c r="I3155"/>
  <c r="I2785"/>
  <c r="I2944"/>
  <c r="I770"/>
  <c r="G601"/>
  <c r="G322"/>
  <c r="I2406"/>
  <c r="I2519"/>
  <c r="G1505"/>
  <c r="I1189"/>
  <c r="I3398"/>
  <c r="D14"/>
  <c r="G3417"/>
  <c r="G2932"/>
  <c r="I2054"/>
  <c r="I1891"/>
  <c r="I3281"/>
  <c r="G615"/>
  <c r="I562"/>
  <c r="I1159"/>
  <c r="D206"/>
  <c r="D2684"/>
  <c r="G628"/>
  <c r="G3049"/>
  <c r="D3149"/>
  <c r="I1064"/>
  <c r="D2007"/>
  <c r="D2591"/>
  <c r="G1108"/>
  <c r="I33"/>
  <c r="G1770"/>
  <c r="D2270"/>
  <c r="D2897"/>
  <c r="I2378"/>
  <c r="D2795"/>
  <c r="G61"/>
  <c r="D1882"/>
  <c r="I2006"/>
  <c r="D1079"/>
  <c r="I1703"/>
  <c r="G434"/>
  <c r="D1220"/>
  <c r="G3434"/>
  <c r="D2303"/>
  <c r="D283"/>
  <c r="G42"/>
  <c r="D1224"/>
  <c r="G913"/>
  <c r="D2634"/>
  <c r="D670"/>
  <c r="G2922"/>
  <c r="G3133"/>
  <c r="I275"/>
  <c r="D458"/>
  <c r="G120"/>
  <c r="I1449"/>
  <c r="G1600"/>
  <c r="D2540"/>
  <c r="G3294"/>
  <c r="I2574"/>
  <c r="D2113"/>
  <c r="I3391"/>
  <c r="G2908"/>
  <c r="D3253"/>
  <c r="I1861"/>
  <c r="D195"/>
  <c r="D3044"/>
  <c r="D2097"/>
  <c r="G2857"/>
  <c r="I1453"/>
  <c r="G1681"/>
  <c r="G895"/>
  <c r="G185"/>
  <c r="G1078"/>
  <c r="I3109"/>
  <c r="G598"/>
  <c r="D2668"/>
  <c r="D2444"/>
  <c r="G761"/>
  <c r="G1109"/>
  <c r="I3228"/>
  <c r="I2742"/>
  <c r="G161"/>
  <c r="D1175"/>
  <c r="G2673"/>
  <c r="I444"/>
  <c r="G3421"/>
  <c r="I1231"/>
  <c r="I3560"/>
  <c r="I2762"/>
  <c r="D842"/>
  <c r="I1936"/>
  <c r="G3415"/>
  <c r="I2463"/>
  <c r="G3268"/>
  <c r="I1650"/>
  <c r="I1217"/>
  <c r="I1035"/>
  <c r="I3163"/>
  <c r="I1286"/>
  <c r="D340"/>
  <c r="I524"/>
  <c r="D191"/>
  <c r="G1344"/>
  <c r="D1525"/>
  <c r="D237"/>
  <c r="I36"/>
  <c r="I83"/>
  <c r="G2442"/>
  <c r="D194"/>
  <c r="I2466"/>
  <c r="I65"/>
  <c r="D1313"/>
  <c r="D2812"/>
  <c r="G1550"/>
  <c r="I2559"/>
  <c r="I34"/>
  <c r="G557"/>
  <c r="G1749"/>
  <c r="D3076"/>
  <c r="G2871"/>
  <c r="D870"/>
  <c r="D307"/>
  <c r="G196"/>
  <c r="D1832"/>
  <c r="D113"/>
  <c r="G3444"/>
  <c r="G3366"/>
  <c r="D2191"/>
  <c r="G425"/>
  <c r="D1844"/>
  <c r="D312"/>
  <c r="I970"/>
  <c r="I1121"/>
  <c r="G2377"/>
  <c r="I2547"/>
  <c r="D1817"/>
  <c r="G107"/>
  <c r="G2473"/>
  <c r="G2574"/>
  <c r="D1585"/>
  <c r="G3048"/>
  <c r="I923"/>
  <c r="D274"/>
  <c r="G1892"/>
  <c r="G1754"/>
  <c r="D3210"/>
  <c r="G596"/>
  <c r="G1781"/>
  <c r="I534"/>
  <c r="D491"/>
  <c r="I1618"/>
  <c r="I882"/>
  <c r="I2775"/>
  <c r="G1086"/>
  <c r="G1154"/>
  <c r="I1642"/>
  <c r="I2031"/>
  <c r="D3476"/>
  <c r="I1291"/>
  <c r="G3058"/>
  <c r="G2602"/>
  <c r="G952"/>
  <c r="G2866"/>
  <c r="D814"/>
  <c r="D2408"/>
  <c r="I3194"/>
  <c r="D279"/>
  <c r="I747"/>
  <c r="I2057"/>
  <c r="I698"/>
  <c r="G1630"/>
  <c r="I2318"/>
  <c r="I671"/>
  <c r="G181"/>
  <c r="I601"/>
  <c r="I3548"/>
  <c r="D2653"/>
  <c r="I190"/>
  <c r="G1864"/>
  <c r="I3078"/>
  <c r="I1051"/>
  <c r="I613"/>
  <c r="I1446"/>
  <c r="I1760"/>
  <c r="G765"/>
  <c r="G3177"/>
  <c r="G424"/>
  <c r="G679"/>
  <c r="D3229"/>
  <c r="G841"/>
  <c r="I538"/>
  <c r="G486"/>
  <c r="G441"/>
  <c r="G2048"/>
  <c r="I369"/>
  <c r="I695"/>
  <c r="I898"/>
  <c r="D1077"/>
  <c r="G1164"/>
  <c r="D1032"/>
  <c r="I489"/>
  <c r="D1581"/>
  <c r="G208"/>
  <c r="G1141"/>
  <c r="G462"/>
  <c r="G2098"/>
  <c r="D2750"/>
  <c r="G1272"/>
  <c r="I2852"/>
  <c r="D1155"/>
  <c r="G2122"/>
  <c r="I1349"/>
  <c r="D192"/>
  <c r="I1183"/>
  <c r="D2415"/>
  <c r="G1410"/>
  <c r="I1056"/>
  <c r="G3194"/>
  <c r="D957"/>
  <c r="I2411"/>
  <c r="D2957"/>
  <c r="I3443"/>
  <c r="G778"/>
  <c r="I3493"/>
  <c r="D989"/>
  <c r="G2625"/>
  <c r="I3289"/>
  <c r="I2707"/>
  <c r="G1264"/>
  <c r="I1500"/>
  <c r="I1874"/>
  <c r="G318"/>
  <c r="G1038"/>
  <c r="D647"/>
  <c r="G229"/>
  <c r="G3541"/>
  <c r="D2021"/>
  <c r="I3311"/>
  <c r="D3384"/>
  <c r="I978"/>
  <c r="D631"/>
  <c r="G610"/>
  <c r="G3359"/>
  <c r="G1576"/>
  <c r="D924"/>
  <c r="I1190"/>
  <c r="G383"/>
  <c r="G3414"/>
  <c r="D90"/>
  <c r="D1914"/>
  <c r="D2661"/>
  <c r="I1027"/>
  <c r="G885"/>
  <c r="I1686"/>
  <c r="D3129"/>
  <c r="G887"/>
  <c r="I393"/>
  <c r="D2699"/>
  <c r="I1761"/>
  <c r="D3531"/>
  <c r="I3444"/>
  <c r="D3361"/>
  <c r="D632"/>
  <c r="D1147"/>
  <c r="D2972"/>
  <c r="G1699"/>
  <c r="I1234"/>
  <c r="D1277"/>
  <c r="G1843"/>
  <c r="I2809"/>
  <c r="I1634"/>
  <c r="I1953"/>
  <c r="D1455"/>
  <c r="I553"/>
  <c r="I1421"/>
  <c r="G2914"/>
  <c r="G2324"/>
  <c r="G1425"/>
  <c r="I2415"/>
  <c r="D499"/>
  <c r="D3154"/>
  <c r="D2592"/>
  <c r="G896"/>
  <c r="I3466"/>
  <c r="D2776"/>
  <c r="D82"/>
  <c r="G2080"/>
  <c r="I1611"/>
  <c r="D1899"/>
  <c r="D364"/>
  <c r="I686"/>
  <c r="I509"/>
  <c r="I2740"/>
  <c r="I430"/>
  <c r="D22"/>
  <c r="D3356"/>
  <c r="G2694"/>
  <c r="G1632"/>
  <c r="I3477"/>
  <c r="I639"/>
  <c r="D1376"/>
  <c r="D1480"/>
  <c r="I2694"/>
  <c r="G3425"/>
  <c r="I839"/>
  <c r="D2593"/>
  <c r="G1098"/>
  <c r="D3314"/>
  <c r="G1012"/>
  <c r="I3128"/>
  <c r="G758"/>
  <c r="G2224"/>
  <c r="D1244"/>
  <c r="G2585"/>
  <c r="I2668"/>
  <c r="I3013"/>
  <c r="I1852"/>
  <c r="I2793"/>
  <c r="G2355"/>
  <c r="G1724"/>
  <c r="D1308"/>
  <c r="G742"/>
  <c r="G3265"/>
  <c r="G3120"/>
  <c r="I3248"/>
  <c r="D2477"/>
  <c r="I2487"/>
  <c r="I2721"/>
  <c r="G2802"/>
  <c r="I3139"/>
  <c r="G1510"/>
  <c r="D2945"/>
  <c r="G1061"/>
  <c r="G1203"/>
  <c r="D100"/>
  <c r="D2913"/>
  <c r="I2792"/>
  <c r="D2759"/>
  <c r="D99"/>
  <c r="G2411"/>
  <c r="G2554"/>
  <c r="I3547"/>
  <c r="I2919"/>
  <c r="D1955"/>
  <c r="D2716"/>
  <c r="D2597"/>
  <c r="G2452"/>
  <c r="I2987"/>
  <c r="G2126"/>
  <c r="I3429"/>
  <c r="G1877"/>
  <c r="D2106"/>
  <c r="G682"/>
  <c r="G2836"/>
  <c r="G2525"/>
  <c r="D3390"/>
  <c r="G353"/>
  <c r="G613"/>
  <c r="I1844"/>
  <c r="I1315"/>
  <c r="I2827"/>
  <c r="D603"/>
  <c r="D465"/>
  <c r="I1705"/>
  <c r="G1490"/>
  <c r="D2849"/>
  <c r="G2148"/>
  <c r="I663"/>
  <c r="D1569"/>
  <c r="I383"/>
  <c r="I2015"/>
  <c r="I2151"/>
  <c r="I3039"/>
  <c r="D1409"/>
  <c r="G3286"/>
  <c r="D3259"/>
  <c r="G2749"/>
  <c r="D2794"/>
  <c r="D2598"/>
  <c r="G662"/>
  <c r="G2467"/>
  <c r="I739"/>
  <c r="I2596"/>
  <c r="G2704"/>
  <c r="D3436"/>
  <c r="I3000"/>
  <c r="G1682"/>
  <c r="G2201"/>
  <c r="I3206"/>
  <c r="I1591"/>
  <c r="D1355"/>
  <c r="I2231"/>
  <c r="G1949"/>
  <c r="D1769"/>
  <c r="G3254"/>
  <c r="D3310"/>
  <c r="G1579"/>
  <c r="G1437"/>
  <c r="I2198"/>
  <c r="I2199"/>
  <c r="I669"/>
  <c r="G1319"/>
  <c r="I1890"/>
  <c r="G1501"/>
  <c r="G3536"/>
  <c r="G2970"/>
  <c r="I3247"/>
  <c r="D916"/>
  <c r="D3152"/>
  <c r="D1892"/>
  <c r="I1895"/>
  <c r="D966"/>
  <c r="I2403"/>
  <c r="G3097"/>
  <c r="G2565"/>
  <c r="G1908"/>
  <c r="G888"/>
  <c r="D3163"/>
  <c r="I3010"/>
  <c r="I3027"/>
  <c r="D208"/>
  <c r="I7"/>
  <c r="G2963"/>
  <c r="I1616"/>
  <c r="G46"/>
  <c r="G1875"/>
  <c r="D351"/>
  <c r="I1118"/>
  <c r="I353"/>
  <c r="I126"/>
  <c r="I666"/>
  <c r="I171"/>
  <c r="G1679"/>
  <c r="D666"/>
  <c r="G793"/>
  <c r="I2461"/>
  <c r="G3263"/>
  <c r="I1979"/>
  <c r="D533"/>
  <c r="D91"/>
  <c r="G552"/>
  <c r="I753"/>
  <c r="D1777"/>
  <c r="I197"/>
  <c r="G2209"/>
  <c r="G319"/>
  <c r="I2193"/>
  <c r="I2760"/>
  <c r="G2523"/>
  <c r="G641"/>
  <c r="D3324"/>
  <c r="D3151"/>
  <c r="D895"/>
  <c r="G1627"/>
  <c r="G2615"/>
  <c r="I2892"/>
  <c r="I2381"/>
  <c r="I1777"/>
  <c r="I2020"/>
  <c r="G2920"/>
  <c r="I1882"/>
  <c r="G2710"/>
  <c r="D1347"/>
  <c r="D3536"/>
  <c r="D71"/>
  <c r="G859"/>
  <c r="I2291"/>
  <c r="D3580"/>
  <c r="D688"/>
  <c r="I1980"/>
  <c r="G513"/>
  <c r="D259"/>
  <c r="G1539"/>
  <c r="I987"/>
  <c r="D968"/>
  <c r="D648"/>
  <c r="G1082"/>
  <c r="G1852"/>
  <c r="D1202"/>
  <c r="D3023"/>
  <c r="I2386"/>
  <c r="I816"/>
  <c r="G113"/>
  <c r="D2826"/>
  <c r="D1088"/>
  <c r="D419"/>
  <c r="I1057"/>
  <c r="D49"/>
  <c r="D1900"/>
  <c r="D2423"/>
  <c r="G1887"/>
  <c r="G2089"/>
  <c r="G1650"/>
  <c r="G1454"/>
  <c r="I1532"/>
  <c r="D1857"/>
  <c r="G1447"/>
  <c r="G1802"/>
  <c r="D3236"/>
  <c r="D2997"/>
  <c r="I2419"/>
  <c r="I2484"/>
  <c r="D28"/>
  <c r="I3197"/>
  <c r="G2727"/>
  <c r="G1516"/>
  <c r="G1645"/>
  <c r="G2505"/>
  <c r="I2956"/>
  <c r="I421"/>
  <c r="D3245"/>
  <c r="D589"/>
  <c r="G2687"/>
  <c r="G3124"/>
  <c r="I1685"/>
  <c r="D1223"/>
  <c r="I1906"/>
  <c r="G636"/>
  <c r="I2494"/>
  <c r="I1494"/>
  <c r="D1082"/>
  <c r="G1131"/>
  <c r="G824"/>
  <c r="D2016"/>
  <c r="D300"/>
  <c r="D35"/>
  <c r="I523"/>
  <c r="D837"/>
  <c r="I1036"/>
  <c r="I2246"/>
  <c r="D2138"/>
  <c r="I3430"/>
  <c r="I2232"/>
  <c r="D443"/>
  <c r="I545"/>
  <c r="D2547"/>
  <c r="I3058"/>
  <c r="G1415"/>
  <c r="G2898"/>
  <c r="I3415"/>
  <c r="I124"/>
  <c r="G1291"/>
  <c r="I1898"/>
  <c r="G2032"/>
  <c r="I2493"/>
  <c r="D3130"/>
  <c r="I2628"/>
  <c r="D3181"/>
  <c r="G918"/>
  <c r="G2275"/>
  <c r="G1092"/>
  <c r="G1983"/>
  <c r="D722"/>
  <c r="D1366"/>
  <c r="G1866"/>
  <c r="I2385"/>
  <c r="D2199"/>
  <c r="I1905"/>
  <c r="G2119"/>
  <c r="G283"/>
  <c r="G236"/>
  <c r="D621"/>
  <c r="D181"/>
  <c r="G1366"/>
  <c r="D524"/>
  <c r="D479"/>
  <c r="D3108"/>
  <c r="D3559"/>
  <c r="I3569"/>
  <c r="I2578"/>
  <c r="I2133"/>
  <c r="I1581"/>
  <c r="I658"/>
  <c r="I1396"/>
  <c r="I407"/>
  <c r="I2427"/>
  <c r="I2278"/>
  <c r="G1523"/>
  <c r="G1434"/>
  <c r="I1253"/>
  <c r="I2000"/>
  <c r="I916"/>
  <c r="D3545"/>
  <c r="G3060"/>
  <c r="I2643"/>
  <c r="I1294"/>
  <c r="G2456"/>
  <c r="D2422"/>
  <c r="I1610"/>
  <c r="I96"/>
  <c r="G1277"/>
  <c r="D2091"/>
  <c r="G1166"/>
  <c r="I1503"/>
  <c r="G1182"/>
  <c r="D1896"/>
  <c r="I270"/>
  <c r="D652"/>
  <c r="D2492"/>
  <c r="G863"/>
  <c r="I1236"/>
  <c r="D1919"/>
  <c r="G2734"/>
  <c r="D1793"/>
  <c r="D880"/>
  <c r="I3450"/>
  <c r="G1075"/>
  <c r="G1369"/>
  <c r="I1706"/>
  <c r="D3604"/>
  <c r="I852"/>
  <c r="G3183"/>
  <c r="I1849"/>
  <c r="I337"/>
  <c r="D2952"/>
  <c r="D2219"/>
  <c r="I459"/>
  <c r="I2390"/>
  <c r="I3122"/>
  <c r="G1738"/>
  <c r="D1519"/>
  <c r="G551"/>
  <c r="I2913"/>
  <c r="D2277"/>
  <c r="D2146"/>
  <c r="I3325"/>
  <c r="D2691"/>
  <c r="G3581"/>
  <c r="I363"/>
  <c r="G1708"/>
  <c r="G1545"/>
  <c r="I1288"/>
  <c r="I2177"/>
  <c r="D460"/>
  <c r="D1036"/>
  <c r="G934"/>
  <c r="I486"/>
  <c r="G751"/>
  <c r="G811"/>
  <c r="D1746"/>
  <c r="G1620"/>
  <c r="D2514"/>
  <c r="I381"/>
  <c r="D2424"/>
  <c r="G291"/>
  <c r="D3529"/>
  <c r="G739"/>
  <c r="I1323"/>
  <c r="I2260"/>
  <c r="G1018"/>
  <c r="G476"/>
  <c r="I2033"/>
  <c r="G455"/>
  <c r="G1858"/>
  <c r="I1229"/>
  <c r="G3171"/>
  <c r="D471"/>
  <c r="D3515"/>
  <c r="I1409"/>
  <c r="G536"/>
  <c r="G246"/>
  <c r="G292"/>
  <c r="D3135"/>
  <c r="G775"/>
  <c r="D947"/>
  <c r="D2382"/>
  <c r="I414"/>
  <c r="G1382"/>
  <c r="D2220"/>
  <c r="D2060"/>
  <c r="D840"/>
  <c r="I512"/>
  <c r="G1220"/>
  <c r="G862"/>
  <c r="G2260"/>
  <c r="I1445"/>
  <c r="G1275"/>
  <c r="D1305"/>
  <c r="I990"/>
  <c r="I3106"/>
  <c r="I1682"/>
  <c r="G2923"/>
  <c r="I2967"/>
  <c r="I2723"/>
  <c r="G1152"/>
  <c r="D2717"/>
  <c r="I2822"/>
  <c r="G3338"/>
  <c r="I1813"/>
  <c r="D325"/>
  <c r="I2962"/>
  <c r="D1836"/>
  <c r="I1146"/>
  <c r="I1851"/>
  <c r="G2649"/>
  <c r="G2144"/>
  <c r="I2122"/>
  <c r="I3101"/>
  <c r="I522"/>
  <c r="I3367"/>
  <c r="I3331"/>
  <c r="I2995"/>
  <c r="D3008"/>
  <c r="D2261"/>
  <c r="D75"/>
  <c r="D2195"/>
  <c r="G1885"/>
  <c r="I3234"/>
  <c r="I192"/>
  <c r="G1692"/>
  <c r="D379"/>
  <c r="D334"/>
  <c r="D3256"/>
  <c r="G276"/>
  <c r="D3277"/>
  <c r="I2213"/>
  <c r="I2264"/>
  <c r="I507"/>
  <c r="G3303"/>
  <c r="I452"/>
  <c r="D3058"/>
  <c r="D338"/>
  <c r="D744"/>
  <c r="I1881"/>
  <c r="I2528"/>
  <c r="I1493"/>
  <c r="D1330"/>
  <c r="G1331"/>
  <c r="D158"/>
  <c r="D2986"/>
  <c r="D1006"/>
  <c r="G418"/>
  <c r="G2830"/>
  <c r="G1637"/>
  <c r="D1937"/>
  <c r="D354"/>
  <c r="I3411"/>
  <c r="I3089"/>
  <c r="I310"/>
  <c r="G2698"/>
  <c r="D339"/>
  <c r="D1888"/>
  <c r="I2477"/>
  <c r="G2239"/>
  <c r="G2964"/>
  <c r="G2616"/>
  <c r="G712"/>
  <c r="G2660"/>
  <c r="I256"/>
  <c r="G2982"/>
  <c r="G3218"/>
  <c r="D2856"/>
  <c r="I3191"/>
  <c r="G15"/>
  <c r="G920"/>
  <c r="G1207"/>
  <c r="G16"/>
  <c r="D2833"/>
  <c r="D327"/>
  <c r="G3208"/>
  <c r="I2377"/>
  <c r="G734"/>
  <c r="G838"/>
  <c r="I355"/>
  <c r="G1486"/>
  <c r="I1800"/>
  <c r="I95"/>
  <c r="D2689"/>
  <c r="D302"/>
  <c r="D919"/>
  <c r="G233"/>
  <c r="D1009"/>
  <c r="G1243"/>
  <c r="I763"/>
  <c r="I2635"/>
  <c r="G1911"/>
  <c r="D1186"/>
  <c r="I3252"/>
  <c r="D826"/>
  <c r="I1069"/>
  <c r="I588"/>
  <c r="D1440"/>
  <c r="G85"/>
  <c r="I2049"/>
  <c r="I2595"/>
  <c r="D717"/>
  <c r="D29"/>
  <c r="G1000"/>
  <c r="G1538"/>
  <c r="G2805"/>
  <c r="D2726"/>
  <c r="I3340"/>
  <c r="G440"/>
  <c r="G11"/>
  <c r="I3125"/>
  <c r="G1211"/>
  <c r="G1533"/>
  <c r="D2034"/>
  <c r="D2135"/>
  <c r="I3145"/>
  <c r="G1487"/>
  <c r="G867"/>
  <c r="I2092"/>
  <c r="I3389"/>
  <c r="D122"/>
  <c r="I2137"/>
  <c r="I1988"/>
  <c r="D2530"/>
  <c r="D1008"/>
  <c r="D391"/>
  <c r="D50"/>
  <c r="I2241"/>
  <c r="D1745"/>
  <c r="I2073"/>
  <c r="I2208"/>
  <c r="D392"/>
  <c r="D773"/>
  <c r="D1963"/>
  <c r="G2216"/>
  <c r="G1133"/>
  <c r="I203"/>
  <c r="G2109"/>
  <c r="D2265"/>
  <c r="D1144"/>
  <c r="I303"/>
  <c r="G2457"/>
  <c r="I481"/>
  <c r="D2292"/>
  <c r="G1175"/>
  <c r="D332"/>
  <c r="G564"/>
  <c r="D3520"/>
  <c r="G894"/>
  <c r="I1318"/>
  <c r="I834"/>
  <c r="G3423"/>
  <c r="D3069"/>
  <c r="G2662"/>
  <c r="I3220"/>
  <c r="I87"/>
  <c r="G3110"/>
  <c r="D2155"/>
  <c r="D2584"/>
  <c r="I1810"/>
  <c r="I541"/>
  <c r="I2147"/>
  <c r="G104"/>
  <c r="G245"/>
  <c r="I1475"/>
  <c r="D314"/>
  <c r="G868"/>
  <c r="D459"/>
  <c r="D452"/>
  <c r="I1595"/>
  <c r="G1655"/>
  <c r="I1661"/>
  <c r="I1454"/>
  <c r="G265"/>
  <c r="D255"/>
  <c r="I2134"/>
  <c r="G1695"/>
  <c r="G1044"/>
  <c r="G1219"/>
  <c r="G1215"/>
  <c r="G762"/>
  <c r="I2025"/>
  <c r="G44"/>
  <c r="I1583"/>
  <c r="D839"/>
  <c r="I1588"/>
  <c r="G2658"/>
  <c r="G2788"/>
  <c r="D2340"/>
  <c r="D1950"/>
  <c r="G2433"/>
  <c r="I1284"/>
  <c r="D1384"/>
  <c r="D492"/>
  <c r="I1796"/>
  <c r="D1491"/>
  <c r="G2515"/>
  <c r="D385"/>
  <c r="G3578"/>
  <c r="D1738"/>
  <c r="D624"/>
  <c r="G1163"/>
  <c r="I625"/>
  <c r="D1535"/>
  <c r="I1174"/>
  <c r="I199"/>
  <c r="I1466"/>
  <c r="G2461"/>
  <c r="D1140"/>
  <c r="D1363"/>
  <c r="D1064"/>
  <c r="G1773"/>
  <c r="D321"/>
  <c r="I1393"/>
  <c r="G1467"/>
  <c r="I261"/>
  <c r="G105"/>
  <c r="I1156"/>
  <c r="G1652"/>
  <c r="I3053"/>
  <c r="D653"/>
  <c r="G975"/>
  <c r="I3267"/>
  <c r="G1912"/>
  <c r="D1981"/>
  <c r="D78"/>
  <c r="D3101"/>
  <c r="D2510"/>
  <c r="D319"/>
  <c r="G692"/>
  <c r="G2363"/>
  <c r="G578"/>
  <c r="G1355"/>
  <c r="I3540"/>
  <c r="G2464"/>
  <c r="G3391"/>
  <c r="G140"/>
  <c r="I2317"/>
  <c r="D68"/>
  <c r="G1664"/>
  <c r="D1825"/>
  <c r="D1345"/>
  <c r="G967"/>
  <c r="D2808"/>
  <c r="I3393"/>
  <c r="I1117"/>
  <c r="I1138"/>
  <c r="I1353"/>
  <c r="G205"/>
  <c r="G3464"/>
  <c r="D1974"/>
  <c r="G1894"/>
  <c r="I705"/>
  <c r="I759"/>
  <c r="G2563"/>
  <c r="G3147"/>
  <c r="G1039"/>
  <c r="G3467"/>
  <c r="D357"/>
  <c r="G1903"/>
  <c r="G1668"/>
  <c r="I2940"/>
  <c r="D135"/>
  <c r="G2628"/>
  <c r="D199"/>
  <c r="I2306"/>
  <c r="I99"/>
  <c r="I804"/>
  <c r="G472"/>
  <c r="D510"/>
  <c r="G1114"/>
  <c r="I1127"/>
  <c r="D2830"/>
  <c r="I156"/>
  <c r="D258"/>
  <c r="I3164"/>
  <c r="I3599"/>
  <c r="I2343"/>
  <c r="D406"/>
  <c r="G1502"/>
  <c r="D1806"/>
  <c r="D2168"/>
  <c r="D2903"/>
  <c r="G1007"/>
  <c r="I1507"/>
  <c r="I1292"/>
  <c r="G953"/>
  <c r="I1627"/>
  <c r="I1805"/>
  <c r="G3322"/>
  <c r="I3314"/>
  <c r="D1933"/>
  <c r="G1750"/>
  <c r="D1830"/>
  <c r="D3056"/>
  <c r="I2397"/>
  <c r="I2235"/>
  <c r="G3501"/>
  <c r="G1424"/>
  <c r="G2732"/>
  <c r="G3229"/>
  <c r="G3596"/>
  <c r="I1237"/>
  <c r="D967"/>
  <c r="I343"/>
  <c r="G881"/>
  <c r="G306"/>
  <c r="D190"/>
  <c r="D417"/>
  <c r="G351"/>
  <c r="G1511"/>
  <c r="G810"/>
  <c r="I2094"/>
  <c r="G2826"/>
  <c r="I2273"/>
  <c r="D1456"/>
  <c r="G1740"/>
  <c r="I2705"/>
  <c r="G2010"/>
  <c r="I3434"/>
  <c r="G491"/>
  <c r="G2027"/>
  <c r="I1652"/>
  <c r="D2011"/>
  <c r="I1479"/>
  <c r="D126"/>
  <c r="I979"/>
  <c r="I2315"/>
  <c r="I3491"/>
  <c r="G1559"/>
  <c r="D2122"/>
  <c r="D2914"/>
  <c r="D684"/>
  <c r="D2854"/>
  <c r="I2523"/>
  <c r="I3484"/>
  <c r="D2746"/>
  <c r="G3433"/>
  <c r="I2126"/>
  <c r="G2124"/>
  <c r="I3286"/>
  <c r="D2183"/>
  <c r="G1113"/>
  <c r="G577"/>
  <c r="I360"/>
  <c r="I2977"/>
  <c r="D2077"/>
  <c r="G1271"/>
  <c r="G1352"/>
  <c r="D547"/>
  <c r="I105"/>
  <c r="D1759"/>
  <c r="G1083"/>
  <c r="I316"/>
  <c r="I1659"/>
  <c r="D2751"/>
  <c r="G2853"/>
  <c r="I2047"/>
  <c r="G1902"/>
  <c r="G279"/>
  <c r="D2693"/>
  <c r="D166"/>
  <c r="D3489"/>
  <c r="D1770"/>
  <c r="I1667"/>
  <c r="G828"/>
  <c r="G1282"/>
  <c r="I1626"/>
  <c r="I1259"/>
  <c r="G3344"/>
  <c r="G3282"/>
  <c r="G3145"/>
  <c r="I2123"/>
  <c r="I2145"/>
  <c r="G3053"/>
  <c r="D2516"/>
  <c r="D367"/>
  <c r="G2026"/>
  <c r="D2239"/>
  <c r="G2147"/>
  <c r="D80"/>
  <c r="I3481"/>
  <c r="I1897"/>
  <c r="G2516"/>
  <c r="I2328"/>
  <c r="D1574"/>
  <c r="G2539"/>
  <c r="D3505"/>
  <c r="I1250"/>
  <c r="I2872"/>
  <c r="D3264"/>
  <c r="D2442"/>
  <c r="D2211"/>
  <c r="I3086"/>
  <c r="G2634"/>
  <c r="D2036"/>
  <c r="D506"/>
  <c r="I292"/>
  <c r="I2393"/>
  <c r="G865"/>
  <c r="I1211"/>
  <c r="I2125"/>
  <c r="D955"/>
  <c r="I2563"/>
  <c r="G2858"/>
  <c r="I859"/>
  <c r="G990"/>
  <c r="I691"/>
  <c r="D1783"/>
  <c r="G1430"/>
  <c r="I530"/>
  <c r="I1391"/>
  <c r="D867"/>
  <c r="D889"/>
  <c r="D1599"/>
  <c r="G1676"/>
  <c r="G922"/>
  <c r="I442"/>
  <c r="G2987"/>
  <c r="D3490"/>
  <c r="I3373"/>
  <c r="I2656"/>
  <c r="I1045"/>
  <c r="D2354"/>
  <c r="D2886"/>
  <c r="D3074"/>
  <c r="G3292"/>
  <c r="I1804"/>
  <c r="I947"/>
  <c r="I1819"/>
  <c r="I2517"/>
  <c r="I259"/>
  <c r="I2659"/>
  <c r="I3342"/>
  <c r="I2998"/>
  <c r="D432"/>
  <c r="D2645"/>
  <c r="G2863"/>
  <c r="D2539"/>
  <c r="G1095"/>
  <c r="I2817"/>
  <c r="D2070"/>
  <c r="D3394"/>
  <c r="I101"/>
  <c r="G1333"/>
  <c r="I2201"/>
  <c r="I42"/>
  <c r="I2770"/>
  <c r="D2407"/>
  <c r="I1365"/>
  <c r="G240"/>
  <c r="D613"/>
  <c r="I2192"/>
  <c r="D1698"/>
  <c r="G921"/>
  <c r="I3462"/>
  <c r="D2777"/>
  <c r="I2904"/>
  <c r="I2649"/>
  <c r="I3178"/>
  <c r="G2163"/>
  <c r="D3372"/>
  <c r="G3582"/>
  <c r="D614"/>
  <c r="G2077"/>
  <c r="D3418"/>
  <c r="D2200"/>
  <c r="D1198"/>
  <c r="D1251"/>
  <c r="D2076"/>
  <c r="G2039"/>
  <c r="D104"/>
  <c r="I1195"/>
  <c r="D269"/>
  <c r="D3041"/>
  <c r="G1278"/>
  <c r="G3479"/>
  <c r="D3262"/>
  <c r="I1738"/>
  <c r="G2140"/>
  <c r="G369"/>
  <c r="I471"/>
  <c r="D969"/>
  <c r="D812"/>
  <c r="I967"/>
  <c r="I1319"/>
  <c r="I2188"/>
  <c r="I2345"/>
  <c r="G891"/>
  <c r="D1727"/>
  <c r="D2317"/>
  <c r="D1739"/>
  <c r="G970"/>
  <c r="I2693"/>
  <c r="G3189"/>
  <c r="G2558"/>
  <c r="G1946"/>
  <c r="G346"/>
  <c r="D1686"/>
  <c r="G1026"/>
  <c r="D3587"/>
  <c r="D2112"/>
  <c r="I3440"/>
  <c r="D1651"/>
  <c r="I2958"/>
  <c r="G3197"/>
  <c r="D2037"/>
  <c r="G1795"/>
  <c r="G2270"/>
  <c r="I961"/>
  <c r="I1280"/>
  <c r="I2789"/>
  <c r="I2491"/>
  <c r="G2485"/>
  <c r="G1283"/>
  <c r="I1678"/>
  <c r="G2079"/>
  <c r="G2867"/>
  <c r="I685"/>
  <c r="D9"/>
  <c r="G1542"/>
  <c r="G2497"/>
  <c r="G144"/>
  <c r="I3354"/>
  <c r="D2969"/>
  <c r="G2059"/>
  <c r="G436"/>
  <c r="I660"/>
  <c r="G379"/>
  <c r="I1556"/>
  <c r="G3072"/>
  <c r="D584"/>
  <c r="D10"/>
  <c r="G780"/>
  <c r="G3162"/>
  <c r="I2675"/>
  <c r="G1648"/>
  <c r="I2310"/>
  <c r="G1653"/>
  <c r="G481"/>
  <c r="G776"/>
  <c r="D1126"/>
  <c r="I2255"/>
  <c r="G116"/>
  <c r="I1227"/>
  <c r="D2559"/>
  <c r="G1094"/>
  <c r="I3565"/>
  <c r="D2225"/>
  <c r="D3355"/>
  <c r="I2908"/>
  <c r="D2544"/>
  <c r="I3313"/>
  <c r="I3376"/>
  <c r="D2676"/>
  <c r="D628"/>
  <c r="D1983"/>
  <c r="G3345"/>
  <c r="D1976"/>
  <c r="G1311"/>
  <c r="D1801"/>
  <c r="I2949"/>
  <c r="I2492"/>
  <c r="I3151"/>
  <c r="G2723"/>
  <c r="D3561"/>
  <c r="G3485"/>
  <c r="G3271"/>
  <c r="D2912"/>
  <c r="G2351"/>
  <c r="I1674"/>
  <c r="G2266"/>
  <c r="D3219"/>
  <c r="I456"/>
  <c r="D1257"/>
  <c r="D545"/>
  <c r="G744"/>
  <c r="I2896"/>
  <c r="G2225"/>
  <c r="I3348"/>
  <c r="D1852"/>
  <c r="D3078"/>
  <c r="I727"/>
  <c r="G1460"/>
  <c r="D3233"/>
  <c r="D1226"/>
  <c r="I2149"/>
  <c r="G1649"/>
  <c r="G929"/>
  <c r="G2765"/>
  <c r="I3607"/>
  <c r="I3584"/>
  <c r="D2392"/>
  <c r="I1778"/>
  <c r="G3269"/>
  <c r="D3444"/>
  <c r="I495"/>
  <c r="I1926"/>
  <c r="I2753"/>
  <c r="D3184"/>
  <c r="G2953"/>
  <c r="G689"/>
  <c r="G352"/>
  <c r="G3221"/>
  <c r="D2153"/>
  <c r="G1405"/>
  <c r="I2444"/>
  <c r="G2264"/>
  <c r="I1930"/>
  <c r="D2278"/>
  <c r="I2108"/>
  <c r="G1854"/>
  <c r="I2205"/>
  <c r="G3452"/>
  <c r="I2788"/>
  <c r="G2084"/>
  <c r="D3392"/>
  <c r="I3577"/>
  <c r="D1816"/>
  <c r="I2181"/>
  <c r="D3354"/>
  <c r="D461"/>
  <c r="G523"/>
  <c r="D331"/>
  <c r="I536"/>
  <c r="G214"/>
  <c r="D464"/>
  <c r="G3090"/>
  <c r="D3603"/>
  <c r="G3598"/>
  <c r="D2509"/>
  <c r="G2664"/>
  <c r="G2828"/>
  <c r="D2256"/>
  <c r="I1748"/>
  <c r="G693"/>
  <c r="G1560"/>
  <c r="I2828"/>
  <c r="I2203"/>
  <c r="D1349"/>
  <c r="G2500"/>
  <c r="I1394"/>
  <c r="D36"/>
  <c r="D1800"/>
  <c r="I2044"/>
  <c r="I1791"/>
  <c r="G518"/>
  <c r="G3374"/>
  <c r="I1622"/>
  <c r="G2637"/>
  <c r="D3601"/>
  <c r="I3208"/>
  <c r="I2499"/>
  <c r="D3241"/>
  <c r="D1789"/>
  <c r="D413"/>
  <c r="G249"/>
  <c r="I3305"/>
  <c r="G344"/>
  <c r="G2937"/>
  <c r="G1210"/>
  <c r="D1921"/>
  <c r="I1765"/>
  <c r="I1801"/>
  <c r="I1444"/>
  <c r="D1228"/>
  <c r="G1806"/>
  <c r="I3030"/>
  <c r="G1617"/>
  <c r="D672"/>
  <c r="I638"/>
  <c r="I2005"/>
  <c r="G1481"/>
  <c r="G2034"/>
  <c r="G3403"/>
  <c r="G1532"/>
  <c r="D3139"/>
  <c r="D3528"/>
  <c r="G2378"/>
  <c r="G1359"/>
  <c r="G1792"/>
  <c r="D888"/>
  <c r="I1256"/>
  <c r="G905"/>
  <c r="D3344"/>
  <c r="G1051"/>
  <c r="I408"/>
  <c r="G2495"/>
  <c r="G3522"/>
  <c r="D2538"/>
  <c r="D580"/>
  <c r="D2479"/>
  <c r="D2456"/>
  <c r="I2422"/>
  <c r="G3312"/>
  <c r="D928"/>
  <c r="G1488"/>
  <c r="I982"/>
  <c r="D130"/>
  <c r="I258"/>
  <c r="I1832"/>
  <c r="I1199"/>
  <c r="G822"/>
  <c r="G3012"/>
  <c r="G683"/>
  <c r="I2968"/>
  <c r="I963"/>
  <c r="G3488"/>
  <c r="D3304"/>
  <c r="D3098"/>
  <c r="D1288"/>
  <c r="G1276"/>
  <c r="I359"/>
  <c r="G612"/>
  <c r="D409"/>
  <c r="G323"/>
  <c r="D1736"/>
  <c r="G461"/>
  <c r="I1105"/>
  <c r="I1496"/>
  <c r="D1787"/>
  <c r="I344"/>
  <c r="G1807"/>
  <c r="I240"/>
  <c r="I1695"/>
  <c r="I329"/>
  <c r="G3203"/>
  <c r="G3087"/>
  <c r="G2023"/>
  <c r="I3418"/>
  <c r="D612"/>
  <c r="G1348"/>
  <c r="I654"/>
  <c r="D1234"/>
  <c r="I2295"/>
  <c r="D2736"/>
  <c r="D2229"/>
  <c r="I290"/>
  <c r="D165"/>
  <c r="G423"/>
  <c r="G2050"/>
  <c r="G3482"/>
  <c r="I1208"/>
  <c r="G2689"/>
  <c r="G2560"/>
  <c r="I722"/>
  <c r="G3293"/>
  <c r="D3513"/>
  <c r="G2951"/>
  <c r="G1179"/>
  <c r="I2601"/>
  <c r="I3268"/>
  <c r="I1781"/>
  <c r="I2846"/>
  <c r="G1683"/>
  <c r="G332"/>
  <c r="I2251"/>
  <c r="I2035"/>
  <c r="I1419"/>
  <c r="D3553"/>
  <c r="G3595"/>
  <c r="D2054"/>
  <c r="G575"/>
  <c r="D3005"/>
  <c r="I362"/>
  <c r="I890"/>
  <c r="I1700"/>
  <c r="I853"/>
  <c r="G2310"/>
  <c r="D835"/>
  <c r="D833"/>
  <c r="G1103"/>
  <c r="I1875"/>
  <c r="D1755"/>
  <c r="D2548"/>
  <c r="G62"/>
  <c r="I678"/>
  <c r="I2634"/>
  <c r="I2013"/>
  <c r="I213"/>
  <c r="G287"/>
  <c r="I367"/>
  <c r="I661"/>
  <c r="I427"/>
  <c r="G439"/>
  <c r="D2447"/>
  <c r="G1611"/>
  <c r="G438"/>
  <c r="D2075"/>
  <c r="I761"/>
  <c r="I1307"/>
  <c r="D1143"/>
  <c r="I3514"/>
  <c r="I2754"/>
  <c r="I1671"/>
  <c r="G340"/>
  <c r="I1770"/>
  <c r="G1378"/>
  <c r="I3042"/>
  <c r="G1267"/>
  <c r="I3004"/>
  <c r="G2870"/>
  <c r="I1909"/>
  <c r="D1822"/>
  <c r="D2947"/>
  <c r="I1148"/>
  <c r="G2341"/>
  <c r="D3088"/>
  <c r="D819"/>
  <c r="D1240"/>
  <c r="G197"/>
  <c r="I2068"/>
  <c r="G2243"/>
  <c r="D1067"/>
  <c r="I3294"/>
  <c r="D2455"/>
  <c r="G170"/>
  <c r="G3199"/>
  <c r="I477"/>
  <c r="G1237"/>
  <c r="D2417"/>
  <c r="I3118"/>
  <c r="I2200"/>
  <c r="G3448"/>
  <c r="D3065"/>
  <c r="D2979"/>
  <c r="G225"/>
  <c r="G2918"/>
  <c r="I1557"/>
  <c r="G1700"/>
  <c r="I599"/>
  <c r="G339"/>
  <c r="D3346"/>
  <c r="G1298"/>
  <c r="D324"/>
  <c r="G626"/>
  <c r="G2111"/>
  <c r="I595"/>
  <c r="G3594"/>
  <c r="G325"/>
  <c r="D281"/>
  <c r="I1827"/>
  <c r="I3375"/>
  <c r="I1797"/>
  <c r="G648"/>
  <c r="G2838"/>
  <c r="G1216"/>
  <c r="I25"/>
  <c r="D1977"/>
  <c r="G736"/>
  <c r="I179"/>
  <c r="I3016"/>
  <c r="D2234"/>
  <c r="D933"/>
  <c r="I371"/>
  <c r="I1241"/>
  <c r="I1975"/>
  <c r="G1967"/>
  <c r="D280"/>
  <c r="D790"/>
  <c r="D197"/>
  <c r="I3564"/>
  <c r="I2032"/>
  <c r="D1029"/>
  <c r="I50"/>
  <c r="D2104"/>
  <c r="I1708"/>
  <c r="G917"/>
  <c r="I1767"/>
  <c r="G2820"/>
  <c r="D534"/>
  <c r="G162"/>
  <c r="G2722"/>
  <c r="I559"/>
  <c r="D2057"/>
  <c r="I3026"/>
  <c r="I854"/>
  <c r="D1051"/>
  <c r="G1702"/>
  <c r="I1248"/>
  <c r="G2256"/>
  <c r="I230"/>
  <c r="G2894"/>
  <c r="G2090"/>
  <c r="I844"/>
  <c r="I1865"/>
  <c r="I1907"/>
  <c r="G944"/>
  <c r="I3396"/>
  <c r="D1968"/>
  <c r="G1338"/>
  <c r="D2162"/>
  <c r="I458"/>
  <c r="I1046"/>
  <c r="I2647"/>
  <c r="I2130"/>
  <c r="D2620"/>
  <c r="I229"/>
  <c r="I1984"/>
  <c r="D516"/>
  <c r="G138"/>
  <c r="G971"/>
  <c r="I1245"/>
  <c r="D1275"/>
  <c r="G1123"/>
  <c r="D1176"/>
  <c r="D2279"/>
  <c r="I1028"/>
  <c r="D289"/>
  <c r="D2324"/>
  <c r="G3078"/>
  <c r="G1201"/>
  <c r="G2167"/>
  <c r="I1218"/>
  <c r="D664"/>
  <c r="G1332"/>
  <c r="D1993"/>
  <c r="D2428"/>
  <c r="D1102"/>
  <c r="I127"/>
  <c r="G2641"/>
  <c r="D634"/>
  <c r="G1223"/>
  <c r="I399"/>
  <c r="D1571"/>
  <c r="D699"/>
  <c r="G827"/>
  <c r="G1647"/>
  <c r="I2440"/>
  <c r="G1190"/>
  <c r="G1570"/>
  <c r="I1010"/>
  <c r="G143"/>
  <c r="I1442"/>
  <c r="G2029"/>
  <c r="D196"/>
  <c r="G690"/>
  <c r="D605"/>
  <c r="I302"/>
  <c r="G1698"/>
  <c r="G2114"/>
  <c r="G3043"/>
  <c r="D2840"/>
  <c r="I2019"/>
  <c r="I1954"/>
  <c r="I6"/>
  <c r="G1721"/>
  <c r="I1426"/>
  <c r="G1356"/>
  <c r="G1918"/>
  <c r="I1377"/>
  <c r="I422"/>
  <c r="D2464"/>
  <c r="G408"/>
  <c r="I3074"/>
  <c r="I3185"/>
  <c r="D1873"/>
  <c r="D2995"/>
  <c r="I1359"/>
  <c r="I2056"/>
  <c r="D368"/>
  <c r="D23"/>
  <c r="G174"/>
  <c r="I1277"/>
  <c r="G1036"/>
  <c r="D511"/>
  <c r="I640"/>
  <c r="I1022"/>
  <c r="G97"/>
  <c r="D182"/>
  <c r="G651"/>
  <c r="G27"/>
  <c r="I3323"/>
  <c r="I1506"/>
  <c r="D3045"/>
  <c r="I2509"/>
  <c r="D3364"/>
  <c r="I3038"/>
  <c r="I1857"/>
  <c r="D2275"/>
  <c r="D1374"/>
  <c r="G49"/>
  <c r="D2809"/>
  <c r="I1694"/>
  <c r="I1764"/>
  <c r="I1566"/>
  <c r="G2856"/>
  <c r="D2274"/>
  <c r="I183"/>
  <c r="G3401"/>
  <c r="D2285"/>
  <c r="D202"/>
  <c r="D629"/>
  <c r="D782"/>
  <c r="G1217"/>
  <c r="D1204"/>
  <c r="I378"/>
  <c r="D741"/>
  <c r="D677"/>
  <c r="G443"/>
  <c r="D26"/>
  <c r="I2194"/>
  <c r="I349"/>
  <c r="G2550"/>
  <c r="I15"/>
  <c r="I3130"/>
  <c r="I1537"/>
  <c r="I1807"/>
  <c r="D2369"/>
  <c r="D84"/>
  <c r="I795"/>
  <c r="D145"/>
  <c r="D1894"/>
  <c r="I773"/>
  <c r="G768"/>
  <c r="I633"/>
  <c r="I3302"/>
  <c r="D1775"/>
  <c r="D447"/>
  <c r="I3604"/>
  <c r="D2732"/>
  <c r="I3040"/>
  <c r="G2504"/>
  <c r="I1651"/>
  <c r="D2978"/>
  <c r="D3171"/>
  <c r="G1230"/>
  <c r="G1224"/>
  <c r="D2758"/>
  <c r="D2083"/>
  <c r="I2045"/>
  <c r="I3017"/>
  <c r="D3137"/>
  <c r="G2989"/>
  <c r="G2240"/>
  <c r="G1598"/>
  <c r="G3193"/>
  <c r="I2197"/>
  <c r="D3566"/>
  <c r="G1336"/>
  <c r="I1384"/>
  <c r="G2176"/>
  <c r="G473"/>
  <c r="I3063"/>
  <c r="D1999"/>
  <c r="D16"/>
  <c r="I1147"/>
  <c r="D2214"/>
  <c r="I1884"/>
  <c r="D389"/>
  <c r="G928"/>
  <c r="I1313"/>
  <c r="G1530"/>
  <c r="G991"/>
  <c r="I1167"/>
  <c r="G1937"/>
  <c r="G1907"/>
  <c r="D98"/>
  <c r="I214"/>
  <c r="D2710"/>
  <c r="I532"/>
  <c r="I1722"/>
  <c r="I803"/>
  <c r="D1043"/>
  <c r="I1016"/>
  <c r="I368"/>
  <c r="G1824"/>
  <c r="G1081"/>
  <c r="G1663"/>
  <c r="D1463"/>
  <c r="G771"/>
  <c r="I3457"/>
  <c r="D937"/>
  <c r="I3445"/>
  <c r="I1542"/>
  <c r="I3356"/>
  <c r="G668"/>
  <c r="G2071"/>
  <c r="D3599"/>
  <c r="G795"/>
  <c r="I1531"/>
  <c r="G1229"/>
  <c r="D2557"/>
  <c r="I1491"/>
  <c r="G2308"/>
  <c r="D747"/>
  <c r="G433"/>
  <c r="D1885"/>
  <c r="D2357"/>
  <c r="D2201"/>
  <c r="I1727"/>
  <c r="I361"/>
  <c r="G1943"/>
  <c r="I466"/>
  <c r="I1251"/>
  <c r="D395"/>
  <c r="G1310"/>
  <c r="G308"/>
  <c r="I2483"/>
  <c r="D2604"/>
  <c r="I1519"/>
  <c r="D2617"/>
  <c r="I1824"/>
  <c r="D498"/>
  <c r="D990"/>
  <c r="G1375"/>
  <c r="D1044"/>
  <c r="I1972"/>
  <c r="I1789"/>
  <c r="D651"/>
  <c r="G3009"/>
  <c r="D1984"/>
  <c r="G2152"/>
  <c r="I3076"/>
  <c r="D579"/>
  <c r="D2293"/>
  <c r="I900"/>
  <c r="I3510"/>
  <c r="D3443"/>
  <c r="I2744"/>
  <c r="D2926"/>
  <c r="G247"/>
  <c r="D1351"/>
  <c r="I1886"/>
  <c r="G1003"/>
  <c r="D156"/>
  <c r="I2339"/>
  <c r="I976"/>
  <c r="I1574"/>
  <c r="I1596"/>
  <c r="I2458"/>
  <c r="D2345"/>
  <c r="I1536"/>
  <c r="G463"/>
  <c r="G2810"/>
  <c r="I1340"/>
  <c r="D746"/>
  <c r="D1097"/>
  <c r="G2206"/>
  <c r="G1432"/>
  <c r="I2600"/>
  <c r="I482"/>
  <c r="D517"/>
  <c r="I1021"/>
  <c r="G2092"/>
  <c r="G1565"/>
  <c r="D3357"/>
  <c r="G1147"/>
  <c r="G1472"/>
  <c r="D1517"/>
  <c r="G3211"/>
  <c r="G1238"/>
  <c r="I121"/>
  <c r="G226"/>
  <c r="G794"/>
  <c r="G2342"/>
  <c r="G2814"/>
  <c r="I941"/>
  <c r="G1402"/>
  <c r="I457"/>
  <c r="I1710"/>
  <c r="D943"/>
  <c r="I1084"/>
  <c r="G1418"/>
  <c r="D456"/>
  <c r="I1677"/>
  <c r="G334"/>
  <c r="D2078"/>
  <c r="D2439"/>
  <c r="D433"/>
  <c r="I940"/>
  <c r="I1963"/>
  <c r="G906"/>
  <c r="G760"/>
  <c r="D2180"/>
  <c r="I1238"/>
  <c r="I2077"/>
  <c r="I1395"/>
  <c r="I2504"/>
  <c r="D541"/>
  <c r="I1162"/>
  <c r="I570"/>
  <c r="G1299"/>
  <c r="G2587"/>
  <c r="I912"/>
  <c r="D265"/>
  <c r="I354"/>
  <c r="D370"/>
  <c r="I3162"/>
  <c r="I2395"/>
  <c r="I1910"/>
  <c r="I3161"/>
  <c r="G2782"/>
  <c r="I1512"/>
  <c r="D6"/>
  <c r="G806"/>
  <c r="G3172"/>
  <c r="I1033"/>
  <c r="D1649"/>
  <c r="I1594"/>
  <c r="I2389"/>
  <c r="G2941"/>
  <c r="G201"/>
  <c r="I3142"/>
  <c r="G807"/>
  <c r="I2468"/>
  <c r="I1540"/>
  <c r="G2733"/>
  <c r="G939"/>
  <c r="D1518"/>
  <c r="D1024"/>
  <c r="G1065"/>
  <c r="G851"/>
  <c r="I1001"/>
  <c r="D337"/>
  <c r="G998"/>
  <c r="I1723"/>
  <c r="D3240"/>
  <c r="G933"/>
  <c r="G2777"/>
  <c r="D2549"/>
  <c r="I1101"/>
  <c r="G3204"/>
  <c r="G363"/>
  <c r="I2558"/>
  <c r="I401"/>
  <c r="I1754"/>
  <c r="G448"/>
  <c r="D1081"/>
  <c r="I3515"/>
  <c r="D2245"/>
  <c r="D3455"/>
  <c r="G2253"/>
  <c r="G3158"/>
  <c r="I2555"/>
  <c r="G1623"/>
  <c r="D518"/>
  <c r="I2941"/>
  <c r="D176"/>
  <c r="I54"/>
  <c r="D2590"/>
  <c r="G2703"/>
  <c r="D3414"/>
  <c r="I2059"/>
  <c r="I333"/>
  <c r="I206"/>
  <c r="G141"/>
  <c r="D3456"/>
  <c r="I3400"/>
  <c r="D2184"/>
  <c r="I1994"/>
  <c r="G1137"/>
  <c r="D3159"/>
  <c r="I47"/>
  <c r="I131"/>
  <c r="I1816"/>
  <c r="I1431"/>
  <c r="D3590"/>
  <c r="I999"/>
  <c r="G3542"/>
  <c r="I2589"/>
  <c r="D1080"/>
  <c r="D3034"/>
  <c r="G1777"/>
  <c r="G1629"/>
  <c r="I2875"/>
  <c r="I1924"/>
  <c r="G1599"/>
  <c r="D2742"/>
  <c r="I1177"/>
  <c r="G2465"/>
  <c r="I217"/>
  <c r="D1216"/>
  <c r="I1058"/>
  <c r="I3588"/>
  <c r="G3089"/>
  <c r="G3111"/>
  <c r="I1252"/>
  <c r="I3262"/>
  <c r="D172"/>
  <c r="I1614"/>
  <c r="G2210"/>
  <c r="G3181"/>
  <c r="I484"/>
  <c r="G3025"/>
  <c r="I3399"/>
  <c r="G2282"/>
  <c r="I1267"/>
  <c r="D1943"/>
  <c r="I1077"/>
  <c r="G1977"/>
  <c r="D1101"/>
  <c r="G313"/>
  <c r="G3478"/>
  <c r="I2894"/>
  <c r="G814"/>
  <c r="D2537"/>
  <c r="I2895"/>
  <c r="D818"/>
  <c r="G1312"/>
  <c r="D473"/>
  <c r="D655"/>
  <c r="I3060"/>
  <c r="G2072"/>
  <c r="D617"/>
  <c r="G837"/>
  <c r="G2792"/>
  <c r="G2118"/>
  <c r="D846"/>
  <c r="G580"/>
  <c r="G2518"/>
  <c r="G926"/>
  <c r="G2041"/>
  <c r="G456"/>
  <c r="G1669"/>
  <c r="G550"/>
  <c r="G129"/>
  <c r="I1757"/>
  <c r="I1762"/>
  <c r="I2961"/>
  <c r="I379"/>
  <c r="D2931"/>
  <c r="G1458"/>
  <c r="G884"/>
  <c r="D730"/>
  <c r="G1897"/>
  <c r="G3547"/>
  <c r="G2627"/>
  <c r="I986"/>
  <c r="D142"/>
  <c r="I2541"/>
  <c r="G3337"/>
  <c r="I849"/>
  <c r="I3480"/>
  <c r="G2990"/>
  <c r="G1756"/>
  <c r="D2074"/>
  <c r="G248"/>
  <c r="G2590"/>
  <c r="I1803"/>
  <c r="G2287"/>
  <c r="G1362"/>
  <c r="I1982"/>
  <c r="G1697"/>
  <c r="G839"/>
  <c r="G902"/>
  <c r="D1687"/>
  <c r="I709"/>
  <c r="I3402"/>
  <c r="I561"/>
  <c r="I2933"/>
  <c r="I1547"/>
  <c r="D979"/>
  <c r="I366"/>
  <c r="I881"/>
  <c r="I2979"/>
  <c r="I3046"/>
  <c r="D2727"/>
  <c r="G2577"/>
  <c r="I1325"/>
  <c r="I842"/>
  <c r="D2790"/>
  <c r="G539"/>
  <c r="G1555"/>
  <c r="G1047"/>
  <c r="G2102"/>
  <c r="G137"/>
  <c r="D378"/>
  <c r="D992"/>
  <c r="I1952"/>
  <c r="I297"/>
  <c r="I1872"/>
  <c r="D539"/>
  <c r="D239"/>
  <c r="G1171"/>
  <c r="G311"/>
  <c r="I2508"/>
  <c r="I138"/>
  <c r="D1183"/>
  <c r="D2325"/>
  <c r="I3303"/>
  <c r="G2605"/>
  <c r="G3453"/>
  <c r="I782"/>
  <c r="G2718"/>
  <c r="D2465"/>
  <c r="D586"/>
  <c r="I725"/>
  <c r="G594"/>
  <c r="G2469"/>
  <c r="I810"/>
  <c r="G532"/>
  <c r="I2926"/>
  <c r="G652"/>
  <c r="I2284"/>
  <c r="G1149"/>
  <c r="D2267"/>
  <c r="G877"/>
  <c r="G1825"/>
  <c r="D3301"/>
  <c r="I1085"/>
  <c r="D1778"/>
  <c r="I3126"/>
  <c r="I1276"/>
  <c r="G450"/>
  <c r="D1773"/>
  <c r="G785"/>
  <c r="D446"/>
  <c r="G189"/>
  <c r="D2373"/>
  <c r="I2086"/>
  <c r="G1062"/>
  <c r="I56"/>
  <c r="G764"/>
  <c r="D2429"/>
  <c r="D3064"/>
  <c r="G1368"/>
  <c r="G2417"/>
  <c r="D767"/>
  <c r="G2014"/>
  <c r="I716"/>
  <c r="I637"/>
  <c r="G2677"/>
  <c r="G2507"/>
  <c r="D2985"/>
  <c r="G2685"/>
  <c r="I1790"/>
  <c r="D1835"/>
  <c r="D3535"/>
  <c r="D1092"/>
  <c r="I2191"/>
  <c r="G2538"/>
  <c r="D2810"/>
  <c r="I3562"/>
  <c r="D3527"/>
  <c r="G1978"/>
  <c r="D1318"/>
  <c r="G1659"/>
  <c r="D1576"/>
  <c r="I3523"/>
  <c r="I848"/>
  <c r="G1274"/>
  <c r="D577"/>
  <c r="I71"/>
  <c r="D1742"/>
  <c r="D1927"/>
  <c r="G329"/>
  <c r="I2981"/>
  <c r="I125"/>
  <c r="G2267"/>
  <c r="D2965"/>
  <c r="G911"/>
  <c r="D1860"/>
  <c r="G281"/>
  <c r="D911"/>
  <c r="I831"/>
  <c r="D1270"/>
  <c r="I187"/>
  <c r="D1913"/>
  <c r="I448"/>
  <c r="I2370"/>
  <c r="G3235"/>
  <c r="D1057"/>
  <c r="D3263"/>
  <c r="I1345"/>
  <c r="I2100"/>
  <c r="G100"/>
  <c r="I528"/>
  <c r="I2898"/>
  <c r="I2408"/>
  <c r="D2951"/>
  <c r="G1079"/>
  <c r="G2740"/>
  <c r="G2104"/>
  <c r="G3307"/>
  <c r="I870"/>
  <c r="G531"/>
  <c r="I732"/>
  <c r="G910"/>
  <c r="D3194"/>
  <c r="G405"/>
  <c r="D875"/>
  <c r="D1232"/>
  <c r="D288"/>
  <c r="D2588"/>
  <c r="G3191"/>
  <c r="G1926"/>
  <c r="I3483"/>
  <c r="D2943"/>
  <c r="D3174"/>
  <c r="G2864"/>
  <c r="G1670"/>
  <c r="I2248"/>
  <c r="G2060"/>
  <c r="I1896"/>
  <c r="I566"/>
  <c r="G2232"/>
  <c r="D2467"/>
  <c r="G2180"/>
  <c r="D3020"/>
  <c r="G520"/>
  <c r="I723"/>
  <c r="G2350"/>
  <c r="G1624"/>
  <c r="I1698"/>
  <c r="G1251"/>
  <c r="D221"/>
  <c r="I683"/>
  <c r="I551"/>
  <c r="G371"/>
  <c r="I1514"/>
  <c r="G696"/>
  <c r="D532"/>
  <c r="G3118"/>
  <c r="G792"/>
  <c r="G2103"/>
  <c r="I225"/>
  <c r="I2582"/>
  <c r="I3235"/>
  <c r="G380"/>
  <c r="I1712"/>
  <c r="I410"/>
  <c r="G1766"/>
  <c r="I1486"/>
  <c r="D2100"/>
  <c r="D438"/>
  <c r="G285"/>
  <c r="D2884"/>
  <c r="D2394"/>
  <c r="D804"/>
  <c r="D408"/>
  <c r="D63"/>
  <c r="G3583"/>
  <c r="I585"/>
  <c r="D690"/>
  <c r="D3121"/>
  <c r="G1244"/>
  <c r="G2945"/>
  <c r="D1744"/>
  <c r="D262"/>
  <c r="G1703"/>
  <c r="G1568"/>
  <c r="D2728"/>
  <c r="G3385"/>
  <c r="D2615"/>
  <c r="G2475"/>
  <c r="G499"/>
  <c r="I2070"/>
  <c r="I2187"/>
  <c r="G41"/>
  <c r="D1886"/>
  <c r="I106"/>
  <c r="I417"/>
  <c r="I335"/>
  <c r="G3152"/>
  <c r="D1346"/>
  <c r="I98"/>
  <c r="G1916"/>
  <c r="D251"/>
  <c r="I817"/>
  <c r="G553"/>
  <c r="D2259"/>
  <c r="G1395"/>
  <c r="I2236"/>
  <c r="D585"/>
  <c r="I2170"/>
  <c r="D662"/>
  <c r="G2018"/>
  <c r="D1391"/>
  <c r="G1805"/>
  <c r="D110"/>
  <c r="G468"/>
  <c r="I224"/>
  <c r="D175"/>
  <c r="D1643"/>
  <c r="I1416"/>
  <c r="I499"/>
  <c r="I11"/>
  <c r="I1552"/>
  <c r="G544"/>
  <c r="D2015"/>
  <c r="G2398"/>
  <c r="G2040"/>
  <c r="I463"/>
  <c r="G1016"/>
  <c r="G1247"/>
  <c r="I1434"/>
  <c r="G562"/>
  <c r="I1539"/>
  <c r="G2977"/>
  <c r="D576"/>
  <c r="G2190"/>
  <c r="G1388"/>
  <c r="G666"/>
  <c r="I596"/>
  <c r="G1715"/>
  <c r="G1787"/>
  <c r="G1367"/>
  <c r="G1514"/>
  <c r="G1056"/>
  <c r="G2135"/>
  <c r="G1771"/>
  <c r="D2360"/>
  <c r="I3077"/>
  <c r="I2482"/>
  <c r="I840"/>
  <c r="G1873"/>
  <c r="D1645"/>
  <c r="D1930"/>
  <c r="G579"/>
  <c r="D1243"/>
  <c r="G1473"/>
  <c r="G345"/>
  <c r="G2846"/>
  <c r="I1632"/>
  <c r="G300"/>
  <c r="I2352"/>
  <c r="D3396"/>
  <c r="I2778"/>
  <c r="G3559"/>
  <c r="G655"/>
  <c r="G769"/>
  <c r="D843"/>
  <c r="G166"/>
  <c r="D161"/>
  <c r="G3001"/>
  <c r="I382"/>
  <c r="D3579"/>
  <c r="I1869"/>
  <c r="I1478"/>
  <c r="I790"/>
  <c r="D1380"/>
  <c r="D308"/>
  <c r="G586"/>
  <c r="I3476"/>
  <c r="I1261"/>
  <c r="G493"/>
  <c r="G2488"/>
  <c r="D2580"/>
  <c r="D59"/>
  <c r="G1705"/>
  <c r="D86"/>
  <c r="D678"/>
  <c r="I930"/>
  <c r="G2298"/>
  <c r="I180"/>
  <c r="G1701"/>
  <c r="I3212"/>
  <c r="I2051"/>
  <c r="D2322"/>
  <c r="I2630"/>
  <c r="D1382"/>
  <c r="G1512"/>
  <c r="G2164"/>
  <c r="I677"/>
  <c r="G650"/>
  <c r="I1561"/>
  <c r="G1393"/>
  <c r="G20"/>
  <c r="G1751"/>
  <c r="D1103"/>
  <c r="G211"/>
  <c r="G490"/>
  <c r="D940"/>
  <c r="G2052"/>
  <c r="I12"/>
  <c r="G567"/>
  <c r="D817"/>
  <c r="G1318"/>
  <c r="I1135"/>
  <c r="D706"/>
  <c r="D1962"/>
  <c r="D2142"/>
  <c r="G1383"/>
  <c r="G8"/>
  <c r="G622"/>
  <c r="G1836"/>
  <c r="I741"/>
  <c r="I375"/>
  <c r="I2734"/>
  <c r="D1875"/>
  <c r="G2557"/>
  <c r="D236"/>
  <c r="I323"/>
  <c r="D2499"/>
  <c r="I3335"/>
  <c r="G1968"/>
  <c r="G2714"/>
  <c r="G2822"/>
  <c r="G658"/>
  <c r="D1601"/>
  <c r="D2725"/>
  <c r="I950"/>
  <c r="I1592"/>
  <c r="I61"/>
  <c r="D1156"/>
  <c r="G367"/>
  <c r="D2825"/>
  <c r="I984"/>
  <c r="D879"/>
  <c r="I1985"/>
  <c r="G357"/>
  <c r="G3220"/>
  <c r="G1178"/>
  <c r="G238"/>
  <c r="I3397"/>
  <c r="I692"/>
  <c r="G649"/>
  <c r="I921"/>
  <c r="G647"/>
  <c r="I139"/>
  <c r="D514"/>
  <c r="I3032"/>
  <c r="D1861"/>
  <c r="G2593"/>
  <c r="I2480"/>
  <c r="I2423"/>
  <c r="G304"/>
  <c r="D65"/>
  <c r="D1842"/>
  <c r="G489"/>
  <c r="D2005"/>
  <c r="G2400"/>
  <c r="G819"/>
  <c r="I783"/>
  <c r="I1488"/>
  <c r="I2530"/>
  <c r="G1524"/>
  <c r="G1463"/>
  <c r="D349"/>
  <c r="I394"/>
  <c r="G2530"/>
  <c r="I1485"/>
  <c r="D1252"/>
  <c r="I412"/>
  <c r="D3260"/>
  <c r="I1948"/>
  <c r="I1631"/>
  <c r="G1280"/>
  <c r="D1208"/>
  <c r="I772"/>
  <c r="I461"/>
  <c r="G1370"/>
  <c r="I1663"/>
  <c r="G2834"/>
  <c r="D220"/>
  <c r="I1017"/>
  <c r="G1464"/>
  <c r="G879"/>
  <c r="I2552"/>
  <c r="D2958"/>
  <c r="I766"/>
  <c r="D470"/>
  <c r="G1101"/>
  <c r="I21"/>
  <c r="D1634"/>
  <c r="I397"/>
  <c r="G1684"/>
  <c r="G576"/>
  <c r="G494"/>
  <c r="I2771"/>
  <c r="D2801"/>
  <c r="I2715"/>
  <c r="D73"/>
  <c r="G2066"/>
  <c r="I1405"/>
  <c r="G1433"/>
  <c r="D1137"/>
  <c r="I281"/>
  <c r="D2476"/>
  <c r="G3247"/>
  <c r="G1656"/>
  <c r="I134"/>
  <c r="D1106"/>
  <c r="G261"/>
  <c r="G1225"/>
  <c r="G752"/>
  <c r="I31"/>
  <c r="I1224"/>
  <c r="I929"/>
  <c r="G924"/>
  <c r="G2459"/>
  <c r="D2609"/>
  <c r="G2890"/>
  <c r="I2081"/>
  <c r="G861"/>
  <c r="D226"/>
  <c r="I490"/>
  <c r="D1087"/>
  <c r="D1958"/>
  <c r="G1719"/>
  <c r="I505"/>
  <c r="G1255"/>
  <c r="D2073"/>
  <c r="G2919"/>
  <c r="G2373"/>
  <c r="G3327"/>
  <c r="I2062"/>
  <c r="I2526"/>
  <c r="I1179"/>
  <c r="G747"/>
  <c r="I575"/>
  <c r="I2280"/>
  <c r="D234"/>
  <c r="D45"/>
  <c r="G1730"/>
  <c r="G1193"/>
  <c r="D1180"/>
  <c r="I1232"/>
  <c r="I743"/>
  <c r="G3400"/>
  <c r="I664"/>
  <c r="I84"/>
  <c r="G1870"/>
  <c r="D1040"/>
  <c r="D108"/>
  <c r="D1323"/>
  <c r="D186"/>
  <c r="G1590"/>
  <c r="D83"/>
  <c r="D39"/>
  <c r="G2725"/>
  <c r="I3531"/>
  <c r="G1720"/>
  <c r="G2690"/>
  <c r="I1949"/>
  <c r="G595"/>
  <c r="G1561"/>
  <c r="G1055"/>
  <c r="G950"/>
  <c r="I1983"/>
  <c r="G1249"/>
  <c r="G1226"/>
  <c r="D3447"/>
  <c r="I1441"/>
  <c r="D2313"/>
  <c r="I3257"/>
  <c r="D2488"/>
  <c r="G631"/>
  <c r="D769"/>
  <c r="G2370"/>
  <c r="G260"/>
  <c r="I948"/>
  <c r="G541"/>
  <c r="I1115"/>
  <c r="D2721"/>
  <c r="D3197"/>
  <c r="G210"/>
  <c r="G1725"/>
  <c r="G3238"/>
  <c r="D590"/>
  <c r="G2774"/>
  <c r="I3332"/>
  <c r="I2110"/>
  <c r="I1260"/>
  <c r="I1401"/>
  <c r="G169"/>
  <c r="I88"/>
  <c r="G2956"/>
  <c r="I966"/>
  <c r="D37"/>
  <c r="I968"/>
  <c r="I2857"/>
  <c r="I1995"/>
  <c r="I1091"/>
  <c r="I391"/>
  <c r="D106"/>
  <c r="G2183"/>
  <c r="D1148"/>
  <c r="I388"/>
  <c r="I153"/>
  <c r="G516"/>
  <c r="D849"/>
  <c r="D1004"/>
  <c r="I3456"/>
  <c r="I1822"/>
  <c r="I1584"/>
  <c r="G417"/>
  <c r="D822"/>
  <c r="G1239"/>
  <c r="G3215"/>
  <c r="D715"/>
  <c r="I3413"/>
  <c r="I35"/>
  <c r="I3223"/>
  <c r="G382"/>
  <c r="G1857"/>
  <c r="D2017"/>
  <c r="I554"/>
  <c r="I2722"/>
  <c r="D3082"/>
  <c r="D374"/>
  <c r="I2360"/>
  <c r="I2583"/>
  <c r="G175"/>
  <c r="I1786"/>
  <c r="G1049"/>
  <c r="D720"/>
  <c r="I1107"/>
  <c r="I748"/>
  <c r="G1417"/>
  <c r="G611"/>
  <c r="D711"/>
  <c r="G206"/>
  <c r="D531"/>
  <c r="G1063"/>
  <c r="G52"/>
  <c r="D1644"/>
  <c r="G2886"/>
  <c r="G115"/>
  <c r="G2484"/>
  <c r="D604"/>
  <c r="G2650"/>
  <c r="I3489"/>
  <c r="I2139"/>
  <c r="D261"/>
  <c r="G2392"/>
  <c r="I2259"/>
  <c r="D411"/>
  <c r="G665"/>
  <c r="I1487"/>
  <c r="D2741"/>
  <c r="I2510"/>
  <c r="G2003"/>
  <c r="G1128"/>
  <c r="G343"/>
  <c r="D162"/>
  <c r="I1263"/>
  <c r="G1341"/>
  <c r="D1848"/>
  <c r="I74"/>
  <c r="I62"/>
  <c r="G1574"/>
  <c r="I2349"/>
  <c r="I92"/>
  <c r="I111"/>
  <c r="I79"/>
  <c r="D3017"/>
  <c r="D2907"/>
  <c r="G946"/>
  <c r="D3446"/>
  <c r="D1975"/>
  <c r="D1874"/>
  <c r="D384"/>
  <c r="G324"/>
  <c r="G1479"/>
  <c r="G2247"/>
  <c r="I3259"/>
  <c r="G629"/>
  <c r="G2827"/>
  <c r="G484"/>
  <c r="G1309"/>
  <c r="I3203"/>
  <c r="D132"/>
  <c r="G1442"/>
  <c r="G398"/>
  <c r="G1050"/>
  <c r="I3146"/>
  <c r="I1997"/>
  <c r="G3387"/>
  <c r="I3339"/>
  <c r="I1331"/>
  <c r="G2738"/>
  <c r="I3453"/>
  <c r="D2023"/>
  <c r="G1339"/>
  <c r="D2143"/>
  <c r="D3143"/>
  <c r="D2860"/>
  <c r="I2305"/>
  <c r="D1978"/>
  <c r="D121"/>
  <c r="D912"/>
  <c r="D618"/>
  <c r="D1348"/>
  <c r="G156"/>
  <c r="D305"/>
  <c r="D1879"/>
  <c r="G1612"/>
  <c r="I1373"/>
  <c r="G2384"/>
  <c r="I395"/>
  <c r="G390"/>
  <c r="I838"/>
  <c r="I239"/>
  <c r="I2166"/>
  <c r="G37"/>
  <c r="D984"/>
  <c r="G1971"/>
  <c r="D882"/>
  <c r="I451"/>
  <c r="G442"/>
  <c r="G2443"/>
  <c r="G702"/>
  <c r="G2200"/>
  <c r="I1054"/>
  <c r="I2135"/>
  <c r="G1816"/>
  <c r="G1495"/>
  <c r="I2572"/>
  <c r="G671"/>
  <c r="D2525"/>
  <c r="I137"/>
  <c r="G684"/>
  <c r="G2365"/>
  <c r="G3065"/>
  <c r="I3168"/>
  <c r="G2729"/>
  <c r="I1720"/>
  <c r="D243"/>
  <c r="I1944"/>
  <c r="I1429"/>
  <c r="G2115"/>
  <c r="D3125"/>
  <c r="I2513"/>
  <c r="G1130"/>
  <c r="G458"/>
  <c r="I133"/>
  <c r="D87"/>
  <c r="I1751"/>
  <c r="D427"/>
  <c r="G3047"/>
  <c r="D665"/>
  <c r="D861"/>
  <c r="G361"/>
  <c r="I1403"/>
  <c r="D2286"/>
  <c r="G1117"/>
  <c r="D3607"/>
  <c r="D18"/>
  <c r="D2853"/>
  <c r="I420"/>
  <c r="G639"/>
  <c r="D382"/>
  <c r="I1278"/>
  <c r="I3343"/>
  <c r="G3370"/>
  <c r="D3449"/>
  <c r="D3547"/>
  <c r="G2280"/>
  <c r="G1340"/>
  <c r="I1543"/>
  <c r="D141"/>
  <c r="G2912"/>
  <c r="I1834"/>
  <c r="D1170"/>
  <c r="I1438"/>
  <c r="I1739"/>
  <c r="G585"/>
  <c r="G95"/>
  <c r="G559"/>
  <c r="I535"/>
  <c r="D488"/>
  <c r="G2808"/>
  <c r="D3327"/>
  <c r="G2155"/>
  <c r="G2617"/>
  <c r="G3230"/>
  <c r="D1359"/>
  <c r="I1957"/>
  <c r="G256"/>
  <c r="G2369"/>
  <c r="I2233"/>
  <c r="I1111"/>
  <c r="D242"/>
  <c r="G703"/>
  <c r="G2012"/>
  <c r="D225"/>
  <c r="D1003"/>
  <c r="G1986"/>
  <c r="D1034"/>
  <c r="D2051"/>
  <c r="D328"/>
  <c r="G1493"/>
  <c r="D2781"/>
  <c r="I1523"/>
  <c r="G263"/>
  <c r="D1603"/>
  <c r="D3378"/>
  <c r="I3085"/>
  <c r="I1425"/>
  <c r="I1164"/>
  <c r="D3222"/>
  <c r="G376"/>
  <c r="D2900"/>
  <c r="I1230"/>
  <c r="I76"/>
  <c r="D43"/>
  <c r="I1334"/>
  <c r="I196"/>
  <c r="I163"/>
  <c r="I114"/>
  <c r="G1173"/>
  <c r="I794"/>
  <c r="D2475"/>
  <c r="I3133"/>
  <c r="G1439"/>
  <c r="G1515"/>
  <c r="G2431"/>
  <c r="D1396"/>
  <c r="D453"/>
  <c r="I1937"/>
  <c r="G2345"/>
  <c r="G282"/>
  <c r="D483"/>
  <c r="I2347"/>
  <c r="D3470"/>
  <c r="I2807"/>
  <c r="D70"/>
  <c r="G788"/>
  <c r="I450"/>
  <c r="D1636"/>
  <c r="D3208"/>
  <c r="G1342"/>
  <c r="D2616"/>
  <c r="I241"/>
  <c r="G745"/>
  <c r="I2836"/>
  <c r="I3018"/>
  <c r="G337"/>
  <c r="G732"/>
  <c r="D2203"/>
  <c r="G3396"/>
  <c r="D2022"/>
  <c r="G2368"/>
  <c r="D3440"/>
  <c r="I1484"/>
  <c r="D2035"/>
  <c r="G634"/>
  <c r="G923"/>
  <c r="G2897"/>
  <c r="I579"/>
  <c r="G1743"/>
  <c r="I172"/>
  <c r="G978"/>
  <c r="D1298"/>
  <c r="I1732"/>
  <c r="I1785"/>
  <c r="D2773"/>
  <c r="I2858"/>
  <c r="G1591"/>
  <c r="D1818"/>
  <c r="D3049"/>
  <c r="I1287"/>
  <c r="I425"/>
  <c r="D2848"/>
  <c r="G2775"/>
  <c r="I1399"/>
  <c r="G1793"/>
  <c r="D2207"/>
  <c r="G1073"/>
  <c r="G1136"/>
  <c r="D2558"/>
  <c r="I1549"/>
  <c r="G3005"/>
  <c r="I3439"/>
  <c r="I935"/>
  <c r="D1946"/>
  <c r="I1846"/>
  <c r="I1799"/>
  <c r="I1221"/>
  <c r="I552"/>
  <c r="I154"/>
  <c r="I2527"/>
  <c r="D1877"/>
  <c r="D97"/>
  <c r="G47"/>
  <c r="D549"/>
  <c r="D2384"/>
  <c r="I2368"/>
  <c r="G3302"/>
  <c r="G2705"/>
  <c r="D1760"/>
  <c r="G2265"/>
  <c r="D405"/>
  <c r="G927"/>
  <c r="D964"/>
  <c r="D390"/>
  <c r="G147"/>
  <c r="D951"/>
  <c r="D1829"/>
  <c r="I1226"/>
  <c r="I1848"/>
  <c r="G1392"/>
  <c r="I1366"/>
  <c r="G2391"/>
  <c r="D235"/>
  <c r="G1938"/>
  <c r="I97"/>
  <c r="D480"/>
  <c r="D1821"/>
  <c r="D1304"/>
  <c r="G475"/>
  <c r="G2402"/>
  <c r="I735"/>
  <c r="G155"/>
  <c r="I2928"/>
  <c r="I2821"/>
  <c r="G833"/>
  <c r="I609"/>
  <c r="D2347"/>
  <c r="I1264"/>
  <c r="I251"/>
  <c r="I2414"/>
  <c r="D1381"/>
  <c r="D418"/>
  <c r="I1282"/>
  <c r="G1084"/>
  <c r="I43"/>
  <c r="G1712"/>
  <c r="D809"/>
  <c r="D253"/>
  <c r="I2759"/>
  <c r="D2529"/>
  <c r="I897"/>
  <c r="G1948"/>
  <c r="G9"/>
  <c r="D1196"/>
  <c r="I107"/>
  <c r="I914"/>
  <c r="D1021"/>
  <c r="D877"/>
  <c r="G672"/>
  <c r="D2637"/>
  <c r="I104"/>
  <c r="D1233"/>
  <c r="D1389"/>
  <c r="I51"/>
  <c r="G289"/>
  <c r="G932"/>
  <c r="G1385"/>
  <c r="D1352"/>
  <c r="G2997"/>
  <c r="G688"/>
  <c r="G3590"/>
  <c r="D1756"/>
  <c r="D250"/>
  <c r="G1976"/>
  <c r="I1841"/>
  <c r="G2208"/>
  <c r="I2867"/>
  <c r="I188"/>
  <c r="D1334"/>
  <c r="I1676"/>
  <c r="I2481"/>
  <c r="I1715"/>
  <c r="D1909"/>
  <c r="G1930"/>
  <c r="G172"/>
  <c r="G3572"/>
  <c r="D211"/>
  <c r="D736"/>
  <c r="G1053"/>
  <c r="D2649"/>
  <c r="I3580"/>
  <c r="D1638"/>
  <c r="D594"/>
  <c r="D3068"/>
  <c r="G972"/>
  <c r="D582"/>
  <c r="G798"/>
  <c r="D2175"/>
  <c r="I3171"/>
  <c r="I3227"/>
  <c r="I3129"/>
  <c r="I3218"/>
  <c r="I1061"/>
  <c r="I1483"/>
  <c r="D1302"/>
  <c r="D3521"/>
  <c r="G1413"/>
  <c r="I1562"/>
  <c r="D3192"/>
  <c r="I3369"/>
  <c r="I2037"/>
  <c r="I1410"/>
  <c r="I2934"/>
  <c r="I788"/>
  <c r="D489"/>
  <c r="G1737"/>
  <c r="D2737"/>
  <c r="I594"/>
  <c r="I593"/>
  <c r="G1043"/>
  <c r="D1654"/>
  <c r="G483"/>
  <c r="I972"/>
  <c r="G855"/>
  <c r="D1563"/>
  <c r="G2237"/>
  <c r="I2398"/>
  <c r="I3102"/>
  <c r="D1949"/>
  <c r="I3300"/>
  <c r="G2726"/>
  <c r="G565"/>
  <c r="G857"/>
  <c r="I233"/>
  <c r="D742"/>
  <c r="I1999"/>
  <c r="D1648"/>
  <c r="G496"/>
  <c r="G2415"/>
  <c r="G2798"/>
  <c r="D1824"/>
  <c r="D507"/>
  <c r="I2554"/>
  <c r="D1740"/>
  <c r="I1873"/>
  <c r="D733"/>
  <c r="G1209"/>
  <c r="D388"/>
  <c r="G1006"/>
  <c r="G1975"/>
  <c r="G2806"/>
  <c r="G583"/>
  <c r="I2242"/>
  <c r="G3409"/>
  <c r="G2974"/>
  <c r="I2438"/>
  <c r="D2300"/>
  <c r="G1830"/>
  <c r="D215"/>
  <c r="G1729"/>
  <c r="D781"/>
  <c r="G1027"/>
  <c r="D1250"/>
  <c r="D102"/>
  <c r="G2406"/>
  <c r="D2673"/>
  <c r="I1385"/>
  <c r="I269"/>
  <c r="G3277"/>
  <c r="G2770"/>
  <c r="G1799"/>
  <c r="G797"/>
  <c r="G422"/>
  <c r="G1121"/>
  <c r="G2047"/>
  <c r="I3221"/>
  <c r="G1060"/>
  <c r="G2061"/>
  <c r="D2600"/>
  <c r="D1284"/>
  <c r="D922"/>
  <c r="D1169"/>
  <c r="I385"/>
  <c r="I3317"/>
  <c r="G432"/>
  <c r="I714"/>
  <c r="G410"/>
  <c r="I1274"/>
  <c r="D543"/>
  <c r="I2696"/>
  <c r="D3249"/>
  <c r="G1456"/>
  <c r="G3379"/>
  <c r="D2242"/>
  <c r="I1640"/>
  <c r="I273"/>
  <c r="G823"/>
  <c r="G1837"/>
  <c r="D402"/>
  <c r="G530"/>
  <c r="D3594"/>
  <c r="G969"/>
  <c r="D2127"/>
  <c r="G3329"/>
  <c r="I994"/>
  <c r="G36"/>
  <c r="I1641"/>
  <c r="G1714"/>
  <c r="D2528"/>
  <c r="G528"/>
  <c r="G3234"/>
  <c r="I1009"/>
  <c r="G146"/>
  <c r="D218"/>
  <c r="D1138"/>
  <c r="G1618"/>
  <c r="I404"/>
  <c r="D2797"/>
  <c r="G2717"/>
  <c r="D240"/>
  <c r="D551"/>
  <c r="D1584"/>
  <c r="I498"/>
  <c r="I198"/>
  <c r="G2547"/>
  <c r="D1458"/>
  <c r="G1423"/>
  <c r="I1736"/>
  <c r="G1606"/>
  <c r="I2591"/>
  <c r="G212"/>
  <c r="I856"/>
  <c r="D1986"/>
  <c r="G3226"/>
  <c r="I2545"/>
  <c r="G964"/>
  <c r="D827"/>
  <c r="G12"/>
  <c r="I700"/>
  <c r="D1105"/>
  <c r="G2440"/>
  <c r="D1290"/>
  <c r="D1906"/>
  <c r="G1198"/>
  <c r="G3586"/>
  <c r="D2305"/>
  <c r="D810"/>
  <c r="G2657"/>
  <c r="D3350"/>
  <c r="D932"/>
  <c r="D615"/>
  <c r="I1889"/>
  <c r="G947"/>
  <c r="G1963"/>
  <c r="I3329"/>
  <c r="D95"/>
  <c r="I2748"/>
  <c r="G1587"/>
  <c r="D2029"/>
  <c r="I220"/>
  <c r="D644"/>
  <c r="I3544"/>
  <c r="G492"/>
  <c r="D41"/>
  <c r="D228"/>
  <c r="I1244"/>
  <c r="I10"/>
  <c r="D501"/>
  <c r="G791"/>
  <c r="D646"/>
  <c r="I1646"/>
  <c r="G2175"/>
  <c r="I1126"/>
  <c r="D1451"/>
  <c r="D771"/>
  <c r="G706"/>
  <c r="I228"/>
  <c r="G3088"/>
  <c r="D697"/>
  <c r="I494"/>
  <c r="D1763"/>
  <c r="G707"/>
  <c r="I467"/>
  <c r="D903"/>
  <c r="I1242"/>
  <c r="I2367"/>
  <c r="D1119"/>
  <c r="I2500"/>
  <c r="I1990"/>
  <c r="G3207"/>
  <c r="D1570"/>
  <c r="I2265"/>
  <c r="G22"/>
  <c r="I1472"/>
  <c r="D976"/>
  <c r="D131"/>
  <c r="I571"/>
  <c r="I687"/>
  <c r="D926"/>
  <c r="I453"/>
  <c r="D929"/>
  <c r="G1334"/>
  <c r="I1854"/>
  <c r="I1877"/>
  <c r="G509"/>
  <c r="I777"/>
  <c r="G1414"/>
  <c r="G656"/>
  <c r="D293"/>
  <c r="I2516"/>
  <c r="I3468"/>
  <c r="D275"/>
  <c r="D1798"/>
  <c r="D2827"/>
  <c r="G298"/>
  <c r="D463"/>
  <c r="D1786"/>
  <c r="I776"/>
  <c r="I1490"/>
  <c r="D3186"/>
  <c r="I2167"/>
  <c r="D477"/>
  <c r="D1726"/>
  <c r="D1737"/>
  <c r="G3440"/>
  <c r="G223"/>
  <c r="D138"/>
  <c r="I3157"/>
  <c r="I1356"/>
  <c r="G221"/>
  <c r="G3352"/>
  <c r="G2845"/>
  <c r="G1119"/>
  <c r="G71"/>
  <c r="I44"/>
  <c r="I2863"/>
  <c r="D355"/>
  <c r="G1407"/>
  <c r="I2048"/>
  <c r="D1565"/>
  <c r="D1222"/>
  <c r="G1677"/>
  <c r="I932"/>
  <c r="I1420"/>
  <c r="I1504"/>
  <c r="D1386"/>
  <c r="I514"/>
  <c r="D2237"/>
  <c r="G2503"/>
  <c r="I1683"/>
  <c r="I667"/>
  <c r="D2341"/>
  <c r="G3284"/>
  <c r="I24"/>
  <c r="I2610"/>
  <c r="G1951"/>
  <c r="D2368"/>
  <c r="G1279"/>
  <c r="D436"/>
  <c r="G1865"/>
  <c r="I1665"/>
  <c r="I1951"/>
  <c r="G2800"/>
  <c r="D291"/>
  <c r="I3353"/>
  <c r="G2907"/>
  <c r="I2945"/>
  <c r="D1109"/>
  <c r="G415"/>
  <c r="D2648"/>
  <c r="D728"/>
  <c r="D2190"/>
  <c r="I1086"/>
  <c r="D449"/>
  <c r="G1023"/>
  <c r="D282"/>
  <c r="G748"/>
  <c r="G912"/>
  <c r="I1465"/>
  <c r="I2023"/>
  <c r="G728"/>
  <c r="G2678"/>
  <c r="D178"/>
  <c r="I2029"/>
  <c r="D657"/>
  <c r="I143"/>
  <c r="D1647"/>
  <c r="D3012"/>
  <c r="I949"/>
  <c r="D1056"/>
  <c r="I615"/>
  <c r="D1788"/>
  <c r="I1955"/>
  <c r="G262"/>
  <c r="D1851"/>
  <c r="I1817"/>
  <c r="G1909"/>
  <c r="G597"/>
  <c r="G1161"/>
  <c r="G1997"/>
  <c r="G1848"/>
  <c r="G1436"/>
  <c r="I300"/>
  <c r="I358"/>
  <c r="D2088"/>
  <c r="G497"/>
  <c r="G1028"/>
  <c r="D30"/>
  <c r="D708"/>
  <c r="I1701"/>
  <c r="D2337"/>
  <c r="I516"/>
  <c r="D136"/>
  <c r="I496"/>
  <c r="I1853"/>
  <c r="G1438"/>
  <c r="D285"/>
  <c r="I786"/>
  <c r="I3207"/>
  <c r="I2674"/>
  <c r="G3239"/>
  <c r="D2613"/>
  <c r="D3124"/>
  <c r="G1979"/>
  <c r="G1517"/>
  <c r="G150"/>
  <c r="D1063"/>
  <c r="G74"/>
  <c r="I340"/>
  <c r="G609"/>
  <c r="I1788"/>
  <c r="D693"/>
  <c r="G1403"/>
  <c r="D679"/>
  <c r="G395"/>
  <c r="D2316"/>
  <c r="D3185"/>
  <c r="G738"/>
  <c r="I396"/>
  <c r="I318"/>
  <c r="D1854"/>
  <c r="D2889"/>
  <c r="I943"/>
  <c r="I1328"/>
  <c r="G1758"/>
  <c r="I2890"/>
  <c r="G3549"/>
  <c r="I1633"/>
  <c r="D81"/>
  <c r="I2506"/>
  <c r="G1607"/>
  <c r="I3224"/>
  <c r="I1153"/>
  <c r="I236"/>
  <c r="D755"/>
  <c r="D1985"/>
  <c r="D2743"/>
  <c r="G1233"/>
  <c r="I3295"/>
  <c r="G2207"/>
  <c r="D1791"/>
  <c r="I244"/>
  <c r="G986"/>
  <c r="D356"/>
  <c r="G621"/>
  <c r="D372"/>
  <c r="I1775"/>
  <c r="G1680"/>
  <c r="D886"/>
  <c r="D1062"/>
  <c r="I400"/>
  <c r="G548"/>
  <c r="G572"/>
  <c r="G1778"/>
  <c r="I866"/>
  <c r="I3192"/>
  <c r="G218"/>
  <c r="D675"/>
  <c r="G558"/>
  <c r="G1187"/>
  <c r="G1401"/>
  <c r="G1329"/>
  <c r="D2041"/>
  <c r="I2155"/>
  <c r="G132"/>
  <c r="I348"/>
  <c r="D1675"/>
  <c r="I774"/>
  <c r="D143"/>
  <c r="I2796"/>
  <c r="D686"/>
  <c r="G669"/>
  <c r="I2655"/>
  <c r="D3369"/>
  <c r="G2621"/>
  <c r="I796"/>
  <c r="G480"/>
  <c r="I1093"/>
  <c r="I1157"/>
  <c r="G2801"/>
  <c r="I2131"/>
  <c r="G388"/>
  <c r="G2195"/>
  <c r="I1379"/>
  <c r="D2012"/>
  <c r="G471"/>
  <c r="D537"/>
  <c r="G149"/>
  <c r="I202"/>
  <c r="D2817"/>
  <c r="D775"/>
  <c r="G2015"/>
  <c r="I2064"/>
  <c r="D1235"/>
  <c r="G1804"/>
  <c r="G1966"/>
  <c r="G2928"/>
  <c r="D1538"/>
  <c r="G2273"/>
  <c r="I630"/>
  <c r="D522"/>
  <c r="D1752"/>
  <c r="I1158"/>
  <c r="G241"/>
  <c r="I193"/>
  <c r="G259"/>
  <c r="D1406"/>
  <c r="D1961"/>
  <c r="D2908"/>
  <c r="D53"/>
  <c r="D3067"/>
  <c r="I304"/>
  <c r="I954"/>
  <c r="I745"/>
  <c r="D1392"/>
  <c r="I1354"/>
  <c r="D3541"/>
  <c r="D1767"/>
  <c r="D72"/>
  <c r="G962"/>
  <c r="D3022"/>
  <c r="G800"/>
  <c r="D490"/>
  <c r="I750"/>
  <c r="I846"/>
  <c r="G2955"/>
  <c r="I1469"/>
  <c r="I284"/>
  <c r="I1008"/>
  <c r="D8"/>
  <c r="I1149"/>
  <c r="D1124"/>
  <c r="G2626"/>
  <c r="D270"/>
  <c r="D2110"/>
  <c r="G3198"/>
  <c r="D553"/>
  <c r="D487"/>
  <c r="G2748"/>
  <c r="G1980"/>
  <c r="G804"/>
  <c r="I2348"/>
  <c r="G1982"/>
  <c r="D3496"/>
  <c r="I1763"/>
  <c r="I1511"/>
  <c r="I3219"/>
  <c r="I37"/>
  <c r="D2932"/>
  <c r="D766"/>
  <c r="I915"/>
  <c r="D238"/>
  <c r="D3512"/>
  <c r="I296"/>
  <c r="G2880"/>
  <c r="D1125"/>
  <c r="D952"/>
  <c r="I1680"/>
  <c r="D2263"/>
  <c r="I334"/>
  <c r="G1104"/>
  <c r="D155"/>
  <c r="I1290"/>
  <c r="D1253"/>
  <c r="I1856"/>
  <c r="I332"/>
  <c r="D2131"/>
  <c r="D304"/>
  <c r="I293"/>
  <c r="I1408"/>
  <c r="I2579"/>
  <c r="I2702"/>
  <c r="D735"/>
  <c r="D2681"/>
  <c r="G588"/>
  <c r="G2639"/>
  <c r="G3264"/>
  <c r="G2419"/>
  <c r="I2112"/>
  <c r="I1776"/>
  <c r="D723"/>
  <c r="D1291"/>
  <c r="G1925"/>
  <c r="I1116"/>
  <c r="G2248"/>
  <c r="G1208"/>
  <c r="I674"/>
  <c r="G1194"/>
  <c r="I2922"/>
  <c r="G1093"/>
  <c r="G1491"/>
  <c r="G188"/>
  <c r="G1054"/>
  <c r="I2407"/>
  <c r="I1687"/>
  <c r="D2434"/>
  <c r="G460"/>
  <c r="D2532"/>
  <c r="G2783"/>
  <c r="G617"/>
  <c r="D568"/>
  <c r="G1727"/>
  <c r="I1296"/>
  <c r="G182"/>
  <c r="D3232"/>
  <c r="D1129"/>
  <c r="G60"/>
  <c r="I191"/>
  <c r="G1353"/>
  <c r="D386"/>
  <c r="I1629"/>
  <c r="G3242"/>
  <c r="D1262"/>
  <c r="I635"/>
  <c r="D1774"/>
  <c r="D1572"/>
  <c r="G697"/>
  <c r="I696"/>
  <c r="I668"/>
  <c r="D2859"/>
  <c r="G1301"/>
  <c r="G2791"/>
  <c r="I527"/>
  <c r="G1790"/>
  <c r="G1707"/>
  <c r="I1573"/>
  <c r="G178"/>
  <c r="I956"/>
  <c r="D1953"/>
  <c r="D1845"/>
  <c r="I880"/>
  <c r="G420"/>
  <c r="I2818"/>
  <c r="D2039"/>
  <c r="I1782"/>
  <c r="D2147"/>
  <c r="D1229"/>
  <c r="I2826"/>
  <c r="I182"/>
  <c r="D1117"/>
  <c r="I1357"/>
  <c r="D1764"/>
  <c r="G2841"/>
  <c r="D1578"/>
  <c r="G2676"/>
  <c r="D548"/>
  <c r="I2148"/>
  <c r="D24"/>
  <c r="D1256"/>
  <c r="D921"/>
  <c r="I1707"/>
  <c r="I1864"/>
  <c r="G968"/>
  <c r="I169"/>
  <c r="I1749"/>
  <c r="I2431"/>
  <c r="I1971"/>
  <c r="G592"/>
  <c r="I406"/>
  <c r="D20"/>
  <c r="I1273"/>
  <c r="I370"/>
  <c r="I1987"/>
  <c r="D2904"/>
  <c r="G2093"/>
  <c r="G3272"/>
  <c r="I446"/>
  <c r="G18"/>
  <c r="G2024"/>
  <c r="D42"/>
  <c r="D844"/>
  <c r="G1874"/>
  <c r="I2731"/>
  <c r="G959"/>
  <c r="G2056"/>
  <c r="I1201"/>
  <c r="I2587"/>
  <c r="G3093"/>
  <c r="I1515"/>
  <c r="G1404"/>
  <c r="I1175"/>
  <c r="I1828"/>
  <c r="I186"/>
  <c r="I946"/>
  <c r="I556"/>
  <c r="G1180"/>
  <c r="D1959"/>
  <c r="G1508"/>
  <c r="G38"/>
  <c r="G1248"/>
  <c r="G1019"/>
  <c r="I1402"/>
  <c r="G1586"/>
  <c r="D1688"/>
  <c r="D778"/>
  <c r="I441"/>
  <c r="D426"/>
  <c r="G3223"/>
  <c r="D1141"/>
  <c r="G118"/>
  <c r="I1482"/>
  <c r="D46"/>
  <c r="G1358"/>
  <c r="I1471"/>
  <c r="G1374"/>
  <c r="D3362"/>
  <c r="I1097"/>
  <c r="D977"/>
  <c r="I2097"/>
  <c r="G2586"/>
  <c r="I1262"/>
  <c r="I380"/>
  <c r="G258"/>
  <c r="G3285"/>
  <c r="I924"/>
  <c r="D3574"/>
  <c r="G362"/>
  <c r="I1510"/>
  <c r="I1612"/>
  <c r="I475"/>
  <c r="G1005"/>
  <c r="D2585"/>
  <c r="G135"/>
  <c r="I502"/>
  <c r="I1172"/>
  <c r="I108"/>
  <c r="D3589"/>
  <c r="I149"/>
  <c r="G1551"/>
  <c r="D3349"/>
  <c r="D2421"/>
  <c r="G495"/>
  <c r="G3371"/>
  <c r="G3441"/>
  <c r="D3063"/>
  <c r="I2289"/>
  <c r="I2350"/>
  <c r="G948"/>
  <c r="D376"/>
  <c r="G1222"/>
  <c r="I647"/>
  <c r="I18"/>
  <c r="G2773"/>
  <c r="D150"/>
  <c r="I1078"/>
  <c r="D2105"/>
  <c r="I1691"/>
  <c r="G139"/>
  <c r="I249"/>
  <c r="D1796"/>
  <c r="G2283"/>
  <c r="I1215"/>
  <c r="G1569"/>
  <c r="G1990"/>
  <c r="G831"/>
  <c r="I210"/>
  <c r="G1818"/>
  <c r="D2252"/>
  <c r="I934"/>
  <c r="D2420"/>
  <c r="G3256"/>
  <c r="I3274"/>
  <c r="G1537"/>
  <c r="G3016"/>
  <c r="I1576"/>
  <c r="D309"/>
  <c r="G1328"/>
  <c r="D509"/>
  <c r="G2891"/>
  <c r="I841"/>
  <c r="D1833"/>
  <c r="I1772"/>
  <c r="D841"/>
  <c r="I1734"/>
  <c r="I1285"/>
  <c r="G1474"/>
  <c r="D3412"/>
  <c r="G75"/>
  <c r="G1900"/>
  <c r="G3102"/>
  <c r="I1587"/>
  <c r="G590"/>
  <c r="G3074"/>
  <c r="I1815"/>
  <c r="D1403"/>
  <c r="G453"/>
  <c r="D1568"/>
  <c r="D2103"/>
  <c r="G1257"/>
  <c r="I1879"/>
  <c r="I2614"/>
  <c r="I1600"/>
  <c r="I3098"/>
  <c r="G68"/>
  <c r="I2718"/>
  <c r="D656"/>
  <c r="I1072"/>
  <c r="I2218"/>
  <c r="I260"/>
  <c r="G370"/>
  <c r="I875"/>
  <c r="I3352"/>
  <c r="D974"/>
  <c r="G389"/>
  <c r="I2511"/>
  <c r="G604"/>
  <c r="I1617"/>
  <c r="G1034"/>
  <c r="G1520"/>
  <c r="G1469"/>
  <c r="D3237"/>
  <c r="I117"/>
  <c r="D1241"/>
  <c r="D272"/>
  <c r="G2972"/>
  <c r="G1855"/>
  <c r="I3087"/>
  <c r="D925"/>
  <c r="D2925"/>
  <c r="G103"/>
  <c r="G1844"/>
  <c r="I278"/>
  <c r="D696"/>
  <c r="D1790"/>
  <c r="I52"/>
  <c r="I2228"/>
  <c r="G1068"/>
  <c r="I2058"/>
  <c r="D2068"/>
  <c r="I2038"/>
  <c r="D2723"/>
  <c r="G1365"/>
  <c r="D3047"/>
  <c r="D1442"/>
  <c r="I2615"/>
  <c r="I194"/>
  <c r="I1570"/>
  <c r="I1068"/>
  <c r="G1041"/>
  <c r="D2565"/>
  <c r="G1572"/>
  <c r="I462"/>
  <c r="D318"/>
  <c r="G330"/>
  <c r="D1542"/>
  <c r="D287"/>
  <c r="I1463"/>
  <c r="I157"/>
  <c r="I2011"/>
  <c r="I2566"/>
  <c r="I1605"/>
  <c r="D987"/>
  <c r="G1776"/>
  <c r="D1331"/>
  <c r="I265"/>
  <c r="I2646"/>
  <c r="G1589"/>
  <c r="G1741"/>
  <c r="I624"/>
  <c r="I2158"/>
  <c r="D757"/>
  <c r="I1960"/>
  <c r="D1116"/>
  <c r="I1847"/>
  <c r="D587"/>
  <c r="D1642"/>
  <c r="G127"/>
  <c r="G1001"/>
  <c r="D306"/>
  <c r="I682"/>
  <c r="D101"/>
  <c r="D2873"/>
  <c r="D559"/>
  <c r="I510"/>
  <c r="D2682"/>
  <c r="G1838"/>
  <c r="I1034"/>
  <c r="I1154"/>
  <c r="G1151"/>
  <c r="G2169"/>
  <c r="D187"/>
  <c r="G2099"/>
  <c r="I1564"/>
  <c r="G1582"/>
  <c r="D1951"/>
  <c r="G3350"/>
  <c r="D231"/>
  <c r="G2988"/>
  <c r="I1216"/>
  <c r="G3358"/>
  <c r="I871"/>
  <c r="D440"/>
  <c r="I2022"/>
  <c r="I3003"/>
  <c r="D1353"/>
  <c r="G1634"/>
  <c r="I1142"/>
  <c r="D2893"/>
  <c r="D268"/>
  <c r="I1289"/>
  <c r="I644"/>
  <c r="G187"/>
  <c r="I415"/>
  <c r="G3146"/>
  <c r="D2924"/>
  <c r="G3105"/>
  <c r="G2230"/>
  <c r="D3170"/>
  <c r="G19"/>
  <c r="I1623"/>
  <c r="I1831"/>
  <c r="G936"/>
  <c r="G2306"/>
  <c r="I374"/>
  <c r="D2353"/>
  <c r="I1309"/>
  <c r="D949"/>
  <c r="I971"/>
  <c r="I951"/>
  <c r="G1232"/>
  <c r="I1458"/>
  <c r="G3225"/>
  <c r="I346"/>
  <c r="D2784"/>
  <c r="G858"/>
  <c r="D1524"/>
  <c r="D2667"/>
  <c r="I775"/>
  <c r="G720"/>
  <c r="G2172"/>
  <c r="I22"/>
  <c r="I2243"/>
  <c r="G121"/>
  <c r="D1017"/>
  <c r="I445"/>
  <c r="G2013"/>
  <c r="G3527"/>
  <c r="G1801"/>
  <c r="G209"/>
  <c r="D1263"/>
  <c r="I402"/>
  <c r="G999"/>
  <c r="D1747"/>
  <c r="D2934"/>
  <c r="D569"/>
  <c r="D1005"/>
  <c r="I309"/>
  <c r="D756"/>
  <c r="G1643"/>
  <c r="D2271"/>
  <c r="G168"/>
  <c r="D1792"/>
  <c r="G3127"/>
  <c r="G2646"/>
  <c r="D1880"/>
  <c r="I1837"/>
  <c r="G328"/>
  <c r="I1526"/>
  <c r="I1139"/>
  <c r="D3285"/>
  <c r="D441"/>
  <c r="G347"/>
  <c r="G6"/>
  <c r="G2909"/>
  <c r="I1192"/>
  <c r="I326"/>
  <c r="G3081"/>
  <c r="G1313"/>
  <c r="D1641"/>
  <c r="G1536"/>
  <c r="I2391"/>
  <c r="I908"/>
  <c r="G1890"/>
  <c r="G1506"/>
  <c r="I1018"/>
  <c r="G2862"/>
  <c r="D3169"/>
  <c r="D224"/>
  <c r="D1379"/>
  <c r="D3175"/>
  <c r="D3227"/>
  <c r="D2765"/>
  <c r="I3591"/>
  <c r="I1206"/>
  <c r="G3094"/>
  <c r="D2497"/>
  <c r="D2391"/>
  <c r="G1965"/>
  <c r="I2161"/>
  <c r="D67"/>
  <c r="D1014"/>
  <c r="D3334"/>
  <c r="D1840"/>
  <c r="I55"/>
  <c r="I989"/>
  <c r="G996"/>
  <c r="G184"/>
  <c r="I254"/>
  <c r="D2919"/>
  <c r="G3075"/>
  <c r="D1580"/>
  <c r="G1231"/>
  <c r="I2119"/>
  <c r="D3408"/>
  <c r="I1102"/>
  <c r="D284"/>
  <c r="D2719"/>
  <c r="G2082"/>
  <c r="I3244"/>
  <c r="I1604"/>
  <c r="G1571"/>
  <c r="D495"/>
  <c r="D134"/>
  <c r="I1347"/>
  <c r="G1227"/>
  <c r="G1962"/>
  <c r="D66"/>
  <c r="I2486"/>
  <c r="I1062"/>
  <c r="D838"/>
  <c r="G1377"/>
  <c r="I3158"/>
  <c r="D2086"/>
  <c r="I952"/>
  <c r="I2332"/>
  <c r="G2011"/>
  <c r="G2768"/>
  <c r="G506"/>
  <c r="I3386"/>
  <c r="G374"/>
  <c r="G581"/>
  <c r="I339"/>
  <c r="I1228"/>
  <c r="G2087"/>
  <c r="I1931"/>
  <c r="D1989"/>
  <c r="G856"/>
  <c r="I681"/>
  <c r="G3002"/>
  <c r="I3127"/>
  <c r="I1721"/>
  <c r="D1272"/>
  <c r="D3491"/>
  <c r="G957"/>
  <c r="I2244"/>
  <c r="G533"/>
  <c r="I376"/>
  <c r="D1459"/>
  <c r="G2477"/>
  <c r="I177"/>
  <c r="I150"/>
  <c r="I1452"/>
  <c r="I1123"/>
  <c r="D2365"/>
  <c r="D1236"/>
  <c r="D1970"/>
  <c r="I1049"/>
  <c r="G1689"/>
  <c r="I589"/>
  <c r="I1601"/>
  <c r="D914"/>
  <c r="G315"/>
  <c r="G1252"/>
  <c r="D907"/>
  <c r="I1887"/>
  <c r="D2250"/>
  <c r="I1774"/>
  <c r="D1809"/>
  <c r="G524"/>
  <c r="D371"/>
  <c r="G111"/>
  <c r="I2442"/>
  <c r="I1382"/>
  <c r="D901"/>
  <c r="I1802"/>
  <c r="G504"/>
  <c r="D1902"/>
  <c r="D260"/>
  <c r="D1066"/>
  <c r="I1838"/>
  <c r="D2901"/>
  <c r="I1560"/>
  <c r="I64"/>
  <c r="D865"/>
  <c r="I703"/>
  <c r="D1797"/>
  <c r="I1606"/>
  <c r="D1093"/>
  <c r="I2920"/>
  <c r="I2249"/>
  <c r="G1303"/>
  <c r="G3132"/>
  <c r="G1350"/>
  <c r="D1207"/>
  <c r="D1201"/>
  <c r="I9"/>
  <c r="G1564"/>
  <c r="G1635"/>
  <c r="I151"/>
  <c r="D1339"/>
  <c r="D572"/>
  <c r="I2622"/>
  <c r="I1923"/>
  <c r="I103"/>
  <c r="G1840"/>
  <c r="G904"/>
  <c r="G1195"/>
  <c r="D869"/>
  <c r="I201"/>
  <c r="G171"/>
  <c r="D1300"/>
  <c r="D245"/>
  <c r="G925"/>
  <c r="I2794"/>
  <c r="I3213"/>
  <c r="I2287"/>
  <c r="I809"/>
  <c r="I656"/>
  <c r="G1868"/>
  <c r="I544"/>
  <c r="G359"/>
  <c r="D3360"/>
  <c r="I1917"/>
  <c r="D1242"/>
  <c r="D936"/>
  <c r="I476"/>
  <c r="G772"/>
  <c r="G860"/>
  <c r="D1206"/>
  <c r="D2621"/>
  <c r="G871"/>
  <c r="D3204"/>
  <c r="G817"/>
  <c r="I2237"/>
  <c r="I2065"/>
  <c r="I2932"/>
  <c r="G3532"/>
  <c r="I707"/>
  <c r="I995"/>
  <c r="G2263"/>
  <c r="I888"/>
  <c r="G2546"/>
  <c r="D1053"/>
  <c r="D3578"/>
  <c r="G1631"/>
  <c r="G3487"/>
  <c r="I3513"/>
  <c r="I1904"/>
  <c r="I1976"/>
  <c r="D1413"/>
  <c r="I627"/>
  <c r="I3278"/>
  <c r="I827"/>
  <c r="G521"/>
  <c r="I211"/>
  <c r="G2885"/>
  <c r="G89"/>
  <c r="D3083"/>
  <c r="D1195"/>
  <c r="I2569"/>
  <c r="G2438"/>
  <c r="D616"/>
  <c r="I3556"/>
  <c r="D1696"/>
  <c r="G3342"/>
  <c r="G7"/>
  <c r="I2150"/>
  <c r="G1999"/>
  <c r="G681"/>
  <c r="D3400"/>
  <c r="I1269"/>
  <c r="I2224"/>
  <c r="G164"/>
  <c r="I2660"/>
  <c r="G3373"/>
  <c r="I175"/>
  <c r="D2729"/>
  <c r="D1598"/>
  <c r="D2116"/>
  <c r="D1749"/>
  <c r="I517"/>
  <c r="G1241"/>
  <c r="G2121"/>
  <c r="I411"/>
  <c r="D1139"/>
  <c r="I2767"/>
  <c r="I49"/>
  <c r="G3084"/>
  <c r="I342"/>
  <c r="D1083"/>
  <c r="D1969"/>
  <c r="G21"/>
  <c r="G1665"/>
  <c r="I2710"/>
  <c r="I1220"/>
  <c r="I1352"/>
  <c r="I1257"/>
  <c r="G429"/>
  <c r="G848"/>
  <c r="G2594"/>
  <c r="G1519"/>
  <c r="D1813"/>
  <c r="D1626"/>
  <c r="G1412"/>
  <c r="I306"/>
  <c r="G2161"/>
  <c r="D3179"/>
  <c r="D398"/>
  <c r="G890"/>
  <c r="I2543"/>
  <c r="G1941"/>
  <c r="G829"/>
  <c r="I891"/>
  <c r="I606"/>
  <c r="D2437"/>
  <c r="I1427"/>
  <c r="I3346"/>
  <c r="D519"/>
  <c r="G2848"/>
  <c r="D2486"/>
  <c r="D3218"/>
  <c r="D233"/>
  <c r="G126"/>
  <c r="G977"/>
  <c r="G2513"/>
  <c r="G2944"/>
  <c r="G1396"/>
  <c r="G1602"/>
  <c r="D3116"/>
  <c r="I1120"/>
  <c r="I2362"/>
  <c r="I1397"/>
  <c r="G2219"/>
  <c r="D669"/>
  <c r="G2326"/>
  <c r="D910"/>
  <c r="G331"/>
  <c r="G108"/>
  <c r="I268"/>
  <c r="G1528"/>
  <c r="I2096"/>
  <c r="I1860"/>
  <c r="D222"/>
  <c r="G566"/>
  <c r="G2156"/>
  <c r="G1482"/>
  <c r="I736"/>
  <c r="I2355"/>
  <c r="I327"/>
  <c r="G874"/>
  <c r="D2574"/>
  <c r="G1583"/>
  <c r="D1890"/>
  <c r="D375"/>
  <c r="G1549"/>
  <c r="G1234"/>
  <c r="G1008"/>
  <c r="I501"/>
  <c r="G965"/>
  <c r="I922"/>
  <c r="G316"/>
  <c r="D2121"/>
  <c r="G2629"/>
  <c r="G3419"/>
  <c r="G1867"/>
  <c r="G1124"/>
  <c r="I3366"/>
  <c r="G2603"/>
  <c r="D2820"/>
  <c r="D2876"/>
  <c r="I1112"/>
  <c r="I2810"/>
  <c r="D410"/>
  <c r="G2196"/>
  <c r="D1891"/>
  <c r="I2976"/>
  <c r="I271"/>
  <c r="I1052"/>
  <c r="I2726"/>
  <c r="D2134"/>
  <c r="D1230"/>
  <c r="G2125"/>
  <c r="D900"/>
  <c r="D1945"/>
  <c r="I30"/>
  <c r="D3486"/>
  <c r="I2324"/>
  <c r="G2630"/>
  <c r="D2679"/>
  <c r="I592"/>
  <c r="I1876"/>
  <c r="G2821"/>
  <c r="D1098"/>
  <c r="I1670"/>
  <c r="I659"/>
  <c r="D528"/>
  <c r="D779"/>
  <c r="I1151"/>
  <c r="I1368"/>
  <c r="G384"/>
  <c r="I173"/>
  <c r="G1675"/>
  <c r="I713"/>
  <c r="G65"/>
  <c r="D578"/>
  <c r="G457"/>
  <c r="G426"/>
  <c r="D3217"/>
  <c r="G759"/>
  <c r="G1498"/>
  <c r="G446"/>
  <c r="I1755"/>
  <c r="G327"/>
  <c r="D3028"/>
  <c r="D15"/>
  <c r="G1814"/>
  <c r="I754"/>
  <c r="D201"/>
  <c r="D246"/>
  <c r="I1809"/>
  <c r="G34"/>
  <c r="I3222"/>
  <c r="G406"/>
  <c r="I1470"/>
  <c r="I437"/>
  <c r="G812"/>
  <c r="G1913"/>
  <c r="D415"/>
  <c r="I328"/>
  <c r="D1883"/>
  <c r="I1436"/>
  <c r="I1090"/>
  <c r="G1478"/>
  <c r="I886"/>
  <c r="I1004"/>
  <c r="G2307"/>
  <c r="I1207"/>
  <c r="D939"/>
  <c r="G2413"/>
  <c r="G2824"/>
  <c r="D248"/>
  <c r="D2521"/>
  <c r="I3509"/>
  <c r="I1330"/>
  <c r="I2627"/>
  <c r="I1509"/>
  <c r="D1123"/>
  <c r="G815"/>
  <c r="G401"/>
  <c r="I162"/>
  <c r="G1100"/>
  <c r="G1859"/>
  <c r="D1282"/>
  <c r="D1850"/>
  <c r="D54"/>
  <c r="D124"/>
  <c r="I1398"/>
  <c r="I1066"/>
  <c r="I665"/>
  <c r="G2762"/>
  <c r="I1258"/>
  <c r="D683"/>
  <c r="G1435"/>
  <c r="D2864"/>
  <c r="I3049"/>
  <c r="I1554"/>
  <c r="G1088"/>
  <c r="D2680"/>
  <c r="G2902"/>
  <c r="D995"/>
  <c r="D429"/>
  <c r="I1433"/>
  <c r="G1322"/>
  <c r="G1085"/>
  <c r="G725"/>
  <c r="I2448"/>
  <c r="D1447"/>
  <c r="I1200"/>
  <c r="I1481"/>
  <c r="I2009"/>
  <c r="G1183"/>
  <c r="I2314"/>
  <c r="G1674"/>
  <c r="I3324"/>
  <c r="D558"/>
  <c r="G3395"/>
  <c r="D2137"/>
  <c r="I1413"/>
  <c r="D2687"/>
  <c r="I2366"/>
  <c r="G657"/>
  <c r="G607"/>
  <c r="I1780"/>
  <c r="G198"/>
  <c r="G645"/>
  <c r="D923"/>
  <c r="D1973"/>
  <c r="D560"/>
  <c r="G1767"/>
  <c r="D3133"/>
  <c r="D847"/>
  <c r="G152"/>
  <c r="G3092"/>
  <c r="D1863"/>
  <c r="I910"/>
  <c r="D7"/>
  <c r="I1255"/>
  <c r="G1155"/>
  <c r="I1240"/>
  <c r="D147"/>
  <c r="G2502"/>
  <c r="G1030"/>
  <c r="G1893"/>
  <c r="G1345"/>
  <c r="G1543"/>
  <c r="I693"/>
  <c r="D55"/>
  <c r="I1473"/>
  <c r="D3494"/>
  <c r="D107"/>
  <c r="D2114"/>
  <c r="I426"/>
  <c r="G640"/>
  <c r="I3251"/>
  <c r="G1886"/>
  <c r="I2683"/>
  <c r="I2626"/>
  <c r="I1423"/>
  <c r="D13"/>
  <c r="I2603"/>
  <c r="G1580"/>
  <c r="I2091"/>
  <c r="G3139"/>
  <c r="I1351"/>
  <c r="D2425"/>
  <c r="D3341"/>
  <c r="G1259"/>
  <c r="I3068"/>
  <c r="G1162"/>
  <c r="D3198"/>
  <c r="D762"/>
  <c r="D692"/>
  <c r="I1582"/>
  <c r="D963"/>
  <c r="I1468"/>
  <c r="G2993"/>
  <c r="D832"/>
  <c r="G3137"/>
  <c r="I1580"/>
  <c r="G1066"/>
  <c r="D204"/>
  <c r="G125"/>
  <c r="I568"/>
  <c r="D58"/>
  <c r="D1476"/>
  <c r="G342"/>
  <c r="I1266"/>
  <c r="G1293"/>
  <c r="D400"/>
  <c r="G1022"/>
  <c r="G1080"/>
  <c r="I1272"/>
  <c r="I863"/>
  <c r="D2090"/>
  <c r="I72"/>
  <c r="D164"/>
  <c r="D1461"/>
  <c r="G303"/>
  <c r="D2596"/>
  <c r="G273"/>
  <c r="G1304"/>
  <c r="G488"/>
  <c r="G216"/>
  <c r="G449"/>
  <c r="I431"/>
  <c r="G1327"/>
  <c r="G1992"/>
  <c r="G1335"/>
  <c r="D290"/>
  <c r="G2335"/>
  <c r="G264"/>
  <c r="D1490"/>
  <c r="I558"/>
  <c r="I1125"/>
  <c r="D103"/>
  <c r="I3410"/>
  <c r="D1831"/>
  <c r="D2791"/>
  <c r="D556"/>
  <c r="I1673"/>
  <c r="I1383"/>
  <c r="G1032"/>
  <c r="D315"/>
  <c r="I322"/>
  <c r="D1070"/>
  <c r="D1926"/>
  <c r="I2755"/>
  <c r="I1921"/>
  <c r="D151"/>
  <c r="G1031"/>
  <c r="G2051"/>
  <c r="I2220"/>
  <c r="I622"/>
  <c r="I1197"/>
  <c r="I818"/>
  <c r="D1595"/>
  <c r="G110"/>
  <c r="I925"/>
  <c r="G391"/>
  <c r="G3006"/>
  <c r="G1496"/>
  <c r="I3408"/>
  <c r="I3204"/>
  <c r="D1819"/>
  <c r="I1406"/>
  <c r="D1010"/>
  <c r="G3339"/>
  <c r="I3001"/>
  <c r="I1176"/>
  <c r="I266"/>
  <c r="D3015"/>
  <c r="G1040"/>
  <c r="G2947"/>
  <c r="D3533"/>
  <c r="G277"/>
  <c r="G253"/>
  <c r="I2303"/>
  <c r="G2274"/>
  <c r="D1449"/>
  <c r="I1766"/>
  <c r="G1621"/>
  <c r="I1233"/>
  <c r="D422"/>
  <c r="D229"/>
  <c r="I1182"/>
  <c r="I715"/>
  <c r="I2598"/>
  <c r="D472"/>
  <c r="D2102"/>
  <c r="D3473"/>
  <c r="G1346"/>
  <c r="I3597"/>
  <c r="I1965"/>
  <c r="D3478"/>
  <c r="D2832"/>
  <c r="G2185"/>
  <c r="I1977"/>
  <c r="D758"/>
  <c r="D60"/>
  <c r="G593"/>
  <c r="D1853"/>
  <c r="G705"/>
  <c r="G3098"/>
  <c r="I835"/>
  <c r="D748"/>
  <c r="I212"/>
  <c r="D1624"/>
  <c r="D52"/>
  <c r="I2959"/>
  <c r="G880"/>
  <c r="G2576"/>
  <c r="D3032"/>
  <c r="D1153"/>
  <c r="I2773"/>
  <c r="I14"/>
  <c r="D552"/>
  <c r="I32"/>
  <c r="G393"/>
  <c r="D2563"/>
  <c r="D434"/>
  <c r="D2281"/>
  <c r="D2652"/>
  <c r="G3176"/>
  <c r="I3579"/>
  <c r="I1756"/>
  <c r="G1810"/>
  <c r="I2327"/>
  <c r="I1964"/>
  <c r="D787"/>
  <c r="D1573"/>
  <c r="D2002"/>
  <c r="G232"/>
  <c r="D702"/>
  <c r="G2007"/>
  <c r="G1157"/>
  <c r="G2070"/>
  <c r="G1170"/>
  <c r="I3549"/>
  <c r="D3147"/>
  <c r="G2153"/>
  <c r="D1296"/>
  <c r="G3432"/>
  <c r="D595"/>
  <c r="D796"/>
  <c r="I2127"/>
  <c r="G3306"/>
  <c r="I3138"/>
  <c r="D1912"/>
  <c r="D1586"/>
  <c r="I1638"/>
  <c r="G444"/>
  <c r="G1406"/>
  <c r="I901"/>
  <c r="G1786"/>
  <c r="G2878"/>
  <c r="D1264"/>
  <c r="G1010"/>
  <c r="G154"/>
  <c r="G158"/>
  <c r="G821"/>
  <c r="D2366"/>
  <c r="I3554"/>
  <c r="I577"/>
  <c r="D593"/>
  <c r="G2494"/>
  <c r="I469"/>
  <c r="I2877"/>
  <c r="G542"/>
  <c r="D1743"/>
  <c r="I1110"/>
  <c r="G2213"/>
  <c r="D33"/>
  <c r="G1361"/>
  <c r="D1142"/>
  <c r="G1020"/>
  <c r="G314"/>
  <c r="G624"/>
  <c r="G2766"/>
  <c r="D1781"/>
  <c r="I321"/>
  <c r="I350"/>
  <c r="G726"/>
  <c r="G2418"/>
  <c r="I2426"/>
  <c r="G2227"/>
  <c r="G3319"/>
  <c r="G2334"/>
  <c r="G2939"/>
  <c r="G2173"/>
  <c r="D189"/>
  <c r="I1825"/>
  <c r="I1752"/>
  <c r="I1378"/>
  <c r="I2536"/>
  <c r="I717"/>
  <c r="I428"/>
  <c r="G2813"/>
  <c r="G757"/>
  <c r="I3572"/>
  <c r="G1641"/>
  <c r="I2512"/>
  <c r="D761"/>
  <c r="D1724"/>
  <c r="I3321"/>
  <c r="G3472"/>
  <c r="D649"/>
  <c r="I521"/>
  <c r="I46"/>
  <c r="G2564"/>
  <c r="D2754"/>
  <c r="G148"/>
  <c r="G789"/>
  <c r="I3240"/>
  <c r="D2235"/>
  <c r="D2482"/>
  <c r="G2138"/>
  <c r="G783"/>
  <c r="G1614"/>
  <c r="I377"/>
  <c r="D128"/>
  <c r="I3258"/>
  <c r="D1583"/>
  <c r="D1734"/>
  <c r="D2928"/>
  <c r="D1068"/>
  <c r="D1785"/>
  <c r="D2772"/>
  <c r="I1758"/>
  <c r="G2850"/>
  <c r="G873"/>
  <c r="G718"/>
  <c r="I1011"/>
  <c r="D2542"/>
  <c r="I626"/>
  <c r="I2921"/>
  <c r="D2132"/>
  <c r="I2342"/>
  <c r="I2469"/>
  <c r="I3541"/>
  <c r="G1959"/>
  <c r="D3387"/>
  <c r="I356"/>
  <c r="D3551"/>
  <c r="G1686"/>
  <c r="G893"/>
  <c r="D1054"/>
  <c r="I724"/>
  <c r="D1768"/>
  <c r="D2779"/>
  <c r="D3155"/>
  <c r="D47"/>
  <c r="I3500"/>
  <c r="D1385"/>
  <c r="G2107"/>
  <c r="D2049"/>
  <c r="I1559"/>
  <c r="D2179"/>
  <c r="D1952"/>
  <c r="I680"/>
  <c r="I1489"/>
  <c r="G3297"/>
  <c r="G876"/>
  <c r="G17"/>
  <c r="I1735"/>
  <c r="G122"/>
  <c r="I2453"/>
  <c r="D1810"/>
  <c r="I3424"/>
  <c r="I2670"/>
  <c r="G378"/>
  <c r="G1021"/>
  <c r="G90"/>
  <c r="G992"/>
  <c r="D2792"/>
  <c r="I1716"/>
  <c r="D864"/>
  <c r="I587"/>
  <c r="I2985"/>
  <c r="G664"/>
  <c r="D1215"/>
  <c r="G2936"/>
  <c r="D1151"/>
  <c r="D824"/>
  <c r="G1996"/>
  <c r="I1927"/>
  <c r="G1284"/>
  <c r="G781"/>
  <c r="G272"/>
  <c r="D267"/>
  <c r="G1236"/>
  <c r="I39"/>
  <c r="G784"/>
  <c r="G1883"/>
  <c r="G2397"/>
  <c r="D529"/>
  <c r="I245"/>
  <c r="G849"/>
  <c r="G2829"/>
  <c r="I2142"/>
  <c r="D1714"/>
  <c r="I1771"/>
  <c r="D1807"/>
  <c r="G1753"/>
  <c r="I731"/>
  <c r="D493"/>
  <c r="G2933"/>
  <c r="I993"/>
  <c r="G2278"/>
  <c r="D217"/>
  <c r="G284"/>
  <c r="D1898"/>
  <c r="D1635"/>
  <c r="G3496"/>
  <c r="G3096"/>
  <c r="G3107"/>
  <c r="I1007"/>
  <c r="I449"/>
  <c r="G3424"/>
  <c r="G1261"/>
  <c r="I2842"/>
  <c r="G1673"/>
  <c r="I1885"/>
  <c r="D859"/>
  <c r="I1247"/>
  <c r="I3552"/>
  <c r="I287"/>
  <c r="D2805"/>
  <c r="D2367"/>
  <c r="I3199"/>
  <c r="I480"/>
  <c r="I711"/>
  <c r="G2521"/>
  <c r="D2405"/>
  <c r="D333"/>
  <c r="I3425"/>
  <c r="I2749"/>
  <c r="D2280"/>
  <c r="D1187"/>
  <c r="G914"/>
  <c r="D1592"/>
  <c r="G767"/>
  <c r="D2460"/>
  <c r="G1067"/>
  <c r="D2346"/>
  <c r="G1789"/>
  <c r="I2606"/>
  <c r="I1866"/>
  <c r="D1492"/>
  <c r="D346"/>
  <c r="D2318"/>
  <c r="G633"/>
  <c r="I2607"/>
  <c r="I3359"/>
  <c r="G1315"/>
  <c r="D2534"/>
  <c r="D654"/>
  <c r="G1850"/>
  <c r="I869"/>
  <c r="I132"/>
  <c r="D341"/>
  <c r="D623"/>
  <c r="I483"/>
  <c r="G1625"/>
  <c r="D3052"/>
  <c r="G1616"/>
  <c r="I237"/>
  <c r="D536"/>
  <c r="G501"/>
  <c r="G1640"/>
  <c r="G779"/>
  <c r="I141"/>
  <c r="G2258"/>
  <c r="I1842"/>
  <c r="D435"/>
  <c r="I608"/>
  <c r="D457"/>
  <c r="D3097"/>
  <c r="G2105"/>
  <c r="D1448"/>
  <c r="I1281"/>
  <c r="G1115"/>
  <c r="D342"/>
  <c r="G394"/>
  <c r="D2841"/>
  <c r="D57"/>
  <c r="D998"/>
  <c r="I1643"/>
  <c r="I767"/>
  <c r="D1115"/>
  <c r="I1346"/>
  <c r="I580"/>
  <c r="I2871"/>
  <c r="I779"/>
  <c r="G790"/>
  <c r="I3382"/>
  <c r="I643"/>
  <c r="D478"/>
  <c r="I1002"/>
  <c r="I960"/>
  <c r="G43"/>
  <c r="G1566"/>
  <c r="D2905"/>
  <c r="G1522"/>
  <c r="I432"/>
  <c r="D350"/>
  <c r="D581"/>
  <c r="G2674"/>
  <c r="D1319"/>
  <c r="G2693"/>
  <c r="D599"/>
  <c r="D1360"/>
  <c r="D1073"/>
  <c r="I2311"/>
  <c r="I80"/>
  <c r="D1577"/>
  <c r="G956"/>
  <c r="G1455"/>
  <c r="G2321"/>
  <c r="D794"/>
  <c r="I2085"/>
  <c r="I1099"/>
  <c r="D1042"/>
  <c r="I3250"/>
  <c r="D1632"/>
  <c r="D38"/>
  <c r="G96"/>
  <c r="D149"/>
  <c r="G2852"/>
  <c r="I1648"/>
  <c r="G763"/>
  <c r="D2208"/>
  <c r="G2893"/>
  <c r="I1662"/>
  <c r="D3283"/>
  <c r="G908"/>
  <c r="D2308"/>
  <c r="I927"/>
  <c r="I1303"/>
  <c r="G3384"/>
  <c r="D1430"/>
  <c r="I455"/>
  <c r="I996"/>
  <c r="D2930"/>
  <c r="I2850"/>
  <c r="I607"/>
  <c r="D2025"/>
  <c r="D1887"/>
  <c r="D1782"/>
  <c r="D2869"/>
  <c r="G2569"/>
  <c r="D1849"/>
  <c r="D2014"/>
  <c r="G1947"/>
  <c r="G787"/>
  <c r="D2206"/>
  <c r="G2985"/>
  <c r="I1301"/>
  <c r="G512"/>
  <c r="G3388"/>
  <c r="G3499"/>
  <c r="D1162"/>
  <c r="I3416"/>
  <c r="D1184"/>
  <c r="D1987"/>
  <c r="I1551"/>
  <c r="I2782"/>
  <c r="I82"/>
  <c r="D3379"/>
  <c r="D805"/>
  <c r="D1194"/>
  <c r="D2188"/>
  <c r="I86"/>
  <c r="I3230"/>
  <c r="I591"/>
  <c r="I997"/>
  <c r="D1227"/>
  <c r="I301"/>
  <c r="I109"/>
  <c r="I2240"/>
  <c r="D416"/>
  <c r="G755"/>
  <c r="G2083"/>
  <c r="I298"/>
  <c r="I447"/>
  <c r="G1014"/>
  <c r="G1638"/>
  <c r="G2405"/>
  <c r="D724"/>
  <c r="G1901"/>
  <c r="G23"/>
  <c r="D1114"/>
  <c r="G1492"/>
  <c r="I1495"/>
  <c r="I3388"/>
  <c r="D3043"/>
  <c r="G1266"/>
  <c r="D1982"/>
  <c r="G2317"/>
  <c r="G699"/>
  <c r="I146"/>
  <c r="I2795"/>
  <c r="D298"/>
  <c r="I28"/>
  <c r="D1453"/>
  <c r="I1792"/>
  <c r="I957"/>
  <c r="G3575"/>
  <c r="I3173"/>
  <c r="D3597"/>
  <c r="I1901"/>
  <c r="I2916"/>
  <c r="D1960"/>
  <c r="G1097"/>
  <c r="G1987"/>
  <c r="I537"/>
  <c r="I1128"/>
  <c r="G98"/>
  <c r="D129"/>
  <c r="D982"/>
  <c r="I1855"/>
  <c r="I215"/>
  <c r="G1391"/>
  <c r="G987"/>
  <c r="I3345"/>
  <c r="G10"/>
  <c r="I1191"/>
  <c r="G1013"/>
  <c r="I2901"/>
  <c r="G1099"/>
  <c r="G365"/>
  <c r="G1596"/>
  <c r="D956"/>
  <c r="G1592"/>
  <c r="I1185"/>
  <c r="G1678"/>
  <c r="I2331"/>
  <c r="G2960"/>
  <c r="G400"/>
  <c r="G1732"/>
  <c r="I2302"/>
  <c r="D1107"/>
  <c r="G1384"/>
  <c r="I3236"/>
  <c r="I737"/>
  <c r="I1550"/>
  <c r="I672"/>
  <c r="D703"/>
  <c r="D2111"/>
  <c r="G889"/>
  <c r="D2404"/>
  <c r="D114"/>
  <c r="D1118"/>
  <c r="I2960"/>
  <c r="G687"/>
  <c r="G1364"/>
  <c r="I936"/>
  <c r="I752"/>
  <c r="I543"/>
  <c r="I3179"/>
  <c r="D1085"/>
  <c r="D1276"/>
  <c r="I1991"/>
  <c r="I40"/>
  <c r="I66"/>
  <c r="G467"/>
  <c r="G3227"/>
  <c r="D3323"/>
  <c r="I1753"/>
  <c r="G1174"/>
  <c r="D1050"/>
  <c r="D2218"/>
  <c r="D3162"/>
  <c r="I1599"/>
  <c r="I864"/>
  <c r="I1265"/>
  <c r="G2706"/>
  <c r="D425"/>
  <c r="G2712"/>
  <c r="D1375"/>
  <c r="D2454"/>
  <c r="I981"/>
  <c r="D1283"/>
  <c r="I2953"/>
  <c r="D2470"/>
  <c r="D2560"/>
  <c r="I858"/>
  <c r="G244"/>
  <c r="D454"/>
  <c r="I2445"/>
  <c r="D1545"/>
  <c r="D1373"/>
  <c r="I939"/>
  <c r="G729"/>
  <c r="D829"/>
  <c r="I728"/>
  <c r="I756"/>
  <c r="I2756"/>
  <c r="G79"/>
  <c r="G397"/>
  <c r="D2310"/>
  <c r="I729"/>
  <c r="D468"/>
  <c r="G1685"/>
  <c r="I2752"/>
  <c r="I1912"/>
  <c r="I1333"/>
  <c r="I1136"/>
  <c r="D2552"/>
  <c r="G606"/>
  <c r="I67"/>
  <c r="D2332"/>
  <c r="I980"/>
  <c r="D3193"/>
  <c r="G2279"/>
  <c r="I617"/>
  <c r="D562"/>
  <c r="I778"/>
  <c r="G756"/>
  <c r="G1499"/>
  <c r="D2896"/>
  <c r="G485"/>
  <c r="I893"/>
  <c r="D1811"/>
  <c r="D1394"/>
  <c r="I807"/>
  <c r="G1372"/>
  <c r="I1553"/>
  <c r="I1418"/>
  <c r="I2859"/>
  <c r="I567"/>
  <c r="D2266"/>
  <c r="G2642"/>
  <c r="D377"/>
  <c r="G224"/>
  <c r="G803"/>
  <c r="G2030"/>
  <c r="I3225"/>
  <c r="I2999"/>
  <c r="D816"/>
  <c r="I3290"/>
  <c r="D2171"/>
  <c r="D1012"/>
  <c r="D1677"/>
  <c r="G2177"/>
  <c r="D1966"/>
  <c r="I719"/>
  <c r="G941"/>
  <c r="G3346"/>
  <c r="G1459"/>
  <c r="I1548"/>
  <c r="D2946"/>
  <c r="I436"/>
  <c r="D2055"/>
  <c r="I27"/>
  <c r="G3250"/>
  <c r="G2543"/>
  <c r="G179"/>
  <c r="I808"/>
  <c r="D1917"/>
  <c r="G1300"/>
  <c r="G3570"/>
  <c r="G2463"/>
  <c r="I1477"/>
  <c r="G1390"/>
  <c r="I255"/>
  <c r="D25"/>
  <c r="D760"/>
  <c r="I1718"/>
  <c r="G386"/>
  <c r="D2498"/>
  <c r="I1019"/>
  <c r="G1553"/>
  <c r="I749"/>
  <c r="D2066"/>
  <c r="D1957"/>
  <c r="I789"/>
  <c r="G632"/>
  <c r="D1418"/>
  <c r="D1941"/>
  <c r="D3258"/>
  <c r="G3104"/>
  <c r="I1920"/>
  <c r="D299"/>
  <c r="I3239"/>
  <c r="I574"/>
  <c r="I1141"/>
  <c r="G966"/>
  <c r="G231"/>
  <c r="D2891"/>
  <c r="I1389"/>
  <c r="G2429"/>
  <c r="I398"/>
  <c r="D322"/>
  <c r="I3114"/>
  <c r="D2533"/>
  <c r="G133"/>
  <c r="D821"/>
  <c r="D230"/>
  <c r="D2491"/>
  <c r="G2708"/>
  <c r="I3557"/>
  <c r="I586"/>
  <c r="D484"/>
  <c r="I250"/>
  <c r="D2871"/>
  <c r="I573"/>
  <c r="D3411"/>
  <c r="G200"/>
  <c r="I1666"/>
  <c r="I1499"/>
  <c r="G1421"/>
  <c r="I1133"/>
  <c r="D554"/>
  <c r="I1628"/>
  <c r="G2553"/>
  <c r="D3224"/>
  <c r="G2160"/>
  <c r="G2790"/>
  <c r="I1322"/>
  <c r="I697"/>
  <c r="G979"/>
  <c r="I1664"/>
  <c r="D2161"/>
  <c r="G39"/>
  <c r="G721"/>
  <c r="G1181"/>
  <c r="D1205"/>
  <c r="I780"/>
  <c r="G1262"/>
  <c r="D451"/>
  <c r="D1784"/>
  <c r="D2093"/>
  <c r="D1452"/>
  <c r="D609"/>
  <c r="G3328"/>
  <c r="I2016"/>
  <c r="G1745"/>
  <c r="D1748"/>
  <c r="G217"/>
  <c r="I1302"/>
  <c r="I694"/>
  <c r="I1079"/>
  <c r="I3014"/>
  <c r="G482"/>
  <c r="D704"/>
  <c r="I234"/>
  <c r="G1138"/>
  <c r="I1298"/>
  <c r="I2952"/>
  <c r="D716"/>
  <c r="I1088"/>
  <c r="I419"/>
  <c r="G1191"/>
  <c r="G30"/>
  <c r="I1497"/>
  <c r="G250"/>
  <c r="I975"/>
  <c r="I1092"/>
  <c r="I257"/>
  <c r="G1934"/>
  <c r="D1315"/>
  <c r="G842"/>
  <c r="I962"/>
  <c r="D2942"/>
  <c r="G1126"/>
  <c r="I1145"/>
  <c r="D1122"/>
  <c r="D1377"/>
  <c r="G101"/>
  <c r="G766"/>
  <c r="G381"/>
  <c r="I2441"/>
  <c r="D1193"/>
  <c r="I1219"/>
  <c r="I2185"/>
  <c r="G1349"/>
  <c r="D1942"/>
  <c r="I1193"/>
  <c r="I758"/>
  <c r="D2108"/>
  <c r="G479"/>
  <c r="G335"/>
  <c r="G1269"/>
  <c r="I676"/>
  <c r="I3595"/>
  <c r="I3387"/>
  <c r="I3024"/>
  <c r="D1846"/>
  <c r="D3331"/>
  <c r="D1354"/>
  <c r="G2044"/>
  <c r="I221"/>
  <c r="D2124"/>
  <c r="D2050"/>
  <c r="I1166"/>
  <c r="G1833"/>
  <c r="D892"/>
  <c r="I2114"/>
  <c r="G3216"/>
  <c r="D2118"/>
  <c r="D74"/>
  <c r="D2009"/>
  <c r="D366"/>
  <c r="I913"/>
  <c r="G102"/>
  <c r="D3036"/>
  <c r="D223"/>
  <c r="G124"/>
  <c r="D3113"/>
  <c r="D1000"/>
  <c r="G1849"/>
  <c r="D660"/>
  <c r="D891"/>
  <c r="G176"/>
  <c r="I765"/>
  <c r="G653"/>
  <c r="G1426"/>
  <c r="G3040"/>
  <c r="I3282"/>
  <c r="D369"/>
  <c r="G832"/>
  <c r="D168"/>
  <c r="I2936"/>
  <c r="I655"/>
  <c r="G546"/>
  <c r="I1275"/>
  <c r="G1228"/>
  <c r="G1290"/>
  <c r="G2220"/>
  <c r="D3276"/>
  <c r="D546"/>
  <c r="G1453"/>
  <c r="G145"/>
  <c r="G63"/>
  <c r="I1959"/>
  <c r="D2109"/>
  <c r="I791"/>
  <c r="I1578"/>
  <c r="G1143"/>
  <c r="G515"/>
  <c r="G1009"/>
  <c r="G527"/>
  <c r="G1622"/>
  <c r="G358"/>
  <c r="I2465"/>
  <c r="G1172"/>
  <c r="D2397"/>
  <c r="I1342"/>
  <c r="G825"/>
  <c r="I2983"/>
  <c r="I2679"/>
  <c r="G93"/>
  <c r="D663"/>
  <c r="D1108"/>
  <c r="D831"/>
  <c r="I508"/>
  <c r="G1470"/>
  <c r="G2300"/>
  <c r="G3057"/>
  <c r="G937"/>
  <c r="I1096"/>
  <c r="D2361"/>
  <c r="I357"/>
  <c r="I2351"/>
  <c r="I1003"/>
  <c r="G850"/>
  <c r="I899"/>
  <c r="G1199"/>
  <c r="G1186"/>
  <c r="I821"/>
  <c r="G3179"/>
  <c r="D792"/>
  <c r="I1143"/>
  <c r="I136"/>
  <c r="I873"/>
  <c r="D1884"/>
  <c r="G1218"/>
  <c r="I2252"/>
  <c r="I1171"/>
  <c r="G1504"/>
  <c r="I1375"/>
  <c r="G698"/>
  <c r="G1661"/>
  <c r="D776"/>
  <c r="D205"/>
  <c r="I223"/>
  <c r="G2022"/>
  <c r="I3479"/>
  <c r="D412"/>
  <c r="D575"/>
  <c r="I113"/>
  <c r="G1177"/>
  <c r="D668"/>
  <c r="G3457"/>
  <c r="I820"/>
  <c r="G554"/>
  <c r="I1411"/>
  <c r="D494"/>
  <c r="I1249"/>
  <c r="I2156"/>
  <c r="G1294"/>
  <c r="G2055"/>
  <c r="I895"/>
  <c r="D993"/>
  <c r="I1040"/>
  <c r="G3068"/>
  <c r="G500"/>
  <c r="I218"/>
  <c r="D3131"/>
  <c r="G2151"/>
  <c r="D1794"/>
  <c r="G2425"/>
  <c r="I2887"/>
  <c r="I2873"/>
  <c r="D3220"/>
  <c r="G2737"/>
  <c r="I81"/>
  <c r="D883"/>
  <c r="D1895"/>
  <c r="I307"/>
  <c r="G1302"/>
  <c r="I784"/>
  <c r="G716"/>
  <c r="D970"/>
  <c r="D241"/>
  <c r="G416"/>
  <c r="D2046"/>
  <c r="I920"/>
  <c r="D152"/>
  <c r="I3550"/>
  <c r="G1167"/>
  <c r="G1891"/>
  <c r="I760"/>
  <c r="G3004"/>
  <c r="G1188"/>
  <c r="G1042"/>
  <c r="D3288"/>
  <c r="I746"/>
  <c r="G1534"/>
  <c r="I2570"/>
  <c r="D855"/>
  <c r="G608"/>
  <c r="I578"/>
  <c r="I1914"/>
  <c r="I2525"/>
  <c r="I2611"/>
  <c r="I68"/>
  <c r="G543"/>
  <c r="G1206"/>
  <c r="G993"/>
  <c r="G1915"/>
  <c r="G202"/>
  <c r="I1297"/>
  <c r="D276"/>
  <c r="D232"/>
  <c r="D3132"/>
  <c r="I905"/>
  <c r="D2916"/>
  <c r="D3592"/>
  <c r="I283"/>
  <c r="D935"/>
  <c r="D806"/>
  <c r="I1119"/>
  <c r="I174"/>
  <c r="I1026"/>
  <c r="D890"/>
  <c r="D894"/>
  <c r="D1922"/>
  <c r="I1214"/>
  <c r="I1759"/>
  <c r="I1620"/>
  <c r="I2217"/>
  <c r="I1065"/>
  <c r="G1245"/>
  <c r="G643"/>
  <c r="I485"/>
  <c r="G1588"/>
  <c r="I2623"/>
  <c r="G2562"/>
  <c r="I3381"/>
  <c r="G234"/>
  <c r="I868"/>
  <c r="G1295"/>
  <c r="I3149"/>
  <c r="G3509"/>
  <c r="I145"/>
  <c r="D278"/>
  <c r="D904"/>
  <c r="G746"/>
  <c r="D180"/>
  <c r="G1017"/>
  <c r="I878"/>
  <c r="I1916"/>
  <c r="D3103"/>
  <c r="D1357"/>
  <c r="D469"/>
  <c r="G3459"/>
  <c r="I100"/>
  <c r="I1538"/>
  <c r="G1526"/>
  <c r="I1321"/>
  <c r="I390"/>
  <c r="D2623"/>
  <c r="G134"/>
  <c r="G1091"/>
  <c r="D1972"/>
  <c r="G3510"/>
  <c r="D2923"/>
  <c r="D2436"/>
  <c r="G1416"/>
  <c r="I1311"/>
  <c r="I825"/>
  <c r="D2829"/>
  <c r="D1815"/>
  <c r="I3108"/>
  <c r="G678"/>
  <c r="I2024"/>
  <c r="I1181"/>
  <c r="G724"/>
  <c r="G1287"/>
  <c r="I120"/>
  <c r="D1035"/>
  <c r="D2388"/>
  <c r="G1575"/>
  <c r="D244"/>
  <c r="I115"/>
  <c r="D753"/>
  <c r="I1103"/>
  <c r="D2733"/>
  <c r="D1866"/>
  <c r="I1129"/>
  <c r="D759"/>
  <c r="I2912"/>
  <c r="I454"/>
  <c r="D1753"/>
  <c r="I828"/>
  <c r="G773"/>
  <c r="G1525"/>
  <c r="G945"/>
  <c r="G1324"/>
  <c r="I325"/>
  <c r="I829"/>
  <c r="I1132"/>
  <c r="D34"/>
  <c r="G2948"/>
  <c r="G163"/>
  <c r="I670"/>
  <c r="G2389"/>
  <c r="I1624"/>
  <c r="G1205"/>
  <c r="G3393"/>
  <c r="I3119"/>
  <c r="G1102"/>
  <c r="D503"/>
  <c r="G435"/>
  <c r="I29"/>
  <c r="G722"/>
  <c r="D734"/>
  <c r="D1013"/>
  <c r="D2993"/>
  <c r="I1080"/>
  <c r="G2778"/>
  <c r="D3091"/>
  <c r="I885"/>
  <c r="G731"/>
  <c r="I216"/>
  <c r="D1750"/>
  <c r="D751"/>
  <c r="D917"/>
  <c r="D1862"/>
  <c r="I1355"/>
  <c r="G3483"/>
  <c r="I1308"/>
  <c r="G421"/>
  <c r="I248"/>
  <c r="G713"/>
  <c r="G1785"/>
  <c r="I1155"/>
  <c r="G960"/>
  <c r="G1657"/>
  <c r="G569"/>
  <c r="G1326"/>
  <c r="D2257"/>
  <c r="I610"/>
  <c r="G1452"/>
  <c r="D3403"/>
  <c r="D19"/>
  <c r="G818"/>
  <c r="I833"/>
  <c r="G1896"/>
  <c r="I2719"/>
  <c r="I2204"/>
  <c r="I2746"/>
  <c r="D815"/>
  <c r="I648"/>
  <c r="G54"/>
  <c r="I977"/>
  <c r="D1121"/>
  <c r="G498"/>
  <c r="D1037"/>
  <c r="D3299"/>
  <c r="I1047"/>
  <c r="G3103"/>
  <c r="D3177"/>
  <c r="D404"/>
  <c r="G3304"/>
  <c r="D754"/>
  <c r="G619"/>
  <c r="G193"/>
  <c r="I181"/>
  <c r="G737"/>
  <c r="G1440"/>
  <c r="D768"/>
  <c r="G677"/>
  <c r="G620"/>
  <c r="D407"/>
  <c r="D542"/>
  <c r="G195"/>
  <c r="D1931"/>
  <c r="I1293"/>
  <c r="D3141"/>
  <c r="G1360"/>
  <c r="I77"/>
  <c r="D965"/>
  <c r="I1517"/>
  <c r="D163"/>
  <c r="D2838"/>
  <c r="D1477"/>
  <c r="D2843"/>
  <c r="I1773"/>
  <c r="D401"/>
  <c r="G1185"/>
  <c r="D694"/>
  <c r="I928"/>
  <c r="D1715"/>
  <c r="G2906"/>
  <c r="I1204"/>
  <c r="D930"/>
  <c r="I2686"/>
  <c r="G131"/>
  <c r="I1212"/>
  <c r="D3437"/>
  <c r="D2915"/>
  <c r="D1028"/>
  <c r="I1414"/>
  <c r="G3174"/>
  <c r="D2735"/>
  <c r="G3170"/>
  <c r="D62"/>
  <c r="I1696"/>
  <c r="D2837"/>
  <c r="G1672"/>
  <c r="G3580"/>
  <c r="G2348"/>
  <c r="I547"/>
  <c r="I815"/>
  <c r="G852"/>
  <c r="G1140"/>
  <c r="D808"/>
  <c r="D1174"/>
  <c r="D745"/>
  <c r="D938"/>
  <c r="G1457"/>
  <c r="G296"/>
  <c r="I857"/>
  <c r="G591"/>
  <c r="I219"/>
  <c r="G816"/>
  <c r="I1169"/>
  <c r="G1363"/>
  <c r="G2686"/>
  <c r="D3096"/>
  <c r="I2663"/>
  <c r="G2437"/>
  <c r="D2243"/>
  <c r="I2384"/>
  <c r="D2768"/>
  <c r="G1158"/>
  <c r="D661"/>
  <c r="I2196"/>
  <c r="I546"/>
  <c r="D1149"/>
  <c r="I1424"/>
  <c r="D597"/>
  <c r="D44"/>
  <c r="D2435"/>
  <c r="D343"/>
  <c r="G203"/>
  <c r="I2361"/>
  <c r="D1802"/>
  <c r="I168"/>
  <c r="D797"/>
  <c r="I2914"/>
  <c r="G2747"/>
  <c r="I129"/>
  <c r="D3330"/>
  <c r="D825"/>
  <c r="D273"/>
  <c r="G1132"/>
  <c r="G1118"/>
  <c r="G3602"/>
  <c r="D2061"/>
  <c r="I2883"/>
  <c r="I1370"/>
  <c r="D2085"/>
  <c r="I740"/>
  <c r="G447"/>
  <c r="D32"/>
  <c r="I341"/>
  <c r="G786"/>
  <c r="D515"/>
  <c r="I836"/>
  <c r="G1451"/>
  <c r="D329"/>
  <c r="G220"/>
  <c r="G375"/>
  <c r="I688"/>
  <c r="D2409"/>
  <c r="G1544"/>
  <c r="D540"/>
  <c r="I1186"/>
  <c r="D645"/>
  <c r="G1711"/>
  <c r="D2336"/>
  <c r="D316"/>
  <c r="D2708"/>
  <c r="I3069"/>
  <c r="I1818"/>
  <c r="D2004"/>
  <c r="I3107"/>
  <c r="D2474"/>
  <c r="I2084"/>
  <c r="I123"/>
  <c r="D1454"/>
  <c r="I3452"/>
  <c r="I2106"/>
  <c r="D393"/>
  <c r="G1654"/>
  <c r="D1466"/>
  <c r="I985"/>
  <c r="I1577"/>
  <c r="I720"/>
  <c r="D793"/>
  <c r="I500"/>
  <c r="G299"/>
  <c r="D188"/>
  <c r="G2422"/>
  <c r="G56"/>
  <c r="I973"/>
  <c r="G835"/>
  <c r="G1204"/>
  <c r="I1044"/>
  <c r="G251"/>
  <c r="G1991"/>
  <c r="D1317"/>
  <c r="G402"/>
  <c r="D731"/>
  <c r="G1796"/>
  <c r="D159"/>
  <c r="I631"/>
  <c r="I2658"/>
  <c r="G2374"/>
  <c r="D772"/>
  <c r="G1142"/>
  <c r="I1558"/>
  <c r="I1005"/>
  <c r="G414"/>
  <c r="G1176"/>
  <c r="I614"/>
  <c r="G605"/>
  <c r="I204"/>
  <c r="I2470"/>
  <c r="D2119"/>
  <c r="D485"/>
  <c r="G1615"/>
  <c r="G2654"/>
  <c r="D119"/>
  <c r="D2910"/>
  <c r="I944"/>
  <c r="D983"/>
  <c r="I13"/>
  <c r="I1520"/>
  <c r="I1455"/>
  <c r="I1187"/>
  <c r="G31"/>
  <c r="I1023"/>
  <c r="D445"/>
  <c r="G1739"/>
  <c r="G3389"/>
  <c r="D2677"/>
  <c r="D203"/>
  <c r="I2017"/>
  <c r="I8"/>
  <c r="I69"/>
  <c r="D1665"/>
  <c r="I1415"/>
  <c r="D2440"/>
  <c r="G2408"/>
  <c r="I3260"/>
  <c r="G301"/>
  <c r="I2046"/>
  <c r="D918"/>
  <c r="I653"/>
  <c r="G1288"/>
  <c r="I155"/>
  <c r="D137"/>
  <c r="I2854"/>
  <c r="I1826"/>
  <c r="D311"/>
  <c r="G1601"/>
  <c r="G2959"/>
  <c r="D455"/>
  <c r="G836"/>
  <c r="D481"/>
  <c r="D2669"/>
  <c r="G333"/>
  <c r="G1567"/>
  <c r="D1939"/>
  <c r="I1042"/>
  <c r="I1794"/>
  <c r="G312"/>
  <c r="D2526"/>
  <c r="D3114"/>
  <c r="G3539"/>
  <c r="I2835"/>
  <c r="D897"/>
  <c r="I1428"/>
  <c r="I2802"/>
  <c r="G1305"/>
  <c r="I2162"/>
  <c r="D2671"/>
  <c r="D2125"/>
  <c r="G2272"/>
  <c r="G1213"/>
  <c r="I2667"/>
  <c r="G623"/>
  <c r="D658"/>
  <c r="I1100"/>
  <c r="G1070"/>
  <c r="I242"/>
  <c r="D2246"/>
  <c r="G3109"/>
  <c r="D183"/>
  <c r="D770"/>
  <c r="I1400"/>
  <c r="I2434"/>
  <c r="D1289"/>
  <c r="I2966"/>
  <c r="D177"/>
  <c r="G2401"/>
  <c r="I3196"/>
  <c r="D2230"/>
  <c r="D1221"/>
  <c r="G1146"/>
  <c r="I730"/>
  <c r="G294"/>
  <c r="I1821"/>
  <c r="G1011"/>
  <c r="I2061"/>
  <c r="G1296"/>
  <c r="G2816"/>
  <c r="D1998"/>
  <c r="I3265"/>
  <c r="I3467"/>
  <c r="I295"/>
  <c r="G1449"/>
  <c r="I1835"/>
  <c r="I1243"/>
  <c r="D1023"/>
  <c r="D3213"/>
  <c r="G1357"/>
  <c r="I3062"/>
  <c r="D1327"/>
  <c r="G2958"/>
  <c r="G1105"/>
  <c r="G3461"/>
  <c r="I1688"/>
  <c r="I1893"/>
  <c r="I413"/>
  <c r="I2446"/>
  <c r="G1321"/>
  <c r="G28"/>
  <c r="D2069"/>
  <c r="D1150"/>
  <c r="G3125"/>
  <c r="I423"/>
  <c r="G1468"/>
  <c r="G1483"/>
  <c r="D303"/>
  <c r="I2599"/>
  <c r="G638"/>
  <c r="I3215"/>
  <c r="G3255"/>
  <c r="G2285"/>
  <c r="I744"/>
  <c r="I1609"/>
  <c r="D1048"/>
  <c r="D466"/>
  <c r="G1265"/>
  <c r="I1032"/>
  <c r="I1525"/>
  <c r="I1565"/>
  <c r="I1505"/>
  <c r="D2546"/>
  <c r="G1914"/>
  <c r="G72"/>
  <c r="D2329"/>
  <c r="I1915"/>
  <c r="D863"/>
  <c r="G67"/>
  <c r="G81"/>
  <c r="G1096"/>
  <c r="I1679"/>
  <c r="G1578"/>
  <c r="D1684"/>
  <c r="G1956"/>
  <c r="I704"/>
  <c r="G1808"/>
  <c r="I2805"/>
  <c r="I2103"/>
  <c r="G1168"/>
  <c r="I112"/>
  <c r="D813"/>
  <c r="D980"/>
  <c r="I837"/>
  <c r="G1035"/>
  <c r="I207"/>
  <c r="G3362"/>
  <c r="G1197"/>
  <c r="G915"/>
  <c r="G1584"/>
  <c r="I1348"/>
  <c r="D1682"/>
  <c r="D320"/>
  <c r="G973"/>
  <c r="D866"/>
  <c r="G535"/>
  <c r="D1526"/>
  <c r="I2844"/>
  <c r="G2622"/>
  <c r="D1099"/>
  <c r="G694"/>
  <c r="G2434"/>
  <c r="I3446"/>
  <c r="G974"/>
  <c r="I1899"/>
  <c r="D3451"/>
  <c r="D2096"/>
  <c r="I2951"/>
  <c r="D1827"/>
  <c r="D1872"/>
  <c r="G305"/>
  <c r="G1057"/>
  <c r="I645"/>
  <c r="G660"/>
  <c r="I1361"/>
  <c r="G2837"/>
  <c r="I1161"/>
  <c r="I1435"/>
  <c r="G1076"/>
  <c r="G673"/>
  <c r="I2853"/>
  <c r="D3070"/>
  <c r="I1668"/>
  <c r="D200"/>
  <c r="G982"/>
  <c r="I2678"/>
  <c r="D171"/>
  <c r="G3486"/>
  <c r="D823"/>
  <c r="G663"/>
  <c r="D3459"/>
  <c r="G2741"/>
  <c r="I1037"/>
  <c r="I2485"/>
  <c r="I519"/>
  <c r="G320"/>
  <c r="D117"/>
  <c r="D1239"/>
  <c r="G230"/>
  <c r="G3219"/>
  <c r="G951"/>
  <c r="I945"/>
  <c r="I53"/>
  <c r="I1371"/>
  <c r="G2234"/>
  <c r="G2728"/>
  <c r="G1160"/>
  <c r="D2660"/>
  <c r="G3471"/>
  <c r="D497"/>
  <c r="I542"/>
  <c r="G87"/>
  <c r="G293"/>
  <c r="D1771"/>
  <c r="G25"/>
  <c r="G45"/>
  <c r="G2825"/>
  <c r="I699"/>
  <c r="G1906"/>
  <c r="D1487"/>
  <c r="I58"/>
  <c r="G834"/>
  <c r="G1762"/>
  <c r="D2304"/>
  <c r="I805"/>
  <c r="I1919"/>
  <c r="D133"/>
  <c r="G192"/>
  <c r="G1922"/>
  <c r="I629"/>
  <c r="I733"/>
  <c r="G112"/>
  <c r="G2534"/>
  <c r="G3551"/>
  <c r="D2167"/>
  <c r="I2464"/>
  <c r="D1237"/>
  <c r="G642"/>
  <c r="D2780"/>
  <c r="I584"/>
  <c r="D2483"/>
  <c r="D3558"/>
  <c r="I2520"/>
  <c r="G326"/>
  <c r="D732"/>
  <c r="G1765"/>
  <c r="D1255"/>
  <c r="I1222"/>
  <c r="I1726"/>
  <c r="D1820"/>
  <c r="G2382"/>
  <c r="I3255"/>
  <c r="I94"/>
  <c r="D2393"/>
  <c r="I2910"/>
  <c r="G73"/>
  <c r="I1372"/>
  <c r="D2885"/>
  <c r="I2917"/>
  <c r="G94"/>
  <c r="D2433"/>
  <c r="I628"/>
  <c r="I679"/>
  <c r="D1934"/>
  <c r="G2573"/>
  <c r="D713"/>
  <c r="I662"/>
  <c r="G275"/>
  <c r="I641"/>
  <c r="D1529"/>
  <c r="D51"/>
  <c r="D958"/>
  <c r="G1541"/>
  <c r="I1050"/>
  <c r="D1340"/>
  <c r="G1839"/>
  <c r="I1502"/>
  <c r="D1992"/>
  <c r="I919"/>
  <c r="I1390"/>
  <c r="I708"/>
  <c r="D1804"/>
  <c r="I1922"/>
  <c r="I822"/>
  <c r="D2198"/>
  <c r="D2295"/>
  <c r="D2335"/>
  <c r="G1058"/>
  <c r="G1610"/>
  <c r="D2950"/>
  <c r="I974"/>
  <c r="I632"/>
  <c r="I636"/>
  <c r="D991"/>
  <c r="I319"/>
  <c r="G2669"/>
  <c r="I246"/>
  <c r="I1615"/>
  <c r="D3353"/>
  <c r="D1104"/>
  <c r="I2154"/>
  <c r="G3405"/>
  <c r="I1184"/>
  <c r="G1351"/>
  <c r="D1390"/>
  <c r="D48"/>
  <c r="I487"/>
  <c r="G2861"/>
  <c r="I1235"/>
  <c r="G1706"/>
  <c r="D3272"/>
  <c r="G2016"/>
  <c r="I464"/>
  <c r="D1071"/>
  <c r="G2697"/>
  <c r="G844"/>
  <c r="I1675"/>
  <c r="I3263"/>
  <c r="I1114"/>
  <c r="D707"/>
  <c r="I308"/>
  <c r="I286"/>
  <c r="D530"/>
  <c r="D2644"/>
  <c r="G257"/>
  <c r="G708"/>
  <c r="G2362"/>
  <c r="D1333"/>
  <c r="D115"/>
  <c r="I147"/>
  <c r="I140"/>
  <c r="G3333"/>
  <c r="D394"/>
  <c r="G847"/>
  <c r="I3052"/>
  <c r="I2713"/>
  <c r="I1213"/>
  <c r="G1258"/>
  <c r="D1065"/>
  <c r="G2967"/>
  <c r="I2353"/>
  <c r="G3283"/>
  <c r="D423"/>
  <c r="D625"/>
  <c r="D3250"/>
  <c r="G1924"/>
  <c r="D1967"/>
  <c r="G1809"/>
  <c r="I238"/>
  <c r="D807"/>
  <c r="D21"/>
  <c r="I764"/>
  <c r="G754"/>
  <c r="G1122"/>
  <c r="D3062"/>
  <c r="G1189"/>
  <c r="G2064"/>
  <c r="I3092"/>
  <c r="I3048"/>
  <c r="D2636"/>
  <c r="I1699"/>
  <c r="I1969"/>
  <c r="D725"/>
  <c r="G80"/>
  <c r="I128"/>
  <c r="G341"/>
  <c r="G430"/>
  <c r="G445"/>
  <c r="I513"/>
  <c r="D857"/>
  <c r="D783"/>
  <c r="G2314"/>
  <c r="I195"/>
  <c r="G2763"/>
  <c r="G840"/>
  <c r="G321"/>
  <c r="D3180"/>
  <c r="D906"/>
  <c r="I865"/>
  <c r="I520"/>
  <c r="D566"/>
  <c r="I1459"/>
  <c r="I1374"/>
  <c r="D726"/>
  <c r="G227"/>
  <c r="I1320"/>
  <c r="I1728"/>
  <c r="G3134"/>
  <c r="I2727"/>
  <c r="D1388"/>
  <c r="I576"/>
  <c r="I2140"/>
  <c r="D795"/>
  <c r="D1278"/>
  <c r="D727"/>
  <c r="I2041"/>
  <c r="I889"/>
  <c r="I812"/>
  <c r="D803"/>
  <c r="D1652"/>
  <c r="D1990"/>
  <c r="I1335"/>
  <c r="D1869"/>
  <c r="G3587"/>
  <c r="D2047"/>
  <c r="G2004"/>
  <c r="I3421"/>
  <c r="G1320"/>
  <c r="I1059"/>
  <c r="I118"/>
  <c r="I493"/>
  <c r="D2013"/>
  <c r="G2761"/>
  <c r="I3414"/>
  <c r="I2042"/>
  <c r="I1165"/>
  <c r="G66"/>
  <c r="G280"/>
  <c r="G1106"/>
  <c r="G719"/>
  <c r="I1031"/>
  <c r="I409"/>
  <c r="G377"/>
  <c r="D2785"/>
  <c r="D535"/>
  <c r="G711"/>
  <c r="I1350"/>
  <c r="D174"/>
  <c r="G809"/>
  <c r="D962"/>
  <c r="G534"/>
  <c r="I958"/>
  <c r="I1784"/>
  <c r="D387"/>
  <c r="G805"/>
  <c r="I814"/>
  <c r="D729"/>
  <c r="I563"/>
  <c r="G680"/>
  <c r="I144"/>
  <c r="G1546"/>
  <c r="I1733"/>
  <c r="I2113"/>
  <c r="I768"/>
  <c r="D1837"/>
  <c r="G563"/>
  <c r="D1870"/>
  <c r="D1049"/>
  <c r="I130"/>
  <c r="I90"/>
  <c r="I942"/>
  <c r="I152"/>
  <c r="D1904"/>
  <c r="D1579"/>
  <c r="I291"/>
  <c r="I1653"/>
  <c r="G846"/>
  <c r="D3117"/>
  <c r="D173"/>
  <c r="G1129"/>
  <c r="D3415"/>
  <c r="D3424"/>
  <c r="I1095"/>
  <c r="I2786"/>
  <c r="D743"/>
  <c r="I2432"/>
  <c r="G1742"/>
  <c r="G502"/>
  <c r="G2192"/>
  <c r="G1847"/>
  <c r="D2657"/>
  <c r="G2544"/>
  <c r="I1858"/>
  <c r="G2655"/>
  <c r="I3232"/>
  <c r="G2758"/>
  <c r="I2639"/>
  <c r="D2311"/>
  <c r="I1053"/>
  <c r="I2980"/>
  <c r="I110"/>
  <c r="D1725"/>
  <c r="D3483"/>
  <c r="G1200"/>
  <c r="G555"/>
  <c r="I911"/>
  <c r="I232"/>
  <c r="D526"/>
  <c r="G777"/>
  <c r="I1043"/>
  <c r="I918"/>
  <c r="I1188"/>
  <c r="G2020"/>
  <c r="G317"/>
  <c r="G1646"/>
  <c r="I642"/>
  <c r="I1029"/>
  <c r="I1306"/>
  <c r="G2786"/>
  <c r="D3427"/>
  <c r="G1400"/>
  <c r="G1989"/>
  <c r="G820"/>
  <c r="I2007"/>
  <c r="D2058"/>
  <c r="G1604"/>
  <c r="G51"/>
  <c r="G897"/>
  <c r="G582"/>
  <c r="I907"/>
  <c r="D1808"/>
  <c r="D2044"/>
  <c r="I1071"/>
  <c r="D1128"/>
  <c r="G1826"/>
  <c r="G470"/>
  <c r="D2159"/>
  <c r="G2755"/>
  <c r="D2665"/>
  <c r="D1007"/>
  <c r="G508"/>
  <c r="D482"/>
  <c r="D1248"/>
  <c r="G1048"/>
  <c r="G560"/>
  <c r="G1667"/>
  <c r="D476"/>
  <c r="G870"/>
  <c r="I1082"/>
  <c r="D2706"/>
  <c r="G2882"/>
  <c r="G2537"/>
  <c r="G556"/>
  <c r="G1165"/>
  <c r="D2262"/>
  <c r="G802"/>
  <c r="I1567"/>
  <c r="G1779"/>
  <c r="G1145"/>
  <c r="D899"/>
  <c r="I3031"/>
  <c r="G3563"/>
  <c r="D1022"/>
  <c r="D1868"/>
  <c r="D2632"/>
  <c r="D1427"/>
  <c r="D1407"/>
  <c r="D3358"/>
  <c r="G3484"/>
  <c r="D2589"/>
  <c r="D639"/>
  <c r="I1209"/>
  <c r="I1812"/>
  <c r="D56"/>
  <c r="I1544"/>
  <c r="G1557"/>
  <c r="I1404"/>
  <c r="D296"/>
  <c r="D40"/>
  <c r="G2325"/>
  <c r="G2901"/>
  <c r="I2174"/>
  <c r="I3405"/>
  <c r="G2361"/>
  <c r="I2104"/>
  <c r="I1690"/>
  <c r="I1820"/>
  <c r="I372"/>
  <c r="G136"/>
  <c r="D1575"/>
  <c r="G91"/>
  <c r="D396"/>
  <c r="I285"/>
  <c r="G1960"/>
  <c r="I2496"/>
  <c r="G2713"/>
  <c r="G1841"/>
  <c r="I403"/>
  <c r="G3036"/>
  <c r="I555"/>
  <c r="D2255"/>
  <c r="D1834"/>
  <c r="I1430"/>
  <c r="D213"/>
  <c r="D486"/>
  <c r="D999"/>
  <c r="I2743"/>
  <c r="I529"/>
  <c r="I70"/>
  <c r="I85"/>
  <c r="I819"/>
  <c r="I315"/>
  <c r="J3036" l="1"/>
  <c r="J1841"/>
  <c r="J2713"/>
  <c r="J1960"/>
  <c r="J91"/>
  <c r="J136"/>
  <c r="J2361"/>
  <c r="J2901"/>
  <c r="J2325"/>
  <c r="J1557"/>
  <c r="J3484"/>
  <c r="J3563"/>
  <c r="J1145"/>
  <c r="J1779"/>
  <c r="J802"/>
  <c r="J1165"/>
  <c r="J556"/>
  <c r="J2537"/>
  <c r="J2882"/>
  <c r="J870"/>
  <c r="J1667"/>
  <c r="J560"/>
  <c r="J1048"/>
  <c r="J508"/>
  <c r="J2755"/>
  <c r="J470"/>
  <c r="J1826"/>
  <c r="J582"/>
  <c r="J897"/>
  <c r="J51"/>
  <c r="J1604"/>
  <c r="J820"/>
  <c r="J1989"/>
  <c r="J1400"/>
  <c r="J2786"/>
  <c r="J1646"/>
  <c r="J317"/>
  <c r="J2020"/>
  <c r="J777"/>
  <c r="J555"/>
  <c r="J1200"/>
  <c r="J2758"/>
  <c r="J2655"/>
  <c r="J2544"/>
  <c r="J1847"/>
  <c r="J2192"/>
  <c r="J502"/>
  <c r="J1742"/>
  <c r="J1129"/>
  <c r="J846"/>
  <c r="J563"/>
  <c r="J1546"/>
  <c r="J680"/>
  <c r="J805"/>
  <c r="J534"/>
  <c r="J809"/>
  <c r="J711"/>
  <c r="J377"/>
  <c r="J719"/>
  <c r="J1106"/>
  <c r="J280"/>
  <c r="J66"/>
  <c r="J2761"/>
  <c r="J1320"/>
  <c r="J2004"/>
  <c r="J3587"/>
  <c r="J3134"/>
  <c r="J227"/>
  <c r="J321"/>
  <c r="J840"/>
  <c r="J2763"/>
  <c r="J2314"/>
  <c r="J445"/>
  <c r="J430"/>
  <c r="J341"/>
  <c r="J80"/>
  <c r="J2064"/>
  <c r="J1189"/>
  <c r="J1122"/>
  <c r="J754"/>
  <c r="J1809"/>
  <c r="J1924"/>
  <c r="J3283"/>
  <c r="J2967"/>
  <c r="J1258"/>
  <c r="J847"/>
  <c r="J3333"/>
  <c r="J2362"/>
  <c r="J708"/>
  <c r="J257"/>
  <c r="J844"/>
  <c r="J2697"/>
  <c r="J2016"/>
  <c r="J1706"/>
  <c r="J2861"/>
  <c r="J1351"/>
  <c r="J3405"/>
  <c r="J2669"/>
  <c r="J1610"/>
  <c r="J1058"/>
  <c r="J1839"/>
  <c r="J1541"/>
  <c r="J275"/>
  <c r="J2573"/>
  <c r="J94"/>
  <c r="J73"/>
  <c r="J2382"/>
  <c r="J1765"/>
  <c r="J326"/>
  <c r="J642"/>
  <c r="J3551"/>
  <c r="J2534"/>
  <c r="J112"/>
  <c r="J1922"/>
  <c r="J192"/>
  <c r="J1762"/>
  <c r="J834"/>
  <c r="J1906"/>
  <c r="J2825"/>
  <c r="J45"/>
  <c r="J25"/>
  <c r="J293"/>
  <c r="J87"/>
  <c r="J3471"/>
  <c r="J1160"/>
  <c r="J2728"/>
  <c r="J2234"/>
  <c r="J951"/>
  <c r="J3219"/>
  <c r="J230"/>
  <c r="J320"/>
  <c r="J2741"/>
  <c r="J663"/>
  <c r="J3486"/>
  <c r="J982"/>
  <c r="J673"/>
  <c r="J2837"/>
  <c r="J660"/>
  <c r="J1057"/>
  <c r="J305"/>
  <c r="J974"/>
  <c r="J2434"/>
  <c r="J694"/>
  <c r="J2622"/>
  <c r="J535"/>
  <c r="J973"/>
  <c r="J1584"/>
  <c r="J915"/>
  <c r="J1197"/>
  <c r="J3362"/>
  <c r="J1035"/>
  <c r="J1168"/>
  <c r="J1808"/>
  <c r="J1956"/>
  <c r="J1578"/>
  <c r="J1096"/>
  <c r="J81"/>
  <c r="J67"/>
  <c r="J72"/>
  <c r="J1914"/>
  <c r="J1265"/>
  <c r="J2285"/>
  <c r="J3255"/>
  <c r="J638"/>
  <c r="J1483"/>
  <c r="J1468"/>
  <c r="J3125"/>
  <c r="J28"/>
  <c r="J1321"/>
  <c r="J3461"/>
  <c r="J1105"/>
  <c r="J2958"/>
  <c r="J1357"/>
  <c r="J1449"/>
  <c r="J2816"/>
  <c r="J1296"/>
  <c r="J1011"/>
  <c r="J294"/>
  <c r="J1146"/>
  <c r="J2401"/>
  <c r="J3109"/>
  <c r="J1070"/>
  <c r="J623"/>
  <c r="J1213"/>
  <c r="J2272"/>
  <c r="J1305"/>
  <c r="J3539"/>
  <c r="J312"/>
  <c r="J1567"/>
  <c r="J333"/>
  <c r="J836"/>
  <c r="J2959"/>
  <c r="J1601"/>
  <c r="J1288"/>
  <c r="J301"/>
  <c r="J2408"/>
  <c r="J3389"/>
  <c r="J1739"/>
  <c r="J31"/>
  <c r="J2654"/>
  <c r="J1615"/>
  <c r="J605"/>
  <c r="J1176"/>
  <c r="J414"/>
  <c r="J1142"/>
  <c r="J2374"/>
  <c r="J1796"/>
  <c r="J402"/>
  <c r="J1991"/>
  <c r="J251"/>
  <c r="J1204"/>
  <c r="J835"/>
  <c r="J56"/>
  <c r="J2422"/>
  <c r="J299"/>
  <c r="J1654"/>
  <c r="J1711"/>
  <c r="J1544"/>
  <c r="J375"/>
  <c r="J220"/>
  <c r="J1451"/>
  <c r="J786"/>
  <c r="J447"/>
  <c r="J3602"/>
  <c r="J1118"/>
  <c r="J1132"/>
  <c r="J2747"/>
  <c r="J203"/>
  <c r="J1158"/>
  <c r="J2437"/>
  <c r="J2686"/>
  <c r="J1363"/>
  <c r="J816"/>
  <c r="J591"/>
  <c r="J296"/>
  <c r="J1457"/>
  <c r="J1140"/>
  <c r="J852"/>
  <c r="J2348"/>
  <c r="J3580"/>
  <c r="J1672"/>
  <c r="J3170"/>
  <c r="J3174"/>
  <c r="J131"/>
  <c r="J2906"/>
  <c r="J1185"/>
  <c r="J1360"/>
  <c r="J195"/>
  <c r="J620"/>
  <c r="J677"/>
  <c r="J1440"/>
  <c r="J737"/>
  <c r="J193"/>
  <c r="J619"/>
  <c r="J3304"/>
  <c r="J3103"/>
  <c r="J498"/>
  <c r="J54"/>
  <c r="J1896"/>
  <c r="J818"/>
  <c r="J1452"/>
  <c r="J1326"/>
  <c r="J569"/>
  <c r="J1657"/>
  <c r="J960"/>
  <c r="J1785"/>
  <c r="J713"/>
  <c r="J421"/>
  <c r="J3483"/>
  <c r="J731"/>
  <c r="J2778"/>
  <c r="J722"/>
  <c r="J435"/>
  <c r="J1102"/>
  <c r="J3393"/>
  <c r="J1205"/>
  <c r="J2389"/>
  <c r="J163"/>
  <c r="J2948"/>
  <c r="J1324"/>
  <c r="J945"/>
  <c r="J1525"/>
  <c r="J773"/>
  <c r="J1575"/>
  <c r="J1287"/>
  <c r="J724"/>
  <c r="J678"/>
  <c r="J1416"/>
  <c r="J3510"/>
  <c r="J1091"/>
  <c r="J134"/>
  <c r="J1526"/>
  <c r="J3459"/>
  <c r="J1017"/>
  <c r="J746"/>
  <c r="J3509"/>
  <c r="J1295"/>
  <c r="J234"/>
  <c r="J2562"/>
  <c r="J1588"/>
  <c r="J643"/>
  <c r="J1245"/>
  <c r="J202"/>
  <c r="J1915"/>
  <c r="J993"/>
  <c r="J1206"/>
  <c r="J543"/>
  <c r="J608"/>
  <c r="J1534"/>
  <c r="J1042"/>
  <c r="J1188"/>
  <c r="J3004"/>
  <c r="J1891"/>
  <c r="J1167"/>
  <c r="J416"/>
  <c r="J716"/>
  <c r="J1302"/>
  <c r="J2737"/>
  <c r="J2425"/>
  <c r="J2151"/>
  <c r="J500"/>
  <c r="J3068"/>
  <c r="J2055"/>
  <c r="J1294"/>
  <c r="J554"/>
  <c r="J3457"/>
  <c r="J1177"/>
  <c r="J2022"/>
  <c r="J1661"/>
  <c r="J698"/>
  <c r="J1504"/>
  <c r="J1218"/>
  <c r="J3179"/>
  <c r="J1186"/>
  <c r="J1199"/>
  <c r="J850"/>
  <c r="J937"/>
  <c r="J3057"/>
  <c r="J2300"/>
  <c r="J1470"/>
  <c r="J93"/>
  <c r="J825"/>
  <c r="J1172"/>
  <c r="J358"/>
  <c r="J1622"/>
  <c r="J527"/>
  <c r="J1009"/>
  <c r="J515"/>
  <c r="J1143"/>
  <c r="J63"/>
  <c r="J145"/>
  <c r="J1453"/>
  <c r="J2220"/>
  <c r="J1290"/>
  <c r="J1228"/>
  <c r="J546"/>
  <c r="J832"/>
  <c r="J3040"/>
  <c r="J1426"/>
  <c r="J653"/>
  <c r="J176"/>
  <c r="J1849"/>
  <c r="J124"/>
  <c r="J102"/>
  <c r="J3216"/>
  <c r="J1833"/>
  <c r="J2044"/>
  <c r="J1269"/>
  <c r="J335"/>
  <c r="J479"/>
  <c r="J1349"/>
  <c r="J381"/>
  <c r="J766"/>
  <c r="J101"/>
  <c r="J1126"/>
  <c r="J842"/>
  <c r="J1934"/>
  <c r="J250"/>
  <c r="J30"/>
  <c r="J1191"/>
  <c r="J1138"/>
  <c r="J482"/>
  <c r="J217"/>
  <c r="J1745"/>
  <c r="J3328"/>
  <c r="J1262"/>
  <c r="J1181"/>
  <c r="J721"/>
  <c r="J39"/>
  <c r="J979"/>
  <c r="J2790"/>
  <c r="J2160"/>
  <c r="J2553"/>
  <c r="J1421"/>
  <c r="J200"/>
  <c r="J2708"/>
  <c r="J133"/>
  <c r="J2429"/>
  <c r="J231"/>
  <c r="J966"/>
  <c r="J3104"/>
  <c r="J632"/>
  <c r="J1553"/>
  <c r="J386"/>
  <c r="J1390"/>
  <c r="J2463"/>
  <c r="J3570"/>
  <c r="J1300"/>
  <c r="J179"/>
  <c r="J2543"/>
  <c r="J3250"/>
  <c r="J1459"/>
  <c r="J3346"/>
  <c r="J941"/>
  <c r="J2177"/>
  <c r="J2030"/>
  <c r="J803"/>
  <c r="J224"/>
  <c r="J2642"/>
  <c r="J1372"/>
  <c r="J485"/>
  <c r="J1499"/>
  <c r="J756"/>
  <c r="J2279"/>
  <c r="J606"/>
  <c r="J1685"/>
  <c r="J397"/>
  <c r="J79"/>
  <c r="J729"/>
  <c r="J244"/>
  <c r="J2712"/>
  <c r="J2706"/>
  <c r="J1174"/>
  <c r="J3227"/>
  <c r="J467"/>
  <c r="J1364"/>
  <c r="J687"/>
  <c r="J889"/>
  <c r="J1384"/>
  <c r="J1732"/>
  <c r="J400"/>
  <c r="J2960"/>
  <c r="J1678"/>
  <c r="J1592"/>
  <c r="J1596"/>
  <c r="J365"/>
  <c r="J1099"/>
  <c r="J1013"/>
  <c r="J10"/>
  <c r="J987"/>
  <c r="J1391"/>
  <c r="J98"/>
  <c r="J1987"/>
  <c r="J1097"/>
  <c r="J3575"/>
  <c r="J699"/>
  <c r="J2317"/>
  <c r="J1266"/>
  <c r="J1492"/>
  <c r="J23"/>
  <c r="J1901"/>
  <c r="J2405"/>
  <c r="J1638"/>
  <c r="J1014"/>
  <c r="J2083"/>
  <c r="J755"/>
  <c r="J3499"/>
  <c r="J3388"/>
  <c r="J512"/>
  <c r="J2985"/>
  <c r="J787"/>
  <c r="J1947"/>
  <c r="J2569"/>
  <c r="J3384"/>
  <c r="J908"/>
  <c r="J2893"/>
  <c r="J763"/>
  <c r="J2852"/>
  <c r="J96"/>
  <c r="J2321"/>
  <c r="J1455"/>
  <c r="J956"/>
  <c r="J2693"/>
  <c r="J2674"/>
  <c r="J1522"/>
  <c r="J1566"/>
  <c r="J43"/>
  <c r="J790"/>
  <c r="J394"/>
  <c r="J1115"/>
  <c r="J2105"/>
  <c r="J2258"/>
  <c r="J779"/>
  <c r="J1640"/>
  <c r="J501"/>
  <c r="J1616"/>
  <c r="J1625"/>
  <c r="J1850"/>
  <c r="J1315"/>
  <c r="J633"/>
  <c r="J1789"/>
  <c r="J1067"/>
  <c r="J767"/>
  <c r="J914"/>
  <c r="J2521"/>
  <c r="J1673"/>
  <c r="J1261"/>
  <c r="J3424"/>
  <c r="J3107"/>
  <c r="J3096"/>
  <c r="J3496"/>
  <c r="J284"/>
  <c r="J2278"/>
  <c r="J2933"/>
  <c r="J1753"/>
  <c r="J2829"/>
  <c r="J849"/>
  <c r="J2397"/>
  <c r="J1883"/>
  <c r="J784"/>
  <c r="J1236"/>
  <c r="J272"/>
  <c r="J781"/>
  <c r="J1284"/>
  <c r="J1996"/>
  <c r="J2936"/>
  <c r="J664"/>
  <c r="J992"/>
  <c r="J90"/>
  <c r="J1021"/>
  <c r="J378"/>
  <c r="J122"/>
  <c r="J17"/>
  <c r="J876"/>
  <c r="J3297"/>
  <c r="J2107"/>
  <c r="J893"/>
  <c r="J1686"/>
  <c r="J1959"/>
  <c r="J718"/>
  <c r="J873"/>
  <c r="J2850"/>
  <c r="J1614"/>
  <c r="J783"/>
  <c r="J2138"/>
  <c r="J789"/>
  <c r="J148"/>
  <c r="J2564"/>
  <c r="J3472"/>
  <c r="J1641"/>
  <c r="J757"/>
  <c r="J2813"/>
  <c r="J2173"/>
  <c r="J2939"/>
  <c r="J2334"/>
  <c r="J3319"/>
  <c r="J2227"/>
  <c r="J2418"/>
  <c r="J726"/>
  <c r="J2766"/>
  <c r="J624"/>
  <c r="J314"/>
  <c r="J1020"/>
  <c r="J1361"/>
  <c r="J2213"/>
  <c r="J542"/>
  <c r="J2494"/>
  <c r="J821"/>
  <c r="J158"/>
  <c r="J154"/>
  <c r="J1010"/>
  <c r="J2878"/>
  <c r="J1786"/>
  <c r="J1406"/>
  <c r="J444"/>
  <c r="J3306"/>
  <c r="J3432"/>
  <c r="J2153"/>
  <c r="J1170"/>
  <c r="J2070"/>
  <c r="J1157"/>
  <c r="J2007"/>
  <c r="J232"/>
  <c r="J1810"/>
  <c r="J3176"/>
  <c r="J393"/>
  <c r="J2576"/>
  <c r="J880"/>
  <c r="J3098"/>
  <c r="J705"/>
  <c r="J593"/>
  <c r="J2185"/>
  <c r="J1346"/>
  <c r="J1621"/>
  <c r="J2274"/>
  <c r="J253"/>
  <c r="J277"/>
  <c r="J2947"/>
  <c r="J1040"/>
  <c r="J3339"/>
  <c r="J1496"/>
  <c r="J3006"/>
  <c r="J391"/>
  <c r="J110"/>
  <c r="J2051"/>
  <c r="J1031"/>
  <c r="J1032"/>
  <c r="J264"/>
  <c r="J2335"/>
  <c r="J1335"/>
  <c r="J1992"/>
  <c r="J1327"/>
  <c r="J449"/>
  <c r="J216"/>
  <c r="J488"/>
  <c r="J1304"/>
  <c r="J273"/>
  <c r="J303"/>
  <c r="J1080"/>
  <c r="J1022"/>
  <c r="J1293"/>
  <c r="J342"/>
  <c r="J125"/>
  <c r="J1066"/>
  <c r="J3137"/>
  <c r="J2993"/>
  <c r="J1162"/>
  <c r="J1259"/>
  <c r="J3139"/>
  <c r="J1580"/>
  <c r="J1886"/>
  <c r="J640"/>
  <c r="J1543"/>
  <c r="J1345"/>
  <c r="J1893"/>
  <c r="J1030"/>
  <c r="J2502"/>
  <c r="J1155"/>
  <c r="J3092"/>
  <c r="J152"/>
  <c r="J1767"/>
  <c r="J645"/>
  <c r="J198"/>
  <c r="J607"/>
  <c r="J657"/>
  <c r="J3395"/>
  <c r="J1674"/>
  <c r="J1183"/>
  <c r="J725"/>
  <c r="J1085"/>
  <c r="J1322"/>
  <c r="J2902"/>
  <c r="J1088"/>
  <c r="J1435"/>
  <c r="J2762"/>
  <c r="J1859"/>
  <c r="J1100"/>
  <c r="J401"/>
  <c r="J815"/>
  <c r="J2824"/>
  <c r="J2413"/>
  <c r="J2307"/>
  <c r="J1478"/>
  <c r="J1913"/>
  <c r="J812"/>
  <c r="J406"/>
  <c r="J34"/>
  <c r="J1814"/>
  <c r="J327"/>
  <c r="J446"/>
  <c r="J1498"/>
  <c r="J759"/>
  <c r="J426"/>
  <c r="J457"/>
  <c r="J65"/>
  <c r="J1675"/>
  <c r="J384"/>
  <c r="J2821"/>
  <c r="J2630"/>
  <c r="J2125"/>
  <c r="J2196"/>
  <c r="J2603"/>
  <c r="J1124"/>
  <c r="J1867"/>
  <c r="J3419"/>
  <c r="J2629"/>
  <c r="J316"/>
  <c r="J965"/>
  <c r="J1008"/>
  <c r="J1234"/>
  <c r="J1549"/>
  <c r="J1583"/>
  <c r="J874"/>
  <c r="J1482"/>
  <c r="J2156"/>
  <c r="J566"/>
  <c r="J1528"/>
  <c r="J108"/>
  <c r="J331"/>
  <c r="J2326"/>
  <c r="J2219"/>
  <c r="J1602"/>
  <c r="J1396"/>
  <c r="J2944"/>
  <c r="J2513"/>
  <c r="J977"/>
  <c r="J126"/>
  <c r="J2848"/>
  <c r="J829"/>
  <c r="J1941"/>
  <c r="J890"/>
  <c r="J2161"/>
  <c r="J1412"/>
  <c r="J1519"/>
  <c r="J2594"/>
  <c r="J848"/>
  <c r="J429"/>
  <c r="J1665"/>
  <c r="J21"/>
  <c r="J3084"/>
  <c r="J2121"/>
  <c r="J1241"/>
  <c r="J3373"/>
  <c r="J164"/>
  <c r="J681"/>
  <c r="J1999"/>
  <c r="J7"/>
  <c r="J3342"/>
  <c r="J2438"/>
  <c r="J89"/>
  <c r="J2885"/>
  <c r="J521"/>
  <c r="J3487"/>
  <c r="J1631"/>
  <c r="J2546"/>
  <c r="J2263"/>
  <c r="J3532"/>
  <c r="J817"/>
  <c r="J871"/>
  <c r="J860"/>
  <c r="J772"/>
  <c r="J359"/>
  <c r="J1868"/>
  <c r="J925"/>
  <c r="J171"/>
  <c r="J1195"/>
  <c r="J904"/>
  <c r="J1840"/>
  <c r="J1635"/>
  <c r="J1564"/>
  <c r="J1350"/>
  <c r="J3132"/>
  <c r="J1303"/>
  <c r="J504"/>
  <c r="J111"/>
  <c r="J524"/>
  <c r="J1252"/>
  <c r="J315"/>
  <c r="J1689"/>
  <c r="J2477"/>
  <c r="J533"/>
  <c r="J957"/>
  <c r="J3002"/>
  <c r="J856"/>
  <c r="J2087"/>
  <c r="J581"/>
  <c r="J374"/>
  <c r="J506"/>
  <c r="J2768"/>
  <c r="J2011"/>
  <c r="J1377"/>
  <c r="J1962"/>
  <c r="J1227"/>
  <c r="J1571"/>
  <c r="J2082"/>
  <c r="J1231"/>
  <c r="J3075"/>
  <c r="J184"/>
  <c r="J996"/>
  <c r="J1965"/>
  <c r="J3094"/>
  <c r="J2862"/>
  <c r="J1506"/>
  <c r="J1890"/>
  <c r="J1536"/>
  <c r="J1313"/>
  <c r="J3081"/>
  <c r="J2909"/>
  <c r="J6"/>
  <c r="J347"/>
  <c r="J328"/>
  <c r="J2646"/>
  <c r="J3127"/>
  <c r="J168"/>
  <c r="J1643"/>
  <c r="J999"/>
  <c r="J209"/>
  <c r="J1801"/>
  <c r="J3527"/>
  <c r="J2013"/>
  <c r="J121"/>
  <c r="J2172"/>
  <c r="J720"/>
  <c r="J858"/>
  <c r="J3225"/>
  <c r="J1232"/>
  <c r="J2306"/>
  <c r="J936"/>
  <c r="J19"/>
  <c r="J2230"/>
  <c r="J3105"/>
  <c r="J3146"/>
  <c r="J187"/>
  <c r="J1634"/>
  <c r="J3358"/>
  <c r="J2988"/>
  <c r="J3350"/>
  <c r="J1582"/>
  <c r="J2099"/>
  <c r="J2169"/>
  <c r="J1151"/>
  <c r="J1838"/>
  <c r="J1001"/>
  <c r="J127"/>
  <c r="J1741"/>
  <c r="J1589"/>
  <c r="J1776"/>
  <c r="J330"/>
  <c r="J1572"/>
  <c r="J1041"/>
  <c r="J1365"/>
  <c r="J1068"/>
  <c r="J1844"/>
  <c r="J103"/>
  <c r="J1855"/>
  <c r="J2972"/>
  <c r="J1469"/>
  <c r="J1520"/>
  <c r="J1034"/>
  <c r="J604"/>
  <c r="J389"/>
  <c r="J370"/>
  <c r="J68"/>
  <c r="J1257"/>
  <c r="J453"/>
  <c r="J3074"/>
  <c r="J590"/>
  <c r="J3102"/>
  <c r="J1900"/>
  <c r="J75"/>
  <c r="J1474"/>
  <c r="J2891"/>
  <c r="J1328"/>
  <c r="J3016"/>
  <c r="J1537"/>
  <c r="J3256"/>
  <c r="J1818"/>
  <c r="J831"/>
  <c r="J1990"/>
  <c r="J1569"/>
  <c r="J2283"/>
  <c r="J139"/>
  <c r="J2773"/>
  <c r="J1222"/>
  <c r="J948"/>
  <c r="J3441"/>
  <c r="J3371"/>
  <c r="J495"/>
  <c r="J1551"/>
  <c r="J135"/>
  <c r="J1005"/>
  <c r="J362"/>
  <c r="J3285"/>
  <c r="J258"/>
  <c r="J2586"/>
  <c r="J1374"/>
  <c r="J1358"/>
  <c r="J118"/>
  <c r="J3223"/>
  <c r="J1586"/>
  <c r="J1019"/>
  <c r="J1248"/>
  <c r="J38"/>
  <c r="J1508"/>
  <c r="J1180"/>
  <c r="J1404"/>
  <c r="J3093"/>
  <c r="J2056"/>
  <c r="J959"/>
  <c r="J1874"/>
  <c r="J2024"/>
  <c r="J18"/>
  <c r="J3272"/>
  <c r="J2093"/>
  <c r="J592"/>
  <c r="J968"/>
  <c r="J2676"/>
  <c r="J2841"/>
  <c r="J420"/>
  <c r="J178"/>
  <c r="J1707"/>
  <c r="J1790"/>
  <c r="J2791"/>
  <c r="J1301"/>
  <c r="J697"/>
  <c r="J3242"/>
  <c r="J1353"/>
  <c r="J60"/>
  <c r="J182"/>
  <c r="J1727"/>
  <c r="J617"/>
  <c r="J2783"/>
  <c r="J460"/>
  <c r="J1054"/>
  <c r="J188"/>
  <c r="J1491"/>
  <c r="J1093"/>
  <c r="J1194"/>
  <c r="J1208"/>
  <c r="J2248"/>
  <c r="J1925"/>
  <c r="J2419"/>
  <c r="J3264"/>
  <c r="J2639"/>
  <c r="J588"/>
  <c r="J1104"/>
  <c r="J2880"/>
  <c r="J1982"/>
  <c r="J804"/>
  <c r="J1980"/>
  <c r="J2748"/>
  <c r="J3198"/>
  <c r="J2626"/>
  <c r="J2955"/>
  <c r="J800"/>
  <c r="J962"/>
  <c r="J259"/>
  <c r="J241"/>
  <c r="J2273"/>
  <c r="J2928"/>
  <c r="J1966"/>
  <c r="J1804"/>
  <c r="J2015"/>
  <c r="J149"/>
  <c r="J471"/>
  <c r="J2195"/>
  <c r="J388"/>
  <c r="J2801"/>
  <c r="J480"/>
  <c r="J2621"/>
  <c r="J669"/>
  <c r="J132"/>
  <c r="J1329"/>
  <c r="J1401"/>
  <c r="J1187"/>
  <c r="J558"/>
  <c r="J218"/>
  <c r="J1778"/>
  <c r="J572"/>
  <c r="J548"/>
  <c r="J1680"/>
  <c r="J621"/>
  <c r="J986"/>
  <c r="J2207"/>
  <c r="J1233"/>
  <c r="J1607"/>
  <c r="J3549"/>
  <c r="J1758"/>
  <c r="J738"/>
  <c r="J395"/>
  <c r="J1403"/>
  <c r="J609"/>
  <c r="J74"/>
  <c r="J150"/>
  <c r="J1517"/>
  <c r="J1979"/>
  <c r="J3239"/>
  <c r="J1438"/>
  <c r="J1028"/>
  <c r="J497"/>
  <c r="J1436"/>
  <c r="J1848"/>
  <c r="J1997"/>
  <c r="J1161"/>
  <c r="J597"/>
  <c r="J1909"/>
  <c r="J262"/>
  <c r="J2678"/>
  <c r="J728"/>
  <c r="J912"/>
  <c r="J748"/>
  <c r="J1023"/>
  <c r="J415"/>
  <c r="J2907"/>
  <c r="J2800"/>
  <c r="J1865"/>
  <c r="J1279"/>
  <c r="J1951"/>
  <c r="J3284"/>
  <c r="J2503"/>
  <c r="J1677"/>
  <c r="J1407"/>
  <c r="J71"/>
  <c r="J1119"/>
  <c r="J2845"/>
  <c r="J3352"/>
  <c r="J221"/>
  <c r="J223"/>
  <c r="J3440"/>
  <c r="J298"/>
  <c r="J656"/>
  <c r="J1414"/>
  <c r="J509"/>
  <c r="J1334"/>
  <c r="J22"/>
  <c r="J3207"/>
  <c r="J707"/>
  <c r="J3088"/>
  <c r="J706"/>
  <c r="J2175"/>
  <c r="J791"/>
  <c r="J492"/>
  <c r="J1587"/>
  <c r="J1963"/>
  <c r="J947"/>
  <c r="J2657"/>
  <c r="J3586"/>
  <c r="J1198"/>
  <c r="J2440"/>
  <c r="J12"/>
  <c r="J964"/>
  <c r="J3226"/>
  <c r="J212"/>
  <c r="J1606"/>
  <c r="J1423"/>
  <c r="J2547"/>
  <c r="J2717"/>
  <c r="J1618"/>
  <c r="J146"/>
  <c r="J3234"/>
  <c r="J528"/>
  <c r="J1714"/>
  <c r="J36"/>
  <c r="J3329"/>
  <c r="J969"/>
  <c r="J530"/>
  <c r="J1837"/>
  <c r="J823"/>
  <c r="J3379"/>
  <c r="J1456"/>
  <c r="J410"/>
  <c r="J432"/>
  <c r="J2061"/>
  <c r="J1060"/>
  <c r="J2047"/>
  <c r="J1121"/>
  <c r="J422"/>
  <c r="J797"/>
  <c r="J1799"/>
  <c r="J2770"/>
  <c r="J3277"/>
  <c r="J2406"/>
  <c r="J1027"/>
  <c r="J1729"/>
  <c r="J1830"/>
  <c r="J2974"/>
  <c r="J3409"/>
  <c r="J583"/>
  <c r="J2806"/>
  <c r="J1975"/>
  <c r="J1006"/>
  <c r="J1209"/>
  <c r="J2798"/>
  <c r="J2415"/>
  <c r="J496"/>
  <c r="J857"/>
  <c r="J565"/>
  <c r="J2726"/>
  <c r="J2237"/>
  <c r="J855"/>
  <c r="J483"/>
  <c r="J1043"/>
  <c r="J1737"/>
  <c r="J1413"/>
  <c r="J798"/>
  <c r="J972"/>
  <c r="J1053"/>
  <c r="J3572"/>
  <c r="J172"/>
  <c r="J1930"/>
  <c r="J2208"/>
  <c r="J1976"/>
  <c r="J3590"/>
  <c r="J688"/>
  <c r="J2997"/>
  <c r="J1385"/>
  <c r="J932"/>
  <c r="J289"/>
  <c r="J672"/>
  <c r="J9"/>
  <c r="J1948"/>
  <c r="J1712"/>
  <c r="J1084"/>
  <c r="J833"/>
  <c r="J155"/>
  <c r="J2402"/>
  <c r="J475"/>
  <c r="J1938"/>
  <c r="J2391"/>
  <c r="J1392"/>
  <c r="J147"/>
  <c r="J927"/>
  <c r="J2265"/>
  <c r="J2705"/>
  <c r="J3302"/>
  <c r="J47"/>
  <c r="J3005"/>
  <c r="J1136"/>
  <c r="J1073"/>
  <c r="J1793"/>
  <c r="J2775"/>
  <c r="J1591"/>
  <c r="J978"/>
  <c r="J1743"/>
  <c r="J2897"/>
  <c r="J923"/>
  <c r="J634"/>
  <c r="J2368"/>
  <c r="J3396"/>
  <c r="J732"/>
  <c r="J337"/>
  <c r="J745"/>
  <c r="J1342"/>
  <c r="J788"/>
  <c r="J282"/>
  <c r="J2345"/>
  <c r="J2431"/>
  <c r="J1515"/>
  <c r="J1439"/>
  <c r="J1173"/>
  <c r="J376"/>
  <c r="J263"/>
  <c r="J1493"/>
  <c r="J1986"/>
  <c r="J2012"/>
  <c r="J703"/>
  <c r="J2369"/>
  <c r="J256"/>
  <c r="J3230"/>
  <c r="J2617"/>
  <c r="J2155"/>
  <c r="J2808"/>
  <c r="J559"/>
  <c r="J95"/>
  <c r="J585"/>
  <c r="J2912"/>
  <c r="J1340"/>
  <c r="J2280"/>
  <c r="J3370"/>
  <c r="J639"/>
  <c r="J1117"/>
  <c r="J361"/>
  <c r="J3047"/>
  <c r="J458"/>
  <c r="J1130"/>
  <c r="J2115"/>
  <c r="J2729"/>
  <c r="J3065"/>
  <c r="J2365"/>
  <c r="J684"/>
  <c r="J671"/>
  <c r="J1495"/>
  <c r="J1816"/>
  <c r="J2200"/>
  <c r="J702"/>
  <c r="J2443"/>
  <c r="J442"/>
  <c r="J1971"/>
  <c r="J37"/>
  <c r="J390"/>
  <c r="J2384"/>
  <c r="J1612"/>
  <c r="J156"/>
  <c r="J1339"/>
  <c r="J2738"/>
  <c r="J3387"/>
  <c r="J1050"/>
  <c r="J398"/>
  <c r="J1442"/>
  <c r="J1309"/>
  <c r="J484"/>
  <c r="J2827"/>
  <c r="J629"/>
  <c r="J2247"/>
  <c r="J1479"/>
  <c r="J324"/>
  <c r="J946"/>
  <c r="J1574"/>
  <c r="J1341"/>
  <c r="J343"/>
  <c r="J1128"/>
  <c r="J2003"/>
  <c r="J665"/>
  <c r="J2392"/>
  <c r="J2650"/>
  <c r="J2484"/>
  <c r="J115"/>
  <c r="J2886"/>
  <c r="J52"/>
  <c r="J1063"/>
  <c r="J206"/>
  <c r="J611"/>
  <c r="J1417"/>
  <c r="J1049"/>
  <c r="J175"/>
  <c r="J1857"/>
  <c r="J382"/>
  <c r="J3215"/>
  <c r="J1239"/>
  <c r="J417"/>
  <c r="J516"/>
  <c r="J2183"/>
  <c r="J2956"/>
  <c r="J169"/>
  <c r="J2774"/>
  <c r="J3238"/>
  <c r="J1725"/>
  <c r="J210"/>
  <c r="J541"/>
  <c r="J260"/>
  <c r="J2370"/>
  <c r="J631"/>
  <c r="J1226"/>
  <c r="J1249"/>
  <c r="J950"/>
  <c r="J1055"/>
  <c r="J1561"/>
  <c r="J595"/>
  <c r="J2690"/>
  <c r="J1720"/>
  <c r="J2725"/>
  <c r="J1590"/>
  <c r="J1870"/>
  <c r="J3400"/>
  <c r="J1193"/>
  <c r="J1730"/>
  <c r="J747"/>
  <c r="J3327"/>
  <c r="J2373"/>
  <c r="J2919"/>
  <c r="J1255"/>
  <c r="J1719"/>
  <c r="J861"/>
  <c r="J2890"/>
  <c r="J2459"/>
  <c r="J924"/>
  <c r="J752"/>
  <c r="J1225"/>
  <c r="J261"/>
  <c r="J3247"/>
  <c r="J1433"/>
  <c r="J2066"/>
  <c r="J494"/>
  <c r="J576"/>
  <c r="J1684"/>
  <c r="J1101"/>
  <c r="J879"/>
  <c r="J1464"/>
  <c r="J2834"/>
  <c r="J1370"/>
  <c r="J1280"/>
  <c r="J2530"/>
  <c r="J1463"/>
  <c r="J1524"/>
  <c r="J819"/>
  <c r="J2400"/>
  <c r="J489"/>
  <c r="J304"/>
  <c r="J2593"/>
  <c r="J647"/>
  <c r="J649"/>
  <c r="J238"/>
  <c r="J1178"/>
  <c r="J3220"/>
  <c r="J357"/>
  <c r="J367"/>
  <c r="J658"/>
  <c r="J2822"/>
  <c r="J2714"/>
  <c r="J1968"/>
  <c r="J2557"/>
  <c r="J1836"/>
  <c r="J622"/>
  <c r="J8"/>
  <c r="J1383"/>
  <c r="J1318"/>
  <c r="J567"/>
  <c r="J2052"/>
  <c r="J490"/>
  <c r="J211"/>
  <c r="J1751"/>
  <c r="J20"/>
  <c r="J1393"/>
  <c r="J650"/>
  <c r="J2164"/>
  <c r="J1512"/>
  <c r="J1701"/>
  <c r="J2298"/>
  <c r="J1705"/>
  <c r="J2488"/>
  <c r="J493"/>
  <c r="J586"/>
  <c r="J3001"/>
  <c r="J166"/>
  <c r="J769"/>
  <c r="J655"/>
  <c r="J3559"/>
  <c r="J300"/>
  <c r="J2846"/>
  <c r="J345"/>
  <c r="J1473"/>
  <c r="J579"/>
  <c r="J1873"/>
  <c r="J1771"/>
  <c r="J2135"/>
  <c r="J1056"/>
  <c r="J1514"/>
  <c r="J1367"/>
  <c r="J1787"/>
  <c r="J1715"/>
  <c r="J666"/>
  <c r="J1388"/>
  <c r="J2190"/>
  <c r="J2977"/>
  <c r="J562"/>
  <c r="J1247"/>
  <c r="J1016"/>
  <c r="J2040"/>
  <c r="J2398"/>
  <c r="J544"/>
  <c r="J468"/>
  <c r="J1805"/>
  <c r="J2018"/>
  <c r="J1395"/>
  <c r="J553"/>
  <c r="J1916"/>
  <c r="J3152"/>
  <c r="J41"/>
  <c r="J499"/>
  <c r="J2475"/>
  <c r="J3385"/>
  <c r="J1568"/>
  <c r="J1703"/>
  <c r="J2945"/>
  <c r="J1244"/>
  <c r="J3583"/>
  <c r="J285"/>
  <c r="J1766"/>
  <c r="J380"/>
  <c r="J2103"/>
  <c r="J792"/>
  <c r="J3118"/>
  <c r="J696"/>
  <c r="J371"/>
  <c r="J1251"/>
  <c r="J1624"/>
  <c r="J2350"/>
  <c r="J520"/>
  <c r="J2180"/>
  <c r="J2232"/>
  <c r="J2060"/>
  <c r="J1670"/>
  <c r="J2864"/>
  <c r="J1926"/>
  <c r="J3191"/>
  <c r="J405"/>
  <c r="J910"/>
  <c r="J531"/>
  <c r="J3307"/>
  <c r="J2104"/>
  <c r="J2740"/>
  <c r="J1079"/>
  <c r="J100"/>
  <c r="J3235"/>
  <c r="J281"/>
  <c r="J911"/>
  <c r="J2267"/>
  <c r="J329"/>
  <c r="J1274"/>
  <c r="J1659"/>
  <c r="J1978"/>
  <c r="J2538"/>
  <c r="J2685"/>
  <c r="J2507"/>
  <c r="J2677"/>
  <c r="J2014"/>
  <c r="J2417"/>
  <c r="J1368"/>
  <c r="J764"/>
  <c r="J1062"/>
  <c r="J189"/>
  <c r="J785"/>
  <c r="J450"/>
  <c r="J1825"/>
  <c r="J877"/>
  <c r="J1149"/>
  <c r="J652"/>
  <c r="J532"/>
  <c r="J2469"/>
  <c r="J594"/>
  <c r="J2718"/>
  <c r="J3453"/>
  <c r="J2605"/>
  <c r="J311"/>
  <c r="J1171"/>
  <c r="J137"/>
  <c r="J2102"/>
  <c r="J1047"/>
  <c r="J1555"/>
  <c r="J539"/>
  <c r="J2577"/>
  <c r="J902"/>
  <c r="J839"/>
  <c r="J1697"/>
  <c r="J1362"/>
  <c r="J2287"/>
  <c r="J2590"/>
  <c r="J248"/>
  <c r="J1756"/>
  <c r="J2990"/>
  <c r="J3337"/>
  <c r="J2627"/>
  <c r="J3547"/>
  <c r="J1897"/>
  <c r="J884"/>
  <c r="J1458"/>
  <c r="J129"/>
  <c r="J550"/>
  <c r="J1669"/>
  <c r="J456"/>
  <c r="J2041"/>
  <c r="J926"/>
  <c r="J2518"/>
  <c r="J580"/>
  <c r="J2118"/>
  <c r="J2792"/>
  <c r="J837"/>
  <c r="J2072"/>
  <c r="J1312"/>
  <c r="J814"/>
  <c r="J3478"/>
  <c r="J313"/>
  <c r="J1977"/>
  <c r="J2282"/>
  <c r="J3025"/>
  <c r="J3181"/>
  <c r="J2210"/>
  <c r="J3111"/>
  <c r="J3089"/>
  <c r="J2465"/>
  <c r="J1599"/>
  <c r="J1629"/>
  <c r="J1777"/>
  <c r="J3542"/>
  <c r="J1137"/>
  <c r="J141"/>
  <c r="J2703"/>
  <c r="J1623"/>
  <c r="J3158"/>
  <c r="J2253"/>
  <c r="J448"/>
  <c r="J363"/>
  <c r="J3204"/>
  <c r="J2777"/>
  <c r="J933"/>
  <c r="J998"/>
  <c r="J851"/>
  <c r="J1065"/>
  <c r="J939"/>
  <c r="J2733"/>
  <c r="J807"/>
  <c r="J201"/>
  <c r="J2941"/>
  <c r="J3172"/>
  <c r="J806"/>
  <c r="J2782"/>
  <c r="J2587"/>
  <c r="J1299"/>
  <c r="J760"/>
  <c r="J906"/>
  <c r="J334"/>
  <c r="J1418"/>
  <c r="J1402"/>
  <c r="J2814"/>
  <c r="J2342"/>
  <c r="J794"/>
  <c r="J226"/>
  <c r="J1238"/>
  <c r="J3211"/>
  <c r="J1472"/>
  <c r="J1147"/>
  <c r="J1565"/>
  <c r="J2092"/>
  <c r="J1432"/>
  <c r="J2206"/>
  <c r="J2810"/>
  <c r="J463"/>
  <c r="J1003"/>
  <c r="J247"/>
  <c r="J2152"/>
  <c r="J3009"/>
  <c r="J1375"/>
  <c r="J308"/>
  <c r="J1310"/>
  <c r="J1943"/>
  <c r="J433"/>
  <c r="J2308"/>
  <c r="J1229"/>
  <c r="J795"/>
  <c r="J2071"/>
  <c r="J668"/>
  <c r="J771"/>
  <c r="J1663"/>
  <c r="J1081"/>
  <c r="J1824"/>
  <c r="J1907"/>
  <c r="J1937"/>
  <c r="J991"/>
  <c r="J1530"/>
  <c r="J928"/>
  <c r="J473"/>
  <c r="J2176"/>
  <c r="J1336"/>
  <c r="J3193"/>
  <c r="J1598"/>
  <c r="J2240"/>
  <c r="J2989"/>
  <c r="J1224"/>
  <c r="J1230"/>
  <c r="J2504"/>
  <c r="J768"/>
  <c r="J2550"/>
  <c r="J443"/>
  <c r="J1217"/>
  <c r="J3401"/>
  <c r="J2856"/>
  <c r="J49"/>
  <c r="J27"/>
  <c r="J651"/>
  <c r="J97"/>
  <c r="J1036"/>
  <c r="J174"/>
  <c r="J408"/>
  <c r="J1918"/>
  <c r="J1356"/>
  <c r="J1721"/>
  <c r="J3043"/>
  <c r="J2114"/>
  <c r="J1698"/>
  <c r="J690"/>
  <c r="J2029"/>
  <c r="J143"/>
  <c r="J1570"/>
  <c r="J1190"/>
  <c r="J1647"/>
  <c r="J827"/>
  <c r="J1223"/>
  <c r="J2641"/>
  <c r="J1332"/>
  <c r="J2167"/>
  <c r="J1201"/>
  <c r="J3078"/>
  <c r="J1123"/>
  <c r="J971"/>
  <c r="J138"/>
  <c r="J1338"/>
  <c r="J944"/>
  <c r="J2090"/>
  <c r="J2894"/>
  <c r="J2256"/>
  <c r="J1702"/>
  <c r="J2722"/>
  <c r="J162"/>
  <c r="J2820"/>
  <c r="J917"/>
  <c r="J1967"/>
  <c r="J736"/>
  <c r="J1216"/>
  <c r="J2838"/>
  <c r="J648"/>
  <c r="J325"/>
  <c r="J3594"/>
  <c r="J2111"/>
  <c r="J626"/>
  <c r="J1298"/>
  <c r="J339"/>
  <c r="J1700"/>
  <c r="J2918"/>
  <c r="J225"/>
  <c r="J3448"/>
  <c r="J1237"/>
  <c r="J3199"/>
  <c r="J170"/>
  <c r="J2243"/>
  <c r="J197"/>
  <c r="J2341"/>
  <c r="J2870"/>
  <c r="J1267"/>
  <c r="J1378"/>
  <c r="J340"/>
  <c r="J438"/>
  <c r="J1611"/>
  <c r="J439"/>
  <c r="J287"/>
  <c r="J62"/>
  <c r="J1103"/>
  <c r="J2310"/>
  <c r="J575"/>
  <c r="J3595"/>
  <c r="J332"/>
  <c r="J1683"/>
  <c r="J1179"/>
  <c r="J2951"/>
  <c r="J3293"/>
  <c r="J2560"/>
  <c r="J2689"/>
  <c r="J3482"/>
  <c r="J2050"/>
  <c r="J423"/>
  <c r="J1348"/>
  <c r="J2023"/>
  <c r="J3087"/>
  <c r="J3203"/>
  <c r="J1807"/>
  <c r="J461"/>
  <c r="J323"/>
  <c r="J612"/>
  <c r="J1276"/>
  <c r="J3488"/>
  <c r="J683"/>
  <c r="J3012"/>
  <c r="J822"/>
  <c r="J1488"/>
  <c r="J3312"/>
  <c r="J3522"/>
  <c r="J2495"/>
  <c r="J1051"/>
  <c r="J905"/>
  <c r="J1792"/>
  <c r="J1359"/>
  <c r="J2378"/>
  <c r="J1532"/>
  <c r="J3403"/>
  <c r="J2034"/>
  <c r="J1481"/>
  <c r="J1617"/>
  <c r="J1806"/>
  <c r="J1210"/>
  <c r="J2937"/>
  <c r="J344"/>
  <c r="J249"/>
  <c r="J2637"/>
  <c r="J3374"/>
  <c r="J518"/>
  <c r="J2500"/>
  <c r="J1560"/>
  <c r="J693"/>
  <c r="J2828"/>
  <c r="J2664"/>
  <c r="J3598"/>
  <c r="J3090"/>
  <c r="J214"/>
  <c r="J523"/>
  <c r="J2084"/>
  <c r="J3452"/>
  <c r="J1854"/>
  <c r="J2264"/>
  <c r="J1405"/>
  <c r="J3221"/>
  <c r="J352"/>
  <c r="J689"/>
  <c r="J2953"/>
  <c r="J3269"/>
  <c r="J2765"/>
  <c r="J929"/>
  <c r="J1649"/>
  <c r="J1460"/>
  <c r="J2225"/>
  <c r="J744"/>
  <c r="J2266"/>
  <c r="J2351"/>
  <c r="J3271"/>
  <c r="J3485"/>
  <c r="J2723"/>
  <c r="J1311"/>
  <c r="J3345"/>
  <c r="J1094"/>
  <c r="J116"/>
  <c r="J776"/>
  <c r="J481"/>
  <c r="J1653"/>
  <c r="J1648"/>
  <c r="J3162"/>
  <c r="J780"/>
  <c r="J3072"/>
  <c r="J379"/>
  <c r="J436"/>
  <c r="J2059"/>
  <c r="J144"/>
  <c r="J2497"/>
  <c r="J1542"/>
  <c r="J2867"/>
  <c r="J2079"/>
  <c r="J1283"/>
  <c r="J2485"/>
  <c r="J2270"/>
  <c r="J1795"/>
  <c r="J3197"/>
  <c r="J1026"/>
  <c r="J346"/>
  <c r="J1946"/>
  <c r="J2558"/>
  <c r="J3189"/>
  <c r="J970"/>
  <c r="J891"/>
  <c r="J369"/>
  <c r="J2140"/>
  <c r="J3479"/>
  <c r="J1278"/>
  <c r="J2039"/>
  <c r="J2077"/>
  <c r="J3582"/>
  <c r="J2163"/>
  <c r="J921"/>
  <c r="J240"/>
  <c r="J1333"/>
  <c r="J1095"/>
  <c r="J2863"/>
  <c r="J3292"/>
  <c r="J2987"/>
  <c r="J922"/>
  <c r="J1676"/>
  <c r="J1430"/>
  <c r="J990"/>
  <c r="J2858"/>
  <c r="J865"/>
  <c r="J2634"/>
  <c r="J2539"/>
  <c r="J2516"/>
  <c r="J2147"/>
  <c r="J3053"/>
  <c r="J3145"/>
  <c r="J3282"/>
  <c r="J3344"/>
  <c r="J1282"/>
  <c r="J828"/>
  <c r="J279"/>
  <c r="J1902"/>
  <c r="J2853"/>
  <c r="J1083"/>
  <c r="J1352"/>
  <c r="J1271"/>
  <c r="J577"/>
  <c r="J1113"/>
  <c r="J2124"/>
  <c r="J3433"/>
  <c r="J1559"/>
  <c r="J491"/>
  <c r="J2010"/>
  <c r="J1740"/>
  <c r="J2826"/>
  <c r="J810"/>
  <c r="J1511"/>
  <c r="J351"/>
  <c r="J306"/>
  <c r="J881"/>
  <c r="J3596"/>
  <c r="J3229"/>
  <c r="J2732"/>
  <c r="J1424"/>
  <c r="J3501"/>
  <c r="J1750"/>
  <c r="J3322"/>
  <c r="J953"/>
  <c r="J1007"/>
  <c r="J1502"/>
  <c r="J1114"/>
  <c r="J472"/>
  <c r="J2628"/>
  <c r="J1668"/>
  <c r="J1903"/>
  <c r="J3467"/>
  <c r="J1039"/>
  <c r="J3147"/>
  <c r="J2563"/>
  <c r="J1894"/>
  <c r="J3464"/>
  <c r="J205"/>
  <c r="J967"/>
  <c r="J1664"/>
  <c r="J140"/>
  <c r="J3391"/>
  <c r="J2464"/>
  <c r="J1355"/>
  <c r="J578"/>
  <c r="J2363"/>
  <c r="J692"/>
  <c r="J1912"/>
  <c r="J975"/>
  <c r="J1652"/>
  <c r="J105"/>
  <c r="J1467"/>
  <c r="J1773"/>
  <c r="J2461"/>
  <c r="J1163"/>
  <c r="J3578"/>
  <c r="J2515"/>
  <c r="J2433"/>
  <c r="J2788"/>
  <c r="J2658"/>
  <c r="J44"/>
  <c r="J762"/>
  <c r="J1215"/>
  <c r="J1219"/>
  <c r="J1044"/>
  <c r="J1695"/>
  <c r="J265"/>
  <c r="J868"/>
  <c r="J245"/>
  <c r="J104"/>
  <c r="J3110"/>
  <c r="J2662"/>
  <c r="J3423"/>
  <c r="J894"/>
  <c r="J564"/>
  <c r="J1175"/>
  <c r="J2457"/>
  <c r="J2109"/>
  <c r="J1133"/>
  <c r="J2216"/>
  <c r="J867"/>
  <c r="J1487"/>
  <c r="J1533"/>
  <c r="J1211"/>
  <c r="J11"/>
  <c r="J440"/>
  <c r="J2805"/>
  <c r="J1538"/>
  <c r="J1000"/>
  <c r="J85"/>
  <c r="J1911"/>
  <c r="J1243"/>
  <c r="J233"/>
  <c r="J1486"/>
  <c r="J838"/>
  <c r="J734"/>
  <c r="J3208"/>
  <c r="J16"/>
  <c r="J1207"/>
  <c r="J920"/>
  <c r="J15"/>
  <c r="J3218"/>
  <c r="J2982"/>
  <c r="J2660"/>
  <c r="J712"/>
  <c r="J2616"/>
  <c r="J2964"/>
  <c r="J2239"/>
  <c r="J2698"/>
  <c r="J1637"/>
  <c r="J2830"/>
  <c r="J418"/>
  <c r="J1331"/>
  <c r="J3303"/>
  <c r="J276"/>
  <c r="J1692"/>
  <c r="J1885"/>
  <c r="J2144"/>
  <c r="J2649"/>
  <c r="J3338"/>
  <c r="J1152"/>
  <c r="J2923"/>
  <c r="J1275"/>
  <c r="J2260"/>
  <c r="J862"/>
  <c r="J1220"/>
  <c r="J1382"/>
  <c r="J775"/>
  <c r="J292"/>
  <c r="J246"/>
  <c r="J536"/>
  <c r="J3171"/>
  <c r="J1858"/>
  <c r="J455"/>
  <c r="J476"/>
  <c r="J1018"/>
  <c r="J739"/>
  <c r="J291"/>
  <c r="J1620"/>
  <c r="J811"/>
  <c r="J751"/>
  <c r="J934"/>
  <c r="J1545"/>
  <c r="J1708"/>
  <c r="J3581"/>
  <c r="J551"/>
  <c r="J1738"/>
  <c r="J3183"/>
  <c r="J1369"/>
  <c r="J1075"/>
  <c r="J2734"/>
  <c r="J863"/>
  <c r="J1182"/>
  <c r="J1166"/>
  <c r="J1277"/>
  <c r="J2456"/>
  <c r="J3060"/>
  <c r="J1434"/>
  <c r="J1523"/>
  <c r="J1366"/>
  <c r="J236"/>
  <c r="J283"/>
  <c r="J2119"/>
  <c r="J1866"/>
  <c r="J1983"/>
  <c r="J1092"/>
  <c r="J2275"/>
  <c r="J918"/>
  <c r="J2032"/>
  <c r="J1291"/>
  <c r="J2898"/>
  <c r="J1415"/>
  <c r="J824"/>
  <c r="J1131"/>
  <c r="J636"/>
  <c r="J3124"/>
  <c r="J2687"/>
  <c r="J2505"/>
  <c r="J1645"/>
  <c r="J1516"/>
  <c r="J2727"/>
  <c r="J1802"/>
  <c r="J1447"/>
  <c r="J1454"/>
  <c r="J1650"/>
  <c r="J2089"/>
  <c r="J1887"/>
  <c r="J113"/>
  <c r="J1852"/>
  <c r="J1082"/>
  <c r="J1539"/>
  <c r="J513"/>
  <c r="J859"/>
  <c r="J2710"/>
  <c r="J2920"/>
  <c r="J2615"/>
  <c r="J1627"/>
  <c r="J641"/>
  <c r="J2523"/>
  <c r="J319"/>
  <c r="J2209"/>
  <c r="J552"/>
  <c r="J3263"/>
  <c r="J793"/>
  <c r="J1679"/>
  <c r="J1875"/>
  <c r="J46"/>
  <c r="J2963"/>
  <c r="J888"/>
  <c r="J1908"/>
  <c r="J2565"/>
  <c r="J3097"/>
  <c r="J2970"/>
  <c r="J3536"/>
  <c r="J1501"/>
  <c r="J1319"/>
  <c r="J1437"/>
  <c r="J1579"/>
  <c r="J3254"/>
  <c r="J1949"/>
  <c r="J2201"/>
  <c r="J1682"/>
  <c r="J2704"/>
  <c r="J2467"/>
  <c r="J662"/>
  <c r="J2749"/>
  <c r="J3286"/>
  <c r="J2148"/>
  <c r="J1490"/>
  <c r="J613"/>
  <c r="J353"/>
  <c r="J2525"/>
  <c r="J2836"/>
  <c r="J682"/>
  <c r="J1877"/>
  <c r="J2126"/>
  <c r="J2452"/>
  <c r="J2554"/>
  <c r="J2411"/>
  <c r="J1203"/>
  <c r="J1061"/>
  <c r="J1510"/>
  <c r="J2802"/>
  <c r="J3120"/>
  <c r="J3265"/>
  <c r="J742"/>
  <c r="J1724"/>
  <c r="J2355"/>
  <c r="J2585"/>
  <c r="J2224"/>
  <c r="J758"/>
  <c r="J1012"/>
  <c r="J1098"/>
  <c r="J3425"/>
  <c r="J1632"/>
  <c r="J2694"/>
  <c r="J2080"/>
  <c r="J896"/>
  <c r="J1425"/>
  <c r="J2324"/>
  <c r="J2914"/>
  <c r="J1843"/>
  <c r="J1699"/>
  <c r="J887"/>
  <c r="J885"/>
  <c r="J3414"/>
  <c r="J383"/>
  <c r="J1576"/>
  <c r="J3359"/>
  <c r="J610"/>
  <c r="J3541"/>
  <c r="J229"/>
  <c r="J1038"/>
  <c r="J318"/>
  <c r="J1264"/>
  <c r="J2625"/>
  <c r="J778"/>
  <c r="J3194"/>
  <c r="J1410"/>
  <c r="J2122"/>
  <c r="J1272"/>
  <c r="J2098"/>
  <c r="J462"/>
  <c r="J1141"/>
  <c r="J208"/>
  <c r="J1164"/>
  <c r="J2048"/>
  <c r="J441"/>
  <c r="J486"/>
  <c r="J841"/>
  <c r="J679"/>
  <c r="J424"/>
  <c r="J3177"/>
  <c r="J765"/>
  <c r="J1864"/>
  <c r="J181"/>
  <c r="J1630"/>
  <c r="J2866"/>
  <c r="J952"/>
  <c r="J2602"/>
  <c r="J3058"/>
  <c r="J1154"/>
  <c r="J1086"/>
  <c r="J1781"/>
  <c r="J596"/>
  <c r="J1754"/>
  <c r="J1892"/>
  <c r="J3048"/>
  <c r="J2574"/>
  <c r="J2473"/>
  <c r="J107"/>
  <c r="J2377"/>
  <c r="J425"/>
  <c r="J3366"/>
  <c r="J3444"/>
  <c r="J196"/>
  <c r="J2871"/>
  <c r="J1749"/>
  <c r="J557"/>
  <c r="J1550"/>
  <c r="J2442"/>
  <c r="J1344"/>
  <c r="J3268"/>
  <c r="J3415"/>
  <c r="J3421"/>
  <c r="J2673"/>
  <c r="J161"/>
  <c r="J1109"/>
  <c r="J761"/>
  <c r="J598"/>
  <c r="J1078"/>
  <c r="J185"/>
  <c r="J895"/>
  <c r="J1681"/>
  <c r="J2857"/>
  <c r="J2908"/>
  <c r="J3294"/>
  <c r="J1600"/>
  <c r="J120"/>
  <c r="J3133"/>
  <c r="J2922"/>
  <c r="J913"/>
  <c r="J42"/>
  <c r="J3434"/>
  <c r="J434"/>
  <c r="J61"/>
  <c r="J1770"/>
  <c r="J1108"/>
  <c r="J3049"/>
  <c r="J628"/>
  <c r="J615"/>
  <c r="J2932"/>
  <c r="J3417"/>
  <c r="J1505"/>
  <c r="J322"/>
  <c r="J601"/>
  <c r="J1480"/>
  <c r="J2085"/>
  <c r="J1899"/>
  <c r="J813"/>
  <c r="J2301"/>
  <c r="J1409"/>
  <c r="J1974"/>
  <c r="J584"/>
  <c r="J242"/>
  <c r="J1306"/>
  <c r="J882"/>
  <c r="J587"/>
  <c r="J686"/>
  <c r="J268"/>
  <c r="J3296"/>
  <c r="J704"/>
  <c r="J307"/>
  <c r="J2849"/>
  <c r="J3518"/>
  <c r="J3308"/>
  <c r="J1371"/>
  <c r="J466"/>
  <c r="J2491"/>
  <c r="J3493"/>
  <c r="J1558"/>
  <c r="J1024"/>
  <c r="J3011"/>
  <c r="J3202"/>
  <c r="J1446"/>
  <c r="J48"/>
  <c r="J646"/>
  <c r="J2935"/>
  <c r="J2840"/>
  <c r="J3500"/>
  <c r="J1694"/>
  <c r="J3240"/>
  <c r="J3007"/>
  <c r="J695"/>
  <c r="J2054"/>
  <c r="J1744"/>
  <c r="J1628"/>
  <c r="J2181"/>
  <c r="J2078"/>
  <c r="J1889"/>
  <c r="J1033"/>
  <c r="J3420"/>
  <c r="J464"/>
  <c r="J1064"/>
  <c r="J630"/>
  <c r="J522"/>
  <c r="J2913"/>
  <c r="J1462"/>
  <c r="J2246"/>
  <c r="J1853"/>
  <c r="J507"/>
  <c r="J1308"/>
  <c r="J1376"/>
  <c r="J1337"/>
  <c r="J942"/>
  <c r="J2903"/>
  <c r="J1330"/>
  <c r="J1716"/>
  <c r="J2421"/>
  <c r="J2535"/>
  <c r="J1905"/>
  <c r="J1828"/>
  <c r="J3320"/>
  <c r="J854"/>
  <c r="J2670"/>
  <c r="J1662"/>
  <c r="J160"/>
  <c r="J2211"/>
  <c r="J1921"/>
  <c r="J3548"/>
  <c r="J1273"/>
  <c r="J411"/>
  <c r="J349"/>
  <c r="J2981"/>
  <c r="J1733"/>
  <c r="J1842"/>
  <c r="J538"/>
  <c r="J985"/>
  <c r="J3032"/>
  <c r="J270"/>
  <c r="J3248"/>
  <c r="J2436"/>
  <c r="J3372"/>
  <c r="J297"/>
  <c r="J2779"/>
  <c r="J2250"/>
  <c r="J2447"/>
  <c r="J2002"/>
  <c r="J407"/>
  <c r="J1651"/>
  <c r="J561"/>
  <c r="J2892"/>
  <c r="J2757"/>
  <c r="J625"/>
  <c r="J994"/>
  <c r="J2309"/>
  <c r="J2949"/>
  <c r="J2784"/>
  <c r="J2793"/>
  <c r="J2609"/>
  <c r="J2984"/>
  <c r="J2607"/>
  <c r="J1450"/>
  <c r="J1869"/>
  <c r="J3279"/>
  <c r="J3155"/>
  <c r="J431"/>
  <c r="J173"/>
  <c r="J3159"/>
  <c r="J32"/>
  <c r="J2289"/>
  <c r="J826"/>
  <c r="J614"/>
  <c r="J2832"/>
  <c r="J2672"/>
  <c r="J427"/>
  <c r="J3355"/>
  <c r="J1895"/>
  <c r="J995"/>
  <c r="J3113"/>
  <c r="J24"/>
  <c r="J354"/>
  <c r="J3603"/>
  <c r="J2021"/>
  <c r="J29"/>
  <c r="J1025"/>
  <c r="J1260"/>
  <c r="J2199"/>
  <c r="J1772"/>
  <c r="J2876"/>
  <c r="J487"/>
  <c r="J14"/>
  <c r="J2134"/>
  <c r="J909"/>
  <c r="J573"/>
  <c r="J1581"/>
  <c r="J243"/>
  <c r="J3544"/>
  <c r="J1871"/>
  <c r="J2236"/>
  <c r="J310"/>
  <c r="J1212"/>
  <c r="J2542"/>
  <c r="J3429"/>
  <c r="J1477"/>
  <c r="J1642"/>
  <c r="J954"/>
  <c r="J801"/>
  <c r="J898"/>
  <c r="J2218"/>
  <c r="J2667"/>
  <c r="J1471"/>
  <c r="J153"/>
  <c r="J392"/>
  <c r="J58"/>
  <c r="J1386"/>
  <c r="J366"/>
  <c r="J2580"/>
  <c r="J1072"/>
  <c r="J1398"/>
  <c r="J78"/>
  <c r="J1660"/>
  <c r="J1535"/>
  <c r="J3365"/>
  <c r="J3070"/>
  <c r="J644"/>
  <c r="J1420"/>
  <c r="J2137"/>
  <c r="J2789"/>
  <c r="J740"/>
  <c r="J900"/>
  <c r="J1936"/>
  <c r="J1690"/>
  <c r="J540"/>
  <c r="J537"/>
  <c r="J364"/>
  <c r="J510"/>
  <c r="J2720"/>
  <c r="J2031"/>
  <c r="J2701"/>
  <c r="J2921"/>
  <c r="J3281"/>
  <c r="J360"/>
  <c r="J2294"/>
  <c r="J83"/>
  <c r="J3410"/>
  <c r="J1552"/>
  <c r="J2877"/>
  <c r="J167"/>
  <c r="J2653"/>
  <c r="J3157"/>
  <c r="J1285"/>
  <c r="J2759"/>
  <c r="J1325"/>
  <c r="J33"/>
  <c r="J2386"/>
  <c r="J76"/>
  <c r="J1876"/>
  <c r="J2157"/>
  <c r="J2620"/>
  <c r="J237"/>
  <c r="J165"/>
  <c r="J3138"/>
  <c r="J1429"/>
  <c r="J1139"/>
  <c r="J1518"/>
  <c r="J2129"/>
  <c r="J2394"/>
  <c r="J2145"/>
  <c r="J403"/>
  <c r="J2889"/>
  <c r="J278"/>
  <c r="J1832"/>
  <c r="J213"/>
  <c r="J2337"/>
  <c r="J2578"/>
  <c r="J3042"/>
  <c r="J1605"/>
  <c r="J2764"/>
  <c r="J1475"/>
  <c r="J2614"/>
  <c r="J404"/>
  <c r="J529"/>
  <c r="J252"/>
  <c r="J3188"/>
  <c r="J92"/>
  <c r="J2794"/>
  <c r="J1347"/>
  <c r="J3064"/>
  <c r="J3210"/>
  <c r="J77"/>
  <c r="J1246"/>
  <c r="J2106"/>
  <c r="J2340"/>
  <c r="J1448"/>
  <c r="J3520"/>
  <c r="J589"/>
  <c r="J1196"/>
  <c r="J1540"/>
  <c r="J1613"/>
  <c r="J2158"/>
  <c r="J1710"/>
  <c r="J1829"/>
  <c r="J2261"/>
  <c r="J151"/>
  <c r="J3545"/>
  <c r="J3200"/>
  <c r="J3579"/>
  <c r="J955"/>
  <c r="J1256"/>
  <c r="J2598"/>
  <c r="J1270"/>
  <c r="J1292"/>
  <c r="J1428"/>
  <c r="J235"/>
  <c r="J1723"/>
  <c r="J396"/>
  <c r="J3061"/>
  <c r="J1494"/>
  <c r="J3314"/>
  <c r="J3465"/>
  <c r="J2596"/>
  <c r="J2297"/>
  <c r="J86"/>
  <c r="J1608"/>
  <c r="J3438"/>
  <c r="J3140"/>
  <c r="J3000"/>
  <c r="J935"/>
  <c r="J2430"/>
  <c r="J2075"/>
  <c r="J2063"/>
  <c r="J2410"/>
  <c r="J255"/>
  <c r="J1015"/>
  <c r="J40"/>
  <c r="J3051"/>
  <c r="J1585"/>
  <c r="J1169"/>
  <c r="J1373"/>
  <c r="J735"/>
  <c r="J602"/>
  <c r="J1268"/>
  <c r="J1928"/>
  <c r="J2043"/>
  <c r="J1834"/>
  <c r="J478"/>
  <c r="J661"/>
  <c r="J1466"/>
  <c r="J919"/>
  <c r="J2975"/>
  <c r="J2665"/>
  <c r="J3558"/>
  <c r="J1554"/>
  <c r="J53"/>
  <c r="J670"/>
  <c r="J372"/>
  <c r="J302"/>
  <c r="J2681"/>
  <c r="J1573"/>
  <c r="J2528"/>
  <c r="J3245"/>
  <c r="J2194"/>
  <c r="J3231"/>
  <c r="J373"/>
  <c r="J3249"/>
  <c r="J3173"/>
  <c r="J503"/>
  <c r="J222"/>
  <c r="J570"/>
  <c r="J2506"/>
  <c r="J3129"/>
  <c r="J2353"/>
  <c r="J1127"/>
  <c r="J3013"/>
  <c r="J782"/>
  <c r="J3153"/>
  <c r="J3589"/>
  <c r="J2371"/>
  <c r="J2656"/>
  <c r="J2076"/>
  <c r="J808"/>
  <c r="J770"/>
  <c r="J2385"/>
  <c r="J1052"/>
  <c r="J1953"/>
  <c r="J717"/>
  <c r="J2510"/>
  <c r="J1380"/>
  <c r="J2940"/>
  <c r="J3537"/>
  <c r="J204"/>
  <c r="J266"/>
  <c r="J2999"/>
  <c r="J511"/>
  <c r="J1788"/>
  <c r="J3361"/>
  <c r="J1597"/>
  <c r="J55"/>
  <c r="J733"/>
  <c r="J1059"/>
  <c r="J2966"/>
  <c r="J1784"/>
  <c r="J3343"/>
  <c r="J1465"/>
  <c r="J2149"/>
  <c r="J1443"/>
  <c r="J180"/>
  <c r="J2379"/>
  <c r="J958"/>
  <c r="J2320"/>
  <c r="J2968"/>
  <c r="J2561"/>
  <c r="J2454"/>
  <c r="J997"/>
  <c r="J2719"/>
  <c r="J1872"/>
  <c r="J1476"/>
  <c r="J2322"/>
  <c r="J3588"/>
  <c r="J3406"/>
  <c r="J3195"/>
  <c r="J2591"/>
  <c r="J3495"/>
  <c r="J3315"/>
  <c r="J1192"/>
  <c r="J2472"/>
  <c r="J2844"/>
  <c r="J3100"/>
  <c r="J3201"/>
  <c r="J3237"/>
  <c r="J2683"/>
  <c r="J1071"/>
  <c r="J3076"/>
  <c r="J549"/>
  <c r="J2133"/>
  <c r="J3534"/>
  <c r="J2042"/>
  <c r="J2113"/>
  <c r="J1263"/>
  <c r="J3397"/>
  <c r="J2744"/>
  <c r="J1603"/>
  <c r="J1343"/>
  <c r="J1862"/>
  <c r="J3412"/>
  <c r="J1763"/>
  <c r="J886"/>
  <c r="J288"/>
  <c r="J295"/>
  <c r="J864"/>
  <c r="J2358"/>
  <c r="J1135"/>
  <c r="J1004"/>
  <c r="J1422"/>
  <c r="J2517"/>
  <c r="J3108"/>
  <c r="J64"/>
  <c r="J1958"/>
  <c r="J2640"/>
  <c r="J3021"/>
  <c r="J84"/>
  <c r="J3008"/>
  <c r="J866"/>
  <c r="J637"/>
  <c r="J271"/>
  <c r="J853"/>
  <c r="J3584"/>
  <c r="J1815"/>
  <c r="J774"/>
  <c r="J878"/>
  <c r="J2095"/>
  <c r="J2682"/>
  <c r="J1112"/>
  <c r="J700"/>
  <c r="J1957"/>
  <c r="J2881"/>
  <c r="J2312"/>
  <c r="J1148"/>
  <c r="J2028"/>
  <c r="J3196"/>
  <c r="J269"/>
  <c r="J983"/>
  <c r="J2600"/>
  <c r="J627"/>
  <c r="J142"/>
  <c r="J1242"/>
  <c r="J727"/>
  <c r="J2097"/>
  <c r="J1317"/>
  <c r="J3430"/>
  <c r="J2501"/>
  <c r="J3468"/>
  <c r="J1964"/>
  <c r="J3497"/>
  <c r="J635"/>
  <c r="J2924"/>
  <c r="J3574"/>
  <c r="J3035"/>
  <c r="J3031"/>
  <c r="J1904"/>
  <c r="J350"/>
  <c r="J2081"/>
  <c r="J2635"/>
  <c r="J3154"/>
  <c r="J1633"/>
  <c r="J2198"/>
  <c r="J385"/>
  <c r="J1609"/>
  <c r="J875"/>
  <c r="J387"/>
  <c r="J3392"/>
  <c r="J428"/>
  <c r="J3349"/>
  <c r="J2409"/>
  <c r="J3555"/>
  <c r="J2652"/>
  <c r="J2860"/>
  <c r="J547"/>
  <c r="J3367"/>
  <c r="J338"/>
  <c r="J2976"/>
  <c r="J2804"/>
  <c r="J3056"/>
  <c r="J2854"/>
  <c r="J159"/>
  <c r="J2555"/>
  <c r="J477"/>
  <c r="J1489"/>
  <c r="J3295"/>
  <c r="J3163"/>
  <c r="J1120"/>
  <c r="J215"/>
  <c r="J3556"/>
  <c r="J3571"/>
  <c r="J3041"/>
  <c r="J2244"/>
  <c r="J1961"/>
  <c r="J1408"/>
  <c r="J99"/>
  <c r="J2286"/>
  <c r="J1931"/>
  <c r="J1074"/>
  <c r="J399"/>
  <c r="J57"/>
  <c r="J2249"/>
  <c r="J190"/>
  <c r="J1658"/>
  <c r="J2091"/>
  <c r="J892"/>
  <c r="J1984"/>
  <c r="J2251"/>
  <c r="J988"/>
  <c r="J1898"/>
  <c r="J674"/>
  <c r="J228"/>
  <c r="J3067"/>
  <c r="J3131"/>
  <c r="J1323"/>
  <c r="J2396"/>
  <c r="J843"/>
  <c r="J2638"/>
  <c r="J872"/>
  <c r="J3357"/>
  <c r="J3276"/>
  <c r="J2441"/>
  <c r="J2094"/>
  <c r="J3305"/>
  <c r="J2769"/>
  <c r="J3167"/>
  <c r="J3130"/>
  <c r="J2606"/>
  <c r="J1595"/>
  <c r="J3439"/>
  <c r="J3502"/>
  <c r="J183"/>
  <c r="J177"/>
  <c r="J409"/>
  <c r="J3481"/>
  <c r="J2746"/>
  <c r="J3045"/>
  <c r="J3062"/>
  <c r="J2917"/>
  <c r="J2120"/>
  <c r="J2983"/>
  <c r="J2127"/>
  <c r="J830"/>
  <c r="J710"/>
  <c r="J1973"/>
  <c r="J2226"/>
  <c r="J3477"/>
  <c r="J2223"/>
  <c r="J2991"/>
  <c r="J2998"/>
  <c r="J3512"/>
  <c r="J2872"/>
  <c r="J1713"/>
  <c r="J2344"/>
  <c r="J2631"/>
  <c r="J2416"/>
  <c r="J3222"/>
  <c r="J1797"/>
  <c r="J3407"/>
  <c r="J3363"/>
  <c r="J2833"/>
  <c r="J3033"/>
  <c r="J2281"/>
  <c r="J3091"/>
  <c r="J701"/>
  <c r="J907"/>
  <c r="J2608"/>
  <c r="J2644"/>
  <c r="J2241"/>
  <c r="J1861"/>
  <c r="J3300"/>
  <c r="J1153"/>
  <c r="J1923"/>
  <c r="J3437"/>
  <c r="J2595"/>
  <c r="J2971"/>
  <c r="J3313"/>
  <c r="J2772"/>
  <c r="J1932"/>
  <c r="J3270"/>
  <c r="J2069"/>
  <c r="J2414"/>
  <c r="J2381"/>
  <c r="J3491"/>
  <c r="J254"/>
  <c r="J2879"/>
  <c r="J980"/>
  <c r="J3456"/>
  <c r="J1636"/>
  <c r="J239"/>
  <c r="J1427"/>
  <c r="J207"/>
  <c r="J1794"/>
  <c r="J336"/>
  <c r="J119"/>
  <c r="J3126"/>
  <c r="J309"/>
  <c r="J1831"/>
  <c r="J2781"/>
  <c r="J2787"/>
  <c r="J2290"/>
  <c r="J3408"/>
  <c r="J1090"/>
  <c r="J286"/>
  <c r="J2412"/>
  <c r="J1556"/>
  <c r="J2202"/>
  <c r="J2252"/>
  <c r="J2101"/>
  <c r="J1379"/>
  <c r="J3546"/>
  <c r="J1856"/>
  <c r="J2797"/>
  <c r="J3356"/>
  <c r="J2057"/>
  <c r="J3480"/>
  <c r="J600"/>
  <c r="J3080"/>
  <c r="J2643"/>
  <c r="J3039"/>
  <c r="J2330"/>
  <c r="J2874"/>
  <c r="J2847"/>
  <c r="J1813"/>
  <c r="J3086"/>
  <c r="J2526"/>
  <c r="J2017"/>
  <c r="J963"/>
  <c r="J2428"/>
  <c r="J2724"/>
  <c r="J3416"/>
  <c r="J2001"/>
  <c r="J571"/>
  <c r="J2950"/>
  <c r="J1988"/>
  <c r="J691"/>
  <c r="J3290"/>
  <c r="J796"/>
  <c r="J5"/>
  <c r="J3354"/>
  <c r="J451"/>
  <c r="J194"/>
  <c r="J412"/>
  <c r="J3217"/>
  <c r="J69"/>
  <c r="J519"/>
  <c r="J454"/>
  <c r="J3148"/>
  <c r="J2592"/>
  <c r="J3462"/>
  <c r="J2969"/>
  <c r="J2123"/>
  <c r="J2470"/>
  <c r="J901"/>
  <c r="J3123"/>
  <c r="J3504"/>
  <c r="J3605"/>
  <c r="J3523"/>
  <c r="J1214"/>
  <c r="J525"/>
  <c r="J2108"/>
  <c r="J2559"/>
  <c r="J981"/>
  <c r="J3451"/>
  <c r="J2356"/>
  <c r="J1920"/>
  <c r="J3513"/>
  <c r="J2303"/>
  <c r="J574"/>
  <c r="J943"/>
  <c r="J750"/>
  <c r="J1671"/>
  <c r="J3347"/>
  <c r="J3353"/>
  <c r="J2299"/>
  <c r="J2618"/>
  <c r="J3494"/>
  <c r="J128"/>
  <c r="J931"/>
  <c r="J916"/>
  <c r="J70"/>
  <c r="J709"/>
  <c r="J1509"/>
  <c r="J186"/>
  <c r="J2927"/>
  <c r="J3212"/>
  <c r="J2750"/>
  <c r="J1927"/>
  <c r="J2994"/>
  <c r="J2445"/>
  <c r="J749"/>
  <c r="J2293"/>
  <c r="J2700"/>
  <c r="J419"/>
  <c r="J976"/>
  <c r="J3180"/>
  <c r="J1507"/>
  <c r="J1281"/>
  <c r="J1111"/>
  <c r="J474"/>
  <c r="J355"/>
  <c r="J3017"/>
  <c r="J1316"/>
  <c r="J545"/>
  <c r="J348"/>
  <c r="J883"/>
  <c r="J3445"/>
  <c r="J2212"/>
  <c r="J1046"/>
  <c r="J730"/>
  <c r="J3378"/>
  <c r="J3317"/>
  <c r="J2785"/>
  <c r="J3449"/>
  <c r="J1045"/>
  <c r="J2489"/>
  <c r="J3351"/>
  <c r="J3085"/>
  <c r="J2811"/>
  <c r="J2601"/>
  <c r="J3529"/>
  <c r="J2842"/>
  <c r="J2597"/>
  <c r="J3101"/>
  <c r="J3095"/>
  <c r="J2130"/>
  <c r="J654"/>
  <c r="J1748"/>
  <c r="J741"/>
  <c r="J3383"/>
  <c r="J930"/>
  <c r="J3436"/>
  <c r="J3059"/>
  <c r="J3083"/>
  <c r="J1755"/>
  <c r="J130"/>
  <c r="J2259"/>
  <c r="J2839"/>
  <c r="J3335"/>
  <c r="J599"/>
  <c r="J199"/>
  <c r="J2572"/>
  <c r="J1150"/>
  <c r="J3506"/>
  <c r="J2233"/>
  <c r="J1593"/>
  <c r="J2522"/>
  <c r="J1780"/>
  <c r="J2978"/>
  <c r="J3469"/>
  <c r="J1955"/>
  <c r="J117"/>
  <c r="J219"/>
  <c r="J3165"/>
  <c r="J2471"/>
  <c r="J1626"/>
  <c r="J290"/>
  <c r="J2865"/>
  <c r="J2142"/>
  <c r="J2549"/>
  <c r="J2931"/>
  <c r="J1431"/>
  <c r="J903"/>
  <c r="J3128"/>
  <c r="J3244"/>
  <c r="J2128"/>
  <c r="J949"/>
  <c r="J2254"/>
  <c r="J505"/>
  <c r="J2754"/>
  <c r="J2916"/>
  <c r="J2065"/>
  <c r="J2150"/>
  <c r="J3606"/>
  <c r="J3288"/>
  <c r="J2809"/>
  <c r="J2035"/>
  <c r="J2136"/>
  <c r="J1835"/>
  <c r="J2000"/>
  <c r="J1461"/>
  <c r="J3112"/>
  <c r="J1221"/>
  <c r="J2352"/>
  <c r="J2900"/>
  <c r="J1307"/>
  <c r="J2165"/>
  <c r="J2455"/>
  <c r="J1851"/>
  <c r="J1527"/>
  <c r="J1531"/>
  <c r="J1736"/>
  <c r="J2444"/>
  <c r="J2688"/>
  <c r="J157"/>
  <c r="J2245"/>
  <c r="J3143"/>
  <c r="J3028"/>
  <c r="J3348"/>
  <c r="J1995"/>
  <c r="J2476"/>
  <c r="J3604"/>
  <c r="J899"/>
  <c r="J2117"/>
  <c r="J3069"/>
  <c r="J2068"/>
  <c r="J2242"/>
  <c r="J1110"/>
  <c r="J603"/>
  <c r="J526"/>
  <c r="J2632"/>
  <c r="J961"/>
  <c r="J2680"/>
  <c r="J1846"/>
  <c r="J1879"/>
  <c r="J3280"/>
  <c r="J2943"/>
  <c r="J1735"/>
  <c r="J2965"/>
  <c r="J2423"/>
  <c r="J3446"/>
  <c r="J2823"/>
  <c r="J1882"/>
  <c r="J2364"/>
  <c r="J517"/>
  <c r="J2551"/>
  <c r="J3106"/>
  <c r="J3115"/>
  <c r="J2818"/>
  <c r="J3214"/>
  <c r="J3026"/>
  <c r="J2376"/>
  <c r="J1731"/>
  <c r="J2716"/>
  <c r="J3187"/>
  <c r="J3243"/>
  <c r="J1619"/>
  <c r="J2776"/>
  <c r="J35"/>
  <c r="J3460"/>
  <c r="J753"/>
  <c r="J2925"/>
  <c r="J106"/>
  <c r="J1116"/>
  <c r="J3015"/>
  <c r="J1500"/>
  <c r="J368"/>
  <c r="J274"/>
  <c r="J2006"/>
  <c r="J2338"/>
  <c r="J2141"/>
  <c r="J1529"/>
  <c r="J1709"/>
  <c r="J3535"/>
  <c r="J1037"/>
  <c r="J2831"/>
  <c r="J2736"/>
  <c r="J3505"/>
  <c r="J3540"/>
  <c r="J1354"/>
  <c r="J2110"/>
  <c r="J1888"/>
  <c r="J3169"/>
  <c r="J2483"/>
  <c r="J2709"/>
  <c r="J2514"/>
  <c r="J1722"/>
  <c r="J3160"/>
  <c r="J2255"/>
  <c r="J59"/>
  <c r="J2231"/>
  <c r="J2752"/>
  <c r="J2268"/>
  <c r="J715"/>
  <c r="J3164"/>
  <c r="J1577"/>
  <c r="J1878"/>
  <c r="J1917"/>
  <c r="J685"/>
  <c r="J2131"/>
  <c r="J1107"/>
  <c r="J3251"/>
  <c r="J2582"/>
  <c r="J3567"/>
  <c r="J2449"/>
  <c r="J2668"/>
  <c r="J3141"/>
  <c r="J3404"/>
  <c r="J2005"/>
  <c r="J2184"/>
  <c r="J3261"/>
  <c r="J2771"/>
  <c r="J2446"/>
  <c r="J3375"/>
  <c r="J1929"/>
  <c r="J1791"/>
  <c r="J3291"/>
  <c r="J2170"/>
  <c r="J2589"/>
  <c r="J3566"/>
  <c r="J1775"/>
  <c r="J1746"/>
  <c r="J2387"/>
  <c r="J1159"/>
  <c r="J3082"/>
  <c r="J2292"/>
  <c r="J2938"/>
  <c r="J3399"/>
  <c r="J2296"/>
  <c r="J2380"/>
  <c r="J2424"/>
  <c r="J1069"/>
  <c r="J3077"/>
  <c r="J2460"/>
  <c r="J3116"/>
  <c r="J3530"/>
  <c r="J3020"/>
  <c r="J3258"/>
  <c r="J3454"/>
  <c r="J3381"/>
  <c r="J3037"/>
  <c r="J3309"/>
  <c r="J2132"/>
  <c r="J3038"/>
  <c r="J2730"/>
  <c r="J1503"/>
  <c r="J845"/>
  <c r="J1029"/>
  <c r="J2058"/>
  <c r="J2086"/>
  <c r="J356"/>
  <c r="J2271"/>
  <c r="J459"/>
  <c r="J3431"/>
  <c r="J3442"/>
  <c r="J1254"/>
  <c r="J2651"/>
  <c r="J3034"/>
  <c r="J2295"/>
  <c r="J2269"/>
  <c r="J2366"/>
  <c r="J3175"/>
  <c r="J3562"/>
  <c r="J2996"/>
  <c r="J3310"/>
  <c r="J2229"/>
  <c r="J2742"/>
  <c r="J2679"/>
  <c r="J2980"/>
  <c r="J3380"/>
  <c r="J3368"/>
  <c r="J2375"/>
  <c r="J1812"/>
  <c r="J3422"/>
  <c r="J616"/>
  <c r="J2619"/>
  <c r="J2395"/>
  <c r="J1297"/>
  <c r="J3316"/>
  <c r="J1800"/>
  <c r="J26"/>
  <c r="J114"/>
  <c r="J2699"/>
  <c r="J2579"/>
  <c r="J1444"/>
  <c r="J3073"/>
  <c r="J1184"/>
  <c r="J1845"/>
  <c r="J2383"/>
  <c r="J2490"/>
  <c r="J3151"/>
  <c r="J2074"/>
  <c r="J2624"/>
  <c r="J3565"/>
  <c r="J2478"/>
  <c r="J2952"/>
  <c r="J3121"/>
  <c r="J2529"/>
  <c r="J3213"/>
  <c r="J2533"/>
  <c r="J2745"/>
  <c r="J1734"/>
  <c r="J3209"/>
  <c r="J2942"/>
  <c r="J2420"/>
  <c r="J3607"/>
  <c r="J2973"/>
  <c r="J3114"/>
  <c r="J2588"/>
  <c r="J940"/>
  <c r="J3321"/>
  <c r="J1548"/>
  <c r="J3592"/>
  <c r="J2934"/>
  <c r="J3119"/>
  <c r="J50"/>
  <c r="J1089"/>
  <c r="J1134"/>
  <c r="J2493"/>
  <c r="J2661"/>
  <c r="J3369"/>
  <c r="J3233"/>
  <c r="J3161"/>
  <c r="J3455"/>
  <c r="J2073"/>
  <c r="J1644"/>
  <c r="J2613"/>
  <c r="J3550"/>
  <c r="J3079"/>
  <c r="J3564"/>
  <c r="J1933"/>
  <c r="J2315"/>
  <c r="J2666"/>
  <c r="J2088"/>
  <c r="J3182"/>
  <c r="J2508"/>
  <c r="J2316"/>
  <c r="J2684"/>
  <c r="J2036"/>
  <c r="J3054"/>
  <c r="J3029"/>
  <c r="J1757"/>
  <c r="J1411"/>
  <c r="J2566"/>
  <c r="J1497"/>
  <c r="J568"/>
  <c r="J989"/>
  <c r="J1819"/>
  <c r="J618"/>
  <c r="J1752"/>
  <c r="J2751"/>
  <c r="J1935"/>
  <c r="J3178"/>
  <c r="J2633"/>
  <c r="J2695"/>
  <c r="J2556"/>
  <c r="J2390"/>
  <c r="J1521"/>
  <c r="J3516"/>
  <c r="J3591"/>
  <c r="J3022"/>
  <c r="J1547"/>
  <c r="J714"/>
  <c r="J2187"/>
  <c r="J3382"/>
  <c r="J3066"/>
  <c r="J2524"/>
  <c r="J3030"/>
  <c r="J3144"/>
  <c r="J2262"/>
  <c r="J2671"/>
  <c r="J2235"/>
  <c r="J2875"/>
  <c r="J3492"/>
  <c r="J1289"/>
  <c r="J2541"/>
  <c r="J2796"/>
  <c r="J3184"/>
  <c r="J3568"/>
  <c r="J2257"/>
  <c r="J2474"/>
  <c r="J2548"/>
  <c r="J2311"/>
  <c r="J3324"/>
  <c r="J2545"/>
  <c r="J3426"/>
  <c r="J2197"/>
  <c r="J2612"/>
  <c r="J2753"/>
  <c r="J413"/>
  <c r="J2819"/>
  <c r="J2707"/>
  <c r="J2995"/>
  <c r="J3377"/>
  <c r="J2571"/>
  <c r="J2843"/>
  <c r="J2803"/>
  <c r="J2466"/>
  <c r="J465"/>
  <c r="J88"/>
  <c r="J1144"/>
  <c r="J667"/>
  <c r="J452"/>
  <c r="J3003"/>
  <c r="J2482"/>
  <c r="J938"/>
  <c r="J437"/>
  <c r="J267"/>
  <c r="J109"/>
  <c r="J2731"/>
  <c r="J3552"/>
  <c r="J2610"/>
  <c r="J2855"/>
  <c r="J2343"/>
  <c r="J676"/>
  <c r="J3473"/>
  <c r="J2403"/>
  <c r="J3150"/>
  <c r="J3525"/>
  <c r="J2462"/>
  <c r="J3450"/>
  <c r="J2468"/>
  <c r="J3252"/>
  <c r="J1728"/>
  <c r="J3390"/>
  <c r="J1235"/>
  <c r="J2552"/>
  <c r="J2492"/>
  <c r="J2905"/>
  <c r="J2887"/>
  <c r="J469"/>
  <c r="J3458"/>
  <c r="J2812"/>
  <c r="J2536"/>
  <c r="J3443"/>
  <c r="J2288"/>
  <c r="J2291"/>
  <c r="J1952"/>
  <c r="J1993"/>
  <c r="J2143"/>
  <c r="J2647"/>
  <c r="J1419"/>
  <c r="J2359"/>
  <c r="J2957"/>
  <c r="J3577"/>
  <c r="J3517"/>
  <c r="J2336"/>
  <c r="J2962"/>
  <c r="J2112"/>
  <c r="J3228"/>
  <c r="J2696"/>
  <c r="J2692"/>
  <c r="J3427"/>
  <c r="J3330"/>
  <c r="J2162"/>
  <c r="J1125"/>
  <c r="J2581"/>
  <c r="J2313"/>
  <c r="J3055"/>
  <c r="J1950"/>
  <c r="J1286"/>
  <c r="J1827"/>
  <c r="J3411"/>
  <c r="J2171"/>
  <c r="J2743"/>
  <c r="J3498"/>
  <c r="J514"/>
  <c r="J1954"/>
  <c r="J3071"/>
  <c r="J1253"/>
  <c r="J3166"/>
  <c r="J2780"/>
  <c r="J3474"/>
  <c r="J3531"/>
  <c r="J2174"/>
  <c r="J3503"/>
  <c r="J2427"/>
  <c r="J2323"/>
  <c r="J1594"/>
  <c r="J1639"/>
  <c r="J2339"/>
  <c r="J3259"/>
  <c r="J2873"/>
  <c r="J3515"/>
  <c r="J2191"/>
  <c r="J2166"/>
  <c r="J1513"/>
  <c r="J3524"/>
  <c r="J3511"/>
  <c r="J3273"/>
  <c r="J2033"/>
  <c r="J2946"/>
  <c r="J2360"/>
  <c r="J3447"/>
  <c r="J3519"/>
  <c r="J2159"/>
  <c r="J3044"/>
  <c r="J2884"/>
  <c r="J3340"/>
  <c r="J2799"/>
  <c r="J1939"/>
  <c r="J2221"/>
  <c r="J3274"/>
  <c r="J3526"/>
  <c r="J3168"/>
  <c r="J2388"/>
  <c r="J675"/>
  <c r="J2645"/>
  <c r="J743"/>
  <c r="J3135"/>
  <c r="J1002"/>
  <c r="J799"/>
  <c r="J3149"/>
  <c r="J82"/>
  <c r="J2721"/>
  <c r="J3050"/>
  <c r="J3435"/>
  <c r="J3190"/>
  <c r="J2604"/>
  <c r="J2623"/>
  <c r="J659"/>
  <c r="J2954"/>
  <c r="J2053"/>
  <c r="J3136"/>
  <c r="J3156"/>
  <c r="J3018"/>
  <c r="J2407"/>
  <c r="J2277"/>
  <c r="J3024"/>
  <c r="J3489"/>
  <c r="J2025"/>
  <c r="J3023"/>
  <c r="J2636"/>
  <c r="J3262"/>
  <c r="J3010"/>
  <c r="J2214"/>
  <c r="J1250"/>
  <c r="J2926"/>
  <c r="J723"/>
  <c r="J3554"/>
  <c r="J3278"/>
  <c r="J2432"/>
  <c r="J2509"/>
  <c r="J3601"/>
  <c r="J1747"/>
  <c r="J3236"/>
  <c r="J2498"/>
  <c r="J1381"/>
  <c r="J2767"/>
  <c r="J3014"/>
  <c r="J2458"/>
  <c r="J2037"/>
  <c r="J2904"/>
  <c r="J1764"/>
  <c r="J2331"/>
  <c r="J1314"/>
  <c r="J2702"/>
  <c r="J2346"/>
  <c r="J2154"/>
  <c r="J3311"/>
  <c r="J2228"/>
  <c r="J3413"/>
  <c r="J2869"/>
  <c r="J3323"/>
  <c r="J3019"/>
  <c r="J3418"/>
  <c r="J3289"/>
  <c r="J2479"/>
  <c r="J3553"/>
  <c r="J3336"/>
  <c r="J3266"/>
  <c r="J3122"/>
  <c r="J2675"/>
  <c r="J3142"/>
  <c r="J3287"/>
  <c r="J3476"/>
  <c r="J2496"/>
  <c r="J3402"/>
  <c r="J2009"/>
  <c r="J3386"/>
  <c r="J2096"/>
  <c r="J2992"/>
  <c r="J1981"/>
  <c r="J3599"/>
  <c r="J3325"/>
  <c r="J2899"/>
  <c r="J3364"/>
  <c r="J2393"/>
  <c r="J13"/>
  <c r="J1798"/>
  <c r="J2961"/>
  <c r="J2570"/>
  <c r="J2367"/>
  <c r="J3394"/>
  <c r="J2238"/>
  <c r="J3508"/>
  <c r="J2835"/>
  <c r="J2859"/>
  <c r="J2304"/>
  <c r="J1969"/>
  <c r="J869"/>
  <c r="J3301"/>
  <c r="J2979"/>
  <c r="J2930"/>
  <c r="J2599"/>
  <c r="J2146"/>
  <c r="J1919"/>
  <c r="J2512"/>
  <c r="J3052"/>
  <c r="J2711"/>
  <c r="J2450"/>
  <c r="J2663"/>
  <c r="J2217"/>
  <c r="J2611"/>
  <c r="J2911"/>
  <c r="J3117"/>
  <c r="J2435"/>
  <c r="J1945"/>
  <c r="J2895"/>
  <c r="J2399"/>
  <c r="J3260"/>
  <c r="J3192"/>
  <c r="J2659"/>
  <c r="J2481"/>
  <c r="J3560"/>
  <c r="J2205"/>
  <c r="J3376"/>
  <c r="J1156"/>
  <c r="J3253"/>
  <c r="J2049"/>
  <c r="J1441"/>
  <c r="J2179"/>
  <c r="J3507"/>
  <c r="J2182"/>
  <c r="J3331"/>
  <c r="J1240"/>
  <c r="J2139"/>
  <c r="J2487"/>
  <c r="J3490"/>
  <c r="J2520"/>
  <c r="J2486"/>
  <c r="J3326"/>
  <c r="J2648"/>
  <c r="J2715"/>
  <c r="J2883"/>
  <c r="J3521"/>
  <c r="J2019"/>
  <c r="J2807"/>
  <c r="J2116"/>
  <c r="J2568"/>
  <c r="J3046"/>
  <c r="J2815"/>
  <c r="J2691"/>
  <c r="J3232"/>
  <c r="J2910"/>
  <c r="J2584"/>
  <c r="J2760"/>
  <c r="J2735"/>
  <c r="J1985"/>
  <c r="J3224"/>
  <c r="J3600"/>
  <c r="J3332"/>
  <c r="J1910"/>
  <c r="J3360"/>
  <c r="J3470"/>
  <c r="J3597"/>
  <c r="J3543"/>
  <c r="J3585"/>
  <c r="J2868"/>
  <c r="J2888"/>
  <c r="J3428"/>
  <c r="J2739"/>
  <c r="J3557"/>
  <c r="J2480"/>
  <c r="J3528"/>
  <c r="J3063"/>
  <c r="J3099"/>
  <c r="J3398"/>
  <c r="J2168"/>
  <c r="J2851"/>
  <c r="J2817"/>
  <c r="J2583"/>
  <c r="J2929"/>
  <c r="J3573"/>
  <c r="J3275"/>
  <c r="J3569"/>
  <c r="J3241"/>
  <c r="J2499"/>
  <c r="J3185"/>
  <c r="J2305"/>
  <c r="J2896"/>
  <c r="J2540"/>
  <c r="J2795"/>
  <c r="J3318"/>
  <c r="J2756"/>
  <c r="J3205"/>
  <c r="J3466"/>
  <c r="J3561"/>
  <c r="J3593"/>
  <c r="J2915"/>
  <c r="J2100"/>
  <c r="J3298"/>
  <c r="J3533"/>
  <c r="J3334"/>
  <c r="J3463"/>
</calcChain>
</file>

<file path=xl/sharedStrings.xml><?xml version="1.0" encoding="utf-8"?>
<sst xmlns="http://schemas.openxmlformats.org/spreadsheetml/2006/main" count="28745" uniqueCount="13849">
  <si>
    <t>Инвентарный номер</t>
  </si>
  <si>
    <t>2 Тех/Мед</t>
  </si>
  <si>
    <t>3 Язык издания</t>
  </si>
  <si>
    <t>4 ISBN</t>
  </si>
  <si>
    <t>5 Авторы</t>
  </si>
  <si>
    <t>6 Наименование</t>
  </si>
  <si>
    <t>7 Кол-во стр (после верстки)</t>
  </si>
  <si>
    <t>9 Примечание</t>
  </si>
  <si>
    <t>Год издания</t>
  </si>
  <si>
    <t>Факультет</t>
  </si>
  <si>
    <t>Аннотация</t>
  </si>
  <si>
    <t>0000001</t>
  </si>
  <si>
    <t>Техники</t>
  </si>
  <si>
    <t>англ</t>
  </si>
  <si>
    <t xml:space="preserve"> Zharkevich O.M. ( Жаркевич )</t>
  </si>
  <si>
    <t>Quality management methods and databases</t>
  </si>
  <si>
    <t>Tutorial</t>
  </si>
  <si>
    <t>Стандарт.метрол., сертиф.</t>
  </si>
  <si>
    <t>Машиностроение</t>
  </si>
  <si>
    <t>Учебное пособие предназначено для студентов специальности 5В073200 «Стандартизация и сертификация (по отраслям)», 5В071200 «Машиностроение». В учебном пособии подробно рассматриваются принципы управления качеством, использование инструментов контроля качества. Дается анализ возможностей процесса и технологии, расчета индексов стабильности процесса. Типы баз данных, элементы систем баз данных, аспекты проектирования базы данных описаны автором. Представлены проблемы баз данных в компьютерном интегрированном производстве. Рассмотрены объекты базы данных Microsoft Access.</t>
  </si>
  <si>
    <t>0000002</t>
  </si>
  <si>
    <t>анг</t>
  </si>
  <si>
    <t>R.F. Zhussupova ( Жусупова Р.Ф. ), K.M. Nabiyeva</t>
  </si>
  <si>
    <t>Successful strategies to teaching English for gifted students</t>
  </si>
  <si>
    <t>монография</t>
  </si>
  <si>
    <t>Язык английский</t>
  </si>
  <si>
    <t>Педагогика</t>
  </si>
  <si>
    <t>(Успешные стратегии преподавания английского языка для одаренных студентов). В монографии «Успешные стратегии преподавания английского языка для одаренных студентов» представлены теоретические и практические подходы к обучению одаренных студентов. В частности, в учебнике демонстрируются «Модель стратегической языковой одаренности» и «Учебная программа по лингвистической одаренности», которые были разработаны авторами и проверены для их одаренных учеников. навыки и улучшить свои академические и личные показатели.</t>
  </si>
  <si>
    <t>0000003</t>
  </si>
  <si>
    <t>Tulekbayeva A. K., Sabirhanov D. S., Eshankulov A. A., Kaldybaeva B. M., Myrkhalykov B. S.</t>
  </si>
  <si>
    <t>Theoretical and practical bases of estimation of measurement uncertainty</t>
  </si>
  <si>
    <t>Monograph /монография</t>
  </si>
  <si>
    <t>В данной монографии представлены теоретические и практические основы оценки неопределенности результатов измерений для контроля качества различных видов испытаний продукции, современный подход к оценке неопределенности измерений, а также ключевые элементы документа «Руководство по выражению неопределенность в измерении », разработанная ведущими международными метрологическими организациями, информация об организации экспериментальных исследований в соответствии со стандартом ISO 5725 для оценки точности измерений, использование метрик точности на практике и методические подходы к оценке неопределенности измерений, требования СТ РК ИСО / МЭК 17025. Монография предназначена для студентов, магистрантов, аспирантов, докторантов (PhD), научных и инженерно-технических работников, специализирующихся в области организационного и технологического тестирования, гармонизации национальных нормативных документов с международными инструментами. , в том числе в фи поле метрологии.</t>
  </si>
  <si>
    <t>0000004</t>
  </si>
  <si>
    <t>( Шалабаева Б.С.) B.S.Shalabayeva, D.S Rakisheva., Z.A Kutpanova</t>
  </si>
  <si>
    <t>Mathematical modeling of continuum mechanics</t>
  </si>
  <si>
    <t>tutorial</t>
  </si>
  <si>
    <t>математика</t>
  </si>
  <si>
    <t>Основы механики сплошных сред изложены кратко и доступно в этом уроке. Помимо лекционного материала, подготовленного в соответствии с учебным планом Государственного общеобязательного образовательного стандарта Республики Казахстан 3.08.321, приведены также вопросы (тесты), примеры и методика решения проблем. Представлены основные принципы, используемые при построении наиболее распространенных моделей механики сплошных сред. Учебное пособие предназначено для студентов и аспирантов математических и естественно-технических областей, зачисленных в кредитную систему.</t>
  </si>
  <si>
    <t>0000005</t>
  </si>
  <si>
    <t>(Эттель В.А.) V.А. Ettel</t>
  </si>
  <si>
    <t>Machine parts</t>
  </si>
  <si>
    <t>Textbook</t>
  </si>
  <si>
    <t>The textbook is designed in accordance to the requirements of the curriculum and program of “Machine parts” course and includes information of theoretical course. In the textbook there are considered fundamentals of theory and calculations, structures and technologies of parts production and units of general application; friction and gearing transmissions; permanent and separable joints; shafts and axis; rolling bearings and couplings. Textbook is for students of 5В071300 – “Transport, transport equipment and technology” specialty. The textbook is appropriate for graduates, participants of professional development courses and re-training programs, teachers and college students, engineering staff and members of SRI.</t>
  </si>
  <si>
    <t>0000015</t>
  </si>
  <si>
    <t>Mussina A.A. , Kazagachev V.N. / А.А.Мусина, В.Н.Казагачев</t>
  </si>
  <si>
    <t>СOMPUTER NETWORKS</t>
  </si>
  <si>
    <t>Учебное пособие</t>
  </si>
  <si>
    <t>Информационные технологии</t>
  </si>
  <si>
    <t>0000016</t>
  </si>
  <si>
    <t>A.A. Mussina, V.N. Kazagachev / Мусина А.А., Казагачев В.Н.</t>
  </si>
  <si>
    <t>Python programming language</t>
  </si>
  <si>
    <t>Python является простым и, в то же время, мощным интерпретируемым объектно-ориентированным языком программирования. Он предоставляет структуры данных высокого уровня, имеет изящный синтаксис и использует динамический контроль типов, что делает его идеальным языком для быстрого написания различных приложений, работающих на большинстве распространенных платформ. Учебное пособие предназначено для студентов и преподавателям инженерных и естественно-научных специальностей вузов, школьникам старших классов и учителям информатики.</t>
  </si>
  <si>
    <t>0000017</t>
  </si>
  <si>
    <t>Abdizhapparova B.T. /Абдижаппарова Б.Т.</t>
  </si>
  <si>
    <t>Thermal processing of plant and animal raw material / Термическая обработка пищевых продуктов растительного и животного происхождения</t>
  </si>
  <si>
    <t>учебник</t>
  </si>
  <si>
    <t>Пищевая промышленность</t>
  </si>
  <si>
    <t>The textbook “Thermal processing of food products” highlights basic theoretical and practical aspects in the field of thermal processing of products of plant and animal origin. Advanced world research materials in food engineering have been used at composing the textbook./В учебнике” термическая обработка пищевых продуктов " освещены основные теоретические и практические аспекты в области термической обработки продуктов растительного и животного происхождения. При составлении учебника использованы передовые мировые исследовательские материалы в области пищевой инженерии.</t>
  </si>
  <si>
    <t>0000018</t>
  </si>
  <si>
    <t>Abduova A., Sataeva L.M. ,Iztleuov G.M./ Абдуова А, Сатаева Л.М., Изтлеуов Г.М.</t>
  </si>
  <si>
    <t>The development of clean technology cleaning grease wastewater LLP "POSH- Taraz" the purpose of their further use for irrigation of tree plantations</t>
  </si>
  <si>
    <t>monograph</t>
  </si>
  <si>
    <t>экология</t>
  </si>
  <si>
    <t>The monograph is composed according to requirements of the curriculum and the program of the discipline « Removal of oil from wastewater »and includes all necessary collection of lectures./ Монография составлена в соответствии с требованиями учебного плана и программы дисциплины "удаление нефти из сточных вод" и включает в себя весь необходимый сборник лекций.</t>
  </si>
  <si>
    <t>0000019</t>
  </si>
  <si>
    <t>анг.</t>
  </si>
  <si>
    <t>Abduova A.A/ Абдуова А.А.</t>
  </si>
  <si>
    <t>Actual problems of geoecology and landscape ecology</t>
  </si>
  <si>
    <t>Экология</t>
  </si>
  <si>
    <t>Textbook is made according to requirements of the curriculum and the program of discipline « Actual problems of geoecology and landscape ecology » and includes all necessary data on performance of laboratory work. Educational-methodical manual are intended for teachers andundergradueitsof all technical and technological specialities. Methodical instructions include: introduction, theoretical part, equipment and reagents, procedure, calculation and results, quiz questions and the list of the recommended literature./ Учебное пособие составлено в соответствии с требованиями учебного плана и программы дисциплины "актуальные проблемы геоэкологии и ландшафтной экологии" и включает в себя все необходимые данные по выполнению лабораторных работ. Учебно-методическое пособие предназначено для преподавателей и магистрантов всех технических и технологических специальностей. Методические указания включают: введение, теоретическую часть, оборудование и реагенты, методику, расчет и результаты, вопросы викторины и список рекомендуемой литературы.</t>
  </si>
  <si>
    <t>0000020</t>
  </si>
  <si>
    <t>Ecology and sustainable development</t>
  </si>
  <si>
    <t>The maintenance of this training manual corresponds to the training program of discipline «Ecology and sustainable development», provided for students of all specialties.
 In the training manual questions of ecology are considered taking into account biology, and from a position of technogenic influence of the person on habitat. The global problems which have arisen now can be solved on the basis of provisions of the Declaration on environment and development of the World summit in Rio de Janeiro (1992)./ Содержание данного учебного пособия соответствует учебной программе дисциплины "Экология и устойчивое развитие", предусмотренной для студентов всех специальностей.
 В учебном пособии вопросы экологии рассматриваются с учетом биологии, а также с позиции техногенного воздействия человека на среду обитания. Возникшие в настоящее время глобальные проблемы могут быть решены на основе положений декларации по окружающей среде и развитию Всемирной встречи на высшем уровне в Рио-де-Жанейро (1992 год).</t>
  </si>
  <si>
    <t>0000021</t>
  </si>
  <si>
    <t>Abimuldina S. /Абимульдина С.Т./</t>
  </si>
  <si>
    <t>Ecobiotechnology in food industry</t>
  </si>
  <si>
    <t>Teaching manual</t>
  </si>
  <si>
    <t>Биотехнология</t>
  </si>
  <si>
    <t>The manual drawn up in accordance with the program of discipline “Environmental Biotechnology” and “Food Biotechnology” is designed for students full-time and correspondence forms of training of specialty 5B 070100 – “Biotechnology”, 5В 072700 “Technology of food products”, and it can be used by students majoring 5B060800 “Ecology”. It describes the basic terms and concepts in the field of biotechnology, describes processes for the production of useful substances using microorganisms cells. In more detail considered the issues relating to the most promising and growing industries of this science - the food and environmental biotechnology</t>
  </si>
  <si>
    <t>0000022</t>
  </si>
  <si>
    <t>Adyrbayeva T. (Адырбаева ), Yessimov B., Suleimenov Zh., Dubinina Yelena</t>
  </si>
  <si>
    <t>Concepts of silicate materials’scientific research (manual)</t>
  </si>
  <si>
    <t>Manual</t>
  </si>
  <si>
    <t>химия</t>
  </si>
  <si>
    <t>The manual is designed for the students majoring in the course: 5В075300 - Chemical technology of infusible non-metallic and silicate materials. The manual is dedicated to the issues of scientific researches basis in the sphere of development and synthesis of silicate materials as well as to the patenting branch. It reviews general methodology of the scientific researches on cements, ceramics and glass; it represents goals and tasks to using the most important advanced methods in physical-chemical analysis of silicate materials, concept schemes and specifications of the equipment and tools being used by scientific research and central workshop laboratories. There are X-ray, thermal and optical microcopies, industrial stone petrography – industrial petrography, infrared spectroscopy, electron microscopy and so on. It states the materials on patenting branch and patent researches in the science dealing with silicates, in the modern directions of scientific researches as well as the up-to-date settings and requirements to organizing and conducting scientific researches</t>
  </si>
  <si>
    <t>0000023</t>
  </si>
  <si>
    <t>Akhayeva Zh.B. (Ахаева Ж.Б.), Zakirova А.B., Nurpeissova A.Kh.</t>
  </si>
  <si>
    <t>Educational-methodical complex on robotic programming in Lego Mindstorms EV3 framework</t>
  </si>
  <si>
    <t>The educational and methodical manual</t>
  </si>
  <si>
    <t>Информационные системы,Робототехника</t>
  </si>
  <si>
    <t>Учебно-методический комплекс по робототехническому программированию в рамках Lego Mindstorms EV3 framework посвящен программированию робота Lego Mindstorms EV3, который был представлен компанией LEGO в 2013 году. Работа является результатом многолетнего опыта авторов в педагогической деятельности, направленной на подготовку учителей школ, преподавателей вузов и инструкторов по данному предмету. Учебно-методический комплекс по робототехническому программированию в рамках Lego Mindstorms EV3 будет полезен учителям начального, среднего, высшего и дополнительного образования, студентам и всем, кто интересуется робототехникой</t>
  </si>
  <si>
    <t>0000025</t>
  </si>
  <si>
    <t>Alipbayeva A.A. (Алипбаева А.А.), N.N. Khanina</t>
  </si>
  <si>
    <t>Professional English for preschool teachers</t>
  </si>
  <si>
    <t>Тeaching manual</t>
  </si>
  <si>
    <t>Психология, Дошкольное обучение</t>
  </si>
  <si>
    <t>Профессионально-ориентированный иностранный язык для педагогов дошкольных учреждений The teaching manual is based on the State Educational Standard of the Republic of Kazakhstan and model curriculum for specialty 5B010100 “Preschool education”. This teaching manual presents a practical course of professional English language for students majoring in preschool education. The main aim of the course is to develop and form foreign language and intercultural communicative competences and skills, necessary for professional dialogue in the future area of specialization. This practical course will help future professionals to acquire basic conceptual and categorical apparatus in certain spheres of their activity and corresponding systems of terms, features of text structural organization will form basic skills for successful professional communication in a foreign language. 
 Учебное пособие основано на Государственном образовательном стандарте Республики Казахстан и типовой учебной программе по специальности 5В010100 «Дошкольное образование». В этом учебном пособии представлен практический курс профессионального английского языка для студентов, изучающих основы дошкольного обучения и воспитания. Основная цель курса - развить и сформировать компетенции и навыки иноязычного и межкультурный коммуникации общения, которые необходимы для профессионального общения по специальности в будущем. Этот практический курс поможет будущим специалистам овладеть базовым понятийно-категориальным аппаратом в определенных сферах их деятельности, а соответствующая система терминов, особенности структурной организации текста сформируют базовые навыки успешного профессионального общения на иностранном языке. Основная цель курса - развить и сформировать компетенции и навыки иноязычной и межкультурной коммуникации, которые необходимы для профессионального общения по специальности в будущем.</t>
  </si>
  <si>
    <t>0000026</t>
  </si>
  <si>
    <t>Altayev Zh., Kasabek A., Masalimova A./ Алтаев Ж., Касабек А., Масалимова А.</t>
  </si>
  <si>
    <t>Kazakh Philosophy</t>
  </si>
  <si>
    <t>Философия</t>
  </si>
  <si>
    <t>This textbook deals with the historical and philosophical, as well as theoretical and methodological, aspects of the formation and development of Kazakh philosophy. It mainly focuses in on the personal vision of the philosophical foundations of life in their historical and theoretical perspectives.
 This textbook is aimed at undergraduate and postgraduate students as well as at non specialist readers interested in current issues of Kazakh philosophy.</t>
  </si>
  <si>
    <t>0000027</t>
  </si>
  <si>
    <t>Alzhanov E. A.\Алжанов Е.А.</t>
  </si>
  <si>
    <t>«WHAT IS THE SOIL»</t>
  </si>
  <si>
    <t>Монография</t>
  </si>
  <si>
    <t>Агро. Почвоведение</t>
  </si>
  <si>
    <t>Methodical instruction for Agricultural Faculty is developed in accordance with the requirements of State Educational Standards for specialties and curriculum of the given discipline. This Methodical instruction comprises all necessary data on performance of the course. It is intended for students of soil and agro-chemistry specialty</t>
  </si>
  <si>
    <t>0000028</t>
  </si>
  <si>
    <t>Anasheva D.K. , Ibragimova K.E. /Анашева Д.К.</t>
  </si>
  <si>
    <t>Steps to academic speech and writing</t>
  </si>
  <si>
    <t>Название на русском: "Пути усовершенствования академической речи и письма". Учебное пособие предназначено для студентов 3-4 курсов языковой специальности 5В011900 «Иностранный язык: два иностранных языка» высших учебных заведений, магистрантов, а также для широкого круга лиц, изучающих английский язык на продвинутом этапе обучения и желающих сдать международный экзамен IELTS. В учебном пособии представлены тематический толковый словарь, академический словарь синонимов, употребление слов и фраз в различных ситуациях, идиомы, упражнения на развитие академической письменной речи, описание часто встречаемых ошибок, ключевые фразы академического письма, тексты с заданиями, тесты и многое другое.</t>
  </si>
  <si>
    <t>0000029</t>
  </si>
  <si>
    <t>Assanbayev T. Sh. , Kassymbekova L. N. 
 Bauzhanova L. M. / Асанбаев Т.Ш.</t>
  </si>
  <si>
    <t>Pedigree zoning 
 and breed testing 
 in livestock production</t>
  </si>
  <si>
    <t>Агро. Зоотехния</t>
  </si>
  <si>
    <t>The study guide «Pedigree zoning and animal breed testing» views not only such questions as pedigree zoning but also issues of organization and conduct of breed testing of newly bred domestic breeds, breed groups, factory types, lines and families as well as a number of animal breeds of foreign selection who are transported in a big mass nowadays, which gives interest for the breeders in the questions of productive and adaptive qualities improvement of raised animals.The textbook is recommended to students of agricultural specialties.</t>
  </si>
  <si>
    <t>0000030</t>
  </si>
  <si>
    <t>Aubakirova F. (Аубакирова Ф.Х.)</t>
  </si>
  <si>
    <t>Abstract of lectures «Engineering systems of buildings and constructions</t>
  </si>
  <si>
    <t>Abstract of Lectures/ Конспект лекций</t>
  </si>
  <si>
    <t>Строительство и транспорт</t>
  </si>
  <si>
    <t>Конспект лекций «Инженерные системы зданий и сооружений»  Abstract of Lectures are compiled in accordance with the requirements of the curriculum and the program of the discipline "Engineering systems of buildings and constructions" and includes all the necessary information on the course.
 Abstract of Lectures are intended for students of specialty 5B072900 - "Civil Engineering".
 Конспект лекций составляется в соответствии с требованиями учебной программы и программы дисциплины «Инженерные системы зданий и сооружений» и включает в себя всю необходимую информацию по курсу.
 Конспект лекций предназначен для студентов специальности 5В072900 - «Строительство».</t>
  </si>
  <si>
    <t>0000031</t>
  </si>
  <si>
    <t>Aubakirova Zh. (Аубакирова Ж.С.)</t>
  </si>
  <si>
    <t>Demographic regionalization of Kazakhstan</t>
  </si>
  <si>
    <t>история</t>
  </si>
  <si>
    <t>The monograph presents the results of demographic regionalization of the territory of Kazakhstan in terms of fertility and mortality, ethnic composition, migration mobility of the population. Theoretical and methodological justification of regionalization is given, ethnodemographic zones are described. All important demographic processes in Kazakhstan were studied using various methods, including the method of cluster analysis, with the use of computer technology. Attached are maps of demographic zoning.
 The monograph is intended for historians, demographers, sociologists, as well as for a wide range of readers interested in the problems of historical demography of Kazakhstan, in particular zoning.</t>
  </si>
  <si>
    <t>0000032</t>
  </si>
  <si>
    <t>Baganov N.A./Баганов Н. А.</t>
  </si>
  <si>
    <t>CARGO HANDLING</t>
  </si>
  <si>
    <t>study guide</t>
  </si>
  <si>
    <t>Транспорт, Логистикка</t>
  </si>
  <si>
    <t>In the study guide considered the issues of classification, vehicle condition and transport characteristics of cargo, receiving cargo for transportation, a choice of terms of transportation and storage of goods. The method of calculation for the solution of some applied problems associated with the transportation and storage of goods.The study guide is intended for students in 5B090100 "The organization of transportations, movements and transport operation" and 5В090900 "logistics". It can be used in practical lessons ,during independent work of the students, as well as in diploma projects</t>
  </si>
  <si>
    <t>0000033</t>
  </si>
  <si>
    <t>Baigulova N.Z./Байгулова Н.З.</t>
  </si>
  <si>
    <t>LECTURES on the discipline “Mathematics II” for students of specialty - 5B073300</t>
  </si>
  <si>
    <t>Конспект лекций</t>
  </si>
  <si>
    <t>Математика</t>
  </si>
  <si>
    <t>Конспект лекций составлен в соответствии с требованиями учебного плана и программы дисциплины «Математика II» и включает в себя всю необходимую информацию. В конспекте лекций содержатся сведения теоретического характера, собраны и проиллюстрированы методы решения примеров, приводится большой дополнительный материал, помогающий лучше изучать этот раздел математического анализа.Конспект лекций предназначен для студентов специальности - 5B073300.</t>
  </si>
  <si>
    <t>0000034</t>
  </si>
  <si>
    <t>LECTURES on the discipline “Mathematics III” for students of specialty - 5B070800</t>
  </si>
  <si>
    <t>Конспект лекций составлен в соответствии с требованиями учебного плана и программы дисциплины «Математика III» и охватывает все темы курса.В конспекте лекций содержатся сведения теоретического характера, собраны и проиллюстрированы методы решения примеров, приводится большой дополнительный материал, помогающий лучше изучать этот раздел математического анализа.Конспект лекций предназначен для студентов специальности - 5В070800.</t>
  </si>
  <si>
    <t>0000038</t>
  </si>
  <si>
    <t>Botagariyev T.A., Kubiyeva S.S., Suleimenova Z.E., Turmagambetova G.N. /Ботагариев Т.А.</t>
  </si>
  <si>
    <t>General foundations of the theory and methodology of physical culture and sports</t>
  </si>
  <si>
    <t>пособие</t>
  </si>
  <si>
    <t>Физическая культура</t>
  </si>
  <si>
    <t>Пособие раскрывает сущность физического воспитания, излагает принципы, средства, методы физического воспитания, дает описание воспитания физических способностей, обучения двигательным действиям, построения уроков физкультуры. Пособие может быть полезным для учащихся средних специальных учебных заведений физического воспитания, магистрантов, докторантов, преподавателей вузов и преподавателей физического воспитания.</t>
  </si>
  <si>
    <t>0000042</t>
  </si>
  <si>
    <t>рус</t>
  </si>
  <si>
    <t>Cлoнoва М.Б., Жукова А.В., Нуржанова О.А.</t>
  </si>
  <si>
    <t>Исследование, совершенствование и обоснование конструктивных па-раметров головки инерционной хонинговальной</t>
  </si>
  <si>
    <t>машиностроение, Стандарт., метрол., сертиф.</t>
  </si>
  <si>
    <t>Монография будет полезна для студентов специальностей 6В07104 «Машиностроение», 6В07501 «Стандартизация и сертификация»(по отраслям) , 6В07111 «Технологические машины и оборудование» (по отраслям). 
 В монографии разрабoтаны рeкoмeндации для выбoра кoнcтруктивных парамeтрoв инeрциoнных хoнингoвальных гoлoвoк и рeжимoв oбрабoтки глубoких oтвeрcтий инeрциoнным хoнингoваниeм. Даны рeкoмeндации пo выбoру рeжимoв oбрабoтки глубoких oтвeрcтий инeрциoнным хoнингoваниeм, а также разрабoтаны кoнcтрукции уcтрoйcтв и инcтрумeнтoв для oбрабoтки глубoких oтвeрcтий. Приведены теоретические основы технологии производства, вопросы точности и качества обрабатываемых поверхностей, назначение припусков на заготовки, расчет режимов резания при разработки технологии изготовления деталей машин. Изложены методы обработки типовых поверхностей, перспективных направлений в технологии производства</t>
  </si>
  <si>
    <t>0000046</t>
  </si>
  <si>
    <t>Dovbenko M.V., Yu.I. Ossik (Осик Ю.И.)</t>
  </si>
  <si>
    <t>Modern economic theories of Nobel Prize Laureates</t>
  </si>
  <si>
    <t>Course book</t>
  </si>
  <si>
    <t>Экономика</t>
  </si>
  <si>
    <t>In the course book the essence of theories, concepts, ideas of the famous modern economists — the Nobel Prize winners, which represent the recent stage of development of the economic theory is revealed. Their theoretical discoveries served as powerful stimulus of progress of economic science, modernisation of economic policy and practice, transfor-mation of knowledge of economics into knowledge economy in the globalizing world. Тhe course book is addressed to undergraduates and postgraduates of higher educa-tional institutions of economic specialities.</t>
  </si>
  <si>
    <t>0000048</t>
  </si>
  <si>
    <t>Dzhakipbekova N.O ,Sakibaeva S.A , Iztleuov G.M./ Джакипбекова Н. О., Сакибаева С. А, Изтлеуов Г. М.</t>
  </si>
  <si>
    <t>Water soluble polymers</t>
  </si>
  <si>
    <t>учебное пособие</t>
  </si>
  <si>
    <t>Химич. Технология</t>
  </si>
  <si>
    <t>The training manual is composed according to requirements of the curriculum and the program of the discipline «Water soluble polymers »and includes all necessary training manual.Training manual for undergraduates of a speciality 5В072100 – chemical technology of organic substances"Учебное пособие составлено в соответствии с требованиями учебного плана и программой дисциплины "водорастворимые полимеры" и включает в себя все необходимые учебные пособия.
 Учебное пособие для магистрантов специальности 5Х072100-Химическая технология органических веществ
 "</t>
  </si>
  <si>
    <t>0000049</t>
  </si>
  <si>
    <t>Dаurеnbеkovа Sh.Zh., Jarvelaid М., Oksikbаеv B.K., Kuat M. /Дауренбекова Ш.Ж., Мари Ярвелайд., Оксикбаев Б. К., Куат М.</t>
  </si>
  <si>
    <t>Embryology for studеnts of Biologу spеciаlitу</t>
  </si>
  <si>
    <t>Биология</t>
  </si>
  <si>
    <t>/Учебное пособие по эмбриологии на английском языке 
 Настоящее учебное пособие по эмбриологии на английском языке составлено в соответствии с рабочей программой для студентов полиязычных групп естественно-технического факультета университета. Оно предназначено для экономии времени студентов и оптимизации их практической работы.</t>
  </si>
  <si>
    <t>0000050</t>
  </si>
  <si>
    <t>Мурсалимова / E.Mursalimova, Y.Borisova, G.Akhmetkerimova (Ахметкеримова Г.Е.), T.Mukatova</t>
  </si>
  <si>
    <t>Monitoring and cadastre of the land resources Train aid "Moni toring and cadastre of the land resources" is worked out within the framework of project (ECAP) № 561590-EPP-1-2015-SK-EPPKA2-CBHE-JP «Enhancing competencies of central asian universities in agricultural policy focused on environmental protection &amp; land management»</t>
  </si>
  <si>
    <t>textbook</t>
  </si>
  <si>
    <t>Земельные ресурсы и кадастр</t>
  </si>
  <si>
    <t>The textbook "Monitoring and cadastre of land resources" is recommended for students of land management and cadastral specialties with an emphasis on monitoring and environmental protection. The manual was developed within the framework of the Erasmus+ ECAP project "development of competencies of Central Asian universities in the field of agricultural policy on environmental protection and land management" No. 561590-EPP-1-2015-SK-EPPKA2-CBHE-JP. 
 The course "Monitoring and cadastre of land resources" will help students with practical skills in monitoring and cadastre of land resources, which, we hope, will become indispensable for developing plans and finding solutions for a sustainable future.
 The project is based on the need to strengthen and strengthen awareness in the field of environmental protection and land management.
  Land management, rational use of land, and environmental protection are an integral part of the agricultural policy that has been implemented in Uzbekistan and the Republic of Kazakhstan through innovative curricula. The issue of rational land use under various forms of ownership and management on land includes a wide range of measures to further strengthen land use, protect the environment, and increase soil fertility based on large-scale deployment of scientific achievements and best practices.</t>
  </si>
  <si>
    <t>0000052</t>
  </si>
  <si>
    <t>Gluchshenko Т.I./ Глущенко Т.И.</t>
  </si>
  <si>
    <t>Energy-saving automatic control system, control and regulation of vehicles</t>
  </si>
  <si>
    <t>Учебное пособие / Study guide</t>
  </si>
  <si>
    <t>Технологические машины и оборудование</t>
  </si>
  <si>
    <t>(Энергосберегающие системы автоматического контроля, управления и регулирование транспортных средств). В данной работе обобщен опыт и достижения ученых разных стран мира в области автоматических систем транспортной техники. Учебное пособие содержит теоретический материал по дисциплине, задания для самостоятельной работы. Транспортные средства оснащены большим количеством датчиков, преобразователей, исполнительных механизмов и блоков управления, задачей которых является координация взаимодействия всех электронных и мехатронных компонентов транспортного средства и улучшение связи между другими участниками дорожного движения. Эти системы обеспечивают улучшенное управление транспортным средством в различных ситуациях вождения, повышают безопасность и комфорт пассажиров, а также облегчают связь и контроль ситуации на дороге. Учебное пособие знакомит студентов с основами теории автоматического управления, принципом действия и конструктивными особенностями автоматических систем транспортной техники для применения на практике. Учебное пособие охватывает системы: зажигания, управления электронным впрыском топлива, активной и пассивной безопасности, контроль тяги (TCS), круиз-контроль, антиблокировка тормозов (ABS), измерение дистанции, электронный усилитель руля, автоматическая коробка передач.</t>
  </si>
  <si>
    <t>0000053</t>
  </si>
  <si>
    <t>Gulmira K.Issayeva, Altyn M.Yessirkepova, Zhazira Sh.Kucherbayeva/ Исаева Г. K, Есиркепова А. М, Кучербаева Ж.Ш.</t>
  </si>
  <si>
    <t>Stimulate of entrepreneurs as a form of public-private partnership in the dual system learning in the higher education: theory and methodology</t>
  </si>
  <si>
    <t>Агро. Семеноведение</t>
  </si>
  <si>
    <t>Стимулирование предпринимателей как форма государственно-частного партнерства в дуальной системе обучения в высшей школе: теория и методология Исследования в этой книге посвящены изучению преимуществ и недостатков государственно-частного партнерства в системе дуального обучения в высшей школе, поиску адекватных современных механизмов взаимодействия бизнес-организаций, университетов и правительства, подготовке рекомендаций о тенденциях и перспективы развития этого сотрудничества.Монография имеет теоретическое и практическое значение. Он предназначен для сотрудников высших учебных заведений, студентов, магистрантов, аспирантов, бизнесменов, государственных служащих, исследователей, а также широкого круга читателей.</t>
  </si>
  <si>
    <t>0000054</t>
  </si>
  <si>
    <t>Gulmira K.Issayeva, Altyn M.Yessirkepova/ Есиркепова А. М,</t>
  </si>
  <si>
    <t>Public-private partnerships in higher education of Kazakhstan: current state
 and development priorities</t>
  </si>
  <si>
    <t>Государственно-частные партнерства в высшем образовании Казахстана: современное состояние
 и приоритеты развития
 Исследование, изложенное в этой монографии, сфокусировано на изучении текущего состояния и проблем развития высшего образования в Казахстане, анализе зарубежного опыта государственно-частного партнерства, основанного на дуальном образовании, а также на выявлении возможностей использования зарубежные модели такого партнерства в условиях Казахстана.Исследования проводились по теме «Развитие механизма стимулирования предпринимательства как формы государственно-частного партнерства в дуальном обучении на базе высшего образования» и финансировались Научным комитетом Республики Казахстан.</t>
  </si>
  <si>
    <t>0000055</t>
  </si>
  <si>
    <t>Gulzhan Shokym/Шоқым Гүлжан Тыныштықбайқызы</t>
  </si>
  <si>
    <t>Gender linguistics</t>
  </si>
  <si>
    <t>Филология</t>
  </si>
  <si>
    <t>The tutorial focuses on the new course of linguistics, the ways of formation and development directions of gender linguistics and theoretical issues. The gender classification of the language is characterized by its peculiarities in the social linguistic, cognitive linguistic and linguistic levels.
 On May 24, 2019 on the basis of the decision of the educational-methodical commission on specialties of philology and linguistics from protocol No. 2 of the meeting of educational-methodical association of the Republican educational-methodical council at Al-Farabi Kazakh National University proposed to submit a stamp of the educational and methodological association of the Republican Educational and Methodological Council at Al-Farabi Kazakh National University (protocol No. 34, 14 December 2019).</t>
  </si>
  <si>
    <t>0000056</t>
  </si>
  <si>
    <t>анг.,рус.,каз.</t>
  </si>
  <si>
    <t>Ibragimov U.M., Sarsenova G.M./ Ибрагимов У. М., Сарсенова Г. М.</t>
  </si>
  <si>
    <t>Terminological dictionary on the discipline “Programming language Pascal”for students of specialties 5B011100 – Computer Science and 5B060200 – Computer Science.</t>
  </si>
  <si>
    <t>словарь</t>
  </si>
  <si>
    <t>Информатика.</t>
  </si>
  <si>
    <t>Terminological dictionary has been developed according to the requirements of the curriculum and discipline program “Programming language Pascal” and contains terms in English, Russian, and Kazakh, necessary for learning the discipline “Programming language Pascal”./ Терминологический словарь разработан в соответствии с требованиями учебного плана и программы дисциплины "язык программирования Паскаль “и содержит термины на английском, русском и казахском языках, необходимые для изучения дисциплины”язык программирования Паскаль".</t>
  </si>
  <si>
    <t>0000057</t>
  </si>
  <si>
    <t>Iskakova А. /Искакова А.С./</t>
  </si>
  <si>
    <t>Solving problems on probability theory in the MATLAB system</t>
  </si>
  <si>
    <t>The tutorial contains the main sections of the course of probability theory with a wide application of the applied package Matlab. It is intended for students, undergraduates, doctoral candidates, applicants and teachers of mathematical, technical and economic faculties of higher educational institutions and research centers using in their activity applied problems of probability theory and the Matlab programming system.</t>
  </si>
  <si>
    <t>0000058</t>
  </si>
  <si>
    <t>Jakupova Zh.E. /Джакупова Ж.Е./</t>
  </si>
  <si>
    <t>Investigation compounds of oil and gas</t>
  </si>
  <si>
    <t>Химия</t>
  </si>
  <si>
    <t>В учебнике "Исследование соединений нефти и газа" описаны физико-химические свойства основных классов нефтяных углеводородов, характеристики сырой нефти , процессы первичной подготовки нефти, а также принципы термических и каталитических процессов нефтепереработки.Содержание учебника содержит теоретические основы нефтехимии и предназначено для бакалавров и магистрантов</t>
  </si>
  <si>
    <t>0000060</t>
  </si>
  <si>
    <t>Jumabayeva G.M. (Джумабаева Г.М.)</t>
  </si>
  <si>
    <t>Lecture notes of discipline «Biochemistry» for students of specialty 5В075300 - ChTINandSM</t>
  </si>
  <si>
    <t>Abstract of Lectures</t>
  </si>
  <si>
    <t>Конспект лекций по дисциплине «Биохимия силикатов» для студентов специальности 5В075300 - ХТТНиСМ  Lecture notes are developed according to the curriculum and standard program of the discipline «Biochemistry of silicates» and include all information. The Lecture notes are intended for students of the speciality 5B075300 - Chemical technology of infusible nonmetallic and silicate materials The methodical instructions contain introduction, name of laboratory works, aim of the work, theoretical information, technique of experiment performance, processing of results, reagents and devices, control questions and bibliography. The total volume of the work comprises 1,5 print sheet. Конспект лекций разработан соответственно типовой программе дисциплины «Биохимия силикатов» 
 Конспект лекций предназначен для студентов специальности 5B075300 «Химическая технология тугоплавких не металлических и селикатных материалов» Методические инструкции содержат введение, название лабораторных работ, цель работы, теоретическую информацию, технику выполнения эксперимента, обработку результатов, реактивы и приборы, контрольные вопросы и список исользованной литературы. Общий объем работы составляет 1,5 листа.</t>
  </si>
  <si>
    <t>0000061</t>
  </si>
  <si>
    <t>Kaldiyarov D.A. /Калдияров/, Ilimzhanova Z.A., Nurmukhankyzy D., Burnasheva V.R.</t>
  </si>
  <si>
    <t>Taxation in the Republic of Kazakhstan at the present stage</t>
  </si>
  <si>
    <t>training manual</t>
  </si>
  <si>
    <t>Students and postgraduates of economic specialties and teachers of financial and economic faculty can use the training manual in the course of studying the course “Taxes and taxation”.</t>
  </si>
  <si>
    <t>0000062</t>
  </si>
  <si>
    <t>рус.каз. Англ.</t>
  </si>
  <si>
    <t>Kaldybayev R.T., Kim I.S., Mirzamuratova R.Sh. Sabyrkhanova S.Sh.,/ Сабырханова</t>
  </si>
  <si>
    <t>РУССКО – АНГЛО – КАЗАХСКИЙ ТЕХНИЧЕСКИЙ СЛОВАРЬ
  1 том</t>
  </si>
  <si>
    <t>для всех тех спец</t>
  </si>
  <si>
    <t>The dictionary is common for the technical specialties of textile and light industry, covering the terminology of all its major industries, as well as partially in contact with the terminology of theoretical disciplines. In accordance with the limited volume of the publication, the most common terms are given for each of the branches of technology. The dictionary is the embodiment of a large-scale idea of the team of authors and includes a qualitative attempt to enrich the trilingual lexicography.
 Trilingual dictionary includes the basic concepts and definitions, the study of lecture materials and the implementation of practical, laboratory work in this specialty. You will learn the basic skills of decoration of clothes, the theoretical foundations of design, costume modeling, elements, tools and patterns of artistic and graphic composition, the stages of creative, design and technological process, the use of creative sources in modeling, as well as modern trends and fashion trends.
  In the modern dictionary industry, which is characterized by an abundance and variety of genres of products, trilingual dictionaries are more traditional type of lexicographical publications than innovative: they are addressed to a wide range of users, have an applied purpose and contain operational data for a variety of tasks. Словарь является общим для технических специальностей текстильной и легкой промышленности, охватывая терминологию всех ее основных отраслей, а также частично соприкасаясь с терминологией теоретических дисциплин. В соответствии с ограниченным объемом издания, наиболее общие термины приведены для каждой из отраслей техники. Словарь является воплощением масштабной идеи коллектива авторов и включает в себя качественную попытку обогатить трехъязычную лексикографию.
 Трехъязычный словарь включает в себя Основные понятия и определения, изучение лекционных материалов и выполнение практических, лабораторных работ по данной специальности. Вы узнаете основные навыки декорирования одежды, теоретические основы дизайна, моделирования костюма, элементы, инструменты и узоры художественно-графической композиции, этапы творческого, конструкторского и технологического процесса, использование творческих источников в моделировании, а также современные тенденции и тенденции моды.</t>
  </si>
  <si>
    <t>0000063</t>
  </si>
  <si>
    <t>РУССКО – АНГЛО – КАЗАХСКИЙ ТЕХНИЧЕСКИЙ СЛОВАРЬ 2 том</t>
  </si>
  <si>
    <t>0000064</t>
  </si>
  <si>
    <t>РУССКО – АНГЛО – КАЗАХСКИЙ ТЕХНИЧЕСКИЙ СЛОВАРЬ
  3 том</t>
  </si>
  <si>
    <t>0000065</t>
  </si>
  <si>
    <t>Kamenova M., Turekulova D./Турекулова/, Omarova A.</t>
  </si>
  <si>
    <t>Marketing</t>
  </si>
  <si>
    <t>Transition of economy of Kazakhstan to the market relations demands the experts of new thinking, who are adapted to work in the competitive environment.In this textbook, the complex of questions concerning system of modern marketing is taken up, the functions, which are carried out by marketing specialists, are considered: complex market research, studying and forecasting of a market demand, formation of the commodity range, establishment of goods and services prices, organization of sales, advertising activity, ways and methods of implementation of public relations and etc. The textbook contains material on program questions and tasks for independent work for students on each section.</t>
  </si>
  <si>
    <t>0000066</t>
  </si>
  <si>
    <t>Kantureyeva G.O.</t>
  </si>
  <si>
    <t>COMPLETE LECTURES
 On discipline «Safety of processing productions»</t>
  </si>
  <si>
    <t>Лекции</t>
  </si>
  <si>
    <t>Пищевая инженерия</t>
  </si>
  <si>
    <t>Полные лекции по дисциплине «Безопасность перерабатывающих производств» предназначены для студентов специальности 5В072800 «Технология перерабатывающих производств». -Authors: Kantureyeva G.O.
 Complete lectures on discipline «Safety of processing productions » are intended for the students of specialty 5B072800 "Technology of processing productions ". - 
 Complete lectures are composed according to standard program and working syllabus of discipline «Safety of processing productions» and include results of training in the University Padova (Italy), department DAFNAE.
 Complete lectures are developed for the students of specialty 5B072800 "Technology of processing productions".</t>
  </si>
  <si>
    <t>0000068</t>
  </si>
  <si>
    <t>Kenzhebai R.N., Amanbaeva M.A / Кенжебай Р.Н.</t>
  </si>
  <si>
    <t>Research methods in geography</t>
  </si>
  <si>
    <t>География</t>
  </si>
  <si>
    <t>"Research methods in geography" is one of the elective subjects taught in the preparation of undergraduates. The training manual is designed according to the program of postgraduate education on the basis of the state general education standard. The textbook provides a brief overview of lectures, plans, questions of approval of a master's degree, terms and literature. This course is an important subject for geographical education, especially for undergraduates in the field of scientific and pedagogical sciences. The aim of the discipline is to provide graduate students with a deeper understanding of the traditional and modern methods of studying physical and socio-economic geography. /"Методы исследования в географии" является одним из факультативных предметов, преподаваемых при подготовке магистрантов. Учебное пособие разработано в соответствии с программой послевузовского образования на основе государственного общего образовательного стандарта. В учебнике дается краткий обзор лекций, планов, вопросов утверждения магистерской степени, терминов и литературы. Этот курс является важным предметом для географического образования, особенно для магистрантов в области научных и педагогических наук. Цель дисциплины-дать аспирантам более глубокое понимание традиционных и современных методов изучения физической и социально-экономической географии.</t>
  </si>
  <si>
    <t>0000069</t>
  </si>
  <si>
    <t>Khasanov M. Sh./ Хасанов /, Petrova V.F., Shaidulina D.R.</t>
  </si>
  <si>
    <t>Philosophy of Kazakh Civilization (History, Theory, Practice)</t>
  </si>
  <si>
    <t>The book considers the problems of Kazakh civilization formation. Creation myths, yurt and animals symbolism, numerical harmony of the world, customs and traditions of the Kazakh people are analyzed. Al-Farabi’s (the Second teacher of mankind) creative legacy and his influence on the development of medieval philosophy of East and West are revealed. The authors disclose philosophical aspects of improvised singers’ creativity, the classics of the Kazakh Enlightenment, socio-philosophical, socio-political and ethic-humanistic views of Kazakh writers and poets of the late XIX - first half of the twentieth century. Special attention is paid to social and cultural changes of Kazakh civilization, which occurred during the years of gaining independence. It is shown that the definition of civil, national identity, consolidating values, that unite Kazakh society play an important role in development strategy elaboration. The publication is designed for bachelors, undergraduates, doctoral students, teachers of educational institutions and a wide range of readers</t>
  </si>
  <si>
    <t>0000070</t>
  </si>
  <si>
    <t>Khasanov M.Sh. /Хасанов М.Ш./ , Petrova V.F.</t>
  </si>
  <si>
    <t>History and Philosophy of Science</t>
  </si>
  <si>
    <t>История</t>
  </si>
  <si>
    <t>The textbook History and Philosophy of Science introduces the reader to the history and philosophy of science; it traces their development, discusses their acute problems as well as the principles and methods of scientific inquiry. Additionally, the textbook deals with such topics as the structure and models of development of science within culture, the scientific revolutions, empirical and theoretical levels of science. The textbook is based on the writings of philosophers of science from Kazakhstan and abroad. The material of the textbook is designed as the aid during the preparation for lectures and seminars, or completing the assignments for the “Student’s Independent Work” and revision prior the mid-term and end-term evaluations as well as the final examinations</t>
  </si>
  <si>
    <t>0000071</t>
  </si>
  <si>
    <t>Khasanov M.Sh./Хасанов М.Ш./ , V.F. Petrova</t>
  </si>
  <si>
    <t>Philosophy</t>
  </si>
  <si>
    <t>This Philosophy textbook is based on the model syllabus for all Bachelor’s degree specialisations in accordance with the model curriculum approved by Order No. 343 dated 16 August 2013 issued by the Ministry of Education and Science of the Republic of Kazakhstan (the “RK MES”). The syllabus was reviewed and approved by the meeting of the Republic’s Education and Training Methodology Board of 17 January 2014, Minutes No. 1. The textbook introduces the reader to the history of the development of the non-material culture of mankind and world’s philosophical thought on understanding of universal problems of human existence and society, history and politics, culture and education, the theory of dialectics and epistemology, technology and global problems of our time. The textbook material is aimed at helping the reader to prepare for lectures and seminars, to complete individual student assignments and to prepare for mid-term tests and examinations and answers to test questions</t>
  </si>
  <si>
    <t>0000072</t>
  </si>
  <si>
    <t>Kintonova A. Zh. / Кинтонова А.Ж</t>
  </si>
  <si>
    <t>Optimization of business process</t>
  </si>
  <si>
    <t>информационные технологий</t>
  </si>
  <si>
    <t>The monograph is dedicated to the problem of optimization of business process. This monograph reviews and gives examples of criteria and indicators of business process efficiency, overlook of methodology for business process optimization, short description of modeling tools, brief review of XML-based languages for business process modeling.
 This monograph gives an example of practical implementation of improvement of the business process of accounting department based on implementation of target model of the mining enterprise.</t>
  </si>
  <si>
    <t>0000073</t>
  </si>
  <si>
    <t>Kopbalina K.B., Smirnov Yu.M., Mazhenovв N.A.,/ Копбалина К.Б., Смирнов Ю.М., Маженов Н.А.</t>
  </si>
  <si>
    <t>The Basics of Classical Mechanics</t>
  </si>
  <si>
    <t>Физика</t>
  </si>
  <si>
    <t>The manual is intended for undergraduate students of all technical specialties. The material of the manual can be used by students in the study of a theoretical course in physics and in preparation for practical and laboratory studies. It can be used for independent study of the subject by native English students studying in technical universities of the Republic of Kazakhstan.Пособие предназначено для студентов бакалавриата всех технических специальностей. Материал пособия может быть использован студентами при изучении теоретического курса физики и при подготовке к практическим и лабораторным занятиям. Он может быть использован для самостоятельного изучения предмета студентами-носителями английского языка, обучающимися в технических вузах Республики Казахстан.</t>
  </si>
  <si>
    <t>0000075</t>
  </si>
  <si>
    <t>KukeyevA.K./ Кукеев А.К.</t>
  </si>
  <si>
    <t>Fundamentals of law practicum</t>
  </si>
  <si>
    <t>Educational- metodical manual</t>
  </si>
  <si>
    <t>Юридический</t>
  </si>
  <si>
    <t>The educational-methodical manual presents the most important theoretical propositions on the basic branches of the legal system of the Republic of Kazakhstan, as well as: materials for practical exercises, questions and tests to check the knowledge of students, lists of the necessary literature, including regulations, comments, textbooks and manuals, links to Internet sites that contain relevant information. The manual also includes a reference for practical lessons, essays topics, reports and essays. It includes tasks (the situation), the solution of which will contribute to the development of students as part of the course the basic legal knowledge is required not only to pass exams, but in any field.
 The educational-methodical manual is intended for students of non-legal professions.</t>
  </si>
  <si>
    <t>0000076</t>
  </si>
  <si>
    <t>Kunanbayeva Yairakhan (Кунанбаева Яйрахан Бекайдаровна)</t>
  </si>
  <si>
    <t>Lecture notes on discipline «Construction machines and equipment»</t>
  </si>
  <si>
    <t>Учебно-методическое пособие</t>
  </si>
  <si>
    <t>Конспект лекций «Строительные машины и оборудование» Lecture notes are compiled in accordance with the requirements of the curriculum and the program of the discipline "Construction machines and equipment" and includes all the necessary information on the course.
 Information is provided for solving problems in machines and equipment used in the construction of underground, aboveground parts of buildings, as well as questions on the choice of vehicles.
 Конспект лекций составляется в соответствии с требованиями учебной программы и программы дисциплины «Строительные машины и оборудование» и включает в себя всю необходимую информацию о курсе.
 Информация предоставляется для решения задач по машинам и оборудованию, применяемым при возведении подземных, надземных частей зданий, а также вопросов по выбору транспортных средств</t>
  </si>
  <si>
    <t>0000078</t>
  </si>
  <si>
    <t>Levitsky Zh. G., Nurgaliyeva А.D., Khalikova E.R. /Халикова Э.Р./</t>
  </si>
  <si>
    <t>Ventilation networks analysis synthesis control</t>
  </si>
  <si>
    <t>БЖД</t>
  </si>
  <si>
    <t>The monograph examines the issues of force interaction of air flows in ventilation systems and gives general characteristics of aerodynamic resistance of ventilation ducts of various shape and purpose. We considered the friction pressure loss and local resistance pressure loss and gave necessary information about the sources of draught and its joint work in ventilation networks. Particular attention is paid to the problem of building analogues simulating ventilation systems with disrupted aerodynamic ties, analyzing interconnectivity of air flows in complex ventilation networks and assessing the impact of regulators on ventilation airflows.The book is intended for employees of industrial safety departments, engineering technicians of mining companies, researchers and doctoral students specializing in ventilation and university students taking courses of industrial ventilation and mining aerology</t>
  </si>
  <si>
    <t>0000080</t>
  </si>
  <si>
    <t>Madenova A.A., Bekmoldayeva R.B.</t>
  </si>
  <si>
    <t>Mathematical logic and Discrete Math</t>
  </si>
  <si>
    <t>This book in intended for students of mathematics and mathematics teachers. The book contains theoretical materials of discrete math and mathematical logic. Also, given tasks with decisions and tasts for independent work.</t>
  </si>
  <si>
    <t>0000081</t>
  </si>
  <si>
    <t>Mamekova S., Kurbanbayeva S./ Мамекова С.</t>
  </si>
  <si>
    <t>Radio engineering, electronics and telecommunications specialty</t>
  </si>
  <si>
    <t>Радиотехника, электроника и телекоммуникации</t>
  </si>
  <si>
    <t>The Training aid was developed in accordance with the requirements of State Educational Standards for specialties and curriculum of the given discipline. This instruction comprises all necessary information on themes performance for practical lessons of the course. 
 The Training aid is intended for students of the 2nd course of 5В071900- Radio engineering, electronics and telecommunications speciality studying English language. All lessons include short texts, exercises for consolidation material and lexics.
 The Training aid is intended for the 2nd course students of the technical specialties. / Учебное пособие разработано в соответствии с требованиями государственных образовательных стандартов по специальностям и учебным планом данной дисциплины. Данная инструкция содержит всю необходимую информацию по выполнению тем для практических занятий курса. 
 Учебное пособие предназначено для студентов 2 курса специальности 5.071900-Радиотехника, электроника и телекоммуникации, изучающих английский язык. Все занятия включают в себя короткие тексты, упражнения на закрепление материала и лексику.
 Учебное пособие предназначено для студентов 2 курса технических специальностей.</t>
  </si>
  <si>
    <t>0000082</t>
  </si>
  <si>
    <t>Mamekova S.K., Omarov B.A., Yesimkhanova N.A/ Мамекова С.К., Омаров Б.А., Есимханова Н.А.,</t>
  </si>
  <si>
    <t>Methodical instructions on professionally oriented foreign language</t>
  </si>
  <si>
    <t>методические указания</t>
  </si>
  <si>
    <t>Механика. Транспорт</t>
  </si>
  <si>
    <t>A methodical instruction for the practical lessons of the 5В090100- «Transportation and traffic organization and transport operation» specialty is developed in accordance with the requirements of State Educational Standards for specialties and curriculum of the given discipline. This Methodical instruction comprises all necessary information on performance of the course themes. / Методическое пособие к практическим занятиям по специальности 5Д090100- «Организация перевозок и эксплуатации транспорта» разработано в соответствии с требованиями государственных образовательных стандартов по специальностям и учебным планом данной дисциплины. Данная методическая инструкция содержит всю необходимую информацию по выполнению тем курса.</t>
  </si>
  <si>
    <t>0000084</t>
  </si>
  <si>
    <t>Meiramova S.A. /Мейрамова С. А./, Farok bin Zakaria, Akylbayeva A.G., Kozhakhmetova G.A., Matthew Bennett Scott, Maxyutova A.F., Alshinbayeva Zh.K., Mussagozhina K.K., Shaibakova D.D.</t>
  </si>
  <si>
    <t>Profession-oriented English for Agriculture, Science and Technology: Workbook</t>
  </si>
  <si>
    <t>Workbook</t>
  </si>
  <si>
    <t>Земельные ресурсы, кадастр</t>
  </si>
  <si>
    <t>Workbook of the textbook “Profession-oriented English for Agriculture, Science and Technology” is specially designed for students of multilingual education at the intermediate/upper-intermediate level who want to use their English for international communication in professional contexts. The Purpose of Workbook is to empower students with the language and life skills they need to carry out their career goals. To this end, it provides ample opportunities for students to build awareness and practice the language in real-life situations using the TBLT approach.</t>
  </si>
  <si>
    <t>0000085</t>
  </si>
  <si>
    <t>Profession-oriented English for Agriculture, Science and Technology: Teachers’ book</t>
  </si>
  <si>
    <t>Teachers’ book</t>
  </si>
  <si>
    <t>The Purpose of Teachers’ Book of the textbook “Profession-oriented English for Agriculture, Science and Technology” is to provide teachers with the instructions and advice of how to work with the collected authentic materials and designed tasks and assignments in the context of TBLT approach given in Student’s book and Workbook to motivate and engage students into the meaningful interaction and communication within academic professional environment</t>
  </si>
  <si>
    <t>0000086</t>
  </si>
  <si>
    <t>Profession-oriented English for Agriculture, Science and Technology: Students’ book</t>
  </si>
  <si>
    <t>Students’ book</t>
  </si>
  <si>
    <t>Students’ Book of the textbook “Profession-oriented English for Agriculture, Science and Technology” is specially designed for students of multilingual education at the intermediate/upper-intermediate level who want to use their English for international communication in professional contexts. The Purpose of Students’ Book is to empower students with the language and life skills they need to carry out their career goals. To this end, it provides ample opportunities for students to build awareness and practice the language in real-life situations using the TBLT approach.</t>
  </si>
  <si>
    <t>0000087</t>
  </si>
  <si>
    <t>Minayeva Ye.V/Минаева Е. В.</t>
  </si>
  <si>
    <t>Organic Chemistry</t>
  </si>
  <si>
    <t>This textbook is designed for students and master students of chemical and biological specialties. The textbook covers such topics as hydrocarbons and their functional derivatives, proteins, lipids, carbohydrates, and heterocycles, stereochemistry, addition, substitution and elimination reactions, radical reactions, as well as the synthesis and chemical transformation of organic molecules. This textbook will provide students and master students with a strong foundation in organic chemistry and exposure to cutting-edge research</t>
  </si>
  <si>
    <t>0000088</t>
  </si>
  <si>
    <t>Musayev J.S., Makhmetova N.M./Мусаев Ж.С.</t>
  </si>
  <si>
    <t>Effect of nonlinear effects on the stressed-deformed state of the earthweight railway train</t>
  </si>
  <si>
    <t>Monograph</t>
  </si>
  <si>
    <t>транспорт/ЖД</t>
  </si>
  <si>
    <t>The monograph discusses the solution of an actual scientific problem on the development of mechanical and mathematical design models of a soil massif on the basis of a variational formulation of nonlinear finite element analysis. On the basis of physical and mathematical discretization, a computational model of a layered inhomogeneous soil massif, which adequately reflects the specifics of its real deformation while simultaneously taking into account physical and geometric nonlinearities, is proposed and proposed. An efficient computational algorithm has been developed for solving static elastic and elastic-plastic problems as applied to the earth bed-foundation system, based on the equations of Hooke’s generalized law for anisotropic soil mass and flow theory subject to von Mises flowing, taking into account geometric nonlinearity. Based on the iteration method in the subspace, an efficient algorithm has been developed using the stiffness matrix of the system with geometric nonlinearity, which allows determining the amplitude-frequency characteristics of free vibrations of the earthing base system with high accuracy and ensuring fast convergence of the iterative process. The idea of the method is based on the Jacobi algorithm scheme and properties of Sturm sequences.
 The monograph is intended for undergraduates and doctoral students of the following specialties: “Transport Construction”, “Transport, Transportation Equipment and Technologies” and “Organization of Transportation, Traffic and Transport Operation”, as well as for employees of research and design organizations./
 В монографии обсуждается решение актуальной научной задачи по разработке моделей механического и математического проектирования почвенного массива на основе вариационной постановки нелинейного анализа методом конечных элементов. На основе физико-математической дискретизации предложена и предложена вычислительная модель слоисто-неоднородного почвенного массива, которая адекватно отражает особенности его реальной деформации при одновременном учете физических и геометрических нелинейностей. Разработан эффективный вычислительный алгоритм для решения статических упругих и упруго-пластических задач применительно к системе фундамента грунтового основания, основанный на уравнениях обобщенного закона Гука для анизотропной массы грунта и теории потока с учетом потока Мизеса с учетом геометрическая нелинейность. На основе итерационного метода в подпространстве разработан эффективный алгоритм с использованием матрицы жесткости системы с геометрической нелинейностью, который позволяет с высокой точностью определять амплитудно-частотные характеристики свободных колебаний базовой системы заземления и обеспечивать быструю сходимость итерационный процесс. Идея метода основана на схеме алгоритма Якоби и свойствах последовательностей Штурма.
 Монография предназначена для студентов и докторантов следующих специальностей: «Транспортное строительство», «Транспорт, транспортное оборудование и технологии» и «Организация перевозок, движения и эксплуатации транспорта», а также для сотрудников научно-исследовательских и проектных организаций</t>
  </si>
  <si>
    <t>0000089</t>
  </si>
  <si>
    <t>Mussina A.A., V.N. Kazagachev/Мусина А.А., Казагачев В.Н.</t>
  </si>
  <si>
    <t>Numerical methods</t>
  </si>
  <si>
    <t>В курсе «Numerical Methods» изучаются основные сведения о численных методах. Студенты знакомятся с положениями теории погрешностей, изучают численные методы решения нелинейных уравнений, систем линейных уравнений, понятия об аппроксимации функций, методы численного дифференцирования и интегрирования, а также методы решения дифференциальных уравнений.
 Дисциплина «Numerical Methods» призвана подготовить студентов к реализации с помощью ЭВМ вычислительных алгоритмов решения математических задач, возникающих в процессе познания и использования в практической деятельности законов реального мира, посредством математического моделирования.
  Основной задачей преподавания дисциплины является выработка навыков выбора вычислительных алгоритмов, умения эффективной реализации его на ЭВМ, качественного и количественного анализа полученных результатов. Специфика преподавания дисциплины «Numerical Methods» для студентов специальности 5В011100 «Информатика» заключается в тесной взаимосвязи вопросов численной реализации алгоритмов на ЭВМ со специальными дисциплинами по информатике, в рамках которых студенты изучают современное математическое обеспечение ЭВМ, основы программирования и методы разработки, тестирования, отладки и анализа программ.</t>
  </si>
  <si>
    <t>0000090</t>
  </si>
  <si>
    <t>англ.</t>
  </si>
  <si>
    <t>Muzdybayeva T.K. (Муздыбаева Т. К.)</t>
  </si>
  <si>
    <t>Geosynthetic Reinforcement of the Agrregate Base</t>
  </si>
  <si>
    <t>Архитект.-строит. Транспортно-дорожн.</t>
  </si>
  <si>
    <t>The monographie «Geosynthetic Reinforcement of the Agrregate Base » write about in road construction, geosynthetic materials are used for slopes of increased steepness, retaining walls, reinforcement of the bases of road embankments, separation of structural layers of pavement, etc. When constructing slopes of increased steepness and when reinforcing a road base or other reinforced soil structures, high-strength geogrids, geo-fabrics, and also voluminous geogrids are used as reinforcing materials. The technology of using these materials provides significant economic benefits in comparison with traditional methods, such as the construction of concrete retaining walls, sheet piling, soil replacement (during construction on weak bases). They are also used as construction tools to reduce construction time and costs.</t>
  </si>
  <si>
    <t>0000092</t>
  </si>
  <si>
    <t>Nurmanbetova J., Nysanbayev A.</t>
  </si>
  <si>
    <t>Thinkers of the great steppe: spiritual sources of the kazakh philosophy</t>
  </si>
  <si>
    <t>The book considers historical precondition of modern intercultural dialogue, reveals the role of philosophy in the dialogue of cultures of the East and West, analyzes features of Islamic philosophy in the countries of Central Asia. Special attention is given to the problem of spiritual development of the person under the conditions of globalization. The paper analyzes various interpretations of the concept “civilization”, correlation of the world system and civilization approaches, gives critical analysis of S. Huntigton’s theory of civilization clash, discusses social philosophical, political, spiritual and cultural problems of the constructive dialogue of civilization in the modern word. The book is intended for high schools students and teachers and also for a wide range of readers.</t>
  </si>
  <si>
    <t>0000093</t>
  </si>
  <si>
    <t>Nurmukhankyzy D., Alipbayeva A.A., Metiyeva O.S.</t>
  </si>
  <si>
    <t>Professional English for lawyers</t>
  </si>
  <si>
    <t>This textbook presents a practical course of professional English language for students of legal professions. The main goal of the course is to develop and form foreign language and intercultural communicative competence necessary for professional dialogue in the future field of activity. This practical course will help future professionals to acquire basic conceptual and categorical apparatus in certain spheres of their activity and corresponding systems of terms, features of text structural organization will form basic skills for successful business communication in a foreign language</t>
  </si>
  <si>
    <t>0000095</t>
  </si>
  <si>
    <t>Olеsуа Kosulinа
 Sholpаn Dаurеnbеkovа
 Bеrikzhаn Oksikbауеv</t>
  </si>
  <si>
    <t>Plant physiology</t>
  </si>
  <si>
    <t>Настоящее учебное пособие по физиологии растений на английском языке составлено в соответствии с типовой рабочей программой для студентов полиязычных групп естественно-технического факультета университета. Оно предназначено для экономии времени студентов и оптимизации их практической работы.</t>
  </si>
  <si>
    <t>0000096</t>
  </si>
  <si>
    <t>англ. Рус.</t>
  </si>
  <si>
    <t>Orymbetova G., D. Sabyrhanov, Zh. Serikuly, S. Кumisbekov</t>
  </si>
  <si>
    <t>Food and biologically active additives of processing production/ Пищевые и биологически активные добавки перерабатывающего производства</t>
  </si>
  <si>
    <t>Study guide</t>
  </si>
  <si>
    <t>Application of food additives in the production of various food products. Attention is paid to the safety aspects of the establishment of the procedure of food additives, the characteristic of their different functional classes. Presented information concerning the legal and regulatory framework, as well as the classification of dietary supplements. Present material on the value of the latter in the power correction and human health. Consider the state control over the production and sale of dietary supplements, given the requirements for their implementation. The materials of these guide are interest to university students enrolled in the respective specialties, and also well as for professionals, sales staff.
 Study guide is intended for the students of speciality 5В072800 - Technology of food processing./Применение пищевых добавок в производстве различных пищевых продуктов. Особое внимание уделено аспектам безопасности процесса установления пищевых добавок, характеристике их различных функциональных классов. Представлена информация, касающаяся нормативно-правовой базы, а также классификации БАДов. Представлен материал о значении последних в силовой коррекции и здоровье человека. Рассмотрим государственный контроль за производством и реализацией БАДов, учитывая требования к их реализации. Материалы данного руководства представляют интерес для студентов вузов, обучающихся по соответствующим специальностям,а также для специалистов, торгового персонала.
 Учебное пособие предназначено для студентов специальности 5В072800 - технология обработки пищевых продуктов.</t>
  </si>
  <si>
    <t>0000097</t>
  </si>
  <si>
    <t>Ospanov К. N./ Оспанов К. Н.</t>
  </si>
  <si>
    <t>Singular differential and difference equations</t>
  </si>
  <si>
    <t>математика, физика,педагогика</t>
  </si>
  <si>
    <t>The book is devoted to the differential equations given on the real-axis and infinite difference systems, which are their discrete analogues. Methods for obtaining the solvability conditions and coercive estimates of solutions are given. One of the features of the considered equations and systems is that their intermediate coefficients grow rapidly.
 The book is intended for researchers, senior students, undergraduates and doctoral students of mathematical and physical specialties of universities.
 It is published by the decision of the Academic Council of L.N. Gumilyov Eurasian national university. Prot. No. 9, January 30, 2020.</t>
  </si>
  <si>
    <t>0000099</t>
  </si>
  <si>
    <t>Rskeldiyev B A, Shingissov A.U., Khamitova B.M., Erkebayeva S.U., Tastemirova U.U. /Рскельдиев Б.А., Шингисов А.У., Хамитова Б.М., Еркебаева С.У., Тастемирова У.У.</t>
  </si>
  <si>
    <t>The production technology of functional food products from raw materials of plant and animal origin</t>
  </si>
  <si>
    <t>Study guide provides general information about the composition of plant and animal products. Physical and chemical properties, methods of quality assessment and classification of production of plant and animal products are considered. The well-known technologies of production of products of vegetable and animal raw materials are given: bakery products, gra
 pe wines, juice, milk, ice cream and cheese. The training manual also sets out the technology of production of new products of plant and animal raw materials: sand and jigging cookies, ice cream from mare's milk and meat and meat products for functional purposes.
  Studyguide is intended for students of specialty 5B072700 – Technology of food products and 5B072800-Technology of processing production, and may be useful for teachers and practitioners./Учебное пособие содержит общую информацию о составе растительных и животных продуктов. Рассмотрены физико-химические свойства, методы оценки качества и классификации продукции растениеводства и животноводства. Приведены известные технологии производства изделий из растительного и животного сырья: хлебобулочных изделий, Гра гороховые вина, сок, молоко, мороженое и сыр. В учебном пособии также изложена технология производства новых продуктов из растительного и животного сырья: песочного и отсадочного печенья, мороженого из кобыльего молока и мяса и мясопродуктов функционального назначения. Учебное пособие предназначено для студентов специальности 5В072700-Технология пищевых продуктов и 5В072800-технология перерабатывающего производства,и может быть полезно преподавателям и практикам.</t>
  </si>
  <si>
    <t>0000100</t>
  </si>
  <si>
    <t>SabyrkhanovaS.Sh./Сабырханова С. Ш.</t>
  </si>
  <si>
    <t>Lecture notes to the study of discipline "History of suit and fashion" for specialty on 5B072600 – “Technology and construction of light industry products”</t>
  </si>
  <si>
    <t>Текстиль</t>
  </si>
  <si>
    <t>КОНСПЕКТ ЛЕКЦИЙ по дисциплине «История костюма и моды» Конспект лекций написан в соответствии с учебной программой и предназначен для студентов высших учебных заведений, обучающихся по специальности 5В072600 - «Технология и конструирование изделий легкой промышленности». Он призван закрепить и углубить теоретические знания, полученные студентами, а также получить практические навыки в развитии творческого мышления, участвующего в создании одежды, которая должна быть хорошо ориентирована в вопросах моды и стиля. Содержание обучения взаимосвязано Итак, конечная цель - формирование качеств специалиста, обуславливающих интеграцию профессиональных и социальных знаний в швейную отрасль и выбор оптимальных методов и средств обучения.
 по специальности - 5В072600 «Технология и конструирование изделий легкой промышленности».</t>
  </si>
  <si>
    <t>0000101</t>
  </si>
  <si>
    <t>апг</t>
  </si>
  <si>
    <t>History of suit and fashion</t>
  </si>
  <si>
    <t>Educational and methodical manual</t>
  </si>
  <si>
    <t>The educational and methodical manual is written in accordance with the curriculum and is intended for students of higher educational institutions trained on a speciality 5B072600 –"Technology and construction of light industry products". In the educational and methodical manual set out the purpose, objectives, content, practical and independent work, as well as control questions to test the knowledge of students and requirements to execute the work.Учебно-методическое пособие написано в соответствии с учебной программой и предназначено для студентов высших учебных заведений, обучающихся по специальности 5В072600 - «Технология и конструирование изделий легкой промышленности». В учебно-методическом пособии изложены цель, задачи, содержание практической и самостоятельной работы, а также контрольные вопросы для проверки знаний учащихся и требования к выполнению работы.</t>
  </si>
  <si>
    <t>0000102</t>
  </si>
  <si>
    <t>Engineering science of sewing production</t>
  </si>
  <si>
    <t>The educational and methodical manual for executing practical classes on the discipline "Engineering science of sewing production", for the specialty – 5B072600 "Technology and construction of light industry products" A practical workshop designed in accordance with the requirements of the curriculum and program of the discipline "Engineering of sewing production" and includes all the necessary information for the implementation of the practical classes that allow a deep and detailed study of the most difficult sections of the course, and to instill in students the skills of independent scientific work.Practical workshop consists of 15 practical topics, designed for training 2 hours on each topic.Учебно-методическое пособие для проведения практических занятий по дисциплине «Технические науки швейного производства», по специальности - 5В072600 «Технология и конструкция изделий легкой промышленности». Практическое занятие, разработанное в соответствии с требованиями учебной программы и программы По дисциплине «Техника швейного производства» и включает в себя всю необходимую информацию для реализации практических занятий, которые позволяют глубоко и детально изучить самые сложные разделы курса, а также привить студентам навыки самостоятельной научной работы. Практическая мастерская состоит из 15 практических тем, рассчитанных на 2 часа занятий по каждой теме.</t>
  </si>
  <si>
    <t>0000103</t>
  </si>
  <si>
    <t>Content and language integrated learning</t>
  </si>
  <si>
    <t>The educational and methodical manual on discipline "Content and language integrated learning" is written in accordance with the curriculum and is intended for students of higher educational institutions trained on a speciality 5B072600 –"Technology and construction of light industry products". It designed to consolidate and deepen the theoretical knowledge gained by students, as well as to obtain practical skills in the development of creative thinking. Educational and methodical manual on discipline "Content and language integrated learning" should prepare the student for the exam and create his fundamental basis for further study of special courses. include various forms of carrying out of independent work of students, which allow a deep and detailed study of the most difficult sections of the course, and to instill in students the skills of independent, creative work.The content of training is interconnected, so the ultimate goal-the formation of the qualities of a specialist, causes the integration of professional and social knowledge in the garment industry and the choice of optimal methods and means of training.
 Учебно-методическое пособие по дисциплине «Содержание и языковое интегрированное обучение» написано в соответствии с учебной программой и предназначено для студентов высших учебных заведений, обучающихся по специальности 5В072600 - «Технология и конструирование изделий легкой промышленности». Он призван закрепить и углубить теоретические знания, полученные студентами, а также получить практические навыки в развитии творческого мышления. Учебно-методическое пособие по дисциплине «Содержание и языковое интегрированное обучение» должно подготовить студента к экзамену и создать его фундаментальную основу для дальнейшего изучения специальных курсов. включают в себя различные формы проведения самостоятельной работы студентов, которые позволяют глубоко и детально изучить самые сложные разделы курса, а также привить студентам навыки самостоятельной, творческой работы. Содержание обучения взаимосвязано, поэтому Конечная цель - формирование качеств специалиста, обусловливает интеграцию профессиональных и социальных знаний в швейную отрасль и выбор оптимальных методов и средств обучения.</t>
  </si>
  <si>
    <t>0000104</t>
  </si>
  <si>
    <t>Saktaganova I.S. (Сактаганова И.С.)</t>
  </si>
  <si>
    <t>Legal basis of budget control of the Republic of Kazakhstan</t>
  </si>
  <si>
    <t>/ Правовые основы бюджетного контроля Республики Казахстан/ В данной монографии рассматриваются основы теоретического и правового планирования государственного бюджета и разъясняются понятие института бюджетного планирования, его принципы и экономическое содержание, а также правовой статус органов, осуществляющих бюджетное планирование Республики Казахстан, а также особенности бюджетного планирования в зарубежных странах. Монография предназначена для студентов высших юридических учебных заведений и факультетов, магистрантов и преподавателей, а также сотрудников финансовых органов, органов государственной власти, юристов-практиков, экономистов и предпринимателей заинтересованных в изучении правовых основ бюджетного планирования Республики Казахстан.</t>
  </si>
  <si>
    <t>0000105</t>
  </si>
  <si>
    <t>Saktaganova I.S. / Сактаганова И.С.</t>
  </si>
  <si>
    <t>State and legal views M.Kh. Dulati</t>
  </si>
  <si>
    <t>В монографии "Государственно-правовые взгляды М.Х. Дулати" рассматриваются основы государственно-правовых взглядов М.Х. Дулати с научной точки зрения, что позволяет восполнить пробелы в вопросах теории и истории государства и права, по которым не проводились углубленные исследования, и предлагается качественное решение сложных вопросов, касающихся функционирования государства и эффективности системы управления, а также места и роли права в них. Проведен анализ методологии исследования с научно-теоретической точки зрения, места и значения темы исследования в структуре учений о государстве и праве, теоретические и практические аспекты реализации содержания и результатов исследования, а также сформированы предложения, направленные на удовлетворение соответствующего практического спроса. Научное исследование предлагается вниманию уполномоченных государственных органов в области высшего и послевузовского образования, а также педагогических и научных работников, проводящих изыскания в данной области.</t>
  </si>
  <si>
    <t>0000106</t>
  </si>
  <si>
    <t>Saktaganova I.S. /Сактаганова И.С.</t>
  </si>
  <si>
    <t>Legal foundations of budget planning of the Republic of Kazakhstan</t>
  </si>
  <si>
    <t>/ Правовое регулирование бюджетного планирования Республики Казахстан/. В учебном пособии рассматриваются правовые основы государственного бюджетного контроля, разъясняются понятие, история и принципы института бюджетного контроля, дается правовой статус органов, осуществляющих бюджетный контроль в Республике Казахстан, и особенности бюджетного контроля в зарубежных странах. Учебное пособие посвящена читателям, заинтересованным в получении информации по правовому регулированию бюджетного контроля в Республике Казахстан. Предназначен для студентов, магистрантов и преподавателей, а также сотрудников финансовых органов, органов государственной власти, практикующих юристов, экономистов и предпринимателей</t>
  </si>
  <si>
    <t>0000107</t>
  </si>
  <si>
    <t>Sembiyeva L.M., Beisenova L.Z., Shakharova A.E., Nazhmidenov B.T., Temirkhanov Zh.T./ Сембиева Л. М., Бейсенова Л. З., Шахарова А. Е., Нажмиденов Б. Т., Темирханов Ж.Т.,</t>
  </si>
  <si>
    <t>Internal State Audit</t>
  </si>
  <si>
    <t>The textbook contains a systematic presentation of the discipline “Internal State Audit” in the educational program “State Audit”, taking into account the latest changes in this field.
 The presented textbook gives the basics of internal state audit as an important component of the entire state audit..
 All chapters of the manual are accompanied by review questions and self-review tests, allowing students to control the learning process.Recommended for university students, students of the continuing education and retraining system for filling positions in the public service system, as well as financial workers./ Учебное пособие содержит систематизированное изложение дисциплины "внутренний государственный аудит “в образовательной программе” Государственный аудит" с учетом последних изменений в этой области. В представленном учебнике даны основы внутреннего государственного аудита как важной составляющей всего государственного аудита. Все главы пособия сопровождаются обзорными вопросами и тестами самооценки, что позволяет студентам контролировать процесс обучения. Рекомендуется для студентов вузов, слушателей системы непрерывного образования и переподготовки кадров для замещения должностей в системе государственной службы, а также финансовых работников.</t>
  </si>
  <si>
    <t>0000108</t>
  </si>
  <si>
    <t>Sembiyeva L.M., Makysh S.B., Zhagyparova A.O., Zhussupova A.K./Сембиева Л.М., Макыш С. Б., Жагыпарова А. О., Жусупова А.К.,</t>
  </si>
  <si>
    <t>Textbook"Introduction to Finance" for students of economics specialties 1 часть</t>
  </si>
  <si>
    <t>This textbook consists of lecture materials on 15 topics, which cover the main theoretical issues of the topics presented and the actual problems of developing financial relations in Kazakhstan and foreign countries, a separate section presents tasks for self work of students and self-examination of knowledge.
 Recommended for students and master’s students of universities, audience of the system of advanced training and retraining for filling positions in the public service system, as well as financial workers. 
 Данное учебное пособие состоит из лекционных материалов по 15 темам, которые охватывают основные теоретические вопросы представленных тем и актуальные проблемы развития финансовых отношений в Казахстане и зарубежных странах, в отдельном разделе представлены задания для самостоятельной работы студентов и самостоятельной проверки знаний. Рекомендуется для студентов и магистрантов вузов, слушателей системы повышения квалификации и переподготовки кадров для замещения должностей в системе государственной службы, а также финансовых работников.</t>
  </si>
  <si>
    <t>0000109</t>
  </si>
  <si>
    <t>Textbook"Introduction to Finance" for students of economics specialties 2 часть</t>
  </si>
  <si>
    <t>This textbook consists of lecture materials on 15 topics, which cover the main theoretical issues of the topics presented and the actual problems of developing financial relations in Kazakhstan and foreign countries, a separate section presents tasks for self work of students and self-examination of knowledge.
 Recommended for students and master’s students of universities, audience of the system of advanced training and retraining for filling positions in the public service system, as well as financial workers.
 Данное учебное пособие состоит из лекционных материалов по 15 темам, которые охватывают основные теоретические вопросы представленных тем и актуальные проблемы развития финансовых отношений в Казахстане и зарубежных странах, в отдельном разделе представлены задания для самостоятельной работы студентов и самостоятельной проверки знаний.
 Рекомендуется для студентов и магистрантов вузов, слушателей системы повышения квалификации и переподготовки кадров для замещения должностей в системе государственной службы, а также финансовых работников.</t>
  </si>
  <si>
    <t>0000110</t>
  </si>
  <si>
    <t>Shaikhanova A.K., Shangytbayeva G.A., Elubayeva D.D. / Шайханова А.К.</t>
  </si>
  <si>
    <t>Service and Upgrade of the Personal Computer</t>
  </si>
  <si>
    <t>Educational manual</t>
  </si>
  <si>
    <t>Информац. Технологии</t>
  </si>
  <si>
    <t>This educational manual «Service and upgrade of the personal computer» is developed on the basis of curricula in this discipline and includes a description of lectures, practical and laboratory work, quizzes, test items, a glossary and a list of references. Practical and laboratory work using the software of the Windows operating system.
 The purpose of the discipline is the general knowledge of students of architecture of the computer, application software, operating system, networks and telecommunications, computer memory, basic input / output system etc.
 Учебное пособие «Обслуживание и модернизация ПК» разработано на основе учебных планов по данной дисциплине и включает в себя описание лекций, практических и лабораторных работ, тестов, контрольных заданий, глоссарий и список литературы. Практические и лабораторные работы с использованием программного обеспечения операционной системы Windows.
 Целью дисциплины является общее знание студентами архитектуры компьютера, прикладного программного обеспечения, операционной системы, сетей и телекоммуникаций, компьютерной памяти, базовой системы ввода / вывода и т. д.</t>
  </si>
  <si>
    <t>0000113</t>
  </si>
  <si>
    <t>Shalbolova U.Zh., Bajzholova R.A., Egemberdieva S.M., Ryspekova M.O., Rakhmetulina Z.H.(Рахметулина Ж.Б.), Nurmagambetova A.I.</t>
  </si>
  <si>
    <t>Fundamentals of entrepreneurship</t>
  </si>
  <si>
    <t>The textbook gives the main aspects of entrepreneurial activity. The theoretical foundations of entrepreneurship, the ways of organizing their own business, the issues of financing and pricing, the analysis of economic indicators, the stages of preparing a business plan for implementing an entrepreneurial idea are considered. The manual is intended for students of all specialties, as well as for beginning entrepreneurs, as a technique for developing primary financial documents to search for investors in order to implement innovative solutions.</t>
  </si>
  <si>
    <t>0000114</t>
  </si>
  <si>
    <t>Shalgynbayevа K.K., Botabayeva A.E., Мutalieva A.S./ Шалгынбаева К. К., Ботабаева А. Е., Муталиева А. Ш.</t>
  </si>
  <si>
    <t>Ethnopedagogy</t>
  </si>
  <si>
    <t>Тextbook</t>
  </si>
  <si>
    <t>В настоящее время учебное пособие «Этнопедагогика» является актуальным. Пособие предназначено для бакалавров, обучающихся по педагогическим специальностям и подготовлено на основе профессионального стандарта «Педагог» и типовой программе Министерства образования и науки Республики Казахстан. В учебном пособии даны лекционные тексты, контрольные вопросы, задания в форме СРС, глоссарий и тестовые вопросы. Пособие ценно своей направленностью на основе национального воспитания. Учебное пособие может быть использовано преподавателями и студентами, магистрантами высших учебных заведений и читательской аудиторией</t>
  </si>
  <si>
    <t>0000115</t>
  </si>
  <si>
    <t>Shingissov A.U., Alibekov R.S.,Utebayeva A.A., Tastemirova U.U./ Шингисов А.У., Алибеков Р.С., Тастемирова У.У.</t>
  </si>
  <si>
    <t>Low temperature processing of food products</t>
  </si>
  <si>
    <t>In the textbook literary, reference and regulatory-technical data of low-temperature processing of food products are summarized. The composition of food products, their cooling technology processes, freezing and physico-chemical change properties during the cold processing are considered. The textbook contains information about the purpose and design of refrigeration equipment, the physical principles of obtaining low temperatures, the types and cycles of refrigerating machines. The main and auxiliary elements of refrigerating machines and issues of methods for obtaining low temperatures, the basics of calculating the cycles of a refrigerating machine and the selection of refrigeration equipment used in the food industry are given. The materials of the textbook will allow students to become more intelligent and erudite, develop their skills and engineering thinking in the field of low-temperature processing of food products, calculation, design and operation of refrigerating machines for food production, regulation and optimization of their modes of operation during refrigeration processing and food storage. The textbook is designed for Bachelor and Master Students enrolled in the specialties: "Technology of food products" and "Technology of processing productions/ В учебнике обобщены литературные, справочные и нормативно-технические данные низкотемпературной обработки пищевых продуктов. Рассмотрены состав пищевых продуктов, технологические процессы их охлаждения, замораживания и физико-химические изменения свойств при холодной обработке. Учебное пособие содержит сведения о назначении и конструкции холодильного оборудования, физических принципах получения низких температур, типах и циклах работы холодильных машин. Приведены основные и вспомогательные элементы холодильных машин и вопросы методов получения низких температур, основы расчета циклов холодильной машины и выбора холодильного оборудования, используемого в пищевой промышленности.</t>
  </si>
  <si>
    <t>0000116</t>
  </si>
  <si>
    <t>Sholpаn Dаurеnbеkovа Olеsуа Kosulinа 
 Bеrikzhаn Oksikbауеv
 Abdildauly Alem
 Kabdygalieva Sagdana</t>
  </si>
  <si>
    <t>Biochеmistrу</t>
  </si>
  <si>
    <t>Настоящее учебно-методическое пособие по биохимии на английском языке составлено в соответствии с типовой рабочей программой для студентов полиязычных групп естественно-технического факультета университета. Оно предназначено для экономии времени студентов и оптимизации их практической работы.</t>
  </si>
  <si>
    <t>0000117</t>
  </si>
  <si>
    <t>Shoraev B.A.,Saparaliev T.Zh., Kulbay B.S./Шораев Б.А., Сапаралиев Т.Д., Кулбай Б.С.</t>
  </si>
  <si>
    <t>Lecture notes on the discipline "Accounting and reporting in financial organizations" in English for students of economic specialties</t>
  </si>
  <si>
    <t>финансы</t>
  </si>
  <si>
    <t>The manual is made in accordance with the requirements of the curriculum and the program of discipline "Finance" and includes all the necessary information for the lectures.
 The manual is intended for students in "Finance".</t>
  </si>
  <si>
    <t>0000118</t>
  </si>
  <si>
    <t>Shoraev B.A/Шораев Б.А.</t>
  </si>
  <si>
    <t>Finances of foreign countries</t>
  </si>
  <si>
    <t>лекция</t>
  </si>
  <si>
    <t>Lectures drawn up in accordance with the requirements of the curriculum and program of discipline " Finances of foreign countries " and include all necessary information for studying the subject.
  Lectures are intended for students of specialties: 5B050900 "Finance"
  The lectures presented findings and recommendations to the self independent work of students, taking into account the features of the course " Finances of foreign countries " for full-time students. 
 Лекции составляются в соответствии с требованиями учебной программы и программы дисциплины «Финансы зарубежных стран» и включают в себя всю необходимую информацию для изучения предмета.
  Лекции предназначены для студентов специальностей: 5В050900 «Финансы»
  В лекциях были представлены выводы и рекомендации для самостоятельной работы студентов с учетом особенностей курса «Финансы зарубежных стран» для студентов дневной формы обучения.Эти лекции помогают закрепить теоретический материал курса путем овладения современными знаниями в области государственного регулирования различных сфер и секторов социально-экономической жизни тех рыночных условий, которые принципиально необходимы для устойчивого экономического развития Казахстана</t>
  </si>
  <si>
    <t>0000121</t>
  </si>
  <si>
    <t>T. Sh. Assanbayev/Асанбаев Т.Ш.</t>
  </si>
  <si>
    <t>Use of the global gene pool of livestock</t>
  </si>
  <si>
    <t>Ветеринария, Животноводство</t>
  </si>
  <si>
    <t>The problem of preserving the gene pool of flora and fauna occupies a special place among the global problems of human progress. Kazakhstan has the richest genetic resources of various forms of flora and fauna. The vast expanse of pastures and grazing of the republic (187 million hectares) represents a huge potential for breeding a significant number of species and breeds of farm animals with a global gene pool.The study of this discipline gives an idea of ​​the role and significance of the global genetic potential for the qualitative transformation of domestic breeds of agricultural animals, the role of domestic and foreign scientists and specialists in the correct choice and application of the global gene pool in specific economic and regional animal breeding areas.The textbook "Use of the global gene pool of animal" addresses issues related to the conservation of the gene pool of the animal world, both regional and world scale, describes animal breeds bred in Kazakhstan and foreign countries that are of interest to breeders in raising the breeding, productive and adaptive qualities of animals.</t>
  </si>
  <si>
    <t>0000122</t>
  </si>
  <si>
    <t>каз</t>
  </si>
  <si>
    <t>Taубaлдиeвa Ж., Aкхoжин C.A.</t>
  </si>
  <si>
    <t>Хормен жұмыс жүргізу әдістемесінің негіздері</t>
  </si>
  <si>
    <t>оқу құралы</t>
  </si>
  <si>
    <t>Искусство</t>
  </si>
  <si>
    <t>Хopмeн жұмыс жүргізу әдістемесінің негіздері тaқыpыбы бoйыншa жaзылғaн oқу құpaлы ғылымның coңғы жaңaлықтapынa cүйeнe oтыpып бaяндaлып, нeгiзгi хopмeн жұмыс жүргізу әдістемесінің негіздерінің әдic-тәciлдepi жaн-жaқты қaмтылғaн. Oқу құpaлы (мaмaндық 5B010600- « Mузыкaлық бiлiм бepу» cтудeнттepiнe apнaлғaн oқу құpaлы).
 Coнымeн қaтap,cтудeнттepдiң, хopмeн ән aйту apқылы тұлғaлық icкepлiгiн, шығapмaшылығын, кәciби ғылыми құзыpлығын қaмтaмacыз eтугe жaғдaй жacaй oтыpып бoлaшaқ музыкa мұғaлiмдepiн дaяpлaудa iлiмдiк жәнe тәжipибeлiк бipлiгiн қaмтaмacыз eтeдi Ocы oқу құpaлы музыкa мaмндығының cтудeнттepiнe, ғылыми жeтeкшiлepiнe,әдicкep oқытушылapынa, пeдaгoгикaлық oқу-тәpбиe жұмыcтapын өкiзу кeзeңiндe көмeгi тиepi cөзciз.</t>
  </si>
  <si>
    <t>0000125</t>
  </si>
  <si>
    <t>Tungushbayeva D.I., Yesmakhanova K.R., Burgumbayeva S.K. (Тунгушбаева Д.И., Езмаханова К.Р., Бургумбаева С.К.)</t>
  </si>
  <si>
    <t>Test tasks on the higher mathematics.</t>
  </si>
  <si>
    <t>methodical recommendations /методические указания</t>
  </si>
  <si>
    <t>(Тестовые задания по высшей математике). In methodical recommendations the program of a study of 1 course of mathematics for students of economic, technical and natural-science specialties is explained. This program envelops the following sections of mathematics: algebra, geometry, limits, derivative, functions of many variables, integral, differential equations, etc. In methodical recommendations short theoretical material, methodical recommendations, test jobs and also responses to test jobs are explained</t>
  </si>
  <si>
    <t>0000129</t>
  </si>
  <si>
    <t>Ya.M.Uzakov, V.V.Pryanishnikov, A.V.Iltyakov, Zh.I.Satayeva /Узаков Я.М.</t>
  </si>
  <si>
    <t>Proteins and food fibers in meat technologies</t>
  </si>
  <si>
    <t>технология пищевых продуктов</t>
  </si>
  <si>
    <t>The term «dietary fiber» was first introduced to the academic community in the late 80s of XX century, «dietary fiber - are the remnants of plant cells capable of resisting to hydrolysis, to carry out human digestive enzymes.» In 2000, the American Association of chemists’ grain producers gave a broader definition: “Dietary fiber is edible parts of plants or similar carbohydrates that are resistant to digestion and absorption in the human small intestine, fully or partially fermented in the large intestine. Dietary fiber includes polysaccharides, oligosaccharides, lignin, and associated plant substances. On the recommendation of the World Health Organization, the human need for dietary fiber is about 40 grams per day.
 In developed countries, the daily deficiency of ballast substances in the human diet is approximately 15 g. This often leads to the spread of diseases such as obesity, cancer, diseases of the gastrointestinal tract. In order to make food more balanced, it is necessary to add dietary fiber to meat, bakery, confectionery products.
 In this regard, the problem of creating a complex of dietary fibers and proteins, with a set of functional and technological properties that regulate the quality and level the deficiencies of raw meat to create functional products, is highly relevant.
 This book is dedicated to professionals working in the meat industry, as well as for scientists, lecturers, doctoral, masters and bachelors students of technological specialties universities, majoring in «Technology of food products» and «Biotechnology.»/Эта книга посвящена специалистам, работающим в мясной промышленности, а также ученым, преподавателям, докторантам, магистрантам и бакалаврам студентам технологических специальностей университетов по специальностям «Технология пищевых продуктов» и «Биотехнология».</t>
  </si>
  <si>
    <t>0000130</t>
  </si>
  <si>
    <t>Yavorskiy V.V., Chvanova A.O., Klyueva E.G./Яворский В.В.</t>
  </si>
  <si>
    <t>Information and communication technologies</t>
  </si>
  <si>
    <t>Tutorial/учебное пособие</t>
  </si>
  <si>
    <t>The discipline «Information and Communication Technologies» is intended for the training of highly qualified specialists who are proficient in the usage of modern information technologies in the field of professional activity. The tutorial contains the history of development and the principles of the functioning of ICT, as well as the basic concepts of architecture and the structure of computer systems. The general information about the properties of information, the systems of calculation and representation of data in computers, human-computer interaction, as well as general information about operating systems, computer networks, databases, multimedia, Internet, SMART and E-technologies are presented.The manual is intended for studying the discipline «Information and Communication Technologies» by students of full-time and distance learning courses of all specialties./Дисциплина «Информационно-коммуникационные технологии» предназначена для подготовки высококвалифицированных специалистов, владеющих современными информационными технологиями в сфере профессиональной деятельности.
 Учебное пособие содержит историю развития и принципы функционирования ИКТ, а также основные понятия архитектуры и структуры компьютерных систем. Представлена ​​общая информация о свойствах информации, системах расчета и представления данных в компьютерах, взаимодействиях человека с компьютером, а также общая информация об операционных системах, компьютерных сетях, базах данных, мультимедиа, Интернете, SMART и E-технологиях. , Пособие предназначено для изучения дисциплины «Информационные и коммуникационные технологии» студентами очных и дистанционных курсов обучения всех специальностей</t>
  </si>
  <si>
    <t>0000131</t>
  </si>
  <si>
    <t>Ye.Utegenov (Утегенов Е.К.), M. Рrokofyeva, D. Nurmukhanbetova</t>
  </si>
  <si>
    <t>Psychological and pedagogical support of the educational program Physical Education and Sport</t>
  </si>
  <si>
    <t>Спорт. Психология</t>
  </si>
  <si>
    <t xml:space="preserve"> Монография посвящена актуальным вопросам психолого-педагогического сопровождения образовательного процесса в целом, и образовательной программы «Физическая культура и спорт» в частности. Авторы монографии в интересной и доступной форме раскрыли основы психолого-педагогического сопровождения образовательного процесса в условиях введения профессионального стандарта «Педагог» в Республике Казахстан; обосновалипсихолого-педагогические условия ОП для профессионального и личностного развития обучающихся; раскрыли индивидуализацию образовательного маршрута в условиях кредитной технологии обучения и модульного построения образовательной программы и разработали концептуальные маршруты формирования физического и психического здоровья обучающихся в вузе. Предлагаемая монография предназначена для студентов, магистрантов, докторантов и преподавателей высшей школы. Материалы монографии могут быть использованы для чтения лекций по дисциплине «Педагогика физической культуры и спорта», «Психология физической культуры и спорта» (бакалавриат), «Педагогика», «Психология» (магистратура).</t>
  </si>
  <si>
    <t>0000132</t>
  </si>
  <si>
    <t>Ye.Utegenov (Утегенов Е.К.), R.Sautov, Ye.Nurdauletov,Ye.Danabekov</t>
  </si>
  <si>
    <t>SKI SPORT</t>
  </si>
  <si>
    <t>Тeaching aid</t>
  </si>
  <si>
    <t>В данном учебном пособии рассматриваются методы и приемы обучения катанию на лыжах, методические основы процесса и организации тренировок на лыжах. Учебное пособие предназначено для использования в высших учебных заведениях, колледжах и спортивных школах.</t>
  </si>
  <si>
    <t>0000133</t>
  </si>
  <si>
    <t>Yeldiyar G.K./ Елдияр Г. К.</t>
  </si>
  <si>
    <t>Lecture notes
 On the discipline «Raw silk production technology»</t>
  </si>
  <si>
    <t>Конспект лекций По дисциплине «Технология производства сырого шелка» Конспект лекций составляется в соответствии с требованиями учебной программы и программы дисциплины «Технология производства сырого шелка» и включает в себя всю необходимую информацию о проведении лекционных курсов курса. Краткая аннотация. Аннотация лекции составлены для лекций по этой дисциплине с целью более глубокого изучения технологии производства сырого шелка. Лекции предназначены для студентов специальности 5В073300 - Технология и дизайн текстильных материалов.</t>
  </si>
  <si>
    <t>0000134</t>
  </si>
  <si>
    <t>Lecture notes
 On the discipline «Textile auxiliary materials»</t>
  </si>
  <si>
    <t>Конспект лекций По дисциплине «Текстильные вспомогательные материалы»
 "Конспект лекций составляется в соответствии с требованиями учебной программы и программы дисциплины «Текстильные вспомогательные материалы». и включать всю необходимую информацию о проведении лекционных курсов по курсу. Краткая аннотация. Аннотация лекции составлены для лекций по этой дисциплине с целью более глубокого изучения текстильных вспомогательных материалов.
  Лекции предназначены для студентов специальности 5В073300 - Технология и дизайн текстильных материалов.</t>
  </si>
  <si>
    <t>0000135</t>
  </si>
  <si>
    <t>Yeldiyar Gulzinat Kairbekkizi/ Елдияр Гулзинат Каирбеккызы</t>
  </si>
  <si>
    <t>Textile materials science</t>
  </si>
  <si>
    <t>The textbook «Textile materials science» provides detailed knowledge about textile materials, production of textile materials and their properties. The textbook has been compiled in accordance with the requirements of the curriculum and program of the module "Textile materials science» and for the benefit and to prove an asset and a reference guide for the students on the specilality 6B073300- «Technology and designing of textile materials»Учебник «Текстильное материаловедение» дает подробные знания о текстильных материалах, производстве текстильных материалов и их свойствах. Учебник был составлен в соответствии с требованиями учебной программы и программы модуля «Текстильные материалы науки» и в интересах, а также для доказательства актива и справочное пособие для студентов по специальности 6B073300- «Технология и проектирование текстиля материалы</t>
  </si>
  <si>
    <t>0000136</t>
  </si>
  <si>
    <t>Zakirova А.B. /Закирова А.Б./, Akhayeva Zh.B., Abilova P.</t>
  </si>
  <si>
    <t>Web application design technique on ASP.NET</t>
  </si>
  <si>
    <t>информационные технологии</t>
  </si>
  <si>
    <t>Учебное пособие "Методика проектирования веб-приложений на ASP.NET" предназначено для студентов, магистрантов педагогических и технических специальностей, обучающихся в многоязычных группах. ASP.NET (Active Server Pages for NET) - это платформа для разработки веб-приложений, которая включает в себя: веб-службы, программную инфраструктуру, модель программирования от Microsoft ASP.NET является частью платформы .NET Framework и является развитием более старой технологии Microsoft ASP</t>
  </si>
  <si>
    <t>0000138</t>
  </si>
  <si>
    <t>Zhunisbekova D.A./ Жунисбекова Д А</t>
  </si>
  <si>
    <t>METHODICAL GUIDE for practicum on the discipline “Mathematics 3»</t>
  </si>
  <si>
    <t>Methodical guide/ методическое пособие</t>
  </si>
  <si>
    <t>Методическое пособие составлено в соответствии с требованиями учебной программы и программы дисциплины «Математика 3» для студентов 2 курса специальностей 5B071800 - Электроэлектроника, 5В071900 - Радиотехника, электроника и связь. Методическое пособие предназначено для студентов, изучающих курс «Математика 3» на английском языке. Методическое пособие может быть использовано для подготовки к практикуму, а также для самостоятельной работы студентов.</t>
  </si>
  <si>
    <t>0000139</t>
  </si>
  <si>
    <t>Zhunisbekova D.A./ Жунисбекова Д. А.</t>
  </si>
  <si>
    <t>HIGHER MATHEMATICS
 PART II 
 of specialty 5В072000 - The chemical technology of inorganic substances</t>
  </si>
  <si>
    <t>Учебник</t>
  </si>
  <si>
    <t>ВЫСШАЯ МАТЕМАТИКА
 ЧАСТЬ II
 специальности 5В072000 - Химическая технология неорганических веществ Эта книга написана в соответствии с требованиями учебного плана и программы дисциплины «Высшая математика 2» для студентов 1 курса специальности 5В072000 - Химическая технология неорганических веществ.
 Эта книга предназначена для студентов, изучающих курс «Высшая математика 2» на английском языке. Его можно использовать для подготовки к лекциям, а также для самостоятельной работы и практики</t>
  </si>
  <si>
    <t>0000140</t>
  </si>
  <si>
    <t>Probability theory and mathematical statistics
  of specialties 5В070300 – Informational systems, 
 5B070400 – Calculating technique and software</t>
  </si>
  <si>
    <t>Учебнк</t>
  </si>
  <si>
    <t>"Теория вероятностей и математическая статистика"Эта книга написана в соответствии с требованиями учебного плана и программы дисциплины «Теория вероятностей и математическая статистика» для студентов 2 курса специальностей 5В070300 - Информационные системы, 5В070400 - Вычислительная техника и программное обеспечение.
 Эта книга предназначена для студентов, изучающих курс «Теория вероятностей и математическая статистика» на английском языке. Его можно использовать для подготовки к лекциям, а также для самостоятельной работы и практики.</t>
  </si>
  <si>
    <t>0000141</t>
  </si>
  <si>
    <t>CONSPECTUS OF LECTURES 
 on the discipline 
 «Mathematics 2» of specialties 5B072100 – The chemical technology of organic substances,
 5В075300 – Processing of mineral and technogenic raw materials</t>
  </si>
  <si>
    <t>Коспект лекций</t>
  </si>
  <si>
    <t>Конспект лекций составлен в соответствии с требованиями учебной программы и программы дисциплины «Математика 2» для студентов 1-го курса специальностей 5B072100 - Химическая технология органических веществ, 5В075300 - Переработка минерального и техногенного сырья.
 Конспект лекций предназначен для студентов, изучающих курс «Математика 2» на английском языке. Его можно использовать для подготовки к лекциям, а также для самостоятельной работы и практики.</t>
  </si>
  <si>
    <t>0000191</t>
  </si>
  <si>
    <t>Абаева Ғ.Ә. , ТөребаеваК.Ж. , Г.С.Оразаева , Ж.Ж.Қартбаева</t>
  </si>
  <si>
    <t>Арнайы педагогика</t>
  </si>
  <si>
    <t>Оқулық</t>
  </si>
  <si>
    <t>Оқулықта арнайы педагогика ғылымының теориялық-әдіснамалық негіздері, арнаулы білім беру жүйесінің мазмұны баяндалған. Оқулық «Білім беру» мамандығы бойынша білім алатын студенттерге, магистранттарға, оқытушыларға, әдіскерлерге және көпшілік оқырманға арналған.</t>
  </si>
  <si>
    <t>0000195</t>
  </si>
  <si>
    <t>Абдалимова Ж.С., Д.М. Мергалиев, Т.М. Степанская</t>
  </si>
  <si>
    <t>Современные модели библиотечного обслуживания: результаты внедрения и перспективы развития (на региональном материале)</t>
  </si>
  <si>
    <t>библиотечное дело</t>
  </si>
  <si>
    <t>Монография посвящена исследованию процессов модернизации библиотечного обслуживания и результатов внедрения современных моделей предоставления информации на примере библиотек Павлодарского региона, а именно Областной объединенной универсальной научной библиотеки имени С. Торайгырова, Научной библиотеки им. С. Бейсембаева Павлодарского государственного университета им. С. Торайгырова и Алтайской краевой универсальной научной библиотеки им. В.Я. Шишкова. Издание адресовано студентам, магистрантам, аспирантам, преподавателям и всем читателям.
 The monograph is devoted to the study of modernization of library services and the results of the introduction and prospects for the development of modern models of providing information using the example of the libraries of the Pavlodar region, namely the S. Toraigyrov Regional Universal Scientific Library and the S.Beysembayev Scientific Library of Pavlodar State University named after S. Toraigyrov. The publication is addressed to students, undergraduates, graduate students, teachers and all readers.</t>
  </si>
  <si>
    <t>0000197</t>
  </si>
  <si>
    <t>Абденов А.Ж., Абденова А.А.</t>
  </si>
  <si>
    <t>Интеллектуальные сервисы по управлению информацией и событиями безопасности в компьютерных системах и сетях</t>
  </si>
  <si>
    <t>Данное учебное пособие составлено на основе материалов статей научно-методического характера относительно важных исследований в области информационной безопасности компьютерных инфраструктур. Значимым элементом, выполняющим реорганизации межкомпонентного взаимодействия относительно технологий управления информацией и событиями безопасности (Security Information and Event Managment, SIEM), является репозиторий. При этом репозиторий является существенным узлом в SIEM-системе, влияющим на эффективность подхода к построению, изменению модели данных, к организации хранилища данных, а также к их обработке в режиме почти реального времени. Материал основан на новых результатах в области информационной безопасности. Для специалистов в области информационной безопасности компьютерных инфраструктур, а также студентов и аспирантов соответствующих специальностей.</t>
  </si>
  <si>
    <t>0000198</t>
  </si>
  <si>
    <t>Абденова Г.А.</t>
  </si>
  <si>
    <t>Идентификация объектов, описываемых линейными кусочно-дифференциальными моделями в форме Коши</t>
  </si>
  <si>
    <t>В монографии изложена методика идентификации объектов, описываемых линейными кусочно-дифференциальными моделями в форме Коши. Основой методики является качественный подход к анализу построения линейной стохастической кусочно-дифференциальной модели в пространстве состояний для оценивания состояния динамической системы, наблюдаемая нестационарными вход-выходными данными. Приведены методика построения стохастической кусочно-дифференциальной модели на основе нестационарного временного ряда; алгоритмы преобразований линейной и нелинейной статических моделей в стохастическую модель в пространстве состояний. Включены алгоритм преобразований модели с распределенными параметрами в стохастическую модель в форме ПС во временной области и алгоритм рекуррентного оценивания дисперсий шумов динамики, начального состояния исследуемого объекта и шумов измерительной системы. Монография рассчитана на магистрантов, докторантов и специалистов в области прикладной математики и математического моделирования систем.</t>
  </si>
  <si>
    <t>0000200</t>
  </si>
  <si>
    <t>Абдигапбарова У.М. Ибраева М.К.</t>
  </si>
  <si>
    <t>Балалардың танымдық белсенділігін ерте жастан дамыту</t>
  </si>
  <si>
    <t>Монографияда Қазақстан Республикасының мектепке дейінгі тәрбие мен оқытудың мемлекеттік жалпыға міндетті стандартына сәйкес балалардың танымдық белсенділігін ерте жастан дамытудың мәселесі қарастырылған. Балалардың танымдық белсенділігін ерте жастан дамытудың ғылыми-әдістемелік негіздері беріліп, оларды практикада жүзеге асырудың нақты жолдары көрсетілген. Монография педагогикалық жоғары оқу орындарының студенттеріне, магистранттарына, докторанттарына, оқытушыларына, және мектепке дейінгі ұйымдардың педагогтары мен ата-аналарға арналған</t>
  </si>
  <si>
    <t>0000201</t>
  </si>
  <si>
    <t>Абдижаппарова Б.Т.</t>
  </si>
  <si>
    <t>Термическая обработка пищевых продуктов</t>
  </si>
  <si>
    <t>Учебник предназначен для магистрантов специальности 6М072800 – Технология перерабатывающих производств.
 Учебник «Термическая обработка пищевых продуктов» освещает основные теоретические и практические аспекты в сфере термической обработки. При его составлении использованы материалы передовой зарубежной литературы в области пищевой инженерии.</t>
  </si>
  <si>
    <t>0000202</t>
  </si>
  <si>
    <t>каз.</t>
  </si>
  <si>
    <t>Абдикарим Н.</t>
  </si>
  <si>
    <t>Қазақ тілі (техникалық мамандықтарға арналған оқу құралы)</t>
  </si>
  <si>
    <t>Оқу құралы</t>
  </si>
  <si>
    <t>Язык казахский, лит-ра</t>
  </si>
  <si>
    <t>Оқу құралының мазмұны мен құрылымы жоғары оқу орындарында орыстілді топтарда бакалавриат бойынша оқытылатын қазақ тілі пәнінің Үлгілік оқу бағдарламасына сәйкес келеді. Лексикалық аяда техника саласына қатысты мәтіндер мен ақпараттар, негізгі ұғымдар мен термин сөздер арнайы іріктеліп алынған және оларды болашақ кәсіптік ортасындағы жағдаяттарға сәйкес қолдана білу дағдысын қалыптастыруды көздеген материалдар енгізілген. Грамматикалық сұрақтар бойынша сөйлемнің ұйытқысы болып табылатын етістік категориясының лексика-грамматикалық қызметі жан-жақты меңгерілгеннен кейін синаксистік категорияларды меңгерту иерархиясы сақталған. Және де берілген материалдарды машықтандыруға бағытталған әр түрлі жаттығулар мен тапсырмалар, семестр бойы алған білімдерін тексеруге арналған өзіндік бақылау жұмыстары топтастырылған. 
 Бұл оқу құралы жоғары оқу орындарда орыстілді топтарда техникалық бағытта оқитын студенттерге және мемлекеттік тілді өз бетімен үйренуге ниеттенген көпшілік қауымға арналады.</t>
  </si>
  <si>
    <t>0000203</t>
  </si>
  <si>
    <t>Абдикасова А.</t>
  </si>
  <si>
    <t>Жалпы физика курсының семестрлік тапсырмалары.</t>
  </si>
  <si>
    <t>Лена</t>
  </si>
  <si>
    <t>0000206</t>
  </si>
  <si>
    <t>Абдильдаев В.С. (Әбділдаев В.С.)</t>
  </si>
  <si>
    <t>Картоп тұқым шаруашылығы</t>
  </si>
  <si>
    <t>Агро. Растениеводство</t>
  </si>
  <si>
    <t>Ауыл шаруашылығының алдында тұрған басты міндеттер халықты жеткілікті мөлшерде сапалы азық-түлікпен, өнеркәсіпті шикізат қорымен қамтамасыз ету болып табылады. Азық-түлік ретінде халықтың көп қолданатын дақылдарының бірі картоп дақылы,ол өнеркәсіпте маңызды шикізат қоры да болып есептеледі. Казіргі кезеңдегі ауыл шаруашылығындағы өзгерістер, атап айтқанда жерді жалға берудің нәтижесінде жеке шаруашылықтардың көбеюі мамандардың алдына жаңа талаптар қоюда. Шаруа қожалықтары техниканы меңгерумен қатар, ауыл шаруашылығы дақылдарын өндірудің технологиясын жетік білу керек. Автордың 8 тараудан, 196 парақтан тұратын картоп тұқым шаруашылығы атты кітабында, картопты көктемгі егіске дайндаудан бастап, күтіп-баптауына және жинап-сақтауына байланысты барлық агротехникалық шаралары қамтылған, сонымен қатар, картоп өсімдігінің биологиялық ерекшеліктеріне сай келетін, алдыңғы қатарлы елдердің озық технологиясынан мәліметтер бар. Кітапта автор өзінің көпжылдық ғылыми-зертеу еңбектерінің нәтижесіне сүйеніп, картоптың тұқым шаруашылығын жүргізудің әр түрлі әдістемелеріне кеңінен тоқталған. Кітапың көлемді тарауының бірі, картоптың әр түрлі ауруларына, зияанкестеріне және арам шөптеріне қарсы күрес туралы. Бұл тарауда агротехникалық күрес шараларымен қатар, соңғы кезде пайдаланып жүрген пестицидтерді қолдану әдісі, мерзімі және әр гектарға керекті мөлшері кесте түрінде берілген. Кітаптың басылым құрылымнда алғы сөзі, мазмұны, каріптік бөлектенулер орын алған, сонымен қатар басылымның негізгі мәтінінің тараулары, параграфтарды ұйымдастыру, тақырыптық аяқтаулар, сюжеттік тұтастықпен ұласады. Қарапайым түрде түсінікті болу үшін суреттерін келтіре отырып жазылған бұл кітап, ауыл шаруашылығы мамандарына және жеке шаруа қожалықтарына қажетті құрал ретінде, ашық баспға жарыйалауға болады.</t>
  </si>
  <si>
    <t>0000207</t>
  </si>
  <si>
    <t>Абдильдаев В.С., Бабаев С.А., Ахметова Ф.С.</t>
  </si>
  <si>
    <t>Картоп дақылы</t>
  </si>
  <si>
    <t>0000208</t>
  </si>
  <si>
    <t>Абдильдин Н.К., Хазимов М.Ж.</t>
  </si>
  <si>
    <t>Автомобильдерде пайдаланатын материалдар пәні бойынша лабораториялық жұмыстар мен практикалық сабақтарға арналған ПРАКТИКУМ</t>
  </si>
  <si>
    <t>Практикум</t>
  </si>
  <si>
    <t>инженерно- технический</t>
  </si>
  <si>
    <t>Практикум үш бөліктен тұрады, мұнда пәннің әрбір тақырыбы қысқаша түрде және «Автомобильде пайдаланылатын материалдар» курсын оқу бойынша 17 зертханалық жұмыстың орындалу әдістемесі берілген. Практикумның соңғы бөлімінде осы қурс бойынша өзіндік жұмысты орындауға арналған тапсырмалар берілген. Практикум материалдары пәнді бакалавриат деңгейінде оқитын студенттерге есептелінген.</t>
  </si>
  <si>
    <t>0000210</t>
  </si>
  <si>
    <t>Абдиманова Б.У.</t>
  </si>
  <si>
    <t>Кәсіби қазақ тілі</t>
  </si>
  <si>
    <t>Оқу құралында лексика мен грамматикалық материалдар кәсіби бағдардағы ауызша тіл дамытумен қатар жүргізіледі және «Тігін өндірісі және киімді үлгілеу» мамандығы бойынша ҚР-ның мемлекеттік білім беру стандартына сәйкес құрастырылған. Мәтіндерден, лексикалық тақырыптардан грамматикалық формаларды табу, грамматикалық талдау жасату жұмыстары студенттердің логикалық ойлауын жетілдірудің, грамматиканы қайталаудың, дұрыс сөйлеу дәрежесін меңгерудің негізгі құралы болып табылады. Студенттердің жазбаша кәсіби тілін дамыту мақсатында түрлі жазбаша жұмыстар жүргізіледі. Осыған сай оқу құралында жазба жұмыстарына жататын тапсырмалар көптеп берілген. 
  Оқу құралы кәсіптік оқу орындарының техникалық тігін мамандығы студенттері мен техникалық лицей оқушыларына арналған.</t>
  </si>
  <si>
    <t>0000212</t>
  </si>
  <si>
    <t>Абдраимова Г.К., С.Т.Абеуова, Б.Ш. Сарсембаев, Б. У. Сейтхожин, А.Х. Феткулов, Г. У. Талимова, Г.М.Байгожина</t>
  </si>
  <si>
    <t>Проблемы и перспективы развития внешнеэкономической деятельности
 Республики Казахстан</t>
  </si>
  <si>
    <t>Монография: «Проблемы и перспективы развития внешнеэкономической деятельности Республики Казахстан». Авторы монографии рассматривают теоретическую и практическую основу перспективного развития внешнеэкономической деятельности Республики Казахстан характеризующих внешнеэкономическое развитие нашей страны на современном этапе, которое составляют важную задачу экономической науки. Проведен анализ процессов, которое предполагает широкий и комплексный подход к оценке многих явлений современности, возникающих как в мировом хозяйстве и международных отношениях, так и внутри страны, связанных с изменениями в состоянии отечественной экономики и перспективами ее развития. Анализируются проблемы модернизации правовой системы РК в области внешней торговли товарами и услугами с учетом взятых РК при вступлении в ВТО, а также юридические аспекты контракта внешнеторговой купли-продажи как соглашения, играющего основную роль в международном торговом обороте.
 Монография предназначена для студентов, магистров, докторантов и преподавателей, экономических и юридических вузов, а также управленческих специальностей</t>
  </si>
  <si>
    <t>0000213</t>
  </si>
  <si>
    <t>Абдраков Б.К. /Әбдірақов/</t>
  </si>
  <si>
    <t>Жалпы гигиенаның мектептегі дене шынықтыру және спорт негіздері</t>
  </si>
  <si>
    <t>Спорт</t>
  </si>
  <si>
    <t>Жалпы гигиенаның мектептегі дене шынықтыру және спорт негіздері оқу құралы – 5В010800 «Дене шынықтыру және спорт» білімгерлеріне арналған, типтік бағдарламаларына сай</t>
  </si>
  <si>
    <t>0000216</t>
  </si>
  <si>
    <t>Абдрахманова А.</t>
  </si>
  <si>
    <t>Жануарлар психологиясы</t>
  </si>
  <si>
    <t>Психология</t>
  </si>
  <si>
    <t>0000217</t>
  </si>
  <si>
    <t>Заң психологиясы</t>
  </si>
  <si>
    <t>0000218</t>
  </si>
  <si>
    <t>Конфликтология каз.</t>
  </si>
  <si>
    <t>0000219</t>
  </si>
  <si>
    <t>Абдрахманова А.Т.</t>
  </si>
  <si>
    <t>Патопсихология</t>
  </si>
  <si>
    <t>0000220</t>
  </si>
  <si>
    <t>Психокоррекция</t>
  </si>
  <si>
    <t>0000221</t>
  </si>
  <si>
    <t>Абдрахманова Г. Х., Айтбаева Б.М.</t>
  </si>
  <si>
    <t>Қазақ тілі</t>
  </si>
  <si>
    <t>Оқу құралында барлық мамандықтарға арналған оқыту сабақтарының жоспары, лексикалық тақырыптарды оқыту үлгілері, сұхбаттар, құжат үлгілері, тесттік сұрақтар, мәтіндер, қосымша материалдар мен грамматикалық сызбанұсқалар берілген. Берілген мәтіндер тәрбиелік мәні зор, студенттердің тілін дамытуы үшін өте қажетті. Оқу құралы барлық тіл үйренушілерге арналған.</t>
  </si>
  <si>
    <t>0000222</t>
  </si>
  <si>
    <t>Абдрахманова Г.С.</t>
  </si>
  <si>
    <t>Межгосударственные модели интеграции Евразии</t>
  </si>
  <si>
    <t>Международные отношения</t>
  </si>
  <si>
    <t>0000225</t>
  </si>
  <si>
    <t>Абдрахманова Т.М.</t>
  </si>
  <si>
    <t>Профессионально-ориентированный анаглийский язык (для специальности 5в051000)</t>
  </si>
  <si>
    <t>Госуправление</t>
  </si>
  <si>
    <t>Представленное учебно-методическое пособие состоит из аутентичных текстов и заданий к ним. Оно основано на практических занятиях.</t>
  </si>
  <si>
    <t>0000226</t>
  </si>
  <si>
    <t>Профессионально-ориентированный иностранный язык для специальности Бух учет и аудит</t>
  </si>
  <si>
    <t>Представленное учебно-методическое пособие состоит из аутентичных текстов и заданий к ним. Оно основано на практических занятиях. Предназначено для студентов специальности «Бух учет и аудит»</t>
  </si>
  <si>
    <t>0000227</t>
  </si>
  <si>
    <t>Научное исследование: язык и методология</t>
  </si>
  <si>
    <t>Представленное учебно-методическое основано на лекционных материалах и учебных пособиях ученых, методистов, занимающихся написанием научных текстов. Наряду с теоретическим материалом в пособии имеются практические задания для написания результатов научного исследования.</t>
  </si>
  <si>
    <t>0000233</t>
  </si>
  <si>
    <t>Абдула Ж.</t>
  </si>
  <si>
    <t>Жалпы физиканың таңдамалы есептер мен есеп шығару әдістері</t>
  </si>
  <si>
    <t>0000234</t>
  </si>
  <si>
    <t>Модельные оценки загрязнения атмосферы горно-химических производств</t>
  </si>
  <si>
    <t>0000235</t>
  </si>
  <si>
    <t>Абдулина А.Т.</t>
  </si>
  <si>
    <t>К истории архивного строительства в Казахстане (1918–1945)</t>
  </si>
  <si>
    <t>В книге изложена история архивного дела в Казахстане в наиболее сложный период его становления и реорганизации (1918–1945 гг.). На основе источников проанализирован процесс возникновения правовых и организационных основ государственных архивов в Казахстане от издания первых декретов советского государства, регламентировавших образование Единого государственного архивного фонда, до создания Главного архивного управления при Наркомпросе Казахской АССР. 
 Книга имеет научно-информационный, научно-популярный характер и адресована широкому кругу читателей.</t>
  </si>
  <si>
    <t>0000236</t>
  </si>
  <si>
    <t>Абдуллаев С.С.</t>
  </si>
  <si>
    <t>"Локомотив құрастыру зауыты" АҚ жасалған ТЭ33А тепловозы. Құрылғысы, түйіндері мен агрегаттарының тағайындалуы</t>
  </si>
  <si>
    <t>Механика. ж/д</t>
  </si>
  <si>
    <t>0000237</t>
  </si>
  <si>
    <t>Электр жылжымалы құрамының электржабдықтары</t>
  </si>
  <si>
    <t>Механика. Электро-, энерго-</t>
  </si>
  <si>
    <t>0000238</t>
  </si>
  <si>
    <t>Электрлендірілген жылжымалы құрам және жөндеу технологиясы</t>
  </si>
  <si>
    <t>0000239</t>
  </si>
  <si>
    <t>Абдуллина Л.И.</t>
  </si>
  <si>
    <t>Говорить как Назарбаев. Учебник по основам ораторского мастерства и технологии публичного выступления</t>
  </si>
  <si>
    <t>Язык русский, лит-ра</t>
  </si>
  <si>
    <t>0000240</t>
  </si>
  <si>
    <t>Литературное краеведение: территориальное самосознание и персональная идентичность</t>
  </si>
  <si>
    <t>Автор учебника вводит в научный оборот и систематизирует категории литературного краеведения: «литературный ландшафт», «территориальное самосознание», «персональная идентичность». На анализе конкретных художественных текстов демонстрируется, как пространственная и историко-темпоральная специфика территории оказывает влияние на художественный мир писателя. Факты литературного быта и анализ литературной среды помогают понять феномен культурной территории и определить типологические доминанты литературного текста: территориальное самоосознание, евразийское мировосприятие и автобиографическая память. На примере Восточно-Казахстанского литературного текста показан алгоритм дешифровки произведения как модели авторского поведения. Территориальная уникальность и неповторимая индивидуальность художника отражают безграничность текста как единого поля мировой культуры.
 Издание адресовано широкому кругу читателей: землякам и многочисленным гостям нашего благодатного края, а также в помощь студентам-филологам и учителям-словесникам.</t>
  </si>
  <si>
    <t>0000244</t>
  </si>
  <si>
    <t>Абдуова А.А., Байбатырова Б.У., Изтлеуов Г.М., Исабекова Н.А.</t>
  </si>
  <si>
    <t>Происхождение и эволюция биосферы.</t>
  </si>
  <si>
    <t>Учебное пособие составлено в соответствии с требованиями учебного плана и программой дисциплины «Происхождение и эволюция биосферы» и включает все необходимые сведения по выполнению тем занятий курса. 
  Учебное пособие предназначено для преподавателей и студентов специальности: 5B060800- Экология.</t>
  </si>
  <si>
    <t>0000247</t>
  </si>
  <si>
    <t>Абдурахманов М. А.</t>
  </si>
  <si>
    <t>Статистика: СӨЖ орындауға арналған әдістемелік құрал</t>
  </si>
  <si>
    <t>әдістемелік құрал</t>
  </si>
  <si>
    <t>Ұсынылып отырған Статистика пәні бойынша СӨЖ орындауға арналған әдістемелік құрал кредиттік оқу жүйесінің негізгі талабы бойынша экономикалық бағытындағы мамандықтарда оқитын бакалаврларға арналған. Әрбір тақырыптарға қысқаша әдістемелік нұсқаулар және оған сайкес есептердің шығарылу жолдары көрсетілген. Тақырыпты терең игеруге арналған әдебиеттер тізімі қосылған. Оқу құралын басқа мамандықтар даярлайтын университет студенттеріне және қашықтықтан оқыту технологиясымен оқып жүрген студенттерге де пайдалануға болады.</t>
  </si>
  <si>
    <t>0000257</t>
  </si>
  <si>
    <t>Абенова Б.С., Абенов Д.Қ.</t>
  </si>
  <si>
    <t>Қазақстандағы әкімшілік реформалар (ХІХ ғасыр).</t>
  </si>
  <si>
    <t>Оқу құралы ХІХ ғасырда қазақ өлкесінде жүргізілген және қазақ қоғамының әлеуметтік, саяси, құқықтық өмірінде үлкен өзгерістер туындатқан саяси-әкімшілік реформалар тарихын зерделеуге арналды. ХІХ ғасыр - қазақ халқының тарихындағы маңызды кезеңдердің бірі. Саяси дамудың осы кезеңінде қазақ мемлекеттілігі күшпен жойылды және Қазақстанның Ресей империясының отары ретіндегі саяси-құқықтық статусы ұзақ уақытқа анықталып болды. Бұл өзгерістер саяси-реформалар арқылы жүзеге асырылды. Оқу құралы «Тарих» білім бағдарламасы студенттері мен магистранттарына реформалар тарихын жан-жақты оқып-зерттеуге мүмкіндік береді деп сенеміз.</t>
  </si>
  <si>
    <t>0000266</t>
  </si>
  <si>
    <t>Абжалелова Ш.Р., Ерназарова У.С.</t>
  </si>
  <si>
    <t>Стратегиялық жоспарлау</t>
  </si>
  <si>
    <t>Бұл оқу құралы осы пәнді оқу үшін жоғары оқу орны ішінде пайдалану форматында дайындалған, сондай-ақ экономикалық субъектілердің өндірістік-шаруашылық қызметін жоспарлау мәселелерімен айналысатын барлық адамдарға пайдалы болуы мүмкін.</t>
  </si>
  <si>
    <t>0000267</t>
  </si>
  <si>
    <t>Абжанова Ш.А., Хакимова Р.Ш., Диханбаева Ф.Т., Таева А.М.</t>
  </si>
  <si>
    <t>Ет өндірісі кәсіпорындарындағы есеп және есеп беру</t>
  </si>
  <si>
    <t>Оқулықта өндірісті есепке алу әдістері, тұжырымдамалары, кәсіпорын өндірісін есепке алудың маңызы, есеп түрлері және нарықтық экономикалық жағдайда есеп жүргізудің әдіс-тәсілдері қарастырылған. Оқулық технологиялық мамандықта оқитын студенттерге және магистрантарға арналған.</t>
  </si>
  <si>
    <t>0000269</t>
  </si>
  <si>
    <t>Абжаппарова Б.Ж.</t>
  </si>
  <si>
    <t>Корея тарихы: ежелгі және орта ғасырларда</t>
  </si>
  <si>
    <t>Востоковедение</t>
  </si>
  <si>
    <t>Ұсынылып отырған оқу құралы - автордың ұзақ жылдан бергі ғылыми-әдістемелік жұмыстарының нәтижесі. Оқу құралы шығыстану мамандығының корей бөлімінде оқитын білім алушыларына арналған басылым болып табылады. Кореяның ежелгі және орта ғасырлар кезеңіндегі жалпы даму заңдылықтарына талдау жасалып, тарихына ерекше мән берілген. Оқу құралы жоғары оқу орындарының бағдарламасына сәйкес келеді. Тақырыптар бір-бірімен сабақтас, құрылымы жүйелі және оқу құралының мазмұны оқу пәнін оқыту мақсаттары мен міндеттеріне сәйкес келеді. Оқу құралы Қазақстандағы жоғары оқу орындарының шығыстану мамандығы студенттері, магистранттары, докторанттары, оқытушыларына арналған.</t>
  </si>
  <si>
    <t>0000271</t>
  </si>
  <si>
    <t>Абжаппарова Б.Ж., Кайыркен Т.З., Төлеубаева С.А., Ильясова З.С., Азмұханова А.М., Абишева М.М., Өтеулиева Г.Қ., Тахтанова А.Қ. , Қалиева Қ.С. , Нуридденова А.Қ.</t>
  </si>
  <si>
    <t>Шығыс елдерінің жаңа заман тарихы. 1-том</t>
  </si>
  <si>
    <t>Ұсынылып отырған оқулық авторлардың ұзақ жылдан бергі ғылыми-әдістемелік жұмыстарының нәтижесі. Аталған оқулық Шығыс елдерінің жаңа замандағы тарихының ұлы географиялық ашулардан бастап бірінші дүниежүзілік соғысқа дейінгі кезеңдегі оқиғаларын қамтиды. Оқулық отандық және шетел тарихнамасы мен тарих ғылымының қазіргі методологиялық жетістіктерін ескере отырып жүйелі түрде талдауға арналған. Оқулықтың әрбір бөлімдерін оқитын елдің тарихы мамандары әзірлеген. Оқулық мамандықтың мемлекеттік стандарты мен типтік бағдарламасына сәйкес жасалған. Тақырыптар бір-бірімен сабақтас, құрылымы жүйелі және оқулықтың мазмұны оқу пәнін оқыту мақсаттары мен міндеттеріне, типтік оқу бағдарламасының негізгі мазмұндық желісіне сәйкес келеді. Оқулық Қазақстандағы жоғары оқу орындарының тарих, шығыстану мамандықтары студенттері, магистранттары, докторанттары, оқытушыларына, Шығыс елдерінің жаңа заман тарихына қызығатын жалпы оқырман қауымға арналған</t>
  </si>
  <si>
    <t>0000272</t>
  </si>
  <si>
    <t>Шығыс елдерінің жаңа заман тарихы. 2-том</t>
  </si>
  <si>
    <t>0000273</t>
  </si>
  <si>
    <t>Абжаппарова Б.Ж., Тулегенова А.Ж.</t>
  </si>
  <si>
    <t>Ежелгі Шығыс тарихы</t>
  </si>
  <si>
    <t>0000274</t>
  </si>
  <si>
    <t>Абзалова Р.А.</t>
  </si>
  <si>
    <t>Словарь-справочник социального работника</t>
  </si>
  <si>
    <t>Педагогика, Социальный работник</t>
  </si>
  <si>
    <t>0000275</t>
  </si>
  <si>
    <t>Абиев С.А.</t>
  </si>
  <si>
    <t>Заманауи микология</t>
  </si>
  <si>
    <t>оқулық</t>
  </si>
  <si>
    <t>Оқулық микология пәнінің университеттерге (биологиялық, ауылшаруашылық, өсімдік қорғау, жаратылыстану факультеттеріне) арналған типтік бағдарламаларына сәйкес жазылып, студенттерге, магистранттарға, докторанттарға, оқытушыларға және сонымен бірге саңырауқұлақтар әлеміне қызығушылық танытушы жалпы қауымға арналған.Саңырауқұлақтар әлемін зерделеу және жүйелеу заманауи жетістіктер мен соңғы кездері қалыптасып, әлемдік жетекші микологтар қабылдаған көзқарастар негізінде қарастырылған. Осыған орай: 1) саңырауқұлақтардың статусы бөлімнен патшалық деңгейіне көтерілуіне байланысты бұрын класс ретінде саналып келген таксондар «бөлім» статусында қарастырылды; 2) қалташалы саңырауқұлақтардың жыныстық споратүзу қасиетін жоғалтқан топтарынан құралған «жетілмеген саңырауқұлақтар класы» (Deuteromycetes), филогениялық тұрғыда полифилетті (әртүрлі тектерден пайда болған) болуына байланысты жеке класс ретінде жойылғанымен, алуантүрлілігіне, табиғаттағы және шаруашылықтық маңыздылығына (пайдалы, зиянды) байланысты, жеке, дербес топ ретінде қарастырылды. Соңғы кездері қабылданған жүйелерде оомицеттер және оларға туыс топтардың (кілегейлілер, балдырлардың кейбір топтары) «псевдосаңырауқұлақтар», немесе «саңырауқұлақ тәрізді организмдер» деген атаумен Stramenopila патшалығына кіргізілуіне байанысты бұл организмдер оқулықта қарастырылмайды. Пайдаланылған көптеген терминдердің, саңырауқұлақ атауларының, олар қоздыратын аурулардың атауларының қазақша нұсқасы соңғы кездері ғана қолданысқа ене бастауына байланысты, оқырманға түсінікті болу үшін, олардың орысша баламалары, оқулық соңында, шағын сөздік ретінде берілген</t>
  </si>
  <si>
    <t>0000276</t>
  </si>
  <si>
    <t>Абиев Сардарбек</t>
  </si>
  <si>
    <t>Фитопатология. І бөлім</t>
  </si>
  <si>
    <t>Оқулық фитопатология пәнінің универстеттерге (биологиялық, ауылшаруашылық, өсімдік қорғау факультеттеріне) арналған типтік бағдарламаларына сәйкес жазылып, студенттер, магистранттар және оқытушылар қауымына арналған. 
 Оқу құралы екі бөлімнен тұрады: 
 Жалпы бөлім фитопатологияның қалыптасу тарихына, инфекциялық емес және инфекциялық аурулардың сипаттамаларына, қоршаған орта жағдайларының өсімдікке аурудың жұғуы және даму үдерісіне әсерлерін көрсетуге және өсімдікті аурудан қорғау әдіс тәсілдеріне арналған.</t>
  </si>
  <si>
    <t>0000277</t>
  </si>
  <si>
    <t>Фитопатология. ІІ бөлім</t>
  </si>
  <si>
    <t>Арнайы бөлімде ауылшаруашылық дақылдары мен жеміс жидектердің вирустық, бактериялық, саңырауқұлақтық және гүлді паразит өсімдіктер туындататын аурулары, олардың зияндылығы, таралу аймағы, даму ерекшеліктері және олармен күресу шаралары туралы нақты мәліметтер берілген. Ауруға шалдыққан өсімдік органдарының өзгерістерін көрсететін суреттер келтірілген.
 Оқулықта келтірілген көптеген өсімдіктердің, олардың ауруларының және ауру қоздырғыштарын таратушы жәндіктердің, сондай ақ бірқатар биологиялық терминдердің қазақша атаулары (аудармалары) соңғы кездері ғана қолданысқа ене бастауына байланысты, оқырманға түсінікті болу үшін, олардың орысша атаулары жеке шағын сөздік ретінде берілді.</t>
  </si>
  <si>
    <t>0000278</t>
  </si>
  <si>
    <t>Абилдаева Г.Д., Тасыбаева Ш.Б., Абубакирова А.</t>
  </si>
  <si>
    <t>Тағам биотехнологиясына кіріспе пәні бойынша практикалық және семинар сабақтарын орындауға арн.әдіс.нұсқау</t>
  </si>
  <si>
    <t>0000280</t>
  </si>
  <si>
    <t>Абилдаева Р.А., Оспанова А.А., Примкулова Ж.Ж.</t>
  </si>
  <si>
    <t>"Жалпы және молекулалық генетика" пәнінен лабораториялық практикум</t>
  </si>
  <si>
    <t>Зертханалық практикум</t>
  </si>
  <si>
    <t>Зертханалық практикум «Жалпы және молекулалық генетика» пәні бойынша оқу жоспары мен бағдарламасының талаптарына сай құрастырылған, Гибридтік ұрпақтың белгілерінің ыдырауы доминанттылығы, «Менделизм» заңдарымен, сонымен қатар «Тұқымқуалаушылық және сыртқы орта», «Жынысты анықтаудың хромосомалық теориясы», «Тұқымқуалаушылықтың химиялық негіздері» тақырыптары, әдістері мен артықшылықтары, сондай – ақ есептер жинағын қолдану мәні жөнінде толық мәліметтер келтірілген. Зетханалық практикум 5В070100 – Биотехнология мамандығының күндізгі бөлімдегі студенттеріне арналған.</t>
  </si>
  <si>
    <t>0000290</t>
  </si>
  <si>
    <t>Абильгазин Б.И., Сиқымбаев С.Р.</t>
  </si>
  <si>
    <t>Сызба геометрия бойынша қысқаша дәрістік курс</t>
  </si>
  <si>
    <t>Математика, геометрия</t>
  </si>
  <si>
    <t>Қысқаша дәрістік курс жоғары мектептің оқу процесін қарқындату бойынша талаптарға сәйкес құрастырған, оған материалды оқу бағдарламасына сәйкес мұқият таңдау, кескіндерді салудың дидактиталық пішінін баяндаудың қарапайымдылығы және қарастырылатын графикалық объектілердің көрнекті және эпюрлік кескіндерін салыстыру мүмкіндігі есебінен қол жеткізіледі. Сызба геометрия пәні бойынша барлық мамандықтар мен оқу түрлерінің студеттеріне арналған.</t>
  </si>
  <si>
    <t>0000291</t>
  </si>
  <si>
    <t>Абильгазин Б.И., Синчуков А.Н., Цой С.М., Сихимбаев С.Р.,</t>
  </si>
  <si>
    <t>Краткий лекционный курс по Начертательной геометрии</t>
  </si>
  <si>
    <t>Тематика пособия в сущности охватывает 8-10 лекций по основам начертательной геометрии. Материал подобран тщательно, изложение четкое, доступное. Последовательность изложения – логичная. Информационная сущность графических материалов – максимальна, их качество нареканий не вызывает. Для рисунков средней сложности и насыщенности применен метод поэтапного построения изображений, позволяющий акцентировать внимание студентов на каждом конкретном элементе построения.
 Вызывает сожаление, что тематика пособия ограничена слишком узкими рамками часовой сетки (16 – 18 часов), которые практически не позволяют разместить в нем другие материалы курса.
 В целом методическое пособие рекомендуется к опубликованию в виде печатного издания и в Интернете, что будет полезно для студентов и дневной, и заочной формы обучения.</t>
  </si>
  <si>
    <t>0000293</t>
  </si>
  <si>
    <t>Абильдина С.К., Жекибаева Б.А., Асетова Ж.Б.</t>
  </si>
  <si>
    <t>Педагогикалық мамандыққа кіріспе</t>
  </si>
  <si>
    <t>Оқулықта кәсіби педагогикалық іс-әрекеттің мазмұны, прнициптері мен заңдылықтары және оның даму тарихымен байланысты бірқатар мәселелер қарастырылады, сондай оқулық мазмұнында болашақ мұғалім тұлғасының адамгершілік қасиетіне, педагогикалық іс-әрекеттің стильдеріне, педагогикалық қарым-қатынасқа, кәсіби-педагогикалық іс-әрекеттің ерекшеліктеріне, мұғалімнің кәсіби құзыреттілігіне баса назар аударылады.
 Оқулық жоғарғы оқу орындарының «Білім» тобындағы мамандықтар студенттеріне, магистранттарға, оқытушыларға арналған.</t>
  </si>
  <si>
    <t>0000294</t>
  </si>
  <si>
    <t>Абильдинова Г.М.</t>
  </si>
  <si>
    <t>Information communication technologies</t>
  </si>
  <si>
    <t>The proposed educational and methodological manual offers perspective and relevant topics for study in the discipline "Information and Communication Technologies". Topical issues of human-computer interaction, data analysis, data management are considered. The manual is offered as an additional didactic teaching aid, as well as for self-study</t>
  </si>
  <si>
    <t>0000295</t>
  </si>
  <si>
    <t>978-601-13-0689-8</t>
  </si>
  <si>
    <t>Абильмажинова А.К., Мәдібаева Қ.Қ. (Мадибаева К.К.),</t>
  </si>
  <si>
    <t>Абайтану</t>
  </si>
  <si>
    <t>Оқу құралы абайтанудың ғылыми бағыттары негізінде, қазіргі кезеңдегі зерттеу міндеттері ауқымында «Абайтанудағы жаңа бағыттар» таңдауы бойынша пәніне арналып жазылды.
 Студенттер мен магистранттарға, әдебиет зерттеуші мамандарға арналған.</t>
  </si>
  <si>
    <t>0000296</t>
  </si>
  <si>
    <t>Абильмажинова Б.Ж.</t>
  </si>
  <si>
    <t>Іс қағаздар стилінің синтаксисі</t>
  </si>
  <si>
    <t>Қазіргі өркениетті елдерде ақпарат жүйесі өте маңызды роль атқарады. Кімде кім ақпараттан хабары мол болса, онда ол өндірісте, ғылымда, оқуда және т.б. салаларда үлкен табыстарға жетеді. Ал ақпарат қорының көзі құжат болып саналады. Соған орай, құжат мәтінінде өнiмдi қолданылатын синтаксистiк құрылымдар: бұйрықты және хабарлы сөйлемдер, -у тұлғалы қимыл есiмнiң, -у тұлғалы қимыл eciмгe барыс септiгiнiң жалғауы қосылуы арқылы (-уға, -уге) баяндауыш түрiнде жұмсалу үpдici, -у тұлғалы қимыл ecімінің модаль сөздермен тіркесі арқылы, модальдық құрылым -уы, -yi керек, -уы мүмкін, -уі мүмкін құрылымдарының, қабыса байланысқан үшiн шылауының қимыл eciммeн тіркесуі, қимыл eciмнің туралы шылауымен тipкeci, есімшелі және көсемшелі оралымдардың іс қағаздар стилінде қолданылу ерекшеліктері анықталған.</t>
  </si>
  <si>
    <t>0000297</t>
  </si>
  <si>
    <t>Абимульдина С. Т.</t>
  </si>
  <si>
    <t>Азық-түлік өнеркәсібіндегі экобиотехнология</t>
  </si>
  <si>
    <t>Оқулық «Экологиялық биотехнология» және «Азық-түлік өнімдерінің биотехнологиясы» пән бағдарламаларына сәйкес ресімделген және 5В010700 «Биотехнология», 5В072700 - «Азық-түлік өнімдерінің технологиясы» мамандықтарының күндізгі және сырттай нысандарында оқитын студенттері үшін арналған, сондай-ақ 5В060800 «Экология» мамандығының студенттері қолдана алады. Оқулық құрамында экологиялық биотехнологияның негізгі мәселелерінің теориялық және графикалық материалдары бар, қоршаған ортаны қорғау және азық-түлік өнеркәсібі саласындағы процестер үшін микроорганизмдерді пайдалану мәселелері қарастырылады. Студенттерде биотехнологиялық процестердің негізгі заңдылықтарын қолдана отырып, азық-түлік өнеркәсібі саласындағы экологиялық және биотехнологиялық процестерді шешу үшін осы білімді қолдану туралы студенттердің білімін дамытуға бағытталған</t>
  </si>
  <si>
    <t>0000298</t>
  </si>
  <si>
    <t>Абимульдина С.Т.</t>
  </si>
  <si>
    <t>Использование биотехнологических подходов при создании продуктов на мясной и молочной основе</t>
  </si>
  <si>
    <t>В монографии на основе нового биотехнологического подхода разработана пищевая добавка – натуральный биологический корректор (НБК), обладающий лечебно-профилактическим действием. В дальнейшем экспериментальным путем научно-обосновано описаны формы введения данной НБК в продукты питания на мясной и молочной основе. Книга представляет интерес для преподавателей и обучающихся по специальности технические науки и технологии. 
 In the monograph, a food supplement, natural biological checker (NSC) with a therapeutic and preventive action, is developed on the base of a new technological approach. Later, forms of the introduction of the NSC to dairy and meat-based foods are scientifically reasonably described in the form of the experiment.
 The book is of interest to teachers and students majoring in engineering science and technology.</t>
  </si>
  <si>
    <t>0000299</t>
  </si>
  <si>
    <t>Общая экология</t>
  </si>
  <si>
    <t>Учебное пособие предназначено для изучения курса «Экология» при подготовке специалистов – экологов. Оно может быть использовано также студентами – биологами и магистрами соответствующего профиля.</t>
  </si>
  <si>
    <t>0000300</t>
  </si>
  <si>
    <t>Абимульдина С.Т. , Поух М.М. , Н.К.Ахметова, Л.М.Сарлыбаева</t>
  </si>
  <si>
    <t>Экобиотехнологии 
 в пищевой промышленности</t>
  </si>
  <si>
    <t>Учебное пособие составлено в соответствии с программами дисциплин «Экологическая биотехнология» и «Пищевая биотехнология» предназначено для студентов специальности 5В 070100 - «Биотехнология», 5В 07..00 «Технология продуктов питания» дневной и заочной форм обучения, а также может использоваться студентами специальности 5В060800 «Экология». В нем даны основные термины и понятия в области биотехнологии, описаны процессы получения полезных веществ с помощью клеток микроорганизмов. Более подробно рассмотрены вопросы, касающиеся наиболее перспективных и развивающихся отраслей данной науки – пищевой и экологической биотехнологий</t>
  </si>
  <si>
    <t>0000305</t>
  </si>
  <si>
    <t>Абишев К. Б.</t>
  </si>
  <si>
    <t>Философия ІІІ-изд (каз.)</t>
  </si>
  <si>
    <t>0000306</t>
  </si>
  <si>
    <t>Абишева /Abisheva M.B., Kylyshbaeva G.B.</t>
  </si>
  <si>
    <t>Plant anatomy and morphology</t>
  </si>
  <si>
    <t>manual book</t>
  </si>
  <si>
    <t>This manual book is made on the basis of all information that are necessary for executing the students’ self works and according to the standards of type studying programmers in discipline ««Plant anatomy and morphology». It is dedicated for the students of the specialty, 5V011300 - Biology».</t>
  </si>
  <si>
    <t>0000307</t>
  </si>
  <si>
    <t>Абишева В.Т.</t>
  </si>
  <si>
    <t>Ответственность журналиста (С позиции журналистской деонтологии)</t>
  </si>
  <si>
    <t>Журналистика</t>
  </si>
  <si>
    <t>0000308</t>
  </si>
  <si>
    <t>Электронные СМИ: язык и стиль</t>
  </si>
  <si>
    <t>0000309</t>
  </si>
  <si>
    <t>Абишева К.М.</t>
  </si>
  <si>
    <t>Интеграция знаний в теории и практике гуманистического воспитания</t>
  </si>
  <si>
    <t>0000312</t>
  </si>
  <si>
    <t>Абишева Т.О.</t>
  </si>
  <si>
    <t>Биогеография негіздері</t>
  </si>
  <si>
    <t>0000313</t>
  </si>
  <si>
    <t>Экологиялық білім мен салауатты өмір салтын қалыптастыру</t>
  </si>
  <si>
    <t>0000314</t>
  </si>
  <si>
    <t>Абсатиров Г.Г., Кушалиев К.Ж., Сидорчук А.А., Таубаев У.Б.</t>
  </si>
  <si>
    <t>Причины и факторы влияющие на популяцию сайгаков в Западном Казахстана</t>
  </si>
  <si>
    <t>В монографии обобщены некоторые результаты научных исследований проведенных в 2011-2014 гг., по выяснению ричин массового падежа сайгаков в Западно-Казахстанской области. На основании комплексных эпизоотологических, микробиологических, патоморфологических, клинических, геоботанических, токсикологических инструментальных исследований, было дано эколого-эпизоотологическое обоснование массового падежа животных, в результате возникновения и развития ассоциации клостридиозной и пастереллезной инфекции. Также определены биотические, биотические и антропогенные факторы оказывающие влияние на популяцию сайгаков в регионе. Издание ориентировано на ветеринарных специалистов, биологов, экологов научных работников, преподавателей узов и школ, студентов, магистрантов, докторантов обучающихся по этим специальностям, а также может быть полезна специалистам в сфере природопользования и охраны природы</t>
  </si>
  <si>
    <t>0000315</t>
  </si>
  <si>
    <t>Абсаттарова К.С.</t>
  </si>
  <si>
    <t>ПЭЕМ жүмыс істеу кезіндегі енбек гигиенасы.</t>
  </si>
  <si>
    <t>Информ. Технологии</t>
  </si>
  <si>
    <t>0000318</t>
  </si>
  <si>
    <t>Абубакирова А., Тасыбаева Ш.Б., Оспанова А.</t>
  </si>
  <si>
    <t>Биотехнологиялық өндірісті қалдықсыз технологиясын құру пәні бойынша практикалық сабақтарға арналған әдіс.нұсқау</t>
  </si>
  <si>
    <t>0000323</t>
  </si>
  <si>
    <t>Абықанова Б.Т. , А.М. Абзалханова, Н.Н. Будищева, Е.Н. Васильева, Е.В. Васильеваның, Г.М. Құсаиновтың редакциялық басшылығымен</t>
  </si>
  <si>
    <t>2030 жылға дейінгі Қазақстан Республикасындағы білім беру және ғылымды дамыту тұжырымдамасы</t>
  </si>
  <si>
    <t>Психология, педагогика</t>
  </si>
  <si>
    <t>Құжатта академик В. К. Дьяченко әзірлеген оқыту мен білім беруді ғылым ретінде жаңа дидактиканың теориялық-әдіснамалық және базалық ережелері, Қазақстан мен Ресейдің жалпы білім беретін мектептері мен жоғары оқу орындарының инновациялық тәжірибесі негізінде Қазақстандағы және әлемдегі білім беру дағдарысының басты себебі анықталады және білім мен ғылымды дамытудың ғылыми негізделген негізгі бағыты ұсынылады. 
 Гуманитарлық колледждердің, педагогикалық жоғары оқу орындары мен университеттердің білім алушыларына, қосымша кәсіптік білім беру жүйесінің тыңдаушылары мен жаттықтырушыларына, педагогикалық және ғылыми қызметкерлерге, білім беру және ғылым ұйымдарының басшыларына арналған.
 Барлық ескертулер мен ұсыныстарды www.ksodidactic.kz сайтына немесе Ksovaron@gmail.com электронды поштасына жіберулеріңізге болады.</t>
  </si>
  <si>
    <t>0000324</t>
  </si>
  <si>
    <t>Концепция развития образования и науки Республики Казахстан до 2030 года</t>
  </si>
  <si>
    <t>В документе на основе теоретико-методологических и базовых положений новой дидактики как науки об обучении и образовании, разработанной академиком В.К.Дьяченко, инновационного опыта общеобразовательных школ и вузов Казахстана и России, определяется главная причина кризиса образования в Казахстане и в мире и предлагается научно обоснованный основной вектор развития (не совершенствования) образования и науки.
 Адресуется обучающимся гуманитарных колледжей, педагогических вузов и университетов, слушателям и тренерам системы дополнительного профессионального образования, педагогическим и научным работникам, руководителям организаций образования и науки.
 Все замечания и предложения направляйте на сайт www.ksodidactic.kz или электронную почту e-mail: Ksovaron@gmail.com.</t>
  </si>
  <si>
    <t>0000327</t>
  </si>
  <si>
    <t>Абылкалыкова Р. Б.</t>
  </si>
  <si>
    <t>Курс лекций по физике. Часть первая (Механика. Молекулярная физика. Термодинамика. Электричество. Магнетизм)</t>
  </si>
  <si>
    <t>Настоящее учебное пособие является первой частью учебного пособия «Курса лекций по физике» для студентов инженерно-технических и строительных специальностей ВКГТУ им. Д. Серикбаева.
 Оно включает теоретический материал по основным главам дисциплины, охватывающее разделы физики от механики до магнетизма включительно. 
 Учебное пособие предназначено для студентов очной и заочной форм обучения при кредитной системе образования.</t>
  </si>
  <si>
    <t>0000328</t>
  </si>
  <si>
    <t>Абылкалыкова Р. Б., Қуанышбеков Т.Қ., Казбеков Т.М.,</t>
  </si>
  <si>
    <t>Материалдар кедергісі 5В080600 – «Аграрлық техника және технология», 5В012000 – «Кәсіптік оқыту», 5В072800 – «Өңдеу өндірістерінің технологиясы»</t>
  </si>
  <si>
    <t>Оқу-әдістемелік құрал</t>
  </si>
  <si>
    <t>Транспорт, транспртная технология, агро</t>
  </si>
  <si>
    <t>Әдістемелік құралда теориялық материалдар және пәннің негізгі бөлімдерінің есептері берілген. Әдістемелік құрал көмегімен студенттер практикалық және дәрістік сабақтарға дайындала алады. 
 Құралда деформация түрлері, механикалық элементтердің және машинажасаудың сызбалары, қаттылыққа және төзімділікке арналған есептер берілген.</t>
  </si>
  <si>
    <t>0000333</t>
  </si>
  <si>
    <t>Абылкасимова Ж.А., Алибаева М.М.</t>
  </si>
  <si>
    <t>Практикум по курсу «Ценообразование»</t>
  </si>
  <si>
    <t>В условиях рыночной экономики цена и ценообразование имеют ключевое значение для всех участников рынка. Цена опосредствует все товарно-денежные отношения. Практикум по курсу «Ценообразование» содержит типовые задачи с примерами их решения, тестовые задания, а также условия задач для самостоятельного решения, формулы, используемые при решении задач.</t>
  </si>
  <si>
    <t>0000334</t>
  </si>
  <si>
    <t>Абылкасимова Ж.А., Орынбекова Г.А., Алибаева М.М.</t>
  </si>
  <si>
    <t>Экономика предприятия</t>
  </si>
  <si>
    <t>Учебное пособие написано в соответствии с программой курса и в нем рассматриваются основные теоретические и практические вопросы экономики предприятия.
  Пособие предназначено для студентов кредитной технологии обучения и начинающих преподавателей, а также всем, кто самостоятельно желает освоить данный курс</t>
  </si>
  <si>
    <t>0000335</t>
  </si>
  <si>
    <t>Ценообразование</t>
  </si>
  <si>
    <t>В современных условиях развития экономики цена и ценообразование имеют ключевое значение для всех участников рынка. Цена опосредствует все товарно-денежные отношения. В силу этого, теоретические и практические вопросы цены и рыночного ценообразования, которые рассматриваются в данном курсе, будут представлять практический интерес для всех хозяйствующих субъектов. Учебное пособие также рекомендовано студентам, магистрантам экономических специальностей.</t>
  </si>
  <si>
    <t>0000336</t>
  </si>
  <si>
    <t>Практикум по дисциплине «Экономика предприятия»</t>
  </si>
  <si>
    <t>Предлагаемые в пособии задания составлены таким образом, чтобы повысить эффективность обучения, помочь студентам углубить свои знания по изучаемому предмету.
 В сборник включены задачи, упражнения и тесты по основным темам. Количество заданий по каждой теме курса дифференцированно в зависимости от ее важности, сложности и возможностей использования приобретенных знаний и навыков в практике работы экономиста.
 Для студентов экономических специальностей</t>
  </si>
  <si>
    <t>0000337</t>
  </si>
  <si>
    <t>Абылкасова Г.Е.</t>
  </si>
  <si>
    <t>Теоретические основы органической химии</t>
  </si>
  <si>
    <t>Учебное пособие разработано в соответствии с ГОСО и типовой программой специальности 5В060600 «Химия». В нем освещаются теоретические основы строения предельных, непредельных, ароматических углеводородов и научные подходы к изучению механизмов химических реакций, характерных для этих соединений. В данное пособие также включены упражнения и задачи, вопросы самоконтроля по рассматриваемым разделам. Пособие предназначено для студентов химических, биологических и экологических специальностей, а также для преподавателей и магистрантов.</t>
  </si>
  <si>
    <t>0000338</t>
  </si>
  <si>
    <t>Химия функциональных производных органических молекул</t>
  </si>
  <si>
    <t>Учебное пособие разработано в соответствии с ГОСО и типовой программой специальности 5В060600 «Химия». В нем освещаются теоретические основы строения функциональных производных предельных, непредельных, ароматических углеводородов и научные подходы к изучению механизмов химических реакций, характерных для этих соединений. В данное пособие также включены упражнения, задачи, тестовые вопросы самоконтроля по рассматриваемым разделам. Пособие предназначено для студентов химических, биологических и экологических специальностей, а также для преподавателей и магистрантов.</t>
  </si>
  <si>
    <t>0000345</t>
  </si>
  <si>
    <t>Авизова А.Қ.</t>
  </si>
  <si>
    <t>Археология. (каз.яз.)</t>
  </si>
  <si>
    <t>0000346</t>
  </si>
  <si>
    <t>Дүниежүзілік өркениеттер тарихы</t>
  </si>
  <si>
    <t>Ежелгі заманнан XXI ғасырдың басына дейінгі дәуірдегі ең ірі өркениеттер тарихы бойынша материалдардың негізінде оқу құралы дүниежүзілік өркениеттік процестің негізгі заңдылықтары мен беталыстары туралы ұғым береді. Схемалар мен кестелер студенттерге осы пәнді терең игеру үшін бағыт береді.</t>
  </si>
  <si>
    <t>0000347</t>
  </si>
  <si>
    <t>Қазақстанның тас ғасыры</t>
  </si>
  <si>
    <t>0000350</t>
  </si>
  <si>
    <t>Ағабекова С.С.</t>
  </si>
  <si>
    <t>Музыкалық тәрбие теориясы мен әдістемесі</t>
  </si>
  <si>
    <t>Оқу құралы 5В010100 - «Мектепке дейінгі оқыту мен тәрбиелеу» мамандығының студенттеріне арналған.
 Оқу құралы Музыкалық тәрбие теориясы мен әдістемесі пәннің оқу жоспары мен бағдарламасының талаптарына сәйкес құрастырылған және курстың тапсырмаларын орындауға қажетті барлық мәліметтерді қамтиды.
 Оқу құралының негізгі міндеттері – студенттерге пәннің мазмұны туралы мағлұмат беру, мектепке дейінгі балалармен музыкалық жұмыстың әдістемесін меңгерту, музыкалық қызметке қажетті кәсіби педагогикалық сапасын қалыптастыру, музыкалық қызметке қызығушылығын туғызу және студенттердің музыкалық кәсіби шеберлігін дамыту.
 Оқу құралы 5В010100 - «Мектепке дейінгі оқыту мен тәрбиелеу» мамандығының студенттеріне арналған.
 Оқу құралы Музыкалық тәрбие теориясы мен әдістемесі пәннің оқу жоспары мен бағдарламасының талаптарына сәйкес құрастырылған және курстың тапсырмаларын орындауға қажетті барлық мәліметтерді қамтиды.
 Оқу құралының негізгі міндеттері – студенттерге пәннің мазмұны туралы мағлұмат беру, мектепке дейінгі балалармен музыкалық жұмыстың әдістемесін меңгерту, музыкалық қызметке қажетті кәсіби педагогикалық сапасын қалыптастыру, музыкалық қызметке қызығушылығын туғызу және студенттердің музыкалық кәсіби шеберлігін дамыту.</t>
  </si>
  <si>
    <t>0000351</t>
  </si>
  <si>
    <t>Агадилова Ж.М., Кунжигитова Г.Б.</t>
  </si>
  <si>
    <t>Основы дизайна</t>
  </si>
  <si>
    <t>Учебное пособие посвящено научно-теоретическому обоснованию содержания дисциплины «ОСНОВЫ ДИЗАЙНА». Главное внимания уделяется основным принципам гармонизации Дизайна, выделены основные закономерности восприятия Дизайна, выявлена его специфика и определена взаимосвязь с практическим применением колористических знаний. 
 Учебное пособие предназначено для студентов специальности 5В042100-Дизайн.</t>
  </si>
  <si>
    <t>0000352</t>
  </si>
  <si>
    <t>Агибаев А.Ж., С.Ысқақ, Р.Д.Карбозова</t>
  </si>
  <si>
    <t>Зиянды нематодалар, кенелер және кеміргіштер</t>
  </si>
  <si>
    <t>Оқу құралы ауыл шаруашылық оқу орындарына арналған бағдарлама бойынша жазылды. Кітап жазу барысында республика ерекшеліктеріескеріліп, негізіненҚазақстан жағдайында кездесетін мәдени өсімдіктердің зиянды нематодолары, кенелері және кеміргіштері қаралды. оқу құралы өсімдік қорғау мамндарын және мамандануын дайындауда студенттерге, сол сияқты арнаулы оқу орныдарының өсімдік қорғау агрономдарын дайындайтын бөлімдердің оқушыларына арналған. Кітап ана тілінде тұңғыш рет жарық көріп отыр.</t>
  </si>
  <si>
    <t>0000353</t>
  </si>
  <si>
    <t>Агибаев А.Ж., Тулеева А.К., Сулейменова З.Ш.</t>
  </si>
  <si>
    <t>Ауылшаруашылық дақылдарын зиянкестер мен аурулардан қорғау</t>
  </si>
  <si>
    <t>Оқу құралында ауылшаруашылық дақылдарына зиян келтіретін зиянкестердің морфологиясы, биологиясы, зияндылығы; негізгі ауруларының түр құрамы, олардың сыртқы белгілері, қоздырғыштардың биологиялық ерекшеліктері, дамуына қолайлы жағдайлар; зиянкестер мен аурулардың алдын алу және күресу шаралары туралы мәліметтер берілген. Зертханалық – практикалық сабақтарды орындау үшін тапсырмалар мен сұрақтар дайындалған. Оқу құралы жоғары оқу орындарының өсімдік қорғау және карантин, агрономиялық саладағы басқа да мамандықтар бойынша дайындалатын студенттерге және ауылшаруашылық өндірісі мамандарына арналған.</t>
  </si>
  <si>
    <t>0000354</t>
  </si>
  <si>
    <t>Агманова А.Е</t>
  </si>
  <si>
    <t>Усвоение второго языка: проблемы теории и методологии исследования</t>
  </si>
  <si>
    <t>В учебном пособии освещаются основные аспекты теории усвоения второго языка, дается представление о существующих гипотезах и моделях овладения вторым языком, рассматриваются различные исследовательские подходы, использование которых позволяет всесторонне изучить закономерности формирования вторичной языковой личности. Пособие направлено на формирование у обучающихся знаний современных методов изучения механизмов усвоения второго языка, выработку навыков их практического применения в зависимости от аспекта исследования. 
  Пособие предназначено для студентов, магистрантов и преподавателей филологических факультетов вузов.</t>
  </si>
  <si>
    <t>0000364</t>
  </si>
  <si>
    <t>Агыбаев А.Н.</t>
  </si>
  <si>
    <t>Ответственность за отдельные виды коррупционных правонарушений по новому уголовному кодексу Республики Казахстан</t>
  </si>
  <si>
    <t>В настоящей работе дан юридический анализ составам отдельных видов коррупционных преступлений нового Уголовного Кодекса РК, который действует с 1 января 2016 года. Адресуется бакалаврам, докторантам, работникам правоохранительных органов и судебных систем, а так же всем, кто интересуется вопросами борьбы с коррупцией в Республике 
 Казахстан.</t>
  </si>
  <si>
    <t>0000365</t>
  </si>
  <si>
    <t>Қазақстан Республикасының мемлекет және құқық негіздері. Том-1</t>
  </si>
  <si>
    <t>Оку куралы әл-Фараби атындағы Қазақ ұлттык университеті заң факультеті Ғылыми Кеңесінің шешімі бойынша жарық көрген. Еңбекте мемлекет және құкық пәнінің әртүрлі салалары мемлекеттік тілде тусінікті әрі нақты мысалдар келтіріле отырып жан-жақты талданған, тусініктер мен мәліметтер толық берілген, сондай-ақ кұқықтық актілер ұсынылған.</t>
  </si>
  <si>
    <t>0000366</t>
  </si>
  <si>
    <t>Қазақстан Республикасының мемлекет және құқық негіздері. Том-2</t>
  </si>
  <si>
    <t>0000367</t>
  </si>
  <si>
    <t>Сот құжаттарының үлгілері</t>
  </si>
  <si>
    <t>Азаматтық және қылмыстық істер бойынша дайыңдалатын сот құжаттары үлгілерінің жинағы қазак тілінде түңғыш рет шығарылып отыр.
 Кітап сот, прокуратура, адвокаттар апқасының, соңдай-ақ ішкі істер, әділет органдарының қызметкерлері мен заң оқу орыңдары студенттеріне арналған.</t>
  </si>
  <si>
    <t>0000368</t>
  </si>
  <si>
    <t>Ағыбаев А.Н. (Агыбаев), Қожаниязов А.Т.</t>
  </si>
  <si>
    <t>Парақорлық үшін қылмыстық жауаптылық</t>
  </si>
  <si>
    <t>Оку кұралында парақорлық қүрамына қылмыстық қүқыктық және криминологиялық талдау жасалған. Осыған орай сыбайлас жемқорлықтың ұғымы, оның қылмыстық-кұқықтық көрінісі, паракорлық пен сыбайлас жемқорлықтың өзара байланысы, парақорлық қүрамының объективтік және субъективтік белгілері, парақорлыктың жекелеген түрлері — пара алу, парақорлыққа делдалдық, пара беру үшін қылмыстық жауаптылық мәселелері, парақорлық қылмыстылығының криминологиялык сипаттамасына анықтамалар берілген. Бүл жұмыста сондай-ақ парақорлыққа қарсы бағытталған заңдарды жетілдіру жөніндегі ғылыми ұсыныстар да бар.</t>
  </si>
  <si>
    <t>0000370</t>
  </si>
  <si>
    <t>Ағыбаев Қ., Молдабеков Ә.</t>
  </si>
  <si>
    <t>Біздің сайт:« Dashty Kypchak» 2кітап</t>
  </si>
  <si>
    <t>«Дешті қыпшақ» интернет-сайты әл-Фараби атындағы Қазақ Ұлттық Университеті мен журналистика факультетінің білім беру мен ағарту саласында атқарып жатқан еңбектерін, сондай-ақ, қазақстандық белгілі ғалымдардың, зерттеушілердің, жазушылар мен журналистердің, студенттердің материалдары мен ғылыми мақалаларын жариялап тұрады. Қазақ елінің өткен тарихы мен бүгінгі өмірі, университет туралы имидждік фотолар, аудиовизуалды материалдар электронды формат түрінде сайттан орын алған. «Дешті қыпшақ» интернет-сайты еліміздегі көрнекті тұлғалар мен қазақстан ғалымдары, ағартушылары туралы мол деректер мен мәліметтер жинап, олардың еңбектерін насихаттауда ақпараттық-танымдық қызмет көрсетеді. Сонымен қатар, сайт - әл-Фараби атындағы Қазақ Ұлттық Университеті мен ондағы журналистика факультетінің оқу-білім беру үдерісін, үздік оқу- әдістемеліктерді де оқырмандарға таныстырып отырады.</t>
  </si>
  <si>
    <t>0000381</t>
  </si>
  <si>
    <t>Адамкулов Н. М., Кәкейқызы Кырғауыл</t>
  </si>
  <si>
    <t>Қолөнерде терме бау өнерін үйрету әдістері</t>
  </si>
  <si>
    <t>«Қолөнерде терме бау өнерін үйрету әдістері» атты оқулық І.Жансүгіров атындағы Жетісу мемлекеттік университетінің "Бейнелеу өнері және дизаин" кафедрасының ғылыми кеңесінде кеңінен талқыланып мақұлданды.
 «Термебау», қазақ халқының қолөнері саласындағы сөніп бара жатқан өнерінің бірі. Өйткені еліміздің кейбір іріктеліп алынған салалары болмаса көбіне қолданылмай, еленбей, жоғалып бара жатқан өнері деп айтуға болады. Қазіргі кезде Қызылорда өңірінде бірең–сараң қолданыста болғанымен көбіне Қытай, Монғолия қазақтары өндірісте басым қолданып келеді. Қазіргі кезде бұл оқулық термебау өнерінің түрін қайта жаңғырту үшін ұсынылып отыр. Оқулық жалпы білім беретін мектептердегі «Технология» мамандығына арналады.</t>
  </si>
  <si>
    <t>0000382</t>
  </si>
  <si>
    <t>Мектептегі термебау өнері</t>
  </si>
  <si>
    <t>«Термебау», қазақ халқының қолөнері саласындағы сөніп бара жатқан өнерінің бірі. Өйткені еліміздің кейбір іріктеліп алынған салалары болмаса көбіне қолданылмай, еленбей, жоғалып бара жатқан өнері деп айтуға болады. Қазіргі кезде Қызылорда өңірінде бірең–сараң қолданыста болғанымен көбіне Қытай, Монғолия қазақтары өндірісте басым қолданып келеді. Қазіргі кезде бұл оқулық термебау өнерінің түрін қайта жаңғырту үшін ұсынылып отыр. Оқулық жалпы білім беретін мектептердегі «Технология» мамандығына арналады.
 «Мектептегі термебау өнері» атты оқулық Қазақ мемлекеттік қыздар педагогика университеті «Кәсіптік білім» кафедрасының және облыстық мұғалімдер білімін дамыту институты ғылыми кеңесінде кеңінен талқыланып мақұлданды.</t>
  </si>
  <si>
    <t>0000383</t>
  </si>
  <si>
    <t>Адамкулов Н.М., Жаскиленова А.Е., Хасенова Э.К.</t>
  </si>
  <si>
    <t>Дизайндағы жарнама және баспа графикасы</t>
  </si>
  <si>
    <t>Окулық</t>
  </si>
  <si>
    <t>ИЗО, живопись, дизайн</t>
  </si>
  <si>
    <t>Бұл оқулық дизайн мамандығы білім жүйесіндегі «Жарнама және баспа графикасы» пәніне, жоғары оқу орындарының дизайн мамандығы білімгерлеріне арналып ұсынылып отыр. Оқулықта жарнама мамандығы сондай-ақ заманауй дизайн материалдары, оқытушы профессорлар құрамының іс-тәжірибелері, әдістемелік басқару жұмыстарының педагогикалық өзектілігі қамтылады.</t>
  </si>
  <si>
    <t>0000384</t>
  </si>
  <si>
    <t>Адамкулов Н.М., Жаскиленова А.Е., Қыстаубаева Б.Қ.</t>
  </si>
  <si>
    <t>Замануи дизайн. (5В042100-Дизайн мамандығының студенттеріне арналған)</t>
  </si>
  <si>
    <t>Дизайн</t>
  </si>
  <si>
    <t>Оқу-әдістемелік құралда 5В042100 – Дизайн мамандығына арналған Заманауи дизайн пәні бойынша аталған оқу-әдістемелік құралында дизайнның тарихы және даму жолдары, дизайн түрлері, Виктория сәулеті, Қазақстандағы сәулет өнері, дизайндағы жобалау әдістері, компьютерлік графика, компьютерлік бағдарламаларды қолдана отырып білімгерлердің шығармашылық қабілеттерін арттыру мүмкіндіктері, мәселелері қарастырылған. Оқу-әдістемелік құрал 5В042100 – Дизайн мамандығының білімгерлеріне және дизайн саласы пәндері бойынша оқытушыларына арналған.</t>
  </si>
  <si>
    <t>0000385</t>
  </si>
  <si>
    <t>Адамкулов Н.М., Түрікпенова С.Ж.</t>
  </si>
  <si>
    <t>Көркем еңбек</t>
  </si>
  <si>
    <t>Бұл оқу-әдістемелік құралы бейнелеу өнерінің негізі саналатын сурет өнеріне оқу және қоршаған ортаның болмысын бейнелеу арқылы зерттеу мен меңгеру жолдарын білуді көздейді. Теориялық білімді оқып - үйрену тәжірибелерімен ұштастыра білуге және сурет өнерінің түрлері мен әдістерін меңгеруге жол сілтейді. Оқу-әдістемелік құрал өнер саласындағы мамандықтарының білімгерлеріне және өнер саласы пәндері бойынша оқытушыларына арналған.</t>
  </si>
  <si>
    <t>0000386</t>
  </si>
  <si>
    <t>Адамқұлов Н.М. (Адамкулов)</t>
  </si>
  <si>
    <t>Кәсіптік оқыту әдістемесі</t>
  </si>
  <si>
    <t>Бұл еңбек кәсіптік білім жүйесіне, жалпы білім беретін мектептердегі «Технология» пәні мұғалімдеріне және жоғары оқу орындарының білімгерлеріне арналып ұсынылып отыр. Оқулықта мұғалімдердің іс-тәжірибелері, оқытушылардың әдістемелік басқару жұмыстарының педагогикалық өзектілігін қамтиды. Оқу – әдістемелік құрал “Кәсіптік білім” мамандығы бойынша мектептерде, арнаулы оқу орындарында, колледждерде оқитын білімгерлерге, технология пәнінің қазіргі таңдағы сабақтардың оқытудың формалары мен дидактикалық принциптері, әдіс-тәсілдері, курстық, диплом және де педагогикалық іс-тәжірибені өту әдістемесі туралы материалдар қамтылған.</t>
  </si>
  <si>
    <t>0000387</t>
  </si>
  <si>
    <t>Технология пәнін оқыту әдістемесі</t>
  </si>
  <si>
    <t>Бұл еңбек Абай атындағы Қазақ ¥ПУ, «Этнокөркеммэдениет» оку ғылыми-шығармашылық орталығында жазьшып, жоғары оқу орындарындағы «Кәсіптік білім» жүйесіне жэне «Технология» пәні мұғалімдеріне арналып ұсынылып отыр. Оқулықта технология пәнін оқыту жұмыстарының педагогикалық өзектілігі қамтьшады. Оқу - әдістемелік құрал “Кәсіптік білім” мамандығы бойынша арнаулы оқу орындарында, колледждерде оқитын білімгерлерге, технология пәнінің қазіргі тандағы сабақтарды оқытудың формалары мен дидактикалық принциптері, әдіс-тэсілдері, жэне де педагогикалық іс-тэжірибені өту әдістемесі туралы материалдар қамтьшған.</t>
  </si>
  <si>
    <t>0000388</t>
  </si>
  <si>
    <t>Жүн бұйымдарының технологиясы</t>
  </si>
  <si>
    <t>Бұл еңбек жүннен жасалатын қазақ ұлттық бұйымдарыньң күнделікті қолданыста болатын түрлерін үйретуге талпынады. Мұндағы этнопедагогикадағы жүн өндеу, бояу, басу т.б. әдіс-тәсілдерін, киіз басу, өрнектер қолданысын береді, сондай-ақ өнер сүйгіш қалың оқырман қауымға арналады. Бұл оқулық анықтаманың қызметін де атқара алады. Оқулықта авторлар тоқылмаған материалды киіздің беріктік қасиетін ұлғайту мақсатында жібек қиындыларын қосуды кеңінен карастырған, жүн бұйымдарының технологиясын барынша түбегейлі көрсетуге, түсіндіруге тырысқан.</t>
  </si>
  <si>
    <t>0000389</t>
  </si>
  <si>
    <t>Мектептегі технология</t>
  </si>
  <si>
    <t>Бұл еңбек жалпы білім беретін мектептерге арналған «Технология» пәніне және кәсіптік білім жүйесіне, сондай-ақ жоғары оқу орындарының студенттеріне арналған кең көлемді оқулық ретінде ұсынылып отыр. Оқулықтың құндылығы авторлардың көп жылдық ғылыми-теориялық және әдістемелік тәжірибесінің нәтижесінде «Технология» пәнін оқыту үрділерін, сарамандық әдістерін түсіндіруге талпынғандығы</t>
  </si>
  <si>
    <t>0000390</t>
  </si>
  <si>
    <t>қаз</t>
  </si>
  <si>
    <t>Оқушыларды қолөнерге үйрету әдістемесі</t>
  </si>
  <si>
    <t>Бұл еңбек жалпы білім беретін мектептерге арналған «Технология» пәніне және кәсіптік білім жүйесіне, сондай-ақ жоғары оқу орындарының студенттеріне арналған кең көлемді оқулық ретінде ұсынылып отыр. Оқулықтың құндылығы авторлардың көп жылдық ғылыми-теориялық және әдістемелік тәжірибесінің нәтижесінде «Технология» пәнін оқыту үрділерін, сарамандық әдістерін түсіндіруге талпынғандығы.</t>
  </si>
  <si>
    <t>0000391</t>
  </si>
  <si>
    <t>Әдістемелік басқару</t>
  </si>
  <si>
    <t>Бұл еңбек Абай атындағы Қазақ ҰПУ, «Этнокөркеммәдениет» оқу ғылыми-шығармашылық орталығында жазылып, кәсіптік білім жүйесіне және жоғары оқу орындарына, сондай-ақ өнер сүйгіш қалың оқырман қауымдарға арналып ұсынылып отыр. Оқулықта оқытушылардың әдістемелік басқару жұмыстарының педагогикалық өзектілігін қамтиды. Оқу – әдістемелік құрал “Кәсіптік білім” мамандығы бойынша арнаулы оқу орындарында, колледждерде оқитын білімгерлерге, технология пәнінің қазіргі таңдағы сабақтардың оқытудың формалары мен дидактикалық принциптері, әдіс-тәсілдері , курстық, диплом және де педагогикалық іс-тәжірибені өту әдістемесі туралы материалдар қамтылған.Жоғары оқу орнына арналған оқулық</t>
  </si>
  <si>
    <t>0000392</t>
  </si>
  <si>
    <t>Қазақ ұлттық киімі мен қолөнер тарихы</t>
  </si>
  <si>
    <t>Аталған оқулықта жалпы білім беретін мектептердегі «Технология» пәнінің және жалпы «Қазақстанның мәдениет тарихы» мәселелері жан-жақты қаралған. Тақырыптық мәселелер қазақ киімі және қолөнер тарихын даму үрдісін түсіну және зерттеу жұмыстарының тың материалдары ұсынылған және дизайнның қазыргі замандағы өрбу жағдайларын талдауда оқушы-жастардың эстетикалық ой-өрісінің қалыптасуы қамтылған.
 Оқу құралы Технология пәні мұғалімдеріне, жоғары оқу орнының студенттеріне, магистранттарға, окытушыларға және өнертанушылар мен өнер саласындағы мамандарға арналған.</t>
  </si>
  <si>
    <t>0000393</t>
  </si>
  <si>
    <t>Бейнелеу өнерін оқыту әдістемесі. Академиялық сурет салу үрдісінің теориялық - әдістемелік нұсқаулары</t>
  </si>
  <si>
    <t>Бұл оқулық бейнелеу өнері мамандығынын академиялық сурет, кескіндеме, жобалау, әдістемелік және т.б. пәндерге қатысты мектеп мұғалімдеріне, жалпы орта білімге, кәсіптік білім жүйесіндегі колледждерге, лицейлерге және жоғары оқу орындарының сурет және графика факултеті студенттеріне, сондай-ак өнер сүйгіш қалың оқырман қауымдарға арналған. Окулықта академиялық суреттің нактылы бейнесін қарап салу процесіндегі үйлесімділігі, перспективаның құрылымы, жарық және көлеңкенің сипатгары және кейбір теориялық және әдістемелік нұсқаулары мен талаптары қамтыпады.</t>
  </si>
  <si>
    <t>0000394</t>
  </si>
  <si>
    <t>Адамқұлов Н.М. (Адамкулов)
 Құлжабаев Е.У.</t>
  </si>
  <si>
    <t>Тері өңдеу өнері</t>
  </si>
  <si>
    <t>Оқу-әдістемелік құралы тері өңдеу шеберлігіне, одан бұйымдар жасауға, оның ішіндегі өрім өнерін ұлттық нақышта игеруге бағытталған. Оқушылар және білімгерлер теріні өңдеуден мағлұмат ала отырып үш өрімнен бастап таспа өрімдердің күрделі түрлерін арнаулы сызбалардың көмегімен еркін игеріп кетуіне барынша мүмкіндік жасалынған. Оқушылар өрімнің сызбасы арқылы қамшы, айыл, тартпа, жүген, құйысқан, өмілдірік және т.б. бұйымдарды өріп дайындай алады. Сондай-ақ аталған әдістемелік құрал өнер сүйгіш көпшілік қауымға арналған.</t>
  </si>
  <si>
    <t>0000395</t>
  </si>
  <si>
    <t>Адамқұлов Н. М.</t>
  </si>
  <si>
    <t>Қазақтың қолөнері арқылы студенттердің кәсіптік іс – әрекетін қалыптастырудың теориялық және тәжірибелік негіздері 1 Том</t>
  </si>
  <si>
    <t>ҚР президенті Н.А. Назарбаевтың, «Мемлекетіміздің әлемдегі бәсекелестікке қабілетті елу елдер қатарына қосылу» - бағдарламасына сәйкес білім мен ғылым және т.б. жаңалық-өзгерістерімен бірге, «Отандық өнер мәдениетінің де өсуіне ықпал ету, еліміздің ғалымдарының, сондай-ақ әрбір ізденушілердің, оқытушы, мұғалімдердің басты міндеті» [1,43] екендігін атап өткен. Сондай-ақ Н.А. Назарбаев Қазақстан халқына жолдауында «білім беру реформасы табысының басты өлшемі – тиісті білім мен білік алған еліміздің кез - келген азаматы әлемнің кез – келген елінде қажетке жарайтын маман болатындай деңгейге көтерілу болып табылады» - делінген. Жоспарлы экономиканың нарықтық қатынастар бағытына көшуіне байланысты өндіріс көлемі қайта көтерілді, мәдениет мекемелердің, халыққа білім беру мен ғылымды, материалды техникалық жабдықтау және ақша қаржымен қамтамасыз ету ісіндегі елеулі қиындықтар біршама артта қалды. Қазіргі таңда дамыған елдерде ақпараттық және телекоммукациялық технологияның кеңінен қолданылуына байланысты жаңа технологиялық революция басталды. Сондықтан адамдардың алдында жаңа функционалдық талаптар қойыла бастады, жұмыскер тек қана өндірістік міндеттерді жақсы атқарып қана қоймай, оған қосымша жобалауды, шешім қабылдауды және шығармашылық жұмыстарды орындай білуі керек. Осы қабілеттер мен біліктер баланың жас кезінен қалыптасып, оқу және еңбек әрекеттерін орындау кезеңдерінде әрі қарай дамуы керек. Тарих көші сан рет қазақтың алға ұмтылған талабының туын бір адым ілгері басса, екі адым кері шегеріп отырды. Міне сондықтан да біз XXІ ғасырдың кіре берісінде өзіміздің ұлттық мектебіміздің ірге тасын бекітіп, бағдарын айқындау ісімен айланыстырып жатырмыз.</t>
  </si>
  <si>
    <t>0000396</t>
  </si>
  <si>
    <t>Қазақтың қолөнері арқылы студенттердің кәсіптік іс – әрекетін қалыптастырудың теориялық және тәжірибелік негіздері 2 Том</t>
  </si>
  <si>
    <t>0000397</t>
  </si>
  <si>
    <t>Жиһаз өндеу технологиясы</t>
  </si>
  <si>
    <t>Бұл еңбек кәсіптік білім саласында кең көлемді оқулық ретінде ұсынып отыр. Оқулық жиһаз саласындағы анықтаманың кызметін де атқара алады. Оқулықтың құндылығы автордың көп жылдық әдістемелік тәжіриьесің нәтіжесінде жаңа технологиядағы жазбалардыңғ сызбалардың көмегімен жиһаз бұйымдарының жасалу үлгісін барынша кеңінен, түбегейлі көрсетуге, түсіндіруге талпынғандығы.</t>
  </si>
  <si>
    <t>0000398</t>
  </si>
  <si>
    <t>Адамқұлов Н.М.(Адамкулов), Адамқұлов Е.М.</t>
  </si>
  <si>
    <t>Қыш бұйымдарының технологиясы</t>
  </si>
  <si>
    <t>Бұл окулық жалпы орта білім жүйесіндегі технология пәні мұғалімдерге, арнаулы кәсіптік білім жүйесіндегі өндірістік еңбек комбинаттарына, лицей- колледжеріне, сондай-ақ жоғары оқу орындарының студенттеріне, өнер саласыңдағы ізденушілеге және өнер сүйгіш қалың қаумға арналады. Толықтырылған, өнделген үшінші басылым.</t>
  </si>
  <si>
    <t>0000399</t>
  </si>
  <si>
    <t>Қолөнер бұйымдарын жобалау негіздері</t>
  </si>
  <si>
    <t>Бұл окулық қолөнер және еңбек,сурет пәндеріне қатысты мектеп мұғалімдеріне, жалпы орта білімге, кәсіптік білім жүйесіндегі колледждерге, лицейлерге және жоғары оқу орындарының қолөнер, сурет және графика факультеті студенттеріне, сондай-ақ өнер сүйгіш қалың оқырмак қаумдарға арналған.</t>
  </si>
  <si>
    <t>0000400</t>
  </si>
  <si>
    <t>Музыкалық аспаптар жасау технологиясы</t>
  </si>
  <si>
    <t>Музыка</t>
  </si>
  <si>
    <t>Бұл еңбек Қазақтың ұлттық музыкалық аспаптарын жасау шеберлігінде мектептердегі жалпы орта білімге.Мұғалімдерге, кәсіптік білім жүйесін, және жоғары оқү орындарына, сондай-ақ өнер сүйгіш қалың оқырман қаумға арналған кең көлемді окулық ретінде ұсынылып отыр. Бұл окулық анықтаманың қызметін де атқара алады. Оқулықтың құндылығы авторрдың он төрт жылдық әдістемелік тәжірибесінің нәтіжесінде жаңа технологиядағы жазбалардың, сызбалардың көмегімен Қазақтың ұлттық музыкалық аспаптарының жасалу үлгісің барынша кеңінен, түбегейлі көрсетуге түсіндіруге талпынғандығы.</t>
  </si>
  <si>
    <t>0000401</t>
  </si>
  <si>
    <t>Саз аспаптар тарихы</t>
  </si>
  <si>
    <t>Бұл еңбек музыкалық аспаптар жасаушы шеберлерге, болашақ еңбек пәні мұғалімдерге, жалпы білім береиін мектептерге, кәсіптік білім берудегі арнаулы орта-кәсіптік және жоғары оқу орындарына, ізденушілерге, сондай-ақ өнер сүйгіш қалың оқырман қаумға арналған. Оқулықтың мақсаты кәзіргі кезде өте сирек кездесетін Әбу Насыр Әль-Фараби,Шоқан Уалиханов,Болат сарыбаев, Ахмет Жүбановжәне т.б. аспаптар зерттеуші ғалымдарының құнды еңбектерін білім жүйесіне ұсыну. Әсіресе Б. Сарыбаевтың салысырмалы еңбектері,кейінгі музакалық аспаптардың тың зерттеулері, салыстырмалы қамтылады.</t>
  </si>
  <si>
    <t>0000402</t>
  </si>
  <si>
    <t>Күнделікті қолданылатын қолөнер бұйымдарының технологиясы</t>
  </si>
  <si>
    <t>Бұл еңбек жалпы білім беретін мектептерге арналған "Технология" пәніне және кәсіптік білім жүйесіне, сондай-ақ жоғары оку орындырының студенттеріне арналған кең көлемді окулық ретінде ұсынылып отыр. Окулықтың құндылығы авторлардың көп жылдық ғылыми-теориялық және әдістемелік тәжірибесінің нәтижесінде "Технология" пәнін оқыту үрділерін, сарамандық әдістерін түсіндіруге талпынғандығы.</t>
  </si>
  <si>
    <t>0000406</t>
  </si>
  <si>
    <t>Адамова А.Д., Омарханова Д.Ж.</t>
  </si>
  <si>
    <t>Есептеу жүйелері мен желілерін ұйымдастыру</t>
  </si>
  <si>
    <t>Ұсынылып тұрған оқу құралында заманауи ЭЕМ және жүйелерінің ұйымдастыру принциптері, классификациясы, қолдану облыстары берілген. ЭЕМ жадысын, процессорларын және енгізу-шығару құрылғыларының жұмысының ұйымдастырылуы және олардың логикалық және арифметикалық негіздері қарастырылған. Оқу құралы жоғары оқу орындарындағы «Есептеу техникасы және бағдарламалық қамтамасыздандыру», «Ақпараттық жүйелер», «Информатика» мамандықтарының білім алушыларына арналған.</t>
  </si>
  <si>
    <t>0000408</t>
  </si>
  <si>
    <t>Адилова А. С.</t>
  </si>
  <si>
    <t>Көркем мәтіндердегі цитация құбылысы</t>
  </si>
  <si>
    <t>Монографияда цитация құбылысы арқылы көрінетін мәтінаралық байланыстар теориясы, олардың түрлері және қазақ көркем мәтіндеріндегі берілуі, қызметі қарастырылған.
 Қазақ көркем мәтіндерінде ұшырасатын әр типтегі келтірінді құрылымдар прозалық және поэзиялық шығармаларды мазмұндық жағынан толықтырып, дискурсқа түсушілерге ассоциациялар негізінде оларды әр қилы басқа мәтіндермен, өзге таңбалық жүйе мәтіндерімен, экстралингвистикалық деректермен байланыстыруға мүмкіндік жасайды. Басқа мәтін мәнмәтінін есте жаңғыртатын келтірінді құрылымдарды аңғарып, тану адресаттың (оқырманның) аялық біліміне, тілдік құзіретіне тікелей тәуелді болатыны да ақиқат. Мәтінаралық байланыстарға тірек болатын прецедентті құбылыстар вербалдану түріне қарай топтастырылып қарастырылған. 
 Монография тілші-ғалымдарға, магистранттар мен жоғары оқу орындарының студенттеріне арналған.</t>
  </si>
  <si>
    <t>0000409</t>
  </si>
  <si>
    <t>Қабылдау стилистикасы</t>
  </si>
  <si>
    <t>0000411</t>
  </si>
  <si>
    <t>Адильбаева Т.Е., Газалиев А.М., Кабиева С.К.</t>
  </si>
  <si>
    <t>Минералогия техногенных образований</t>
  </si>
  <si>
    <t>В пособии изложены основные закономерности процессов минералообразования в техногенных условиях и минералогические подходы в оценке экологической ситуации урбанизированных территорий.Предназначено для студентов, магистрантов, докторантов обучающихся по специальностям «Экология», «Геология», «Безопасность жизнедеятельности и окружающей среды», «Биотехнология», слушателей ФПК и специалистов практиков</t>
  </si>
  <si>
    <t>0000414</t>
  </si>
  <si>
    <t>Адиходжаева К.Б.</t>
  </si>
  <si>
    <t>Аналитическая химия. Лабораторный практикум</t>
  </si>
  <si>
    <t>Лабораторный практикум по аналитической химии предназначен для студентов химико-технологических, технических и др.специальностей, изучающих дисциплины «Аналитическая химия», «Методы обнаружения элементов», «Химический анализ». Он содержит 24 лабораторные работы, относящиеся к различным разделам курса аналитической химии. В начале каждого раздела излагаются основные понятия и теоретические основы методов, приведены контрольные вопросы и примерное решение типовых расчетных задач. В конце приведены тестовые задания, примеры решения типовых задач и задания по СРСП, даны вопросы к СРС, список рекомендуемой литературы и приложения</t>
  </si>
  <si>
    <t>0000415</t>
  </si>
  <si>
    <t>Адиходжаева К.Б., Рустамбекова Р.А.</t>
  </si>
  <si>
    <t>Аналитическая химия</t>
  </si>
  <si>
    <t>Учебное пособие но аналитической химия предназначено для студентов заочного обучения, изучающие дисциплины «Аналити-ческая химия», «Химический анализ». Излагаются основные понятия и теоретические основы методов анализа, приведены решения типовых задач, тестовые задании по каждой темеи даны задания для выполнения контрольной работы.</t>
  </si>
  <si>
    <t>0000416</t>
  </si>
  <si>
    <t>Адманова Г.Б., Саримбаева Б.Б.</t>
  </si>
  <si>
    <t>"Цитология және гистология" пәнінен практикалық сабақтарды және студенттердің өзіндік жұмыстарын орындауға биология мамандығы студенттеріне арналған</t>
  </si>
  <si>
    <t>практикум</t>
  </si>
  <si>
    <t>Оқу бағдарламасының барлық бөлімдері бойынша 15 практикалық және студенттердің өзіндік жұмыстары қаралған (Цитология және гистология негіздері; Клетканың құрылысы және функциясы; Клетканың структуралық компоненттері: мембраналы және мембранасыз органоидтары; Ядро құрылысы және қызметі; Митоз; Мейоз; Эмбриология негіздері; Ұрықтану; Эмбриогенез; Ұлпаларға жалпы сипаттама; Дәнекер ұлпасы: ішкі ортаның ұлпалары, қан, қанның жасалуы (гемопоэз; Эпителий ұлпасы; Бұлшықет ұлпасы, Жүйке ұлпасы.) 
 Цитологияның және гистологияның негізгі мәселелері ғылымның соңғы жаңалықтарына сүйене отырып баяндалып, жан-жақты талқыланған. Әр сабаққа жеке орындалатын тапсырмалар беріліп, соңында микроскоп арқылы зерттелетін препараттар толық сипатталған.</t>
  </si>
  <si>
    <t>0000419</t>
  </si>
  <si>
    <t>Адырбаева Т.А., Есимов Б.О., Сулейменов Ж.Т., Дубинина Е.С.</t>
  </si>
  <si>
    <t>Основы научных исследований силикатных материалов</t>
  </si>
  <si>
    <t>Учебник предназначен для студентов специальности 5В075300 - Химическая технология тугоплавких неметаллических и силикатных материалов Учебник посвящен вопросам основ научных исследований в области разработки и синтеза силикатных материалов, а также вопросам патентоведения. Рассматриваются общая методология научных исследований о цементе, керамике и стекле, изложены цели и задачи использования важнейших современных методов физико-химического анализа силикатных материалов, принципиальные схемы и характеристики видов аппаратур, используемых в настоящее время в научных исследовательских и центральных заводских лабораториях. Среди них рентгенографические, термические, оптическая микроскопия, петрография технического камня - техническая петрография, инфракрасная спектроскопия, электронная микроскопия и др. Изложены материалы по патентоведению и патентным исследованиям в области науки о силикатах, инновационного направления научного исследования, а также современные установки и требования к организации и выполнению научно-исследовательских работ</t>
  </si>
  <si>
    <t>0000420</t>
  </si>
  <si>
    <t>Адырбеков М. А.</t>
  </si>
  <si>
    <t>Теориялық механика</t>
  </si>
  <si>
    <t>Механика</t>
  </si>
  <si>
    <t>0000421</t>
  </si>
  <si>
    <t>Адырбекова А.Д., Давлетова А. Х., Айтжан Е.А., Каленова Э.Т.</t>
  </si>
  <si>
    <t>Бастауыш мектепте ақпараттық коммуникациялық технологияларды қолданудың әдістемесі</t>
  </si>
  <si>
    <t>Оқулықта ақпараттық коммуникациялық технологияларды бастауыш мектепте қолданудың әдістемесі сипатталады. Бастауыш мектептің оқушыларының жас ерекшеліктерін ескере отырып логикалық тапсырмалар мен дидактикалық материалдар ұсынылған. Оқулық бастауыш мектептің білім беру ұйымдарының мұғалімдеріне арналған.</t>
  </si>
  <si>
    <t>0000422</t>
  </si>
  <si>
    <t>Ажарбекова Э. Н.</t>
  </si>
  <si>
    <t>Орфография және пунктуация мәселелері</t>
  </si>
  <si>
    <t>Ұсынылып отырған практикумда орфография мен пунктуа-цияның қиын мәселелері курсы бойынша семинар сабақтарының тапсырмалары, жаттығу жұмыстары, өздік жұмысының тақырып-тары, тест тапсырмалары беріліп отыр.
 Практикум филология факультетінің 5В011700 – Қазақ тілі мен әдебиеті, 5В012100 – Қазақ тілінде оқытпайтын мектептердегі қазақ тілі мен әдебиеті, 5В020500 – Филология мамандықтарында оқитын күндізгі және сыртқы оқу бөлім студенттеріне арналған.</t>
  </si>
  <si>
    <t>0000423</t>
  </si>
  <si>
    <t>Ажмухамедова А.А., Машрапова А.Ж.</t>
  </si>
  <si>
    <t>Кәсіпорын экономикасы</t>
  </si>
  <si>
    <t>Кәсіпорын экономикасы» пәні бойынша экономикалық мамандықтарға арналған лекциялар жинағы типтік бағдарламасына сай құрастырылған. Мұнда кәсіпорынның негізгі сипаттамасы, функциялары мен ұйымдық-құқықтық формалары, кәсіпкерліктің субъектілері мен түрлері, оның инвестициялық, қаржылық, маркетингтік іс-әрекеті және фирма мен кәсіпорынның әс-әрекеттеріне қатысты басқа да сұрақтар қарастырылды. Тест сұрақтары бар.</t>
  </si>
  <si>
    <t>0000427</t>
  </si>
  <si>
    <t>Азатбек Т.А., Есмагулова Н.Д.</t>
  </si>
  <si>
    <t>Конкуренция и конкурентоспособность</t>
  </si>
  <si>
    <t>В учебном пособии изложены теоретические и методологические основы конкуренции, конкурентной борьбы, конкурентоспособности на макро-, мезо-, микроуровне. Книга дает возможность ввести в учебный процесс специальный курс «Конкуренция и конкурентоспособность» на принципах кредитной технологии обучения. В конце каждой темы читатель найдет вопросы для повторения материала, тесты и кейсы, список литературы, включая нормативные и законодательные акты. Книга рассчитана на студентов, магистрантов вузов, ученых-экономистов, работников органов государственного управления, сферы социального и культурного сервиса, менеджеров, бизнесменов, а также адресуется широкому кругу читателей, интересующихся проблемой конкуренции и конкурентоспособности субъектов на рынке</t>
  </si>
  <si>
    <t>0000434</t>
  </si>
  <si>
    <t>Азылканова С.А.</t>
  </si>
  <si>
    <t>Бюджетное управление в экономике</t>
  </si>
  <si>
    <t>В учебном пособии изложены теоретико-методические и проблемные вопросы бюджетного управления и воздействия бюджетного инструментария на экономические процессы на макро- и микроуровнях в условиях рыночной экономики, даны основные понятия и раскрыто содержание категорий бюджета, бюджетной системы и ее устройства, функционирования бюджетного механизма государства и предпринимательских структур в соответствии с происходящими экономическими процессами, оценки эффективности бюджетных программ.
  Предназначено для обучающихся экономических специальностей вузов.</t>
  </si>
  <si>
    <t>0000435</t>
  </si>
  <si>
    <t>Айдарбаев Р.С.</t>
  </si>
  <si>
    <t>Вагондар шаруашылығы</t>
  </si>
  <si>
    <t>0000438</t>
  </si>
  <si>
    <t>Айдосов А.</t>
  </si>
  <si>
    <t>Қазақ авангарды (на 3-х языках)</t>
  </si>
  <si>
    <t>изобразительное искуство</t>
  </si>
  <si>
    <t>Бұл кітапта еліміздің белгілі танымал суретшілердің авангард бағытындағы шығармашылық туындылары енгізіліп, әрбір шығармашылыққа талдау жасалынды. 
 Кітап жоғары оқу орындарының кескіндеме, бейнелеу өнері және сызу, дизайн мамандықтарының студенттеріне және колледж оқушыларына, оқытуышалар мен мұғалімдерге және жалпы өнер сүйер қауымға арналған.
 В книге вошли репродукции картин ивестных мастеров авангардистов Республики Казахстан а также все картины сопровождены анализом и кратким описанием автора. 
 Книга предназначена для студентов по специальности живопись, изобразительное искуство и черчение, дизайн высшего учебного заведения и ученикам колледжа, преподавателям и учителям, а также для всех любителей изобразительного искусства.
 The book includes reproductions of paintings by masters ivestnyh garde Republic of Kazakhstan as well as all the pictures are accompanied by a brief description and analysis of the author.
 The book is intended for students majoring in art, fine art of drawing and design institution of higher education and college students, teachers and teachers, and also for all art lovers.</t>
  </si>
  <si>
    <t>0000439</t>
  </si>
  <si>
    <t>Айдосов А.Н., Джартыбаева Ж.Д</t>
  </si>
  <si>
    <t>Кескіндеме сыры</t>
  </si>
  <si>
    <t>0000440</t>
  </si>
  <si>
    <t>Айдынбеков Э., Насухаев М.</t>
  </si>
  <si>
    <t>Арнайы технология. 1 кітап</t>
  </si>
  <si>
    <t>Механика. Арнайы технология</t>
  </si>
  <si>
    <t>0000441</t>
  </si>
  <si>
    <t>Айжамбаева С.Ж.</t>
  </si>
  <si>
    <t>Автокөлікпен жүктерді тасымалдау</t>
  </si>
  <si>
    <t>Оқу құралында Қазақстан Республикасының көліктік жүйесіндегі автокөлікпен жүк тасымалдаулардың орны мен маңызы, жүк тасымалдауларды ұйымдастыру жолдары мен әдістері қарастырылған. Жүк тасымалдауларды тиімді ұйымдастыру мақсатында қолданылатын жүк тасымалдауларын жоспарлау және басқару әдістеріне баса назар аударылған. Оқу құралын 5В090100 – «Тасымалдауды, қозғалысты ұйымдастыру және көлікті пайдалану» мамандықтарының студенттері «Автомобиль тасымалдарын ұйымдастыру» пәні үшін пайдалана алады</t>
  </si>
  <si>
    <t>0000442</t>
  </si>
  <si>
    <t>Квалиметрия және өзара алмасымдылық негіздері</t>
  </si>
  <si>
    <r>
      <rPr>
        <sz val="10"/>
        <color rgb="FF1F1F1F"/>
        <rFont val="Times New Roman"/>
        <family val="1"/>
        <charset val="204"/>
      </rPr>
      <t>Приборостроение. Метрол стандарт</t>
    </r>
  </si>
  <si>
    <t>Оқу құралында квалиметрия негіздері мен тегіс цилиндрлік және басқа типтік қосылыстардың өзара алмасымдылығы қарастырылған, типтік қосылыстардың дәлдік шектері бойынша анықтамалық мәліметтер келтірілген. Оқу құралы жоғарғы оқу орындарының студенттеріне арналған.</t>
  </si>
  <si>
    <t>0000443</t>
  </si>
  <si>
    <t>Айкеева А.А., Исмаилов Ж.Т., Кубаева У.С.</t>
  </si>
  <si>
    <t>Электр тізбектер</t>
  </si>
  <si>
    <t>физика,электротехника, радиотехники, телекоммуникации</t>
  </si>
  <si>
    <t>Оқу құралы электр техниканың негізгі заңдарын оқып үйренуге және электр құрылғылармен жұмыс жасау тәжірибесін арттыруға, электр құбылыстарды эксперименталді түрде зерттеуге мүмкіндік береді. Оқу құралында электр тізбектер теориясы бойынша негізгі тақырыптар қарастырылған және зертханалық жұмыстарды орындау реті мен тапсырмалары келтірілген.Ұсынылып отырған оқу құралы «Электр тізбектер теориясы» және «Электр техника» пәндері бойынша инженер-техникалық мамандықтар үшін зертханалық жұмыстарды орындауға мүмкіндік береді. Электр және радиотехника салаларындағы мамандықтарының студенттеріне арналған</t>
  </si>
  <si>
    <t>0000444</t>
  </si>
  <si>
    <t>Электрические цепи</t>
  </si>
  <si>
    <t>В пособии приводится теоретический материал по основам теории электрических цепей и описание лабораторных работ, в которых даются задания и рекомендации по их практическому выполнению. Учебное пособие предназначено для студентов физико-технического факультета специальности 5В071900 - «Радиотехника, электроника и телекоммуникации» и позволяет теоретически и экспериментально изучить фундаментальные законы электротехники и укрепить навыки при работе с приборами. Данное учебное пособие может быть также использовано для проведения лабораторных занятий для инженерно-технических специальностей по дисциплинам «Теория электрических цепей», «Электрические цепи» и «Теоретические основы электротехники»</t>
  </si>
  <si>
    <t>0000445</t>
  </si>
  <si>
    <t>Айкеева А.А., Кубаева У.С.</t>
  </si>
  <si>
    <t>Сызықтық электр тізбектеріндегі өтпелі процестерді есептеу</t>
  </si>
  <si>
    <t>Оқу-әдістемелік құралы</t>
  </si>
  <si>
    <t>Oқу-әдістемелік құралында электр тізбектер теориясы бойынша электр тізбектеріндегі өтпелі процесті есептеу әдістерінің сұрақтары қарастырылған.Сызықтық электр тізбектердегі өтпелі процестердің негізгі түсініктері, есептеу әдістері және тізбек элементтерінің қосу сұлбасына байланысты өтпелі процестердің ерекшеліктері қарастырған. Әр тараудың соңында мысалдар келтіріліп, өзіндік жұмысқа арналған тапсырмалар берілді.Оқу- әдістемелік құралы инженерлік, техникалық физика саласында жұмыс істейтін мамандарға, жоғары оқу орындарының техникалық мамандықтары бойынша күндізгі және сырттай оқитын студенттерге арналған</t>
  </si>
  <si>
    <t>0000446</t>
  </si>
  <si>
    <t>Погрешности измерений физических величин</t>
  </si>
  <si>
    <t>Учебно- методическое пособие</t>
  </si>
  <si>
    <t>В пособии приводится теоретический материал по основам метрологии и методам измерений физических величин, так же примеры решения задач по определению ошибки измерения параметров электрических цепей и задания для самостоятельной работы.Учебно- методическое пособие предназначено для студентов физико-технического факультета специальностей 5В071900-«Радиотехника, электроника и телекоммуникации», 5В073100-«Безопасность жизнедеятельности и защита окружающей среды», 5В072300 –«Техническая физика» и 5В071600 –«Приборостроение», оно позволяет укрепить навыки определения ошибки измерения при работе с приборами. Данное учебно- методическое пособие может быть использовано при проведении лабораторных занятий по всем дисциплинам, связанных с измерениями физических величин, не тольно для инженерно-технических, но и других специальностей</t>
  </si>
  <si>
    <t>0000447</t>
  </si>
  <si>
    <t>Физикалық шамаларды өлшеу қателіктері</t>
  </si>
  <si>
    <t>оқу-әдістемелік құралы</t>
  </si>
  <si>
    <t>«Физикалық шамаларды өлшеу қателіктері» оқу-әдістемелік құралында метрологияның негізгі түсініктері, кездейсоқ шаманың таралуының негізгі заңдылықтары, өлшеу құралдардың метрологиялық сипаттамалары, сонымен қатар әр тақырып бойынша көптеген мысалдар келтірілген және студенттердің өздік жұмысына арналған тапсырмалар берілген. «Метрология, стандарттау және сертификаттау» пәні бойынша 5В071900-«Радиотехника, электроника және телекоммуникация», 5В072300-«Техникалық физика», 5В073100-«Қоршаған ортаны қорғау және өмір тіршілігінің қауіпсіздігі», 5В071600 - «Аспап жасау»  және басқа техникалық мамандықтарының студенттеріне арналған оқу-әдістемелік құрал</t>
  </si>
  <si>
    <t>0000448</t>
  </si>
  <si>
    <t>Айкинбаева Г.К.</t>
  </si>
  <si>
    <t>Жоғары мектеп психологиясы</t>
  </si>
  <si>
    <t>0000458</t>
  </si>
  <si>
    <t>Аймагамбетов Е.Б., Таубаев А.А., Айнабек К.С., Кайгородцев А.А. Варавин Е.В. Пестунова Г.Б Талимов Л.А. Сихимбаева Д.Р Сихимбаев М.Р. Борбасова З.Н. Акенов С.Ш. Феткулов А.Х. Сейтхожин Б.У.</t>
  </si>
  <si>
    <t>Индустриально-инновационное развитие экономики Казахстана: теория и практика том 2</t>
  </si>
  <si>
    <t>Оқулықта портландцемент өндірісінің химия-технологиялық негіздері, қасиеті, құрамы, негізгі шикізат материалдарын таңдау, шикізат қоспаның, клинкердің, цементтің құрамын оңтайландыру, цемент өндіру технологиялық процестерін оңтайландырып жүргізу жолдары көрсетілген. Шикізат компонентерін сақтау және біртектілеу, дайындау тәсілдері көрсетілген. Өндірістің құрғақ тәсіліндегі шикізатты ұнтақтау процесстері, тік орналасқан диірмендер, роллер-пресстер, көмірді кептірудің және ұнтақтаудың заманауи жүйелері, отынды жағудың оңтайландыру процесстері, цемент өндірісінің энергия үнемдеуді жоғарылату және оңтайландыру жолдары туралы жазылған. Құрғақ тәсілдегі пеш жүйесіндегі физика-химиялық процестер, декорбонизаторлы пеш жүйесінің жұмыс істеу ерекшеліктері, футеровканың ұзақ сақталуын жоғарылату тәсілдері келтірілген. Клинкерді күйдіру процесінің технологиялық ақаулықтарын жою жолдары, олардың белсенділігін жоғарылату, күйдіру процесін оңтайландыру, отынды үнемдеу тәсілдері мен әдістері көрсетілген. Цементтердің және тұтастырғыштардың құрамы мен қасиеттері және су қажеттілігі, олардың құрылымдарының түзілуі мен механизмдері көрсетілген. Оқулық 6М075300 – Балқуы қиын бейметалл және силикатты материалдардың химиялық технологиясы мамандығының индустриалды-иннавациялық дамытудың Мемлекеттік бағдарламасы -2 бойынша білім алатын магистранттарына арналған (ИИДМБ-2)</t>
  </si>
  <si>
    <t>0000459</t>
  </si>
  <si>
    <t>Аймагамбетов Е.Б., Таубаев А.А., Айнабек К.С., Кайгородцев А.А. Варавин Е.В. Пестунова Г.Б Талимов Л.А. Сихимбаева Д.Р, Сихимбаев М.Р. Борбасова З.Н. Акенов С.Ш. Феткулов А.Х. Сейтхожин Б.У.</t>
  </si>
  <si>
    <t>Индустриально-инновационное развитие экономики Казахстана: теория и практика том 1</t>
  </si>
  <si>
    <t>Оқулықта портландцемент өндірісінің химия-технологиялық негіздері, қасиеті, құрамы, негізгі шикізат материалдарын таңдау, шикізат қоспаның, клинкердің, цементтің құрамын оңтайландыру, цемент өндіру технологиялық процестерін оңтайландырып жүргізу жолдары көрсетілген. Шикізат компонентерін сақтау және біртектілеу, дайындау тәсілдері көрсетілген. 
 Өндірістің құрғақ тәсіліндегі шикізатты ұнтақтау процесстері, тік орналасқан диірмендер, роллер-пресстер, көмірді кептірудің және ұнтақтаудың заманауи жүйелері, отынды жағудың оңтайландыру процесстері, цемент өндірісінің энергия үнемдеуді жоғарылату және оңтайландыру жолдары туралы жазылған. Құрғақ тәсілдегі пеш жүйесіндегі физика-химиялық процестер, декорбонизаторлы пеш жүйесінің жұмыс істеу ерекшеліктері, футеровканың ұзақ сақталуын жоғарылату тәсілдері келтірілген.
 Клинкерді күйдіру процесінің технологиялық ақаулықтарын жою жолдары, олардың белсенділігін жоғарылату, күйдіру процесін оңтайландыру, отынды үнемдеу тәсілдері мен әдістері көрсетілген. Цементтердің және тұтастырғыштардың құрамы мен қасиеттері және су қажеттілігі, олардың құрылымдарының түзілуі мен механизмдері көрсетілген. Оқулық 6М075300 – Балқуы қиын бейметалл және силикатты материалдардың химиялық технологиясы мамандығының индустриалды-иннавациялық дамытудың Мемлекеттік бағдарламасы -2 бойынша білім алатын магистранттарына арналған (ИИДМБ-2)</t>
  </si>
  <si>
    <t>0000460</t>
  </si>
  <si>
    <t>Аймуханов А.К.</t>
  </si>
  <si>
    <t>Молекулалық жүйелердің люминесценциясы</t>
  </si>
  <si>
    <t>«Молекулалық жүйелердің люминесценциясы» оқу құралы теориялық бөлімнен және зертханалық жұмыстарды жасау және орындау тәртібінің сипаттамасынан тұрады. Оптикалық сәулеленудің затпен әсерлесу нәтижесінде байқалатын маңызды физикалық құбылыстарға ерекше көңіл бөлінген. «Молекулалық жүйелердің люминесценциясы» арнайы курсын өзіндік оқуға қажетті әдебиеттер тізімі келтірілген. Жоғары оқу орындарының студенттеріне арналған</t>
  </si>
  <si>
    <t>0000462</t>
  </si>
  <si>
    <t>Аймұхамбет Ж.Ә.</t>
  </si>
  <si>
    <t>Мифопоэтика</t>
  </si>
  <si>
    <t>Қазақ тілі мен әдебиеті, қазақ филологиясы мамандықтарының магистранттарына арналған бұл оқу құралында әдебиет пен мифтің өзара сабақтастығы, мифтік танымның көркемдік ойлау жүйесіндегі маңызды қызметі зерделенеді. Мифопоэтика – білім беру модулінің таңдау компоненті ретінде миф пен әдебиет байланысын, поэтика мәселелерін болашақ филолог мамандарға таныту бағытында жүргізілетін пән.</t>
  </si>
  <si>
    <t>0000463</t>
  </si>
  <si>
    <t>Аймұхамбет Ж.Ә., Байтанасова Қ.М.</t>
  </si>
  <si>
    <t>ХІХ ғасырдағы қазақ әдебиеті</t>
  </si>
  <si>
    <t>Жоғары оқу орнының 050117-қазақ тілі мен әдебиеті, 050205-қазақ филологиясы мамандықтарының студенттеріне арналған бұл оқулықта ХІХ ғасырдағы әдеби даму қоғамдық-саяси өзгерістермен тығыз байланыстағы қарастырылады. Сол кезеңде ғұмыр кешкен көрнекті тұлғалардың шығармашылығы қамтылған.</t>
  </si>
  <si>
    <t>0000464</t>
  </si>
  <si>
    <t>Айнабек К. /Kuandyk Ainabek</t>
  </si>
  <si>
    <t>Macromodels of Economy</t>
  </si>
  <si>
    <t>The monograph sets out the contemporary factors and vehicles of social-market relationships and transactions formation and development, characterizes the models of global, national and regional public business and the process of their reproduction. It displays the ways of the global business development: the methods and models of its forecasting, the vehicle of formation and functioning of the global currency. The work considers the peculiarities and regularities of the national economy development based on determining the general criterion of business activity assessment. The monograph is meant for professors and lecturers, researchers-econo¬mists, candidates for a doctor’s and a master’s degree, higher school students.</t>
  </si>
  <si>
    <t>0000465</t>
  </si>
  <si>
    <t>The Philosophy of Life and Business</t>
  </si>
  <si>
    <t>Монография /Monograph</t>
  </si>
  <si>
    <t>The monograph attempts at revealing the essence of human life, basic spiritual laws of the community and business, evolutionary ways of harmonizing the development and socialization of economy.
 The special feature of the work is the fact that it displays the interconnection of spiritual and business activity in reaching humanization of the mankind and economy. The monograph is meant for professors and lecturers, researchers, candidates for a doctor’s and a master’s degree, higher school students. / В монографии предпринята попытка раскрыть сущность человеческой жизни, основные духовные законы общества и бизнеса, эволюционные пути гармонизации развития и социализации экономики.
 Особенностью работы является то, что она показывает взаимосвязь духовной и хозяйственной деятельности в достижении гуманизации человечества и экономики.Монография предназначена для профессоров и преподавателей, научных работников, кандидатов докторских и магистерских наук, студентов высших учебных заведений.</t>
  </si>
  <si>
    <t>0000466</t>
  </si>
  <si>
    <t>Айнабек К.С.</t>
  </si>
  <si>
    <t>Қоғамдық шаруашылық жүргізу теориясы том I</t>
  </si>
  <si>
    <t>Оқулықта қоғамдық шаруашылық жүргізудің негіздері, әлеуметтік-нарықтық қатынастар және трансакцияларды қалыптастыру мен дамытудың қазіргі факторлары баяндалады, ұлттық, дүниежүзілік экономиканың субъектілері және олардың ұдайы өндіріс үдерісі сипатталады. Аталған еңбектің ерекшелігі мынада: ол іргелі (фундаменталды) экономикалық ғылым және шетел оқулықтарына балама ретінде ұсынылады. Профессороқытушылар құрамына, ғылыми зерттеуші-экономистерге, докторанттар мен магистранттарға, жоғары мектеп студенттеріне арналған.
 Магистранттар мен докторанттар таңдайтын арнайы кур</t>
  </si>
  <si>
    <t>0000467</t>
  </si>
  <si>
    <t>Қоғамдық шаруашылық жүргізу теориясы том II</t>
  </si>
  <si>
    <t>0000468</t>
  </si>
  <si>
    <t>Қоғамдық шаруашылық жүргізу теориясы том III</t>
  </si>
  <si>
    <t>0000469</t>
  </si>
  <si>
    <t>Теория общественного хозяйствования/Альтернатива экономической теории и экономикса. Том І.</t>
  </si>
  <si>
    <t>В учебнике излагаются основы общественного хозяйствования, современные факторы формирования и развития социально - рыночных, сдаточно-раздаточных отношений и трансакций, характеризуются субъекты национальной, мировой экономики и процесс их воспроизводства. Особенность данной работы заключается в том, что она представляется в качестве фундаментальной экономической науки и альтернативы зарубежным учебникам.
  Учебник рассчитан на профессорско-преподавательский состав, научных ис-следователей-экономистов, докторантов, магистрантов, студентов высшей школы. Специальный курс по выбору для магистрантов и докторантов. 
  Специальность — 08.00.01. Экономическая теория.</t>
  </si>
  <si>
    <t>0000470</t>
  </si>
  <si>
    <t>Теория общественного хозяйствования/Альтернатива экономической теории и экономикса. Том ІІ.</t>
  </si>
  <si>
    <t>0000471</t>
  </si>
  <si>
    <t>Теория общественного хозяйствования/Альтернатива экономической теории и экономикса. Том ІІІ.</t>
  </si>
  <si>
    <t>0000477</t>
  </si>
  <si>
    <t>Айтбаева Б.М., Абдрахманова Г.Х., Медеубаева К.М.</t>
  </si>
  <si>
    <t>Кәсіби қазақ тілі. Дене шынықтыру мәдениеті және спорт мамандығының студенттеріне арналған</t>
  </si>
  <si>
    <t>спорт</t>
  </si>
  <si>
    <t>Оқу құралында дене шынықтыру мәдениеті және спорт» мамандығының студенттеріне арналған оқыту сабақтарының жоспары, лексикалық тақырыптарды оқыту үлгілері, сұхбаттар, құжат үлгілері, мәтіндер, қосымша материалдар мен суретпен жұмыс түрлері берілген. Берілген мәтіндер тәрбиелік мәні зор, студенттердің тілін дамытуы үшін өте қажетті. Оқу құралы барлық тіл үйренушілерге арналған</t>
  </si>
  <si>
    <t>0000478</t>
  </si>
  <si>
    <t>Айтбаева Б.М., Балапанова Қ.Ж.</t>
  </si>
  <si>
    <t>Қазақ тілі(жаттығулар жинағы).</t>
  </si>
  <si>
    <t>Бұл оқу құралы жоғары оқу орнының студенттеріне арналған. Жаттығулар жинағы 1 курстың тақырыптық жоспарына сай құрастырылып, берілген тапсырмалар жүйелі түрде берілген. Авторлар грамматикалық жаттығулардың тілін жеңіл, әрі жалпы ауызекі тілде күнделікті қолданыста болатын қазақ тілінің лексика қорын ескеріп құрастырған. Жаттығулар қызықты әрі грамматикалық тақырыптың есте қалуын жеңілдету мақсаты да көзделгені байқалады. Оқу құралы студенттердің сабақта немесе өз бетінше оқуына, әрі оқытушылардың күнделікті сабақта пайдалануына арналған.</t>
  </si>
  <si>
    <t>0000479</t>
  </si>
  <si>
    <t>Айтбаева Б.М., Мәуленова Б.М., Кәрібаева С.Е.</t>
  </si>
  <si>
    <t>Қазақ тілі жұмыс дәптері</t>
  </si>
  <si>
    <t>жұмыс дәптері</t>
  </si>
  <si>
    <t>«Қазақ тілі» оқу құралы экономика саласының болашақ мамандары мен кәсіби қазақ тілін меңгергісі келетін тіл үйренушілерге арналған.Оқу құралы 4 модульден тұрады. Әр модуль лексикалық және грамматикалық материалдарды қамтиды. Оқулықтың құрылымы функционалды-коммуникативтік негізге құрылған. Оқу құралының басты мақсаты: қазақ тілін жалғастырып, тереңдетіп оқитын топтарда – сөйлеу тілі қалыптасқан тіл үйренушілердің қазақша сөйлеуін, жазуын, баяндауын мамандыққа қатысты жетілдіру</t>
  </si>
  <si>
    <t>0000480</t>
  </si>
  <si>
    <t>0000483</t>
  </si>
  <si>
    <t>Айтжанова Д.А., Абжалелова Ш.Р.</t>
  </si>
  <si>
    <t>Предпринимательство</t>
  </si>
  <si>
    <t>В учебнике внутривузовского пользования рассматриваются теоретические и методические основы становления предпринимательства; бизнес-планирования, анализа и оценки ее эффективности, использование государственных механизмов регулирования и поддержки его развития в Казахстане, формирования и защиты коммерческйо тайны и т. д.</t>
  </si>
  <si>
    <t>0000484</t>
  </si>
  <si>
    <t>Айтжанова Д.А., Абжалелова Ш.Р.,</t>
  </si>
  <si>
    <t>Стратегическое планирование</t>
  </si>
  <si>
    <t>Данное пособие подготовлено для изучения данной дисциплины в формате внутривузовского пользования, а также может быть полезно всем, кто занимается вопросами планирования производственно-хозяйственной деятельности экономических субъектов.</t>
  </si>
  <si>
    <t>0000487</t>
  </si>
  <si>
    <t>Айтқұлова Р.</t>
  </si>
  <si>
    <t>Өндірістік ағын сулар мен топырақтың биотехнологиялық тазартылуы</t>
  </si>
  <si>
    <t>Оқу құралы жоғары оқу орнында 5В070100- Биотехнология мамандығы бойынша білім алатын студенттерге «Экологиялық биотехнология» пәнінен оқу бағдарламасы мен жоспарының барлық талаптарына сай жасалынып, Қазақстан Республикасының мемле-кеттік жалпы білім беру стандартына сәйкес бағдарлама мен оқу жоспарының талабына сай барлық қажетті мәліметтерді қамтиды. 
 Ұсынылған оқу құралы экологиялық биотехнологияның, жеке алғанда, антропогендік және техногендік әсер етулерден табиғи экожүйелерді қорғаудың биологиялық әдістерімен, олардың ең негізгілеріне-биологиялық қалпына келу мен биологиялық қайта өңдеудің негізгі мақсаттары мен міндеттерімен студенттерді таныстыруға арналған.</t>
  </si>
  <si>
    <t>0000488</t>
  </si>
  <si>
    <t>Айтқұлова Р., Есимова А.</t>
  </si>
  <si>
    <t>Экологиялық биотехнология. Практикум</t>
  </si>
  <si>
    <t>0000489</t>
  </si>
  <si>
    <t>Айтмагамбетова М. Б.</t>
  </si>
  <si>
    <t>Нагнетатели и тепловые двигатели</t>
  </si>
  <si>
    <t>Теплоэнергетика</t>
  </si>
  <si>
    <t>Учебное пособие "Нагнетатели и тепловые двигатели" предназначено для студентов не только энергетических специальностей, такой как специальность 5В071700 "Теплоэнергетика", но может быть полезна и актуальна для всех технических специальностей. В учебном пособии рассматриваются конструкции, характеристики, принцип действия и области применения нагнетателей и тепловых двигателей.Учебное пособие включает в себя 10 глав, посвященные конструкциям, характеристикам, описанию работы как основных видов нагнетателей и тепловых двигателей, применяемых на ТЭС, но и других различных типов, используемых в различных отраслях промышленности</t>
  </si>
  <si>
    <t>0000493</t>
  </si>
  <si>
    <t>Айтуреев М.</t>
  </si>
  <si>
    <t>"Процесстер мен аппараттар -2" пәні бойынша практикум</t>
  </si>
  <si>
    <t>Практикум мамандықтың оқу жоспары және «Процесстер мен аппараттар – 2» пәнінің оқу бағдарламасы талаптарына сәйкес жасалған және пән бойынша практикалық орындау кезіндегі барлық қажетті әдістемелік мәліметтерді құрайды.
 Практикумда «Процесстер мен аппараттар – 2» пәні бойынша орындалатын әрбір практикалық жұмыстардың жоспары, теориялық бөлімі, есептеу әдістемелері, есептеу мысалдары, бақылау сұрақтары және ұсынылатын әдебиеттер тізімі келтірілген. Практикум 5В073000 – «Құрылыс материалдары, бұйымдары және конструкцияларын өндіру» мамандығы студенттеріне арналған</t>
  </si>
  <si>
    <t>0000494</t>
  </si>
  <si>
    <t>Айтхожина А.С</t>
  </si>
  <si>
    <t>Организация и технология погрузочно-разгрузочных работ на транспорте. 1 том</t>
  </si>
  <si>
    <t>В учебнике «Организация и технология погрузочно–разгрузочных работ на транспорте» описаны основы организации погрузочно-разгрузочных работ на транспорте, применение современных погрузочно-разгрузочных машин, оборудования, пневматического, гидравлического и подвесного транспорта, автомобиле- и вагоноопрокидывателей, приведена теория их расчета, основные показатели для выбора типов технологий при проектировании комплексной механизации и автоматизации погрузочно-разгрузочных работ и складских операций. 
 Описаны высокоэффективные технологические процессы с основными грузами, перевозимыми по железным и авто дорогам, а также способы перевалки этих грузов с узкой колеи на стандартную колею железных дорог Казахстана и стран СНГ, с железной дороги на водный и автомобильный транспорт и обратно.</t>
  </si>
  <si>
    <t>0000495</t>
  </si>
  <si>
    <t>Организация и технология погрузочно-разгрузочных работ на транспорте. 2 том</t>
  </si>
  <si>
    <t>Учебник предназначен для студентов технических специальностей. Также он может быть использован на факультетах повышения квалификации специалистов транспорта, магистрантов, докторантов PhD. Особый интерес представляют разделы, посвященные вопросам современных проблем транспорта, транспортно-экспедиционного обслуживания и складских работ, управления запасами, технологии и исследования транспортных систем. Преметом изучения дисциплины являются основы организации погрузочно-разгрузочных работ на транспорте. Изучение современных по-грузочно-разгрузочных работ на транспорте. Изучение современных погрузочно-разгрузочных машин, оборудования, пневматического, гидравлического и подвесного транспорта, автомобиле - и вагоноопрокидывателей, теории их расчета, определения основных показателей для выбора типов технологий при проектировании комплексной механизации и автоматизации погрузочно-разгрузочных работ и складских операций. Изучаются высокоэффективные технологические процессы с основными грузами, перевозимыми по железным дорогам, а также способы перевалки этих грузов с узкой колеи на широкую стандартную колею железных дорог Казахстана и стран СНГ, с железной дороги на водный и автомобильный транспорт и обратно.</t>
  </si>
  <si>
    <t>0000496</t>
  </si>
  <si>
    <t>Айтхожина А.С., Долгов М.В.</t>
  </si>
  <si>
    <t>Организация перевозок и управление движением</t>
  </si>
  <si>
    <t>0000497</t>
  </si>
  <si>
    <t>Тасымалдауды ұйымдастыру және қозғалысты басқару</t>
  </si>
  <si>
    <t>Оқулық техникалық жоғары оқу орындары және колледждер үшін математикадан ҚР Білім және ғылым министрлігі бекіткен бағдарламалар мен стандарттарда көрсетілген барлық бөлімдер мен тарауларды қамтиды.Әр оқу орны оқулықты өз оқу жоспарларына сай қолдана алады. Математикадан оқу процесін теориялық тұрғыдан қамтамасыз етумен қатар оқулық студенттердің өз бетімен орындайтын жұмыстарына жөн сілтеуді де мақсат етеді. Оқулықта шығарылған есептер мен мысалдар студентке теориялық материалды тереңірек түсінумен қатар ұқсас тапсырмаларды өз бетімен орындауға көмектеседі. Оқулықтың соңында ықтималдықтар теориясы мен математикалық статистика әдістерін қолануды жеңілдету мақсатында қосымша кестелер келтірілген. 5В090100 «Көлікті пайдалану және жүк қозғалысы мен тасымалдауды ұйымдастыру» мамандығының студенттері үшін «Тасымалдауды ұйымдастыру және қозғалысты басқару» пәні бойынша зертханалық жұмыстарды орындауға арналған оқу - әдістемелік кешен Оқу - әдістемелік кешен «Көлікті пайдалану және жүк қозғалысы мен тасымалдауды ұйымдастыру» мамандығының оқу жоспарына және мемлекеттік стандартының талаптарына сәйкестендіріліп құрастырылған.</t>
  </si>
  <si>
    <t>0000499</t>
  </si>
  <si>
    <t>Айтымбетова А.Н. /A.N.Aitymbetova</t>
  </si>
  <si>
    <t>Introduction to finance</t>
  </si>
  <si>
    <t>Brief annotation. The textbook "Introduction to Finance" reflects the basic principles and structure of the country's financial system, the book explains in detail the theoretical foundations of finance, financial and credit relations, money circulation. Contains detailed visual material. Each subject and object of financial relationships has its own characteristics. They are considered by the author in the context of modern market relations in the state and in the international arena. The textbook will be especially useful for students of the specialty 5B0900 "Finance", as well as for students in other specialties of the group "Social Sciences, Economics and Business".</t>
  </si>
  <si>
    <t>0000500</t>
  </si>
  <si>
    <t>Financial analysis in commercial banks</t>
  </si>
  <si>
    <t>Teaching aid</t>
  </si>
  <si>
    <t>Brief annotation. “Financial analysis in commercial banks” teaching aid includes main directions of analysis of day-to-day activity of commercial banks. The teaching aid presents questions, tests and practical situations for more profound mastering of each theme. Special attention is given students’ to understanding of financial reporting, as ability to read and analyze financial statements of a bank is paramount objective for a specialist of this sphere. The teaching aid can be useful for students of specialty 5B050900 – «Finance», and for students of economic specialties in general, candidates for a master’s degree, young teachers, teachers, as well as practical employees of the banking sphere.</t>
  </si>
  <si>
    <t>0000504</t>
  </si>
  <si>
    <t>Акашев А.З., Рожков А.В, Балабаев О.Т.</t>
  </si>
  <si>
    <t>Основы проектирования транспортных устройств и сооружений на железнодорожном транспорте</t>
  </si>
  <si>
    <t>Учебное пособие составлено в соответствии с требованиями учебного плана и программы дисциплины «Основы проектирования транспортных устройств и сооружений». В пособии рассмотрены вопросы проектирования транспортных сооружений на железнодорожном транспорте.В учебном пособии даны определения раздельных пунктов, представлены схемы и технология их работы в соответствии с Правилами и техническими нормами проектирования станций и узлов на железных дорогах колеи 1520 мм. Также рассмотрены вопросы проектирования и конструирования пересечения и примыкания дорог между собой и с железными дорогами, в том числе с использованием автоблокировки и светофоров.В учебном пособии рассматриваются основы разработки проектов, связанных со строительством новых и переустройством существующих железнодорожных линий. Предназначено для студентов специальности 5В090100 - «Организация перевозок, движения и эксплуатация транспорта»</t>
  </si>
  <si>
    <t>0000506</t>
  </si>
  <si>
    <t>Акбаева Г. Н., Есказинова Ж.А,. Дениварова Н.В., Бабушкина Е.О.</t>
  </si>
  <si>
    <t>Иностранный язык для академических целей. (на англ.яз)</t>
  </si>
  <si>
    <t>Данное учебно-методическое пособие способствует обогащению знаний, расширению научного кругозора, направлено на совершенствование глубокого познания процессов общения. Представленный материал способствует приобретению практических навыков, необходимых в учебной и научной деятельностях. К учебно-методическому пособию прилагается DVD диск с дополнительным видео материалом, способствующим развитию навыков академического общения.
 Пособие предназначено для студентов, магистрантов и преподавателей языковых специальностей высших учеб¬ных заведений, изучающих дисциплину «Язык для академических целей».</t>
  </si>
  <si>
    <t>0000507</t>
  </si>
  <si>
    <t>Акбаева Г.Н., Смагулова Г.Т., Болатбекова А.К.</t>
  </si>
  <si>
    <t>Профессионально-ориентированный английский язык для педагогических специальностей</t>
  </si>
  <si>
    <t>Учебно-методическое пособие «Профессионально-ориенти-рованный английский язык для педагогических специальностей» способствует развитию у студентов профессионально-ориентиро-ванной коммуникативной компетенции.
 В пособии широко представлена работа над профессиональной терминологической лексикой, составляющей основу подъязыка педагогических специальностей. Учебное пособие предназначено для студентов педагогических специальностей, а также для специалистов, осуществляющих профессиональную подготовку по направлению «Образование».</t>
  </si>
  <si>
    <t>0000508</t>
  </si>
  <si>
    <t>Акжанов А. А.</t>
  </si>
  <si>
    <t>Су және ауыл шаруашылығы экономикасы. Практикум</t>
  </si>
  <si>
    <t>Агро. Водные ресурсы</t>
  </si>
  <si>
    <t>0000509</t>
  </si>
  <si>
    <t>Акжанов А. А., Әймен Ә.Т.</t>
  </si>
  <si>
    <t>Су және ауыл шаруашылығы экономикасы</t>
  </si>
  <si>
    <t>0000510</t>
  </si>
  <si>
    <t>Акилбеков А.Т. Даулетбекова А.К.</t>
  </si>
  <si>
    <t>Кондинсерленген күй физикасы</t>
  </si>
  <si>
    <t>0000511</t>
  </si>
  <si>
    <t>Акилбеков А.Т. Даулетбекова А.К., Здоровец М.В</t>
  </si>
  <si>
    <t>Физика кондинсированного состояния</t>
  </si>
  <si>
    <t>Учебное пособие «Физика конденсированного состояния» разработан в соответствии с ГОСО РК, квалификационной характеристикой, типовой и рабочим учебным планами специальностей «Техническая физика», «Физика» и и дает основное содержание преподаваемой дисциплины. В учебном пособии изложены геометрия идеальных кристаллов, дефекты в кристаллах, классификация твердых тел по типу связей, механические, тепловые, электрические и оптические свойства твердых тел, жидкие кристаллы и наноматериалы.</t>
  </si>
  <si>
    <t>0000513</t>
  </si>
  <si>
    <t>Акимбекова Г.Ш., Тұрарова Қ.Қ., Иманбердиева, Әбутәліп О.М.</t>
  </si>
  <si>
    <t>Қазақ тілі және ұлттық құндылықтар. Жоғары деңгей (4 кітап)</t>
  </si>
  <si>
    <t>Бұл оқу құралы қазақ тілін үйренушелерге арналған. Ұлттық салт-дәстүрлерді үйрету арқылы қазақ тілін меңгерту оқу құралының негізгі ерекшелігі болып табылады.</t>
  </si>
  <si>
    <t>0000518</t>
  </si>
  <si>
    <t>Акмуллаева А.С.</t>
  </si>
  <si>
    <t>Қолданбалы биология</t>
  </si>
  <si>
    <t>Қолданбалы биология кешенді ғылым, себебі топырақтануды, жер шаруашылығын, агрохимияны, өсімдік шаруашылығын, көкөніс және жеміс-жидек шаруашылықтарын қамтиды, сондықтан бұл пән күрделі, ол табиғат компонентінің көп саласын қамтиды. Сондай-ақ, қолданбалы биология ғылым ретінде даму тарихы мен олардың классификациясы, негізгі түсініктер, ұғымдар мен биологиялық мәселелер қарастырылған. 
 Оқу құралы жаратылыстану ғылымдары мамандықтарының студенттеріне, магистранттар мен оқытушыларға, сонымен қатар қолданбалы биология жағдайларға қызығушылық танытатын оқырманға арналады.</t>
  </si>
  <si>
    <t>0000519</t>
  </si>
  <si>
    <t>Өсімдіктер мен жануарлар экологиясы</t>
  </si>
  <si>
    <t>Өсімдіктер және жануарлар экологиясына арналған оқу құралында әлемде кездесетін алуан түрлі өсімдіктер, жануарлар мен жәндіктердің (фитоценоз, популяция, биогеоценоз) құрылым деңгейін, орта жағдайларына бейімделу заңдылықтары туралы мәліметтер жазылған. Сондай-ақ, өсімдіктер, жануарлар экологиясының ғылым ретінде даму тарихы мен экологиялық факторлары, олардың классификациясы, негізгі түсініктер, ұғымдар мен экологиялық мәселелер қарастырылған. Оқу құралы жаратылыстану ғылымдары мамандықтарының студенттеріне, магистранттар мен оқытушыларға, сонымен қатар экологиялық жағдайларға қызығушылық танытатын оқырманға арналады.</t>
  </si>
  <si>
    <t>0000522</t>
  </si>
  <si>
    <t>Актаева /Al.Aktayewa , David L.Fuschi, l. Dauletkereeva, N.Zaurbekov, K. Assanova, B. Urmashev, R.Niyazova</t>
  </si>
  <si>
    <t>PROJECT MANAGEMENT: SOFTWARE AND TECHNOLOIES EXERCISES. 3Tom</t>
  </si>
  <si>
    <t>textbook for High School</t>
  </si>
  <si>
    <t>This textbook addresses the challenges posed by various levels of project complexity by introducing an approach to profiling projects and discussing the implications to project management. The textbooks provide an overview of project management and uses the industry standard definitions of the divisions of project management knowledge as described by the Project Management Institute (PMI) to provide grounding in traditional project management concepts. 
 Additionally, students learn an IT developed by the authors to assess the complexity level of a project. This overview and complexity profile provides a cognitive map to which the student can refer when they proceed to the second part of the book and learn more about the specific areas of project management knowledge. Students learn more about specific topics in chapters devoted to scope, planning, budgeting, cost management, quality, risk management, procurement, and closeout. They learn about the knowledge, skills, and tools used in each of these areas. They learn that different subsets of this knowledge, skills, and tools are needed depending on the complexity of the project and how to make the appropriate selection based on a project’s complexity profile. It provides a practical, case-enriched learning experience that will help students go from learners to competent project managers. This textbook is addressed not only to those undergraduate and graduate students who wish to improve upon their project management skills but also to those functional managers and upper-level executives who serve as project sponsors and must provide continuous support for projects.</t>
  </si>
  <si>
    <t>0000524</t>
  </si>
  <si>
    <t>Актаева /Al.Aktayewa, David L.Fuschi, l. Dauletkereeva, N.Zaurbekov, K. Assanova, B. Urmashev, R.Niyazova</t>
  </si>
  <si>
    <t>FUNDAMENTALS PROJECT MANAGEMENT: INFORMATION TECHNOLOGIES. 2Tom</t>
  </si>
  <si>
    <t>This textbook addresses the challenges posed by various levels of project complexity by introducing an approach to profiling projects and discussing the implications to project management. The textbooks provide an overview of project management and uses the industry standard definitions of the divisions of project management knowledge as described by the Project Management Institute (PMI) to provide grounding in traditional project management concepts. 
 Additionally, students learn an IT developed by the authors to assess the complexity level of a project. This overview and complexity profile provides a cognitive map to which the student can refer when they proceed to the second part of the book and learn more about the specific areas of project management knowledge.
 Students learn more about specific topics in Charters devoted to scope, planning, budgeting, cost management, quality, risk management, procurement, and closeout. They learn about the knowledge, skills, and tools used in each of these areas. They learn that different subsets of this knowledge, skills, and tools are needed depending on the complexity of the project and how to make the appropriate selection based on a project’s complexity profile. It provides a practical, case-enriched learning experience that will help students go from learners to competent project managers.</t>
  </si>
  <si>
    <t>0000526</t>
  </si>
  <si>
    <t>Актаева А., Давлеткереева Л., Муканова А.</t>
  </si>
  <si>
    <t>НАДЕЖНОСТЬ СИСТЕМ: тестирование и защита информации 1-часть</t>
  </si>
  <si>
    <t>Учебник является частью учебно-методического комплекса дисциплины «Основы теории надежности систем», включающего тематические лекции, методические указания к лабораторным и практическим занятиям, контрольно-тестовые материалы и глоссарий, в котором дается определение ключевых понятий, а также список литературы. В учебнике приведены основные положения методологии теории надёжности систем, а также рассмотрены основные понятия теории надёжности, показатели надёжности и аналитические зависимости между ними, вопросы надёжности программного и аппаратного обеспечения, понятия теории восстановления, надёжность восстанавливаемых и невосстанавливаемых технических устройств, структурные схемы надёжности, вопросы оценки надёжности аппаратно-программных комплексов с учётом характеристик программного и информационного обеспечения, практические методы статистической оценки надёжности.Излагаются подходы и методы тестирования, начиная с проблемы определения термина «тестирование» и общих принципов и заканчивая описанием методов и стратегий тестирования. В частности, рассмотрены методы белого и черного ящика, а также вопросы анализа, планирования, проведения тестовых испытаний и диагностика и оценки качества программного обеспечения на всех стадиях его жизненного цикла ПО и ИС. Широко использованы методологические приемы, обеспечивающие эффективное усвоение читателями материалов: контрольные вопросы для проведения текущего контроля, практические задания для самостоятельной работы, кейс-заданий для коллективного обсуждения и описываются методики выполнения лабораторных и практических работ. Наиболее важные моменты иллюстрируются с помощью рисунков, диаграмма, таблиц и примеров. Учебник для студентов вузов, бакалавров, магистров, обучающихся по специальностям «Информационные системы, Вычислительные системы и программное обеспечение, Управление проектами, АиУ, СИБ» и состоит из двух частей</t>
  </si>
  <si>
    <t>0000527</t>
  </si>
  <si>
    <t>Актаева А.А., Ниязова Р.С., Шарипбай А.А.</t>
  </si>
  <si>
    <t>Ақпараттық қауіпсіздік және қорғау: техникалық құрылғылар. 3бөлім.</t>
  </si>
  <si>
    <t>Оқулықта техникалық құрылғылармен ақпаратты қорғау теориясымен қатар практика сұрақтары қарастырылған. Ақпарат ағынының негізгі техникалық каналдарының сипаттамалары және классификациясы келтірілген. Ақпараттандыру нысандарын қорғаудың техникалық құрылғыларына жеке бөлім арналған. Ақпаратты қорғау өлшемі тиімділігінің техникалық бақылау және ақпараттандыру нысандарын аттестациялау сұрақтары және ақпарат ағын каналдарын қорғаудың техникалық әдicтерi қарастырылған. Жеке бөлімде ақпарат ағын каналдарын қорғаудағы техникалық құрылғыларына арналған зертханалық жұмыстар келтірілген.
 Оқулық жоғарғы оқу орындарындағы «Ақпараттық қауіпсіздік және қорғау», «Ақпараттық жүйелер», «Информатика», «Есептеу техникасы және бағдарламалық жабдықтау» мамандықтары бойынша оқитын студенттерге арналған.</t>
  </si>
  <si>
    <t>0000528</t>
  </si>
  <si>
    <t>Актаева А.У., Галиева Н.Г., Байман Г.Б.</t>
  </si>
  <si>
    <t>Управление проектами: информационные технологии. 1 часть</t>
  </si>
  <si>
    <t>0000530</t>
  </si>
  <si>
    <t>Актаева А.У., Ниязова Р.С., Шарипбай А.А.</t>
  </si>
  <si>
    <t>Ақпараттық қауіпсіздік және қорғау: техникалық құрылғылар. 1бөлім.</t>
  </si>
  <si>
    <t>0000531</t>
  </si>
  <si>
    <t>Ақпараттық қауіпсіздік және қорғау: техникалық құрылғылар. 2бөлім.</t>
  </si>
  <si>
    <t>0000533</t>
  </si>
  <si>
    <t>Акулова В.Ю, Скворцова А.В.</t>
  </si>
  <si>
    <t>Основы правил соревнований пляжного классического волейбола</t>
  </si>
  <si>
    <t>0000536</t>
  </si>
  <si>
    <t>Акылбаева И.М.</t>
  </si>
  <si>
    <t>Учебно-методические разработки для проведения занятий по истории Казахстана</t>
  </si>
  <si>
    <t>В учебно - методическом пособии содержится материал по истории Казахстана с древнейших времен до наших дней. При его составлении был учтен и обобщен накопленный опыт преподавания данной дисциплины базируемой на кредитной технологии обучения и модульной системе обучения для студентов первого курса, обучающихся по программе вводного курса (University foundation year). Данное пособие содержит фактологический учебный тезис - лекционный материал по основным темам курса, сопровождающийся практическими заданиями с использованием интерактивных технологий: кейс – стади, ассоциативные методы, метод – портфолио и другие. Предназначается для преподавателей и студентов вузов.</t>
  </si>
  <si>
    <t>0000542</t>
  </si>
  <si>
    <t>Акынбеков Е. /E. Akynbekov, G. Karbozova.</t>
  </si>
  <si>
    <t>Physical-chemical principles of slurrying in the production of yellow phosphorus</t>
  </si>
  <si>
    <t>Представлены результаты исследования факторов, влияющих на процесс суспензии и стабилизацию эмульсии суспензии, образующейся при конденсации фосфора, и разработка способов подавления суспензии на основе изменения поверхностных свойств составляющих систем: фосфор – вода – стабилизаторы.
 Акцент в статье на презентации результатов исследований по изучению условий образования конденсата и подачи воды, соль композиции в фосфорной растений, исследования накопления печи газа растворимых примесей в циркулирующей воде при конденсации системы; исследование процесса кристаллизации при конденсации решений на их перенасыщенность; определение влияния солевого состава вод фосфора конденсатора на slurrying процесс; разработка способов подавления суспензий, основанных на потере прочности, действующих на границе фазовой связи фосфор – вода.</t>
  </si>
  <si>
    <t>0000544</t>
  </si>
  <si>
    <t>Акынбеков Е. К., Колесников А.С., Кутжанова А.Н.</t>
  </si>
  <si>
    <t>Физико-химические основы шламообразования в производстве фосфора</t>
  </si>
  <si>
    <t>0000545</t>
  </si>
  <si>
    <t>Акынбеков Е.К.</t>
  </si>
  <si>
    <t>Жылу техникасы негіздері</t>
  </si>
  <si>
    <t>Оқу құралында жылу техникасының негіздері баяндалған. Оқу құралы жоғары оқу орындарының студенттеріне арналған. Республикалық оқу-әдістемелік кеңесінің көшпелі мәжілісі баспаға ұсынған (хаттама 1, Шымкент, М,Әуезов атындағы ОҚМУ). 8-9 сәуір 2010 ж.</t>
  </si>
  <si>
    <t>0000546</t>
  </si>
  <si>
    <t>Техникалық термодинамика және жылу беріліс</t>
  </si>
  <si>
    <t>0000547</t>
  </si>
  <si>
    <t>Основы термодинамики и теплотехники</t>
  </si>
  <si>
    <t>0000548</t>
  </si>
  <si>
    <t>Акынбеков Е.К., Акынбеков А.Е., Надиров К.С.</t>
  </si>
  <si>
    <t>Современные методы увеличения нефтеотдачи пластов</t>
  </si>
  <si>
    <t>Нефть</t>
  </si>
  <si>
    <t>При снижении объемов добычи-явлении, ха­рактерном для разработки месторождений на поздней стадии добычи, а также при необходимо­сти ограничения движения вод в промытых зонах продуктивной толщи и в призабойных зонах плаc­та с трудноизвлекаемыми запасами-для увели­чения коэффициента извлечения нефти использу­ется комплекс методов по увеличению нефтеотда­чи (МУН). Применение этих методов позволяет повысить степень извлечения нефти, снизить темпы падения добычи и продлить сроки эксплуата­ции месторождений. В настоящее время в промысловой практике, в зависимости от конкретных геолого-технических условий, используются различные методы. В зависимости от свойств закачиваемого химического реагента в продуктивный пласт выделяются две группы:методы, основанные на закачивании нефтеотмывающих реагентов; методы, основанные на повышении охвата пласта заводнением. Учебное пособие предназначено для студентов высших учебных заведений, магистрантам и докторантам, оно полезно также инженерно-техническом работникам и научным работникам нефтегазовой сферы</t>
  </si>
  <si>
    <t>0000549</t>
  </si>
  <si>
    <t>Акынбеков Е.К., Голубев В.Г.</t>
  </si>
  <si>
    <t>Инновационные методы в производстве фосфора</t>
  </si>
  <si>
    <t>0000550</t>
  </si>
  <si>
    <t>Акынбеков Е.К., Жаппарова А.К., Онлабекова А.Т., Туралина М., султанов С.Д.</t>
  </si>
  <si>
    <t>Сапаны басқару және бақылау</t>
  </si>
  <si>
    <t>0000551</t>
  </si>
  <si>
    <t>Акынбеков Е.К., Колесников А.С., Орынбаева Ж.Р.</t>
  </si>
  <si>
    <t>Жер және мұнай қабатының физикасы</t>
  </si>
  <si>
    <t>0000553</t>
  </si>
  <si>
    <t>Акынбеков Е.К., Кутжанова А.Н., Садырбаева А.С.</t>
  </si>
  <si>
    <t>Ұңғыманың қисаюы және бағыттап бұрғылау. 2бөлім</t>
  </si>
  <si>
    <t>0000554</t>
  </si>
  <si>
    <t>Акынбеков Е.К., Нусипали Р., Койайдаров Б.А.</t>
  </si>
  <si>
    <t>Биогаз өндірудің негіздері</t>
  </si>
  <si>
    <t>«Биогаз өндірудің негіздері» оқу құралы. Экспо-17 бағдарламасына сәйкес құрастырылған. 
 Дәстүрлі емес жаңартылатын энергия көздерінің қазіргі замандағы күйі. Ауыл шаруашылық қалдықтарын (мал шаруашылығы, құс шаруашылығы) биомасса өндіруде қолдану қарастырылған. Мал шаруашылығының жыл сайынғы қалдықтары 220 млн. Тоннаны құрайды. Ал бұл 50-60 млрд. м3 тауарлы метанның және 100 млн. тонна минералды тыңайтқыштардың эквиваленті болып табылады. 
 Оқу құралы мамандықтары «энергетика және жылутехникасы» студенттеріне және инженер-техник жұмысшыларға арналған.</t>
  </si>
  <si>
    <t>0000559</t>
  </si>
  <si>
    <t>Ақылбекова А.У., Қалшабекова Э.Н.</t>
  </si>
  <si>
    <t>"Құрылыс материалдары мен бұйымдарының ұзаққа төзімділігін жоғарылату"пәні бойынша іскерлік ойын жинағы</t>
  </si>
  <si>
    <t>Архитект.-строит.</t>
  </si>
  <si>
    <t>Іскерлік ойындар жинағы «Құрылыс материалдары мен бұйымдарының ұзаққа төзімділігін жоғарылату» пәні бойынша пәннің бағдарламасы мен оқу жоспарына сай құрастырылған. Жинақта құрылыс материалдары мен бұйымдарының құрылысы мен өндіру технологиясының ұзаққа төзімділікке әсері жайлы және олардың эксплуатациялық қасиеттерін жоғарылату жолдары туралы толық мәліметтер келтірілген. Іскерлік ойындар жинағы 5В073000-«Құрылыс материалдарын, бұйымдарын және конструкцияларын өндіру» мамандығында оқитын студенттер үшін</t>
  </si>
  <si>
    <t>0000560</t>
  </si>
  <si>
    <t>Алагозова С.С., Маханова Ұ.М.</t>
  </si>
  <si>
    <t>Жидек шаруашылығы</t>
  </si>
  <si>
    <t>Оқу құралында жидек шаруашылығының елімізде аса бағалы жидек өсімдіктерінен аурулардан сауыққан экологиялық таза көшеттер алып өндіріске қажет шикізат қорын кеңейту өзекті мәселенің бірі болып саналады. 
  Бұл оқу құралында Қазақстан жағдайында жеке меншік бау-бақшаларда жеміс-жидек өсіретін әуесқойларға арнап, жергілікті табиғи жағдайларды ескере отырып, жеміс-жидек ағаштарының селекциялық сорттарын таңдап алып, өсірудің агротехникасы жөнінде анықтамалық материалдар беріліп отыр. Сонымен бірге алынған өнімдерді өңдеу және сақтау мәселелері де сөз болады.
 Жеміс-жидек ағаштарының көптеген түрлері бар. Бұларды өсірушілер, жеміс ағаштарына не жатады, жидектің қандай түрлері бар және жергілікті жағдайда олардың қандай түрлерін өсіру тиімді екенін ажыратпастан еге береді, көпшілік жағдайда олардың тұқымдық ерекшеліктерін ескере бермейді. Сондықтан да, оларға қысқаша түсінік бере кеткен артық болмас.</t>
  </si>
  <si>
    <t>0000565</t>
  </si>
  <si>
    <t>Албытова Н.П., Шалғынбаева Қ.Қ., Сламбекова Т.С.</t>
  </si>
  <si>
    <t>Жоғары мектеп педагогикасы</t>
  </si>
  <si>
    <t>Оқу құралында жоғары мектеп педагогикасының жалпытеориялық-әдіснамалық негіздері, жоғары мектептегі оқыту теориясы және тәрбие жұмысы қарастырылады. Еңбекте отандық және шет елдік педагогикалық білімдер көзі кеңінен пайдаланылған, педагогика саласында тарихи тұрғыдан қалыптасқан зерттеушілік позициялар бүгінгі күнгі көзқарастар тұрғысынан қарастырылған.
 Оқу құралы мемлекеттік білім беру стандартына сәйкес жазылған. Оқу құралы педагогикалық және педагогикалық емес мамандықтар бойынша білім алатын магистранттарға және кәсіби оқу орындарының оқытушыларына арналады</t>
  </si>
  <si>
    <t>0000566</t>
  </si>
  <si>
    <t>Алдабергенов К.М.</t>
  </si>
  <si>
    <t>Қазақстанның облыстық және аймақтық баспасөзінің тарихы</t>
  </si>
  <si>
    <t>0000567</t>
  </si>
  <si>
    <t>Алдабергенов Қ.М.</t>
  </si>
  <si>
    <t>Қазақтың отарлану тарихы</t>
  </si>
  <si>
    <t>0000568</t>
  </si>
  <si>
    <t>Алдабергенова А.О.</t>
  </si>
  <si>
    <t>Delphi-де деректер қорымен жұмыс (2-ші басылым)</t>
  </si>
  <si>
    <t>Оқу-әдістемелік құралда жалпы деректер қорының негізгі түсініктері және Delphi жүйесінің құралдары мен визуалды программалау технологиясының көмегі арқылы деректер қорымен жұмысқа арналған қолданбалар жасау жолдары қарастарылған. Нақтылы деректер қорымен жұмысқа арналған қолданбалар болып табылатын көптеген мысалдар келтірілген. Оқырман Delphi жүйесінің негізімен және Object Pascal тілімен таныс деп есептеледі.
 Оқу-әдістемелік құрал «Ақпараттық жүйелер», «Деректер қоры», «Деректер қорын басқару жүйелері», «Визуалды программалау құралдары» және т.б. деректер қорын оқытумен байланысты пәндер оқылатын жоғары оқу орындарының студенттері мен магистранттарына, сондай-ақ орта арнаулы оқу орындарының студенттеріне арналған.</t>
  </si>
  <si>
    <t>0000569</t>
  </si>
  <si>
    <t>Негізгі мектепте алгебраны оқытуда компьютерлік технологияны қолданудың әдістемесі</t>
  </si>
  <si>
    <t>Бұл монографияда компьютерлік технологияны қолданудың теориясы мен тәжірибесі талданып, оқытуда қолданылатын компьютерлік бағдарламалардың жүйелері және олардың негізгі компоненттері айқындалып, ол бағдарламаларды жасаудың дидактикалық негіздері мен ашық интерактивті тапсырмаларды жасауға қойылатын талаптар анықталған. Сонымен қатар, компьютерлік оқыту бағдарламаларының кейбір типтерінің ерекшеліктері және оларды қолданудың жолдары айқындалып, негізгі мектепте компьютерлік бағдарламаларды қолданып алгебраны оқытудың әдістемесі баяндалған. Монография орта мектептің математика пәнінің мұғалімдеріне, педагогикалық мамандықтар даярлайтын жоғары оқу орындарының студенттері мен оқытушыларына арналған.</t>
  </si>
  <si>
    <t>0000570</t>
  </si>
  <si>
    <t>Алдабергенова А.О., Елепбергенова А.У.</t>
  </si>
  <si>
    <t>Интернетте программалау</t>
  </si>
  <si>
    <t>Оқу әдістемелік құрал</t>
  </si>
  <si>
    <t>Ұсынылып отырған оқу-әдістемелік құрал JavaScript тілінде программалауды оқып-үйретуге арналған. Оқу-әдістемелік құралда теориялық материалдармен қатар көптеген мысалдар, тапсырмалар және білімді тексеруге арналған тест тапсырмалары берілген. Сондай-ақ, веб-сайттарға арналған сценарийлерді құру сұрақтары да қарастырылған.
 Оқу-әдістемелік құрал жоғары оқу орындарының информатика, ақпараттық жүйелер мамандықтарының студенттеріне, магистранттарына, сол сияқты оқытушылар мен мектеп мұғалімдеріне арналады.</t>
  </si>
  <si>
    <t>0000571</t>
  </si>
  <si>
    <t>Алдай М., Ибатов А.И., Алдиярова Ж.С.</t>
  </si>
  <si>
    <t>Математикалық физика теңдеулерінің негізгі есептерін шешу әдістері</t>
  </si>
  <si>
    <t>оқу-әдістемелік құрал</t>
  </si>
  <si>
    <t>математика,механика</t>
  </si>
  <si>
    <t>Оқу-әдістемелік құрал жоғарғы оқу орындарында математика, математикалық және компьютерлік моделдеу және механика мамандықтарында оқитын білім алушыларға математикалық физика теңдеулерінің негізгі есептерін шешу әдістері және де қысқаша теориялық мәліметтер мен типтік есептерге көп мысалдар келтірілген.</t>
  </si>
  <si>
    <t>0000572</t>
  </si>
  <si>
    <t>Алдай М., Мырзатаева Қ.Р.</t>
  </si>
  <si>
    <t>Жәй дифференциалдық теңдеулерге кіріспе</t>
  </si>
  <si>
    <t>Бұл оқу-әдістемелік құрал жоғарғы оқу орындарындағы математика, математикалық және компьютерлік моделдеу және механика мамандықтарының студенттеріне арналған.</t>
  </si>
  <si>
    <t>0000574</t>
  </si>
  <si>
    <t>Алдамбергенова Г.Т.</t>
  </si>
  <si>
    <t>Өнердегі қазақ тілі</t>
  </si>
  <si>
    <t>«Өнердегі қазақ тілі» атты оқу құралы өнер саласында оқитын мемлекеттік тілді меңгерген, тілді білетін, әрі талаптанып жүрген басқа ұлт өкілдерінің студенттері мен магистранттарына, сондай-ақ тіл сүйер жалпы көпшілік қауымға арналған. Өнер саласында жұмыс істейтін оқытушылар мен мұғалімдерге, тіл үйретушілерге пайдалануға мүмкіндігі мол.</t>
  </si>
  <si>
    <t>0000576</t>
  </si>
  <si>
    <t>Алдамжарова М.Г.</t>
  </si>
  <si>
    <t>Учебное пособие по русскому языку для технических ВУЗов, для казахских групп. (для студентов специальности "Авиационная техника и технологии")</t>
  </si>
  <si>
    <t>0000577</t>
  </si>
  <si>
    <t>Алдешов C.Е.</t>
  </si>
  <si>
    <t>Дербес ЭЕМ-де аппараттық және бағдарламалық қамтамасыздандыру</t>
  </si>
  <si>
    <t>Студенттерге жүргізілетін сабақтар - өтілген тақырып бойынша жеке тапсырманы орындауға, игерген теориялық білімдерін практикалық тұрғыда жетілдіруге, кәсіби іскерлігі мен дағдыларын қалыптастыруға ықпал жасайды. 
 Оқу құралында “ Дербес ЭЕМ-де аппараттық және бағдарламалық қамтамасыздандыру ” пәнінен студенттердің лекциялық, практикалық сабақ барысында орындалатын тапсырмалар пәннің оқу бағдарламасындағы теориялық материалдардың мазмұнына сәйкес берілген және тапсырмаларды орындау үлгісі мысалдар арқылы көрсетіліп, тапсырмалар жеке нұсқалар бойынша берілген. 
  Оқу құралы жоғары оқу орындарының 5В011100 - информатика мамандықтары бойынша күндізгі оқу және қашықтан оқыту бөлімдерінің студенттеріне арналған.</t>
  </si>
  <si>
    <t>0000578</t>
  </si>
  <si>
    <t>Заманауи мультимедиялық технологиялар негіздері</t>
  </si>
  <si>
    <t>Мультимедиялық технологиялар негіздері пәнін оқытудың негізгі мақсаты студенттердің оқу процесінде заманауи мультимедиялық технологиялар арқылы өз бетінше тиімді білім алуды және өзін – өзі анықтауы үшін мүмкіндік туғызуы болып табылады. Оқыту мазмұны информатиканың дүниетанымдық және пайдаланушылық аспектілерін қалыптастыруға бағытталған. Оқу құралы студенттердің жеке тұлғаны жан-жақты дамытуды қалыптастыруда – кестелер, графиктер, сызбалар, мәтіндік, графикалық, дыбыстық, анимациялық, бейнелік ақпараттар т.б. оқу материалдарын ұсыну құралдары: теледидар, бейнемагнитофон, мультимедиалық, бейнелік, проекторлар, компьютер, интерактивті сенсорлық тақталар т.б. оқу материалдары жайлы мәлімдеме жасалған. Оқу материалдарын ұсынушы мұндай құрылғыларды мультимедиалық құралдар деп айтуға болады. Мультимедиялық технологиялар негіздері пәнінен оқу құралы 5В011100 – «Информатика» мамандықтары бойынша күндізгі оқу бөлімдерінде және қашықтан оқитын студенттерге арналған.</t>
  </si>
  <si>
    <t>0000579</t>
  </si>
  <si>
    <t>Компьютерлік желілер, интернет және мультимедиа - технологиялар</t>
  </si>
  <si>
    <t>Магистранттарға жүргізілетін сабақтар - өтілген тақырып бойынша жеке тапсырманы орындауға, игерген теориялық білімдерін практикалық тұрғыда жетілдіруге, кәсіби іскерлігі мен дағдыларын қалыптастыруға ықпал жасайды. Оқу құралында “ Компьютерлік желілер, интернет және мультимедиа - технологиялар” пәнінен магистранттардың лекциялық, практикалық сабақ барысында орындалатын тапсырмалар пәннің оқу бағдарламасындағы теориялық материалдардың мазмұнына сәйкес берілген және тапсырмаларды орындау үлгісі мысалдар арқылы көрсетіліп, тапсырмалар жеке нұсқалар бойынша берілген. Оқу құралы жоғары оқу орындарының 6М011100 - информатика мамандықтары бойынша жоғарғы оқу орнынан кейінгі білім беру орталығының магистранттарына арналған.</t>
  </si>
  <si>
    <t>0000580</t>
  </si>
  <si>
    <t>Алдешов С.Е. , Бүркіт Ә.Қ.</t>
  </si>
  <si>
    <t>Информатиканы оқытудың теориясы мен әдістемесі пәнінен лекциялар жинағы</t>
  </si>
  <si>
    <t>лекциялар жинағы</t>
  </si>
  <si>
    <t>информатика</t>
  </si>
  <si>
    <t>Информатиканы оқытудың теориясы мен әдістемесі пәнінен лекциялар жинағы - студенттерге оқытудың негізгі мақсаты оқушылардың оқу процесінде компьютерлік технология арқылы өз бетінше тиімді білім алуы үшін мүмкіндік туғызуы болып табылады. Оқыту мазмұны информатиканың дүниетанымдық және пайдаланушылық аспектілерін қалыптастыруға бағытталған.
 Лекциялар жинағы студенттердің жеке тұлғаны жан-жақты дамытуды қалыптастыруда информатика курсының орны мен мәнін түсінуі; әр түрлі деңгейлерде мектеп информатикасын оқытудың мазмұндық және әдістемелік әдістерін білуі; мүғалімнің информатика сабағын ұйымдастыру, жоспарлау және қамтамасыз ету жұмыстарының мазмұнын білуі; әртүрлі жас топтарындағы оқушыларда пәнге деген қызығушылықты дамыта отырып, информатикадан сабақты ұйымдастыра білуі тиіс. 
 Информатиканы оқытудың теориясы мен әдістемесі пәнінен лекциялар жинағы 5В011100 - информатика мамандықтары бойынша күндізгі оқу бөлімдерінде және қашықтан оқитын студенттерге арналған.</t>
  </si>
  <si>
    <t>0000581</t>
  </si>
  <si>
    <t>Алдешов С.Е., Л.Қ.Жайдақбаева</t>
  </si>
  <si>
    <t>Информатиканы оқытудың теориясы мен әдістемесі</t>
  </si>
  <si>
    <t>Оқу құралында информатиканы оқытудың теориялық негіздері, информатиканы оқытудың әдістемесі педагогикалық ғылым ретінде, мектептегі информатиканың педагогикалық қызметі, оқытуды ұйымдастыру түрлері мен әдістерін жүзеге асыру, олимпада жүргізу, информатика кабинетін жабдықтау көрсетілген. 
  Кітап университтер мен педагогикалық институттардың 5В011100 - информатика мамандықтары бойынша күндізгі оқу және қашықтан оқыту бөлімдерінің студенттеріне, информатика пәнінің оқытушыларына арналған.</t>
  </si>
  <si>
    <t>0000583</t>
  </si>
  <si>
    <t>Алдияров Ж.А., Мейірбеков Е.Д., Есімов Е.Қ.</t>
  </si>
  <si>
    <t>Жерге орналастыруда және кадастрдағы геодезиялық жұмыстары бойынша лабораториялық практикум</t>
  </si>
  <si>
    <t>Бұл оқу құралында геодезиялық жұмыстар туралы негізі мәліметтер және оларды орындау бойынша жалпы нұсқау берілген. Бұл оқулықта топографиялық карталыр мен пландар және олармен жұмыс істеу, бұрыштың, сызықтың, биікайырымдарды өлшеу, қарастырылған, сонымен қатар топографиялық түсірістің планын құру және құрылыс негізінде шығарылатын есептер туралы мысалдар келтірілген. Практикум жерге орналастыру, кадастр және құрылыс мамандықтары студенттеріне арналған, сонымен қатар геодезияны оқып-үйренетін басқа да мамндықтар үшін де пайдалы бола алады.</t>
  </si>
  <si>
    <t>0000586</t>
  </si>
  <si>
    <t>Алексеева Н.В., Серикулы Ж.</t>
  </si>
  <si>
    <t>Технологическое оборудование макаронных, хлебопекарных и кондитерских предприятий</t>
  </si>
  <si>
    <t>Технология перерабатывающих производств</t>
  </si>
  <si>
    <t>Учебник составлен в соответствии с программой дисциплины «Технологи-ческие машины и аппараты хлебобулочных, макаронных и кондитерских про-изводств». 
 В учебнике приведены теоретические сведения и варианты расчетных за-даний, а также примеры расчета некоторых видов технологического и вспомо-гательного оборудования для производства хлебобулочных, макаронных и кон-дитерских изделий. Учебник предназначен для студентов вузов специальности 5В072800-Технология перерабатывающих производств всех форм обучения.</t>
  </si>
  <si>
    <t>0000587</t>
  </si>
  <si>
    <t>Алексеенко А.Н., Аубакирова Ж.С.</t>
  </si>
  <si>
    <t>Этнодемографические процессы в Казахстане.</t>
  </si>
  <si>
    <t>В учебном пособии освещаются тенденции этнодемографического развития Казахстана в середине ХХ – начале ХХI вв., поднимаются актуальные и дискуссионные проблемы этнодемографических явлений в ретроспективе, даются основы демографических знаний, необходимых для научного анализа как проблем народонаселения, так и современного социального контекста. К каждому разделу учебного пособия прилагаются проблемные вопросы, с помощью которых демонстрируется алгоритм исследования представленных научных сюжетов. 
 Учебное пособие предназначено для магистрантов специальности «История» и направлено на реализацию в учебном процессе технологии развития рационального критического мышления</t>
  </si>
  <si>
    <t>0000589</t>
  </si>
  <si>
    <t>Аленов Ж.Н., Исмаилова А.А., Сыздыкова Л.Т.</t>
  </si>
  <si>
    <t>Лабораторное оборудование и приборы по определению качественных и количественных признаков семян в семеноводстве</t>
  </si>
  <si>
    <t>В учебном пособии для студентов средних и высших учебных заведений по агрономическим и инженерно-техническим специальностям показаны: техническая характеристика оборудования, приборов и методика использования их в лабораторных условиях, а также методика определения посевных показателей и качеств семян сельскохозяйственных культур</t>
  </si>
  <si>
    <t>0000590</t>
  </si>
  <si>
    <t>Тұқым шаруашылығында қолданылатын зертханалық жабдықтар және тұқым сапасын анықтау үшін қолданылатын құрал-жабдықтар</t>
  </si>
  <si>
    <t>Оқулықта жоғары және орта білімді оқу орындарында агроном мамандығы бойынша оқитын студенттерге ауыл шаруашылығы дақылдарының тұқым шаруашылығы үшін керекті зертханалық жабдықтарды пайдалану әдістемелері көрсетілген. 
  Оқулық үш бөлімнен тұрады. Бірінші бөлімде «Тұқымның сапалық және сандылық нышандарын анықтағыш зертханалық жабдықтардың техникалық сипаттамасы», екінші бөлімінде «Ауыл шаруашылық дақылдары тұқымдарының сорттық және егістік сапасын анықтау әдістемелері», үшінші бөлімі «Апробациялық бауларды алу, оны талдау және құжаттарды толтыру» «Ауылшаруашылығы дақылдарының апробациялық бауларын талдау» деген тақырыптар қарастырылады.</t>
  </si>
  <si>
    <t>0000591</t>
  </si>
  <si>
    <t>Алефиренко Н.Ф., Жарқынбекова Ш.К.</t>
  </si>
  <si>
    <t>Сопоставительная лингвокогнитивистика: тенденции, проблемы и перспективыразвития</t>
  </si>
  <si>
    <t>В монографии разработаны общетеоретические основания и определены тенденции развития сопоставительной лингвокогнитивистики, дан аналитический обзор исследований российских и казахстанских языковедов, создавших предпосылки для становления сопоставительной когнитивной лингвистики, показано этнокультурное своеобразие концептосфер разноструктурных языков. Адресуется широкому кругу лингвистов, всем, кто интересуется проблемами лингвокультуры, лингвокогнитивистики и сопоставительного языкознания.</t>
  </si>
  <si>
    <t>0000595</t>
  </si>
  <si>
    <t>Алибекова Б.А., Бейсенова Л.З.</t>
  </si>
  <si>
    <t>Государственный аудит: теория, методология и практика</t>
  </si>
  <si>
    <t>экономический</t>
  </si>
  <si>
    <t>В монографии изучены теоретико-методологические основы государственного аудита, проведен анализ и дана оценка деятельности органов внешнего и внутреннего государственного аудита. Выявлены проблемы организации и проведения государственного аудита, разработаны предложения по совершенствованию системы государственного аудита Республики Казахстан.
 Монография рассчитана на научных работников, преподавателей и обучающихся по экономическому направлению.</t>
  </si>
  <si>
    <t>0000597</t>
  </si>
  <si>
    <t>Алибекова Б.А.,Таштанова Н.Н.</t>
  </si>
  <si>
    <t>Основы бухгалтерского учета</t>
  </si>
  <si>
    <t>Учебное пособие «Основы бухгалтерского учета» подготовлено на основании последних законодательных и нормативно-правовых актов Республики Казахстан в области бухгалтерского учета и финансовой отчетности. В логической последовательности и взаимной связи излагаются базовые понятия, принципы и элементы метода бухгалтерского учета с иллюстрацией примерами, таблицами, рисунками.</t>
  </si>
  <si>
    <t>0000602</t>
  </si>
  <si>
    <t>Алибекова Ж. Д., Дуйсебаева П. С.,</t>
  </si>
  <si>
    <t>Геометриялық есептерді шығару практикумы (Геометриялық дәлелдеу есептері)</t>
  </si>
  <si>
    <t>Оқу құралында геометрияның планиметрия, стереометрия курсының негізгі бөлімдерінің дәлелдеуге берілген есептерін шығарудың әртүрлі тәсілдеріне есептер шығарудың үлгілері беріліп, студенттердің өз бетінше орындайтын жұмыстарына арналған есептері де түзілген.</t>
  </si>
  <si>
    <t>0000607</t>
  </si>
  <si>
    <t>анг/рус/каз</t>
  </si>
  <si>
    <t>Алибиев Д.Б., Нестерик Э.В., Жумашева А.Т., Махметова А.Т., Алимкулова С.Ж., Жетписбаева Б.А.</t>
  </si>
  <si>
    <t>Англо-русско-казахский словарь компьютерных и Интернет- терминов</t>
  </si>
  <si>
    <t>Англо-русско-казахский словарь компьютерных и Интернет-терминов создан на основе уже существующих словарей по данной тематике, содержит около 4500 терминов, cоставлен по алфавитному принципу, включает все основные термины, словосочетания и выражения, используемые в компьютерной и Интернет-индустрии, приводит толкования для целого ряда понятий и содержит большое количество аббревиатур.Словарь предназначен для студентов, магистрантов и преподавателей средних специальных и высших учебных заведений, переводчиков текстов технической тематики, работников компьютерной и Интернет-индустрии, а также для широкого круга пользователей персональных компьютеров</t>
  </si>
  <si>
    <t>0000608</t>
  </si>
  <si>
    <t>Алиев Б.</t>
  </si>
  <si>
    <t>Автомобиль двигательдері</t>
  </si>
  <si>
    <t>0000609</t>
  </si>
  <si>
    <t>Алиев Б. А</t>
  </si>
  <si>
    <t>Тракторлар, автомобильдер «теориясы»</t>
  </si>
  <si>
    <t>0000613</t>
  </si>
  <si>
    <t>Аликенова К. Н.</t>
  </si>
  <si>
    <t>Вестернизация және қазақ мәдени феномені</t>
  </si>
  <si>
    <t>Культурология</t>
  </si>
  <si>
    <t>Философия ғылымдарының кандидаты, доцент К.Н.Аликенованың монографиясында қазіргі кездегі қазақ мәдениетінің даму үрдісінде белең алып келе жатқан ғылыми және практикалық мәселенің бірі батыстандыру (вестернизация) мол көрініс табуда. Бұның ерекшеліктері мен басым бағыттары мәдениет философиясында кеңінен байқалады. 
 Осы мәселенің мән-жайын, негізгі мазмұнын, даму бағыттарын және қазіргі ұлттық мәдениеттің өрістерін дәл мағынада көрсету осы аталған монографияның негізгі мақсаты екені жақсы баяндалған. 
 Қазақ мәдениетінің өткендегі тарихымен қазіргі кезеңдегі сабақтастығы ғылыми жоғары деңгейде пайымдалған. Көптеген мысалдармен және қазіргі тәжірибелік ойлармен көркемделген баяндаулар кітаптың ой-өрістерін кеңейте түскен.</t>
  </si>
  <si>
    <t>0000614</t>
  </si>
  <si>
    <t>Алимбаев Б. А.</t>
  </si>
  <si>
    <t>Металл конструкциялары</t>
  </si>
  <si>
    <t>Кітап жоғары оқу орындарының кескіндеме, бейнелеу өнері және сызу, дизайн мамандықтарының студенттеріне және колледж оқушыларына, оқытуышалар мен мұғалімдерге және жалпы өнер сүйер қауымға арналған.</t>
  </si>
  <si>
    <t>0000615</t>
  </si>
  <si>
    <t>Алимбаева Р. Т.</t>
  </si>
  <si>
    <t>АНТРОПОЛОГИЯ</t>
  </si>
  <si>
    <t>Обширность антропологической проблематики на различных этапах становления данной науки заставляет выделить «узловые», «переломные» моменты в эволюционной антропологии, этнической антропологии, морфологии человека и обратить внимание на характеристику основополагающих понятий. Умение определить главную мысль, основное содержание того или иного учения будет составлять ведущую задачу для студентов-психологов в процессе изучения естественной истории человечества. Пособие предназначено для студентов, магистрантов и преподавателей учебных заведений психологических, биологических, исторических и других гуманитарных специальностей</t>
  </si>
  <si>
    <t>0000616</t>
  </si>
  <si>
    <t>Алимбаева Р.Т., Сланбекова Г.К., Нургалиева С.М.</t>
  </si>
  <si>
    <t>Экзистенциалды психология</t>
  </si>
  <si>
    <t>психология</t>
  </si>
  <si>
    <t>Оқу құралы адам өмірінің ең күрделі, іргелі міндеттеріне бағытталған психологиялық ғылымның жаңа бағыты бойынша экзистенциалды психология бойынша қазақ тіліндегі алғашқы оқу құрал. Онда экзистенциалды психологияның пайда болу негіздері, оның зерттеу пәні сипатталады, адамның өмір сүру мәнімен, болмыстың аяқталуымен, бостандығымен және жауапкершілігімен, дағдарыстық жағдайларды жеңумен байланысты болатын түбірлік, экзистенциалды мәселелерін шешуге деген психологиялық көзқарас дәйекті түрде берілген. 
 Оқу құралы экзистенциалды психология, тұлға психологиясы, даму психологиясы бағдарламалары бойынша оқитын бакалавриат және магистратура бағдарламаларының жоғары курс студенттеріне арналған. Сондай-ақ психолог мамандарға да, қазіргі заманғы психологияның барлық жаңа бағыттарына қызығатындарға да пайдалы болады.</t>
  </si>
  <si>
    <t>0000618</t>
  </si>
  <si>
    <t>Алимгазин А.Ш., Айтмагамбетова М.Б., Салихова Т.С.</t>
  </si>
  <si>
    <t>Энергосбережение в теплоэнергетике и теплотехнологии</t>
  </si>
  <si>
    <t>Учебное пособие "Энергосбережение в теплоэнергетике и теплотехнологии" предназначено для студентов специальности 5В071700 "Теплоэнергетика". Учебное пособие охватывает основные проблемы энергосбережения и может быть рекомендовано для студентов неэнергетических специальностей. Учебное пособие включает в себя три главы, посвященные вопросам актуальности энергосбережения в Казахстане, стратегии перехода на энергосберегающий путь развития отечественной энергетики до 2050 года, организации теплоэнергоаудита и энергосбережение</t>
  </si>
  <si>
    <t>0000619</t>
  </si>
  <si>
    <t>Алимжанов М.Д., Дузельбаев С.Т., Туякбаев Ш.Т.</t>
  </si>
  <si>
    <t>Теоретическая механика</t>
  </si>
  <si>
    <t>механика</t>
  </si>
  <si>
    <t>Учебник написан в соответствии с государственными общеобязательными стандартами образования для технических специальностей ВУЗов в условиях кредитной системы обучения и содержит: статику, кинематику, динамику и элементы аналитической механики. Методика изложения материала позволяет при относительно небольшом объеме учебнике охватить довольно обширный круг вопросов разделов теоретической механики, необходимых для овладения техникой используемой в современном производстве.
  Приведены примеры решения некоторых задач, иллюстрирующие теоретический материал. Учебник предназначен для обучающихся по программе бакалавриата. Он может быть полезен и для обучающихся по программе послевузовского образования – магистратура.</t>
  </si>
  <si>
    <t>0000621</t>
  </si>
  <si>
    <t>Алимжанова Л.В. /Әлімжанова Л.В./</t>
  </si>
  <si>
    <t>Сүт өнімі</t>
  </si>
  <si>
    <t>Оқулық "Мал шаруашылығы өнімдерін өндіру технологиясы" мамандығы бойынша оқитын студенттерге арналған. Онда сүттің физикалық, биохимиялық, технологиялық қасиеттері сипатталған. Жоғары сапалы сүт, май, ірімшік, ашыған сүт өнімдерін, ұлттық тағамдар дайындау технологиясы қаралған. Қазақстандағы сүт өндірісінің даму тарихы, сонымен бірге осы саладағы әр түрлі ұйымдастыру мәселелері жайлы сөз қозғалады.</t>
  </si>
  <si>
    <t>0000624</t>
  </si>
  <si>
    <t>Алиханов О., Тулеметова С.</t>
  </si>
  <si>
    <t>Практикум по внутренним незаразным болезням сельскохозяйственных животных</t>
  </si>
  <si>
    <t>Ветеринария</t>
  </si>
  <si>
    <t>Практикум по внутренним незаразным болезням сельскохозяйственных животных с основами диагно¬стики написан в соответствии с требованиями дейст¬вующей программы для сельскохозяйственных высших учебных заведении по специальности «Ветеринарная медицина»—5В1200100.
 Основная цель руководства - оказать помощь учащимся в самостоятельном закреплении теоретиче¬ских знаний, в приобретении практических навыков по проведению клинических и лабораторных исследо¬ваний животных, лечебных и профилактических ме¬роприятий.</t>
  </si>
  <si>
    <t>0000627</t>
  </si>
  <si>
    <t>Алмагамбетов К. Х., Мухаметжанов К.М., Махамбетов К.О.,Досмагамбетов М.У.</t>
  </si>
  <si>
    <t>Биотехнология (на каз.яз)</t>
  </si>
  <si>
    <t>Медициналық практикада қолданатын жаңа биотехнологиялар туралы мəліметтер көрсетілген. ДНҚ технологиялар нотерапия, ДНҚ-диагностика, ДНҚ-вакциналар) клеткалық терапия, биопрепараттарды алу технологиялары, био-
 тех нологиялық қондырғылар, биоэтика мен биоқауіпсіздік тақырыптары студенттермен жас мамандар үшін қажетті.
 Оқу құралы оқырмандардың түсінігін арттыруға мүмкіндік береді.</t>
  </si>
  <si>
    <t>0000630</t>
  </si>
  <si>
    <t>Алметов Н.Ш., Арымбаева К.М.</t>
  </si>
  <si>
    <t>Оқу құралы «Қазақстан Республикасының Білім және ғылым министрлігінің ережелері» талаптарына сәйкес құрастырылған және магистратураның 6М090600 – Мәдени тынығу қызметі мамандығы үшін «Педагогика» пәнінен дәріс мәтіндерін, магистранттардың өзіндік жұмыстарын ұйымдастыру, жетекшілік ету және бақылау бойынша барлық қажетті мәліметтерді кірістірген.Магистранттарға арналған осы оқу құралы мазмұны «Педагогика» пәні бойынша магистранттардың өзіндік жұмыстарын ұйымдастыру, жетекшілік ету мен бақылау, оқытушының жетекшілігімен студенттердің өзіндік жұмыстарын өткізу және олардың оқу жетістіктерін бақылаудың құралдарын пайдалану үшін қажетті теориялық және әдістемелік материалдардың кешенін қамтиды</t>
  </si>
  <si>
    <t>0000631</t>
  </si>
  <si>
    <t>Алметов Н.Ш.</t>
  </si>
  <si>
    <t>Педагогикалық менеджмент</t>
  </si>
  <si>
    <t>Оқу құралы мазмұны «Педагогикалық менеджмент» пәні бойынша дәрістер мәтіндері, студенттердің өзіндік жұмыстарын ұйымдастыру, жетекшілік ету мен бақылау, оқытушының жетекшілігімен студенттердің өзіндік жұмыстарын өткізу және олардың оқу жетістіктерін бақылаудың құралдарын пайдалану үшін қажетті теориялық және әдістемелік мәліметтерді кірістірген. Оқу құралы 5В010000 – «Білім» тобымамандықтары студенттеріне арналған.</t>
  </si>
  <si>
    <t>0000632</t>
  </si>
  <si>
    <t>Алмұхамбетов С.С., Альмұханбетова С.С.</t>
  </si>
  <si>
    <t>Кәсіптік оқытуда ақпараттық қауіпсіздік және ақпаратты қорғау технологиясы</t>
  </si>
  <si>
    <t>профессиональное обучение</t>
  </si>
  <si>
    <t>Ұсынылып отырған оқу құралының негізгі мақсаты-университетте Кәсіптік оқыту мамандығында, шифр-5В012000 оқитын студенттерге ақпаратқа төнетін қауіп қатерлерге, олардан ақпаратты қорғау әдістері туралы мағлұматтар беру, оларды іс жүзінде пайдалана білу негізделінген. Оқу құралы жоғарғы оқу орындарының шифр-5В012000 Кәсіптік оқыту мамандығында оқитын студенттеріне, магистарнтарға және оқытушыларға арналған оқу құралы</t>
  </si>
  <si>
    <t>0000633</t>
  </si>
  <si>
    <t>978-601-330-835-7</t>
  </si>
  <si>
    <t>Алпысбаев Қ.Қ.</t>
  </si>
  <si>
    <t>Ойлар, толғаныстар</t>
  </si>
  <si>
    <t>Ғылыми-зерттеу мақалалар жинағы</t>
  </si>
  <si>
    <t>Филология ғылымдарының докторы, профессор Құныпия Алпысбаевтың бұл кітабынла соңғы жылдарда жазылған ғылыми-зерттеу мақалалары топтастырылған. Кітап филология факультетінде оқитын студенттерге, магистранттарға, жалпы әдебиетсүйер көпшілікке арналады.</t>
  </si>
  <si>
    <t>0000634</t>
  </si>
  <si>
    <t>Көркем мәтінді әдеби талдау</t>
  </si>
  <si>
    <t>Оқу құралында көркем мәтінді талдаудың әдіс-тәсілдері көрсетіліп, үлгілері ұсынылады. Магистранттардың әдеби шығарманы оқып түсіну жолдары, көркем шығарма авторының шеберлік қырларын айқындау, стильдік ерекшеліктерін ашу тәсілдері баяндалады. Оқулық оқыту жүйесінің кредиттік технологиясына негізделген. Қазақ тілі мен әдебиеті, филология мамандарын даярлайтын жоғары оқу орнының магистранттарына, студенттеріне, оқытушыларға, сондай-ақ әдебиетті сүйіп, өз бетінше оқитын қауымға арналады.</t>
  </si>
  <si>
    <t>0000637</t>
  </si>
  <si>
    <t>Алпысбес М.А.</t>
  </si>
  <si>
    <t>Қазақ шежіресі (тарихнамалық-деректанулық зерттеу)</t>
  </si>
  <si>
    <t>Кітаптың негізгі мәселесі – шежіре тарихнамасы мен деректері. Қазақ шежірелері генеалогиялық ақпарат жүйесін, дәстүрлі тарихи сана мен тарихи таным кешенін құрайды. Еңбектің теориялық және методо­логиялық іргелі негізі ретінде тарихнамалық зерттеулер, деректану саласы бойынша жасалған отандық және шетелдік ғалымдардың салмақты тұжырымдары, ғылымда қалыптасқан тарихи-деректік сыныптау жүйесі алынған, талдаулар жасалынған. Шежірелерде көне аңыздар, жер-су аты туралы, халықтың шығу тегі, рулардың қалыптасу тарихы туралы мәліметтер бар. Халықтың әйгілі тұлғалары – билер, хан, сұлтандар, мырзалар, батырлар, атақты ақындар туралы деректі де тек шежіре арқылы табуға болады. Халық шежірелері, ескі сөзі мен тарихи жырлары - қазақ қауымының рухани өмірі мен тұрмыс-тіршілігі туралы шындықты айтатын маңызды дерек көзі.Кітап тарихшыларға және жалпы оқырман қауымға арналады</t>
  </si>
  <si>
    <t>0000638</t>
  </si>
  <si>
    <t>Шежире казахов: источники и традиции</t>
  </si>
  <si>
    <t>Задача данной книги – донести до читателя отдельные итоги изучения шежире казахов, исследуемое автором в качестве генеалогической памяти и исторического источника, как культурной традиции и самобытной формы историознания казахского народа. Материалы шежире содержат в себе сведения о генеалогии в виде рассказов, списков, схем, которые дают информацию о характере системы родства и свойства народа, родоплеменных и субэтнических группах, а также известных исторических личностях, вкупе с родословными элитарной части казахского общества – торе, ходжей. В трудах дореволюционных авторов шежире представлена как совокупность историко-генеалогических материалов и использовалась в целях изучения обычного права, родового быта и этнического состава населения степи. Книга рассчитана на преподавателей, научных работников, историков, филологов, этнографов, краеведов, а также на всех интересующихся проблемами развития устных знаний, исторической традиции и вопросами генеалогии</t>
  </si>
  <si>
    <t>0000643</t>
  </si>
  <si>
    <t>Алтаев Ж</t>
  </si>
  <si>
    <t>Философия тарихы 1 том</t>
  </si>
  <si>
    <t>Оқулықтa философия тaрихының aнтикaлық дәуірінен бaстaп, одaн кейінгі негізгі дaму кезендері қaрaстырылaды. Шығыс философиясының бір бұтaғы болғaн қaзaқ философиясы- ның тaрихи дaму белестеріне ерекше мән беріледі. Оқулық жоғaры оқу орындaрының бaғдaрлaмaлaрынa сәйкес жaзылғaн.
 Жоғaры оқу орындaры студенттеріне, мaгистрaнттaрғa, философ мaмaндaрғa және фило- софия тaрихы мәселелеріне қызығушы зиялы қaуымғa aрнaлaды.</t>
  </si>
  <si>
    <t>0000644</t>
  </si>
  <si>
    <t>Философия тарихы 2 том</t>
  </si>
  <si>
    <t>0000645</t>
  </si>
  <si>
    <t>Алтаев Ж. А.</t>
  </si>
  <si>
    <t>Философия және мәдениеттану</t>
  </si>
  <si>
    <t>0000646</t>
  </si>
  <si>
    <t>Алтаев Ж., Касабек А., Масалимова А.</t>
  </si>
  <si>
    <t>Казахская философия</t>
  </si>
  <si>
    <t>В учебнике рассматриваются вопросы формирования и развития казахской философии в историко-философском и теоретико-методологическом аспектах. Основное внимание уделено личностному видению философских основ жизнедеятельности в их исторической и теоретической ретроспективе. 
 Учебник рассчитан на студентов бакалавриата и магистратуры, а также на интересующихся актуальными проблемами казахской философии.</t>
  </si>
  <si>
    <t>0000647</t>
  </si>
  <si>
    <t>Алтаев Ж., Фролов А.</t>
  </si>
  <si>
    <t>Исламская философия (для студентов ВУЗов, магистрантов, докторантов, также для студентов, интересующихся философией и религией) 1 том</t>
  </si>
  <si>
    <t>Книга посвящена философскому анализу классической и современной ис-ламской философии в рамках новаторского подхода к исследованию Ислама как совокупности текстов не только религиозно-иррационального, но и философско-рационального содержания. Осуществляется попытка показать существование в лоне обширной исламской цивилизации оригинального коранического мировоззрения, в теоретическом плане отразившегося в совокупном учении трех центральных исламских наук, онтологические корни которых располагаются в текстах Корана и пророческой сунны – «Каляма», «Фикха» и «Тасаууфа». Сквозь призму этих трех крупнейших исламских наук, книга призвана дать отечественным читателям общее представ-ление об оригинальном исламском мировоззрении, происходящем не из античных источников, но из глубокого анализа строк Священного Корана. Кроме того, книга отличается оригинальным подходом в классификации различных исламских куль-тур, получивших развитие в ойкумене исламской цивилизации. Авторы пытаются продемонстрировать красоту культурного многообразия этой цивилизации на фоне ее философско-мировоззренческого единства. Из этого единства исходили в своих рассуждениях такие выдающиеся личности исламского интеллектуального мира, как аль-Кинди, аль-Фараби, ибн Сина и аль-Газзали, представители персидской философской мысли, а также тюркско-казахские представители исламской философии. 
 Книга предназначена специалистам в области исламоведения и истории исламской философии, PhD докторантам, магистрантам, студентам и для всех тех, кто интересуется вопросами философии и духовной культуры в мусульманской философии.</t>
  </si>
  <si>
    <t>0000648</t>
  </si>
  <si>
    <t>Исламская философия (для студентов ВУЗов, магистрантов, докторантов, также для студентов, интересующихся философией и религией) 2 том</t>
  </si>
  <si>
    <t>0000650</t>
  </si>
  <si>
    <t>Алтаев Ж.А.,Фролов А.</t>
  </si>
  <si>
    <t>Ислам философиясы 1 том</t>
  </si>
  <si>
    <t>Еңбекте классикалық және заманауи ислам философиясы философиялық сараптама тұрғысынан тек діни-ирроцианалистік сипатта ғана емес, философиялық-рационалистік сарында да зерттелген.
 Ислам өркениеті аясындағы құранидтік дүниетаным және онда көріністер тапқан үш ортаңғы ислам ғылымы, онтологиялық тамыры Құран мен сүннет мәтіндерінен нәрленген «Калам», «Фиқһ» және «Тасаууф» мәселелері қарастырылған. Үш ислам ғылымының негізінде кітап отандық оқушыларға ислам дүниетанымының көне антика дүниесінен, сонымен қатар Қасиетті Құран мәтіндерінің терең мән-мағыналарынан да нәр алғаны нақты көрсетілген. Сондай-ақ ислам өркениетінде белең алған түрлі ислам мәдениеттері де жүйеленген. Аталмыш өркениеттің түбі бір болып табылатын көпқырлы философиялық-дүниетанымдық мәдени әсемдігі талданған. Бұл бірліктен ислам интеллектуалды әлемінің тұлғалары әл-Кинди, әл-Фараби, ибн Сина, әл-Ғазали, парсы философиялық ойлау мәдениетінің өкілдері мен ислам философиясының түркі-қазақ өкілдері шыққаны баяндалған.
 Кітап исламтану және ислам философиясының тарихын зерттеуші мамандарға, PhD докторанттарға, магистранттар мен студенттерге және мұсылман философиясы мен рухани дүниесін қызықтайтын оқырмандарға арналған.</t>
  </si>
  <si>
    <t>0000651</t>
  </si>
  <si>
    <t>Ислам философиясы 2 том</t>
  </si>
  <si>
    <t>0000652</t>
  </si>
  <si>
    <t>Алтаева А. Ш., Мухамадиев Х.С.</t>
  </si>
  <si>
    <t>Научный стиль русского языка по горному делу и металлургии</t>
  </si>
  <si>
    <t>Язык русс, Горное дело</t>
  </si>
  <si>
    <t>Металлургия</t>
  </si>
  <si>
    <t>Книга является частью комплекса учебных пособий по научному стилю в сфере преподавания русского языка студентам, обучающимся на государственном языке. В пособии содержится систематическое изложение дисциплины: теоретический материал и методические рекомендации, представленные в пособии, помогут студентам понять исходные принципы и особенности научного стиля речи, активизировать навыки логического научного мышления и развить умения по написанию текстов основных видов студенческих научно-учебных работ.В содержание пособия тематически включены терминологические словарные статьи по горному делу и металлургии, служащие основой самостоятельного освоения норм и принципов научной текстовой презентации по специальности.Учебное пособие предназначено для студентов вузов технических специальностей</t>
  </si>
  <si>
    <t>0000662</t>
  </si>
  <si>
    <t>Альжанов А.К., Абильдинова Г.М.</t>
  </si>
  <si>
    <t>Мультимедиа технологии в образовании</t>
  </si>
  <si>
    <t>0000663</t>
  </si>
  <si>
    <t>Альжанова А.Н., Райханова К.К.</t>
  </si>
  <si>
    <t>Основы права</t>
  </si>
  <si>
    <t>В условиях построения правового государства важное значение приобре-тает формирование у всех граждан правового сознания путем пропаганды пра-вовых знаний и разъяснения смысла законов. В учебном пособии рассматрива-ются понятия о праве, правовых явлениях и государстве, основные правовые нормы и принципы ведущих отраслей права.
 Пособие предназначено для студентов не юридических специальностей высших, технических и профессиональных учебных заведений, учащихся гим-назий, лицеев и школ, а также широкому кругу читателей, интересующихся правовой системой суверенного Казахстана.</t>
  </si>
  <si>
    <t>0000665</t>
  </si>
  <si>
    <t>Альжанова Р.С.</t>
  </si>
  <si>
    <t>История Казахстана (военный аспект)</t>
  </si>
  <si>
    <t>В учебном пособии представлен военный аспект истории Казахстана: история войн, военное и политическое устройство Древнего и Средневекового Казахстана, военное строительство в годы Гражданской войны и боевой путь национальных соединений в годы Великой Отечественной войны 1941-1945 гг. Особое место в работе занимает история создания и развития Внутренних войск МВД Республики Казахстан.
 Учебное пособие предназначено для использования в учебном процессе высших военных учебных заведений и военных кафедр Республики Казахстан, студентов неисторических специальностей по дисциплинам История Казахстана, Военная история, История военного искусства. Материалы учебного пособия могут быть также использованы профессорско-преподавательским составом в учебно-воспитательном процессе вузов Республики Казахстан.</t>
  </si>
  <si>
    <t>0000666</t>
  </si>
  <si>
    <t>Альжаппарова Б.К.</t>
  </si>
  <si>
    <t>Аграрная история Центрального Казахстана в первой трети 20 века</t>
  </si>
  <si>
    <t>Данное научное исследование посвящено аграрной истории Центрального Казахстана в первой трети 20 века. Книга адресована историкам. Монография предназначена для студентов специальности 5В 020300 - История</t>
  </si>
  <si>
    <t>0000667</t>
  </si>
  <si>
    <t>Историография и источниковедение истории Казахстана (XVIII-XX века)</t>
  </si>
  <si>
    <t>Учебное пособие рассматривает ключевые проблемы историографии и источниковедения истории Казахстана (18-20 века). Учебное пособие изложено в виде глав и параграфов, в которых изучены основные темы историографии истории Казахстана в новое и новейшее время, фрагментарно исследованы исторические источники 18-начала 20 в., прослежена историография аграрной истории Казахстана, рассмотрены современные концепции отечественной историографии.</t>
  </si>
  <si>
    <t>0000668</t>
  </si>
  <si>
    <t>Альмишев У.Х., Уахитов Ж.Ж., Альмишева Т.У.</t>
  </si>
  <si>
    <t>Атлас основных болезней сельскохозяйственных растений Казахстана. Қазақстанның ауылшаруашылығы өсімдіктерінің негізгі ауруларының атласы.</t>
  </si>
  <si>
    <t>Настоящий атлас является наглядным пособием по вопросам защиты растений, расчитанным для студентов по специальности "Агрономия", "Биология", "Экология", а также руководителям агроформирований</t>
  </si>
  <si>
    <t>0000669</t>
  </si>
  <si>
    <t>Атлас основных вредителей сельскохозяйственных растений Казахстана. Қазақстанның ауылшаруашылығы өсімдіктерінің негізгі зиянкестерінің атласы.</t>
  </si>
  <si>
    <t>0000670</t>
  </si>
  <si>
    <t>978-601-352-545-7</t>
  </si>
  <si>
    <t>Растениеводство</t>
  </si>
  <si>
    <t>Настоящее пособие имеет целью осветить наиболее актуальные вопросы методики преподавания дисциплины «Растениеводство» - од-ного из основных предметов подготовке агронома. Пособие предназна-чается для преподавателей сельскохозяйственных специальностей (спе-циальность 5В0800701 «Агрономия», 6М080100«Агрономия») и слуша-телей педагогических факультетов сельскохозяйственных вузов и кол-леджей. Кроме того, оно может быть использовано преподавателями сельскохозяйственных колледжей других специальностей, а также сель-скохозяйственных школ, школ повышения квалификации</t>
  </si>
  <si>
    <t>0000671</t>
  </si>
  <si>
    <t>Альмусин Г.Т., Нешина Е.Г.</t>
  </si>
  <si>
    <t>Өнеркәсіптік кәсіпорынның ауасын кондиционерлеу жүйесін жобалау</t>
  </si>
  <si>
    <t>Механика. Тепло-, газо-</t>
  </si>
  <si>
    <t>Оқу құралында нақты технологиялар үшін үлгі режиміне себепші ғимараттарды (үй-жайлар) есептеу үшін кондиционерлеу жүйелерін, әдістерін әзірлеу – жобалаудың өзекті мәселелері; ауа өңдеу әдістері мен технологиялық схемаларды таңдау; технологиялық жүйелеу элементтерінің жүктемелерін есептеу; АБЖ жабдықтарын есептеу және таңдау; ауаны кондиционерлеу жүйелерін құрастыру; АБЖ жұмыс режимдерін талдау қарастырылады. Оқу құралы оқу жоспарының талаптарына сәйкес жасалған және пәнді оқып үйренуде 5В071700 «Жылуэнергетика» мамандығының студенттеріне «Ауа баптау жүйесі және суықпен жабдықтау» пәніне арналған.</t>
  </si>
  <si>
    <t>0000672</t>
  </si>
  <si>
    <t>Проектирование системы кондиционирования воздуха промышленного предприятия</t>
  </si>
  <si>
    <t>В пособии рассмотрены актуальные вопросы проектирования систем кондиционирования воздуха, освоение методик расчета типового режима кондиционируемого здания (помещения) для конкретной технологии; выбор методов и технологической схемы обработки воздуха; расчет нагрузок на элементы технологической схемы; расчет и подбор оборудования СКВ; конструирование системы кондиционирования воздуха; анализ режимов работы СКВ.
 Учебное пособие составлено в соответствии с требованиями учебного плана и предназначено для студентов специальности 5В071700 «Теплоэнергетика» при изучении дисциплины «Кондиционирование воздуха и холодоснабжение».</t>
  </si>
  <si>
    <t>0000674</t>
  </si>
  <si>
    <t>Амалбекова М. Б.</t>
  </si>
  <si>
    <t>Публицистический дискурс казахстанских билингвов</t>
  </si>
  <si>
    <t>языки, филология</t>
  </si>
  <si>
    <t>В монографии репрезентируется процесс интерпретации и отражения окружающей действительности казахстанскими билингвами, способы описания образов родной (для Г. Бельгера приобретенной) культуры (казахской) языковыми средствами приобретенной (для Г. Бельгера второй приобретенной) культуры (русской). Анализ представлен на материале публицистических текстов талантливых писателей, переводчиков А. Кекильбаева и Г. Бельгера, публициста и общественного деятеля М. Кул-Мухаммеда.Книга адресована лингвистам и всем, интересующимся проблемами билингвизма</t>
  </si>
  <si>
    <t>0000676</t>
  </si>
  <si>
    <t>Амангелді А.А.</t>
  </si>
  <si>
    <t>Құралда кәсіби мәтіндер іріктеліп, екшеліп берілген. Оқулық кредиттік білім беру технологиясына негізделген. Тақырып бойынша практикалық сабақтар, студенттердің оқытушы басшылығымен атқаратын жұмыстары және тіл үйренуші өз бетімен орындауға тиісті тапсырмалар рет-ретімен беріліп отырады. Әр сабақтан соң тіл үйренушінің тақырып бойынша алған білімін өзі тексеруіне мүмкіндік беретін тест тапсырмалары бар. Аралық бақылау жұмысын да студент өз бетінше орындап, білімін тексере алады. Ауызша және жазбаша жаттығу жұмыстары болашақ маманның өз мамандығы саласындағы терминдерді меңгеруге, болашақта еңбекке тілдік кедергісіз араласуға көмектеседі. Оқулық жоғары оқу орындарының халықаралық қатынастар мамандығының студенттеріне арналған.</t>
  </si>
  <si>
    <t>0000677</t>
  </si>
  <si>
    <t>Кәсіби қазақ тілі (Тарих факультетінің мамандықтарына арналған)</t>
  </si>
  <si>
    <t>0000678</t>
  </si>
  <si>
    <t>Кәсіби қазақ тілі (Филология факультетінің мамандықтарына арналған)</t>
  </si>
  <si>
    <t>0000679</t>
  </si>
  <si>
    <t>Қысқаша грамматикалық анықтағыш</t>
  </si>
  <si>
    <t>0000682</t>
  </si>
  <si>
    <t>Аманжол І.А.</t>
  </si>
  <si>
    <t>Кен байыту өндірісі кешенінде кәсіби қауіп деңгейін және жұмысшылардың денсаулығын басқарудың гигиеналық принциптері</t>
  </si>
  <si>
    <t>Монографияда автордың кен байыту өндірісі кешенінде жұмыс орындары жағдайын бағалауға ұзақ жылдар бойы жүргізген кешенді гигиеналық, физиологиялық, психофизиологиялық, эксперименттік және еңбекке уақытша жарамсыздықпен қоса сырқаттанушылықты бағалау бойынша ғылыми зерттеулері нәтижелері талданған.
 Алғаш рет полиметалл кенін ашық әдіспен өндіру өнеркәсібінде кешенді гигиеналық, физиологиялық, емханалық, әлеуметтік, эксперименттік және статистикалық зерттеулер негізінде еңбек жағдайлары және олардың жұмысшылар денсаулығына әсері бойынша ғылыми және гигиеналық баға берілген.
 Бұл басылым медициналық-профилактикалық сала мамандары – гигиенистер, физиологтар, профпатологтармен қоса экологтарға және өндірісті басқару бойынша шешім қабылдайтын әкімшілік-басқару персоналы мен инженерлік-техникалық қызметкерлерге қызығушылық тудырады. Сонымен қатар, медициналық жоғарғы оқу орындарының студенттері мен еңбек медицинасы саласындағы жас мамандар, ізденушілер пайдалана алады.</t>
  </si>
  <si>
    <t>0000683</t>
  </si>
  <si>
    <t>Аманжол І.А., Шарипов Н.Х. Жолмағамбетов Н.Р.</t>
  </si>
  <si>
    <t>Өндірістік санитария</t>
  </si>
  <si>
    <t>«Өндірістік санитария» оқулығында өндіріс салаларының жұмыс орындарында еңбекті ұйымдастырудың құқықтық-ұйымдастырушылық негіздері, өндірістік жағдайлардың туындау факторлары мен механизмдері, өндірістік зиянды және қауіпті факторлардың жіктелуі, бұл факторлар орын алған жағдайлардың алдын алу және салдарын жою әдістері, физикалық, химиялық, биологиялық, экологиялық және өндіріс орындарындағы жұмыс жағдайлары мен олардың зиянды және қауіпті факторлары туралы мәліметтермен қатар олардың әсеріндегі жұмысшыларға арналған профилактикалық - медициналық көмек көрсету әдістері мен білім алушылардың өзін-өзі тексеруге арналған бақылау сұрақтары қарастырылған.
 Оқулық жоғарғы оқу орындарының «Тіршілік қауіпсіздігі және қоршаған ортаны қорғау» мамандығы бойынша оқитын студенттерге, магистранттарға, докторанттарға, жалпы білім беру ұйымдарының оқытушыларына, өндірістік қауіпсіздік саласындағы қызметкерлерге және де қауіпсіздік мәселелері қызықтыратын оқырмандарға арналған.</t>
  </si>
  <si>
    <t>0000684</t>
  </si>
  <si>
    <t>Аманжол Қасабек, Жақып Алтай</t>
  </si>
  <si>
    <t>Қазақ философиясы</t>
  </si>
  <si>
    <t>0000686</t>
  </si>
  <si>
    <t>Аманжолов Ж.К.</t>
  </si>
  <si>
    <t>Основы пожарно-технической экспертизы</t>
  </si>
  <si>
    <t>В учебном пособии изложены основы пожарно-технической экспертизы: процессуальное положение эксперта, специалиста, обязанности, права и ответственность;порядок дознания при расследовании пожаров; вещественные доказательства; порядок проведения пожарно-технической экспертизы;исследование очага пожара; построение и проверка версий причин возникновения пожара. Значительное внимание уделено вопросам построения версий о причинах пожара.Пособие предназначено для студентов, бакалавров, магистрантови докторантов высших учебных заведений.</t>
  </si>
  <si>
    <t>0000687</t>
  </si>
  <si>
    <t>Өрт техникалық сараптамасының негіздері</t>
  </si>
  <si>
    <t>Оқу құралында өрт-техникалық сараптама негіздері баяндалған: сарапшының, маманның іс жүргізу жағдайы, міндеттері, құқықтары мен жауапкершілігі; өрттерді тергеу кезіндегі анықтау тәртібі; заттай дәлелдемелер; өрт-техникалық сараптама жүргізу тәртібі; өрт ошағын зерттеу; өрттің шығу себептерінің нұсқаларын құру және тексеру. Өрт себептері туралы нұсқаларды құру мәселелеріне ерекше көңіл бөлінді. Оқу құралы жоғары оқу орындарының студенттеріне, бакалаврларына, магистранттары мен докторанттарына арналған. 1 иллюстрация, қолданылған әдебиеттер тізімі – 16.</t>
  </si>
  <si>
    <t>0000688</t>
  </si>
  <si>
    <t>Охрана труда на нефтебазах и азс</t>
  </si>
  <si>
    <t>В учебнике изложены основы нормативно-правового обеспечения безопасности и охраны труда, системы управления охраной труда на предприятиях, производственной санитарии, электробезопасности, пожарной безопасности. Более подробно рассмотрены методы анализа производственного травматизма и профессиональной заболеваемости. Большое внимание уделено безопасности производственных процессов на нефтебазах и АЗС. Пособие предназначено для студентов, магистрантов и докторантов высших учебных заведений.</t>
  </si>
  <si>
    <t>0000690</t>
  </si>
  <si>
    <t>Аманжолов Ж.К. , Э.Р. Халикова, Д.С. Сыздыкбаева</t>
  </si>
  <si>
    <t>Еңбек қорғау және азаматтық қорғаныс</t>
  </si>
  <si>
    <t>Оқулықта Қазақстан Республикасыда өрт және өндірістік қауіпсіздік, еңбек қорғауды қамтамассыз ететін нормативті-құқықтық негізідер қарастырылған, кәсіби аураулар мен өндірістік жарақаттардың себептері мен саралау тәсілдері келтірілген. Өндірісте еңбекті қорғау жағдайын бақылау сұрақтарына елеулі назар бөлінеді, өндірістік процесстердің қауіпсіздігі, өндірістік санитария, электр қауіпсіздігі. Мекемеде және кәсіпорында қауіпсіздікте және еңбекті қорғауда қолданылатын басқару жүйесіне сараптама берілді. Оқулық жоғарғы оқу орнының оқытушылары және студенттері үшін, сонымен қатар мекемелер мен кәсіпорындардағы инженерлік-техникалық жұмыскерлеріне, өндірістік қауіпсіздік және еңбек қорғаумен айналысатындарға арналғ</t>
  </si>
  <si>
    <t>0000691</t>
  </si>
  <si>
    <t>Рус</t>
  </si>
  <si>
    <t>Аманжолов Ж.К., Баландин В.С.</t>
  </si>
  <si>
    <t>Охрана труда в электроэнергетике 1 том</t>
  </si>
  <si>
    <t>В учебном пособии изложены основы нормативно-правового обеспечения безопасности и охраны труда, системы управления охраной труда на предприятиях, производственной санитарии, электробезопасности, пожарной безопасности и методы анализа производственного травматизма и профессиональной заболеваемости. Значительное внимание уделено общим вопросам техники безопасности в электроэнергетике.Пособие предназначено для студентов высших и средних специальных учебных заведений электроэнергетических специальностей.</t>
  </si>
  <si>
    <t>0000692</t>
  </si>
  <si>
    <t>978-601-13-0273-9</t>
  </si>
  <si>
    <t>Охрана труда в электроэнергетике 2 том</t>
  </si>
  <si>
    <t>0000693</t>
  </si>
  <si>
    <t>Аманжолов Ж.К., Жолмагамбетов Н.Р., Сыздыкбаева Д.С.</t>
  </si>
  <si>
    <t>Құрылыстағы еңбекті қорғау 1 том</t>
  </si>
  <si>
    <t>Строительство</t>
  </si>
  <si>
    <t>Оқулықта кәсіби аурулар мен өндірістік жарақаттарды саралау тәсілдері және өрт қауіпсіздігі, электр қауіпсіздігі, өндірістік санитария, еңбек қорғауды қамтамасыз ететін нормативті-құқықтық негіздер қарастырылған. Құрылыстағы техника қауіпсіздігіне жалпы сұрақ бойынша басты назар аударылған. Оқулық жоғарғы оқу орнының құрылыс мамандығындағы студенттерге арналған.8 кесте, 5 иллюстрация, қолданылған әдебиеттер тізімі – 52.</t>
  </si>
  <si>
    <t>0000694</t>
  </si>
  <si>
    <t>Құрылыстағы еңбекті қорғау 2 том</t>
  </si>
  <si>
    <t>0000695</t>
  </si>
  <si>
    <t>Аманжолов Ж.К., Сыздыкбаева Д.С., Матаев Ж. Ш.</t>
  </si>
  <si>
    <t>Еңбекті қорғау және азаматтық қорғаныс 1 том</t>
  </si>
  <si>
    <t>Оқулықта Қазақстан Республикасыда өрт және өндірістік қауіпсіздік, еңбек қорғауды қамтамассыз ететін нормативті-құқықтық негізідер қарастырылған, кәсіби аураулар мен өндірістік жарақаттардың себептері мен саралау тәсілдері келтірілген. Өндірісте еңбекті қорғау жағдайын бақылау сұрақтарына елеулі назар бөлінеді, өндірістік процесстердің қауіпсіздігі, өндірістік санитария, электр қауіпсіздігі. Мекемеде және кәсіпорында қауіпсіздікте және еңбекті қорғауда қолданылатын басқару жүйесіне сараптама берілді. 
 Оқулық жоғарғы оқу орнының оқытушылары және студенттері үшін, сонымен қатар мекемелер мен кәсіпорындардағы инженерлік-техникалық жұмыскерлеріне, өндірістік қауіпсіздік және еңбек қорғаумен айналысатындарға арналған. 
 Кесте 7, сурет 24, колданылған әдебиеттер тізімі -44.</t>
  </si>
  <si>
    <t>0000696</t>
  </si>
  <si>
    <t>Еңбекті қорғау және азаматтық қорғаныс 2 том</t>
  </si>
  <si>
    <t>0000698</t>
  </si>
  <si>
    <t>Аманжолов Ж.К., Хусан Болатхан, Аманжолова Ж.Ж.</t>
  </si>
  <si>
    <t>Охрана труда в строительстве. 1-том</t>
  </si>
  <si>
    <t>В учебном пособии изложены основы нормативно-правового обеспечения безопасности и охраны труда, системы управления охраной труда на предприятиях, производственной санитарии, электробезопасности, пожарной безопасности и методы анализа производственного травматизма и профессиональной заболеваемости. Значительное внимание уделено общим вопросам техники безопасности в строительстве.Пособие предназначено для студентов высших учебных заведений строи­тельных специальностей.</t>
  </si>
  <si>
    <t>0000699</t>
  </si>
  <si>
    <t>Охрана труда в строительстве. 2-том</t>
  </si>
  <si>
    <t>0000700</t>
  </si>
  <si>
    <t>Аманжолов С.А., Ануарбекова А.С., Байтакова А.К.</t>
  </si>
  <si>
    <t>Тағам өнімдерін консервілеу технологиясы</t>
  </si>
  <si>
    <t>Оқу құралында тағамдық шикізаттың жіктелуі және консервілеу технологиясында қолданылатын әдістер келтіріледі. Өсімдік және жануар текті шикізатты консервілеудің түрлі тәсілдері қарастырылады. Тағам өнімдерін тоңазытқышты өңдеу процестерінің және тағамдық өнімдерді сақтау процесіндегі биологиялық өзгерістердің теориялық негіздемелері беріледі. Тағам өнімдерін термиялық консервілеу мен сусыздандыру принциптері туралы мәліметтер келтіріледі. 
 Оқу құралы «Өндіріс технологиясы» пәнін оқу кезінде жоғары білім берудегі бакалавриаттағы келесі дайындық бағыттарына арналған: 6B051 Биологиялық және аралас ғылымдар, 6B072 Өндірістік және өңдеу салалары, 6B075 Стандарттау, сертификаттау және метрология (салалар бойынша).</t>
  </si>
  <si>
    <t>0000703</t>
  </si>
  <si>
    <t>Аманова Г.Д.</t>
  </si>
  <si>
    <t>Перспективный анализ на предприятиях промышленности строительных материалов</t>
  </si>
  <si>
    <t>Важное значение в условиях рыночной экономики приобретает перспективный анализ как вид экономического анализа, который необходим для обоснования управленческих решений и плановых заданий, а также для прогнозирования будущего и оценки ожидаемого выполнения плана. В ходе перспективного анализа выявляются факторы, которые будут оказывать существенное влияние. Без перспективного анализа невозможно представить себе ни оперативное, ни тактическое, ни стратегическое исследование предприятия. В работе использованы законодательные, нормативные и методические документы, относящиеся к деятельности предприятий и, в частности, к отрасли по производству строительных материалов, данные Агентства Республики Казахстан по статистике, публикации периодической печати. При проведении исследования изучен опыт практической работы предприятий по производству строительных материалов.</t>
  </si>
  <si>
    <t>0000704</t>
  </si>
  <si>
    <t>Экономический анализ</t>
  </si>
  <si>
    <t>Учебное пособие охватывает все основные разделы курса «Экономический анализ». Комплекс включает содержание лекций, задания СРОП, глоссарий, список рекомендуемой литературы и контрольные вопросы и тесты. Данное учебное пособие предназначено для студентов высших учебных заведений экономических специальностей.</t>
  </si>
  <si>
    <t>0000705</t>
  </si>
  <si>
    <t>Аманова Г.Д., Садуақасова К.Ж.</t>
  </si>
  <si>
    <t>Экономикалық талдау</t>
  </si>
  <si>
    <t>Оқу құралы.</t>
  </si>
  <si>
    <t>Оқу құралы "Экономикалық талдау" пәні бойынша МЖМБС мен типтік бағдарламасы негізінде дайындалды. Оқу құралы 5В050800 - "Есеп және аудит" мамандығы үшін "Экономикалық талдау" курсының негізгі бөлімдерінің барлығын қамтиды. Оқу құралына дәрістер, СОӨЖ тапсырмалары, глоссарий, ұсынылатын әдебиеттер тізімі, бақылау сұрақтары мен тесттер енді. Берілген оқу құралы жоғары оқу орындарында экономикалық мамандықтар бойынша білім алатын студенттерге арналған.</t>
  </si>
  <si>
    <t>0000708</t>
  </si>
  <si>
    <t>Амерханова Ш.К.</t>
  </si>
  <si>
    <t>Профессионально- ориентированный иностранный язык (английский)</t>
  </si>
  <si>
    <t>Для студентов специальностей 5В060600-Химия, 5В011200-Химия, а также 5В072100-Химическая технология органических веществ, 5В072000-Химическая технология неорганических веществ, 5В074800- Технология фармацевтического производства</t>
  </si>
  <si>
    <t>0000709</t>
  </si>
  <si>
    <t>рус/ каз/ англ</t>
  </si>
  <si>
    <t>Физика-химиялық анализ әдістері/ Физико-химические методы анализа/ Рhysical-chemical methods of analysis</t>
  </si>
  <si>
    <t>Методические указания</t>
  </si>
  <si>
    <t>0000710</t>
  </si>
  <si>
    <t>Амерханова Ш.К., Шляпов Р.М.</t>
  </si>
  <si>
    <t>Новые аспекты теории и практики обогащения полиметаллических руд</t>
  </si>
  <si>
    <t>Горное дело</t>
  </si>
  <si>
    <t>0000711</t>
  </si>
  <si>
    <t>Амидов А.И.</t>
  </si>
  <si>
    <t>Саптық дайындык</t>
  </si>
  <si>
    <t>оқу- құралы</t>
  </si>
  <si>
    <t>Оқу құралында саптық дайындықты оқыту әдістемесі әдіс-тәсілдері көрсетілген. Жоғары оқу орындарының студенттерін саптық дайындықтың тапсырмаларын ойдағыдай орындау, сонымен қатар жоғары білікті маман болып қана қоймай, жақсы саптық деңгейде білімі бар азамат болып шығуына және мектеп мұғалімдерінің оқушыларды саптық дайындықта даярлауға мол септігін тигізеді.</t>
  </si>
  <si>
    <t>0000712</t>
  </si>
  <si>
    <t>Бокс спортының негіздері</t>
  </si>
  <si>
    <t>Оқу құралы Бокс спортының негіздерімен және осы спорттың түрімен шұғылданудың барысында туатын аурулар мен жарақаттардың алдын алу шараларымен таныстырады. Және де жоғары оқу орындарында оқитын студенттерге, болашақ мамандарға ғылыми - әдістемелік жұмыс жасауына негізделген жол көрсетіп, ынталандырып ықпал жасайды.</t>
  </si>
  <si>
    <t>0000713</t>
  </si>
  <si>
    <t>Тактикалық дайындық</t>
  </si>
  <si>
    <t>Оқу құралында «Тактикалық дайындық» пәні бойынша оқыту әдіс-тәсілдері көрсетілген. Жоғары оқу орындарының студенттерін «Тактикалық дайындық» -тың тапсырмаларын ойдағыдай орындау, сонымен қатар жоғары білікті маман болып қана қоймай, жақсы тактикалық деңгейде білімі бар азамат болып шығуына және мектеп мұғалімдерінің оқушыларды «Бастапқы әскери дайындық» пәні бойынша даярлауға мол септігін тигізеді.</t>
  </si>
  <si>
    <t>0000714</t>
  </si>
  <si>
    <t>Спорт психологиясы</t>
  </si>
  <si>
    <t>Берілген Оқу құралында спорт психологиясын оқыту әдіс-тәсілдері көрсетілген. Жоғары оқу орындарының студенттерін спорттық психология және педагогика тапсырмаларын ойдағыдай орындау, сонымен қатар жоғары білікті маман болуына, спорттық психология саласы бойынша білімі бар азамат болып шығуына және мектеп мұғалімдерінің оқушыларды даярлауға мол септігін тигізеді және де жоғары оқу орындарында оқитын студенттерге, болашақ мамандарға ғылыми - әдістемелік жұмыс жасауына негізделген жол көрсетіп, ынталандырып ықпал жасайды.</t>
  </si>
  <si>
    <t>0000718</t>
  </si>
  <si>
    <t>Амирбекова А.С.</t>
  </si>
  <si>
    <t>Стратегия развития экспортного потенциала Республики Казахстан в условиях ВТО</t>
  </si>
  <si>
    <t>Монография посвящена исследованию теории экспортного потенциала, формированию методологии ее оценки и выработке механизма реализации эффективной экспортной стратегии Казахстана в условиях ВТО. В монографии изучена природа категории «экспортный потенциал», выявлены характеризующие его параметры, а также дано авторское определение данного понятия. Использованные методы определения количественных и качественных параметров экспорта позволили определить его основные факторы и характер их влияния на экономические показатели страны. Проведенный анализ влияния государственных субсидий, предоставленных в 2009–2017 гг. на экономику Казахстана, впервые позволил дать оценку соответствию нормам ВТО мер государственной поддержки казахстанской промышленности. В работе доказано, что расширение ассортимента продуктами, подтвердившими свою конкурентоспособность на некоторых экспортных рынках, будет способствовать дальнейшему росту и усовершенствованию ассортимента экспорта</t>
  </si>
  <si>
    <t>0000722</t>
  </si>
  <si>
    <t>Амирханов К.Ж., Асенова Б.К., Смольникова Ф.Х., Нургазезова А.Н., Нурымхан Г.Н., Касымов С.К., Игенбаев А.К., Конганбаев Е.К.</t>
  </si>
  <si>
    <t>Совершенствование технологии зерновых продуктов с использованием зародыша зерна пшеницы</t>
  </si>
  <si>
    <t>пищевая инженерия</t>
  </si>
  <si>
    <t>В данной монографии рассмотрены вопросы технологии зерновых продуктов с зародышем зерна пшеницы. В монографии рассматриваются сырье и основные компоненты пищевых производств, технологические режимы и процессы.</t>
  </si>
  <si>
    <t>0000723</t>
  </si>
  <si>
    <t>Амирханов К.Ж., Асенова Б.К., Смольникова Ф.Х., Ребезов М.Б., Нургазезова А.Н., Нурымхан Г.Н., Касымов С.К., Игенбаев А.К., Конганбаев Е.К.</t>
  </si>
  <si>
    <t>Технология сухих зерновых
 продуктов и пищеконцентратов</t>
  </si>
  <si>
    <t>В данном учебном пособии рассмотрены вопросы технологии сухих зерновых продуктов: технология кукурузных палочек, технология воздушного риса, технология пищеконцентратов, технология каш быстрого приготовления. В учебном пособии рассматриваются сырье и основные компоненты пищевых производств, технологические режимы и процессы.</t>
  </si>
  <si>
    <t>0000725</t>
  </si>
  <si>
    <t>Амирханов Қ.Ж.</t>
  </si>
  <si>
    <t>Ет өнімдерінің технологиясы</t>
  </si>
  <si>
    <t>Оқу құралында ет өнеркәсібінде ауыл шаруашылық малдарын сою, ұшаларды бөлшектеу, субөнімдер, ішек, май, тері, т.б. алынған шикізаттарды өңдеу үрдістері қарастырылған. Сонымен қатар шұжық, ет консервілері өндірістері, жұмыртқа өңдеу, қазақтың ұлттық ет өнімдерінің түрлері мен технологиялары, ет өнімдерін өңдеудің заманауи электрофизикалық тәсілдері сипатталады. Балаларға арналған ет өнімдерінің ассортименті мен технологиялары толықтай жазылған. Технологиялық үрдістерді сипаттау кезінде қолданылатын құрал-жабдықтардың түрлері көрсетілді. Технологиялық үрдістердің температуралық, ылғалдылық параметрлері және ұзақтығы, өнімдердің рецептуралары мен шикізаттарды дайындау тәртіптері толықтай келтірілді. Оқу құралы 0727000-«Азық-түлік өнімдерінің технологиясы» мамандығының бакалавр, магистр және PhD-докторанттарына, колледж студенттеріне оқу құралы ретінде және ет өнімдерін өңдейтін кәсіпорындардағы мамандарға көмекші құрал ретінде ұсынылады.</t>
  </si>
  <si>
    <t>0000729</t>
  </si>
  <si>
    <t>Анафин М.Ш.</t>
  </si>
  <si>
    <t>Топырақтану және егіншілік» пәнінен зертх.қ және тәжірибелік сабақтарға арналған</t>
  </si>
  <si>
    <t>Оқу құралы топырақтану және егіншілік жүйесі бойынша, топырақтың құрылымы, пайда болу жолдарына қарай, жергілікті табиғи жағдайды есептей келе, топырақтың құнарлығын арттыру, оны пайдалану жолдарымен бірге, бұл саланың негізгі жұмыс орны жер болғандықтан, келешек адам өмірінің дамуы осыған байланысты екендігіне және мелиорациялау, оны жан-жақты қарап пайдалану негіздері қарастырылып, тәжірибелік және зертханалық сабақтарда білімгерлерді топырақ қасиеттері мен егіншілік негізгі технологиялық жүйесімен таныстыру үшін арналған. Оқу құралы жоғарғы оқу орындарында дайындалатын су және ауыл шаруашылығы мамандарына арналған.</t>
  </si>
  <si>
    <t>0000764</t>
  </si>
  <si>
    <t>Андасова Б.З., Ташатов Н.Н., Сатыбалдина Д.Ж.</t>
  </si>
  <si>
    <t>Ақпаратты кодтау</t>
  </si>
  <si>
    <t>Оқу құралында кодтау теориясының негізгі ұғымдары мен жіктелуі, сондай-ақ ақпараттың шығу көздерін кодтау, деректерді сығу үшін қолданылатын кодтау әдістері мен алгоритмдері қарастырылады. Әр бөлім тақырыбы бойынша мысалдар, бақылау сұрақтары, өздік жұмыс тапсырмалары беріледі.
 Оқу құралы ақпараттық технологиялар мамандықтарының білім алушыларына және оқытушыларға арналған.</t>
  </si>
  <si>
    <t>0000765</t>
  </si>
  <si>
    <t>Анисимов Б.Ф.</t>
  </si>
  <si>
    <t>Краткий курс теоретической механики</t>
  </si>
  <si>
    <t>0000766</t>
  </si>
  <si>
    <t>Лекции по теоретической механике</t>
  </si>
  <si>
    <t>0000771</t>
  </si>
  <si>
    <t>Апеева Г.С.</t>
  </si>
  <si>
    <t>"Кәсіби қазақ тілі" пәні арқылы іскери дағдыларды дамыту (оқыту орыс тілінде жүргізілетін топ студенттеріне арналған оқу құралы)</t>
  </si>
  <si>
    <t>Оқу құралы студенттерге, мемлекеттік қызметкерлерге, іскери қарым-қатынасты қазақ тілінде жүргізуге ниет еткен барлық оқырманға арналған.</t>
  </si>
  <si>
    <t>0000779</t>
  </si>
  <si>
    <t>Арипбаева Л.Ш., Мурзабаева М.А.</t>
  </si>
  <si>
    <t>Бiз - бақытты балдырғандар. Балабақша әндері</t>
  </si>
  <si>
    <t>Хрестоматия</t>
  </si>
  <si>
    <t>Ұсынып отырған хрестоматия жоғары оқу орындарының музыкалық білім беру бойынша 5В010100-«Мектепке дейінгі оқыту және тәрбиелеу» мамандығының, күндізгі, қашықтықтан оқыту студенттеріне және балабақша тәрбиешілеріне арналған.</t>
  </si>
  <si>
    <t>0000785</t>
  </si>
  <si>
    <t>Арпабеков М.И., Қуанышбаев Ж.М.</t>
  </si>
  <si>
    <t>Лицензиялаудың және сертификациялаудың негіздері</t>
  </si>
  <si>
    <t>Оку құралында ҚР көлік түрлері бойынша сертификаттау және лицензиялаудың құрылымының жалпы жағдайы, патенттеу туралы түсінік, өнімді таратудағы лицензиялау мен сертификациялау аймағындағы білімнің керекті дәрежесі және де тауар мен көліктік өнімнің бәсеке қабілеттілігінің салмақтық жасау сапасының лицензиялау мен сертификациялаудың артықшылығымен мүмкіншілігі, республикадағы сыртқы экономикалық іс-әрекеттің дамуымен нарықтық экономиканың қалыптасуы осы бағыттың қажеттілігі қарастырылған</t>
  </si>
  <si>
    <t>0000786</t>
  </si>
  <si>
    <t>Арпабеков М.И., Қуанышбаев Ж.М., Тлепиева Г.М.</t>
  </si>
  <si>
    <t>Көлік және қойма логистикасы</t>
  </si>
  <si>
    <t>Ұсынылған оқу құралыжоғары оқу орындарының техникалық мамандықтары студенттеріне «Көлік және қойма логистикасы» курсын оқып үйренуде мемлекеттік білім беру стандартына сәйкес бекітілген 5В090900, 6М090900-«Логистика», 5В090100, 6М090100 -«Тасымалдау, жол қозғалысын ұйымдастыру және көлікті пайдалану» манадықтарында арнайы пәндер курсын таңдау оқу бағдарламасына сәйкес дайындалған. Жеке маман тұлғасын қалыптастыруда, оның қөзқарасын қалыптастыруда, болашақ маман ұстанымына негіз болатын материалдар кеңінен талқыланып, нақты және толық етіп жазылған. Аталған оқу құралындаматериалдардың бөлімі, тарауы, тақырып бойынша бөлінуі және олардың арасындағы байланысы дұрыс көрсетіліп, оқу материалының ашылу логикасы көлік-қойма логистикасын оңтайландыру мәселелері өзара байланыста жазылған. Сонымен қатар мамандардың біліктілігін арттыру факультеттеріне, PhD докторанттарға арналған</t>
  </si>
  <si>
    <t>0000787</t>
  </si>
  <si>
    <t>Арпабеков М.И., Баубек А.А., Сүлейменов Т.Б., Қуанышбаев Ж.М., Арпабекова А.М.</t>
  </si>
  <si>
    <t>Жол қозғалысын басқару</t>
  </si>
  <si>
    <t>Оқу құрал</t>
  </si>
  <si>
    <t>транспорт, логистика</t>
  </si>
  <si>
    <t>Ұсынылған оқулық техникалық және кәсіптік білім беру ұйымдарына және жоғары оқу орындарының техникалық мамандықтары студенттеріне «Жол қозғалысын басқару» курсын оқып үйренуде 6В11301- «Көлікті пайдалану, жүк қозғалысымен тасмыалдауды ұйымдастыру» 6В11302 - «Логистика (сала бойынша)» оқу бағдарламаларына сәйкес дайындалған. Жеке маманның тұлғасын, оның қөзқарасын қалыптастыруда, болашақ маман ұстанымына негіз болатын материалдар кеңінен талқыланып талқыланып нақты сұрақтары қарастырылған. Сонымен қатар мамандардың біліктілігін арттыру факультеттеріне, магистранттарға, PhD докторанттарға, арналған</t>
  </si>
  <si>
    <t>0000788</t>
  </si>
  <si>
    <t>Пайдалану материалдары</t>
  </si>
  <si>
    <t>Ұсынылған оқулық техникалық және кәсіптік білім беру ұйымдарына және жоғары оқу орындарының техникалық мамандықтары студенттеріне «Пайдалану материалдары» курсын оқып үйренуде 6В11301- «Көлікті пайдалану, жүк қозғалысымен тасмыалдауды ұйымдастыру» 6В11302 - «Логистика (сала бойынша)», 6В095- «Автокөлік құралдары», 5В071300 «Көлік, көлік техникасы және технологиялары» оқу бағдарламаларына сәйкес дайындалған. Жеке маманның тұлғасын, оның қөзқарасын қалыптастыруда, болашақ маман ұстанымына негіз болатын материалдар кеңінен талқыланып талқыланып нақты сұрақтары қарастырылған.Сонымен қатар мамандардың біліктілігін арттыру факультеттеріне, магистранттарға, PhD докторанттарға, арналған</t>
  </si>
  <si>
    <t>0000789</t>
  </si>
  <si>
    <t>Арпабеков М.И., Гривезирский Ю.В., Қуанышбаев Ж.М.</t>
  </si>
  <si>
    <t>"Материалдар кедергісі" пәнінен жаттығулар және есептер жинағы</t>
  </si>
  <si>
    <t>0000790</t>
  </si>
  <si>
    <t>Арпабеков М.И., Давыдов А.А., Макенов А.А.</t>
  </si>
  <si>
    <t>Автомобиль. Основы проектирования 1том</t>
  </si>
  <si>
    <t>Рассматриваются основные положения проектирования автомобиля. Проанализированы конструкции узлов, агрегатов и систем, изложены тен­денции их развития, представлены методы определения нагрузок на детали автомобиля и их расчет. Учебник предназначен для студентов и магист­рантов вузов, обучаю­щихся по специальности «Транспорт, транспортная техника и технологии»</t>
  </si>
  <si>
    <t>0000791</t>
  </si>
  <si>
    <t>Автомобиль. Основы проектирования 2 том</t>
  </si>
  <si>
    <t>0000792</t>
  </si>
  <si>
    <t>Арпабеков М.И., Сулейменов Т.Б., Қуанышбаев Ж.М.</t>
  </si>
  <si>
    <t>Көлік логистикасы I бөлім</t>
  </si>
  <si>
    <t>Ұсынылған оқулық жоғары оқу орындарының техникалық мамандықтары студенттеріне «Көлік логистикасы» курсын оқып үйренуде мемлекеттік білім беру стандартына сәйкес бекітілген 5В090900- «Логистика», 5В090100-«Тасымалдау, жол қозғалысын ұйымдастыру және көлікті пайдалану» манадықтарында арнайы пәндер курсын таңдау оқу бағдарламасына сәйкес дайындалған. Жеке маман тұлғасын қалыптастыруда, оның қөзқарасын қалыптастыруда, болашақ маман ұстанымына негіз болатын материалдар кеңінен талқыланып нақты, толық етіп жазылған. Аталған оқулықта материалдардың бөлімі, тарауы, тақырып бойынша бөлінуі және олардың арасындағы байланысы дұрыс көрсетіліп, оқу материалының ашылу логикасы келісті байланыста жазылған. Сонымен қатар мамандардың біліктілігін арттыру факультеттеріне, магистранттарға, PhD докторанттарға, арналған</t>
  </si>
  <si>
    <t>0000793</t>
  </si>
  <si>
    <t>Көлік логистикасы IІ бөлім</t>
  </si>
  <si>
    <t>0000794</t>
  </si>
  <si>
    <t>Артыкбаев Ж.О.</t>
  </si>
  <si>
    <t>Лекции по философии истории. 1 часть</t>
  </si>
  <si>
    <t>В учебник вошли концептуальные разработки по ключевым проблемам философии истории и отечественной исторической науки. В части осмысления и толкования исторических процессов на территории Великой степи с древнейших времен до наших дней автор опирается на труды выдающихся специалистов в области философии и методологии истории. В качестве источников для книги использованы тексты устной традиции казахов, труды восточных историков, сочинения западных исследователей. Книга предназначена для преподавателей и студентов гуманитарных специальностей, а также для всех тех кто любит и интересуется теорией исторических знаний.</t>
  </si>
  <si>
    <t>0000795</t>
  </si>
  <si>
    <t>Тарих философиясынан лекциялар. Бірінші бөлім</t>
  </si>
  <si>
    <t>Философия,история</t>
  </si>
  <si>
    <t>Оқулыққа тарих философиясы мен отандық тарихи ғылымның негізгі мәселелері жөніндегі тұжырымдамалық пікірлер кірді. Ежелгі заманнан бастап бүгінгі күнге дейін Ұлы даланың аумағындағы тарихи үрдістерді ұғыну және түсіндіру тұрғысынан автор көрнекті мамандардың тарих философиясы мен методологиясы саласындағы еңбектеріне сүйенеді. Кітапты жазу барысында қазақтың ауызша дәстүрінің мәтіндері, шығыс тарихшыларының еңбектері, батыс зерттеушілерінің шығармалары дерек көздері ретінде пайдаланылды. Кітап гуманитарлық ғылымдар саласындағы оқытушылар мен студенттерге, сондай-ақ тарихи білімдердің теориясына қызығатын әрі әуестенетін оқырмандарға арналған.</t>
  </si>
  <si>
    <t>0000801</t>
  </si>
  <si>
    <t>Арынгазин К.Ш., Изтаев А.И.</t>
  </si>
  <si>
    <t>АЖЖ-элементтерімен астық элеваторларын жобалау</t>
  </si>
  <si>
    <t>Оқулық «Азық - түлік өнімдерінің технологиясы» жэне «Өңдеу ендірісінің технологиясы» мамандықтарының студенттері мен магистранттарына арналған.
  Оқулықта жобалаудың жалпы сұрақтары, бас жоспарға қойылатын талаптары, астық сақтау орнының құрылыс және технологиялық жобалаудың негізгі ережелері қарастырылған.
 Жобалаудың автоматизациялау жүйесін құрастыру қағидалары, астық элеватордың және қайта өңдеу өндірісінің технологиялық жобалаудың автоматизациялау әдістемесі баяндап жазылған.
 Оқулық «Қайта өңдеу өндірістердің технологиясы» мамандығы бойынша мамандарды дайындайтын жоғарғы оқу орындарына арналған.</t>
  </si>
  <si>
    <t>0000802</t>
  </si>
  <si>
    <t>Научно-практические основы технологического проектирования зерновых элеваторов с элементами САПР</t>
  </si>
  <si>
    <t>Агро. Элеватор</t>
  </si>
  <si>
    <t>0000803</t>
  </si>
  <si>
    <t>Проектирование зерновых элеваторов с элементами САПР</t>
  </si>
  <si>
    <t>0000804</t>
  </si>
  <si>
    <t>Арынов К.К.</t>
  </si>
  <si>
    <t>Бұйымның пішінін көлемді модельдеу</t>
  </si>
  <si>
    <t>0000805</t>
  </si>
  <si>
    <t>Арынов К.К., Сұранқулов Ш.Ж.</t>
  </si>
  <si>
    <t>Сәулет-1</t>
  </si>
  <si>
    <t>В книге вошли репродукции картин ивестных мастеров авангардистов Республики Казахстан а также все картины сопровождены анализом и кратким описанием автора.</t>
  </si>
  <si>
    <t>0000806</t>
  </si>
  <si>
    <t>Арынова Р.А.</t>
  </si>
  <si>
    <t>Организмнің физиологиялық механизмдері</t>
  </si>
  <si>
    <t>Физиология пәнінен зертханалақ сабақтарына арналған оқу құралын биологиялық, медициналық, малдәрігерлік, дене шынықтыру және спорт мамандықтарының студенттері мен оқытушыларға арналған оқу құрал.</t>
  </si>
  <si>
    <t>0000807</t>
  </si>
  <si>
    <t>Тыныс алу, жүрек және бейімделу физиологиясы</t>
  </si>
  <si>
    <t>0000808</t>
  </si>
  <si>
    <t>Адам мен жануарлар физиологиясының практикумы</t>
  </si>
  <si>
    <t>0000809</t>
  </si>
  <si>
    <t>Физиология сердца, дыхания и адаптация организма</t>
  </si>
  <si>
    <t>адаптационные механизмы сердечной и дыхательной деятельности животных. Книга предназначена для биологов, физиологов, радиобиологов, экологов, валеологов</t>
  </si>
  <si>
    <t>0000810</t>
  </si>
  <si>
    <t>Арынова Р.А., Сагнаева Ж.Б.</t>
  </si>
  <si>
    <t>Физиологические механизмы адаптации организма</t>
  </si>
  <si>
    <t>0000812</t>
  </si>
  <si>
    <t>Арыстан И.Д., Исабек Т.К.</t>
  </si>
  <si>
    <t>Тақталы кенорындарын қазу жүйелері</t>
  </si>
  <si>
    <t>Горные машины. Руды</t>
  </si>
  <si>
    <t>Бүгінгі уақытта тау–кен саласы үшін мамандарды қазақ тілінде дайындау мәселесіне баса көңіл бөлініп жатыр. Осыған байланысты қазіргі заман талабына сәйкес осы сала бойынша оқулықтар құрастырып, оқушылар мен мамандар сұрамын қанағаттандырудың маңызы өте зор. Оқу құралы жерасты кен қазу ғылыми – зерттеу мамандарына және осы саладағы жоғары оқу орындары студенттеріне, магистранттарына, докторанттарына арналады</t>
  </si>
  <si>
    <t>0000814</t>
  </si>
  <si>
    <t>Арыстанбаев К.Е., Жумабекова А.Б., Умаров А.А.</t>
  </si>
  <si>
    <t>Системы управления химико-технологическими процессами</t>
  </si>
  <si>
    <t>Дисциплина «Система управления химико-технологическими процессами» является одной из общеобразовательных дисциплин и направлена на формирование специалиста фармацевтического производства со специальной технологической подготовкой. Автоматизация химико- технологических процессов, выбор и обоснование средств автоматизации, выбор и обоснование параметров контроля, сигнализации и регулирования. Все это необходимо знать инженеру технологу фармацевтического производства</t>
  </si>
  <si>
    <t>0000816</t>
  </si>
  <si>
    <t>Арыстанбаев Қ.Е., Амирбекова А.И., Култас А.К.</t>
  </si>
  <si>
    <t>Электрондық және өлшеу техникасының негіздері</t>
  </si>
  <si>
    <t>Радиотехника, электроника и телекоммуникация</t>
  </si>
  <si>
    <t>Оқу құралы оқу жоспары мен “ Электрондық және өлшеу техникасының негіздері ” пәнінің типтік бағдарламасының талаптарына сәйкес құрылған және курстың зертханалық жұмыстарының тақырыптарын орындау үшін қажетті барлық мәліметтерді қамтиды. 
 Оқу құралы 5В071900 «Радиотехника, электроника және телекоммуникация» мамандығы студенттеріне арналған</t>
  </si>
  <si>
    <t>0000817</t>
  </si>
  <si>
    <t>Арыстанбаев Қ.Е., Серкебаев Е.С., Есенбек А.С.</t>
  </si>
  <si>
    <t>Радиотехника және телекоммуникация негіздері</t>
  </si>
  <si>
    <t>Радиотехника, электроника ителекоммуникация</t>
  </si>
  <si>
    <t>Оқу құралы радиотехника және телекоммуникация негіздері пәнінің оқу жоспарына және бағдарламасының талабына сәйкес, студенттердің пәнді толық қамтуға барлық қажетті мәліметтерді қамтиды.
 Оқу құралы 5В071900 - «Радиотехника, электроника және телекоммуникациялар» мамандығының студенттері үшін арналған</t>
  </si>
  <si>
    <t>0000818</t>
  </si>
  <si>
    <t>Арыстанбекова У. А.</t>
  </si>
  <si>
    <t>Ғаламдық география</t>
  </si>
  <si>
    <t>Оқу әдістемелік құралы</t>
  </si>
  <si>
    <t>Ұсынылған оқу- әдістемелік құрал оқушылардың географиялық дағдыларын дамытуға мүмкіндік беріп, жаңартылған оқу бағдарламасына негізделіп жасалынған, оқушылардың оқуына барынша қолдау көрсетуге бағытталып, географияны оқытудың талаптарына сай келеді. Бұл оқу- әдістемелік құрал оқушылардың географиялық көзқарастарын тереңдете оқыту арқылы оларды табиғат ресурстарын тиімді пайдалануға, қоршаған ортаны қорғауға, экологиялық проблемаларды шешуге және алған білімдерін өмірде қолдана білуге үйретеді. Ғаламдық география курсы бойынша оқушыларға табиғат заңдылықтарын түсіну, географиялық білімдерін шынайы өмірде қолдана алу, шығармашылық жұмыспен өз көзқарасын дәлелдейтін жеке тұлға қалыптастырады.</t>
  </si>
  <si>
    <t>0000820</t>
  </si>
  <si>
    <t>Арыстанова Ш.Е., Тұрпанова Р.М.</t>
  </si>
  <si>
    <t>Өсімдіктер биотехнологиясының әдістері</t>
  </si>
  <si>
    <t>Оқу құралы 5В070100-биотехнология мамандығында оқитын студенттерге және магистранттарға ұсынылады. Оқу құралында өсімдіктер биотехнологиясының негізгі әдістері берілген. Ол өз ішіне ұлпалармен, жасушалармен, протопласттармен және in vitro жағдайындағы бүтін өсімдіктермен, протопластары бар генетикалық анипуляциямен (соматикалық гибридизация және генетикалық трансформация) жұмыстарды қамтиды. онымен қатар, әртүрлі экспланттар мен өсімдіктердің мүшелерінің регенерациясының әдістері берілген. Оқу құралы өсімдіктердің жасушалық және генетикалық инженериясы саласында зерттеу жұмысын жүргізіп жүрген студенттер, магистранттар және мамандарға ұсынылады.</t>
  </si>
  <si>
    <t>0000821</t>
  </si>
  <si>
    <t>Асамбаев А. Ж.</t>
  </si>
  <si>
    <t>Жасанды интеллект негіздері</t>
  </si>
  <si>
    <t>Оқулықта жасанды интеллект туралы негізгі бастапқы мәліметтер берілген, білімдерді ұсыну және есептерді шешу әдістер туралы негізгі мағлұматтар келтірілген. Білімдерді тауып алу әдістер туралы қысқа деректер, сараптамалық жүйенің құрылымы, жасау кезеңдері туралы жеткілікті мәліметтер берілген, оларды жасау үшін құрал-жабдықтардың жіктеуі көрсетілген. 
 Оқулық – жоғары оқу орындарының ақпараттық технологиялар, информатика, физика-математика мамандықтарының студенттері мен ұстаздар қауымына және жасанды интеллект әдістерін өз жұмыстарында қолданатын үшін инженерлерге арналған.</t>
  </si>
  <si>
    <t>0000822</t>
  </si>
  <si>
    <t>Асанбаев Т. Ш.</t>
  </si>
  <si>
    <t>Породное районирование и породоиспытание в животноводстве</t>
  </si>
  <si>
    <t>В селекционно-племенной работе животноводства республики следует иметь в виду, что высокопродуктивные породы скота максимально проявляют свой генетический и географический потенциал только при определенных природно-климатических, экономико-социальных факторах и соответствующих условий кормления и содержания. В ином случае, любая порода теряет свои ценные качества в течение 1-2 поколений и окажется на уровне аборигенных пород, или исчезнет как порода. С этой целью в нашей стране разработан план породного районирования, который предусматривает плановое распределение пород с\х животных по регионам, и направленного их совершенствования в зависимости от естественно-исторических и экономических условий региона. Наряду с этим, породное районирование животных, являясь одним из основных элементов разведения и совершенствования пород скота, не является раз и навсегда установленным действием. Оно может изменяться в связи с интенсификацией зон разведения, выведением новых пород и др. факторов создаваемых человеком. Изучение данной дисциплины дает представление о роли и значении породного районирования на качественное преобразование отечественных пород сельскохозяйственных животных, роли отечественных ученых и специалистов в правильном выборе и разведении пород в конкретных экономических и региональных зонах разведения животноводства. В учебном пособии «Породное районирование и породоиспытание животных» затрагиваются вопросы не только касающиеся районирования пород, но и не менее маловажные вопросы организации и проведения породного испытания вновь выводимых отечественных пород, породных групп, заводских типов, линий и семейств, а также завозимых в настоящее время в массовом количестве пород животных зарубежной селекции, представляющих интерес для селекционеров в вопросах повышения племенных, продуктивных и приспособительно-адаптационных качеств разводимых животных</t>
  </si>
  <si>
    <t>0000823</t>
  </si>
  <si>
    <t>Асанбаев Т. Ш. , Бексеитов Т.К.</t>
  </si>
  <si>
    <t>Жануарлардың әлемдік генофондын қолдану</t>
  </si>
  <si>
    <t>Ұсынылған «Жануарлардың әлемдік генофонын қолдану» оқулығы ауыл шаруашылық малдарының оқу пәндері бойынша құрастырылған оқу құралы болып табылады. Барлық әлемде таралған жануарлардың түрлері, олардың өнімдік сипаттамасы, әлем елдерінде таралуы осы оқулықта толық келтірілген. Халықаралық деңгейде әрбір асыл тұқымды жанурлардың қай елде шығарылғаны, олардың өнім беру қабілеттілігі, тұқымдық стандарттары, сонымен бірге қазіргі кезде қандай елдерде өсірілетінің оқып білуге болады.  «Жануарлардың әлемдік генофондын қолдану» оқулығын әзірлеуде пәннің теориялық-әдістемелік және әдіснамалық негіздерін, міндеттерін, дамыту мәселелерін зерттеген шетелдік, отандық ғалымдардың еңбектері басшылыққа алынған. Дүние жүзінде жануарлардың әлемдік генофонды  жайындағы ғылыми, әдіснамалық еңбектерді талдау нәтижесінде осы мәселеге арналған елеулі зерттеу жұмыстарының бар екендігі көрінді. Оқулықтың теориялық-әдіснамалық бөлімінде халықаралық жануарлар селекциясына қатысты күрделі мәселелерді зерттеп, ғылыми-теориялық тұжырым жасауға үлес қосқан отандық және ТМД елдерінің белгілі ғалымдарының қосқан үлесі көрсетілген.Ауыл шаруашылығы жануарларының генетикалық қорын қолдану оқулығында жануарлар әлемінің генетикалық қорын әлемдік, сондай-ақ аймақтық көлемде сақтау мәселесі қозғалады, өсірілетін жануарлардың асыл тұқымдық, өнімділік және бейімделгіштік қасиеттерін жоғарлату мәселесінде селекционерлер үшін қызығушылық тудыратын Қазақстанда және шет елдерде өсірілетін жануарлардың тұқымдары сипатталған. Оқулық магистрат және бакалавриат мамандықтарының студенттеріне арналған. Бұл оқулықты баспаға шығаруға ұсынамын</t>
  </si>
  <si>
    <t>0000824</t>
  </si>
  <si>
    <t>Асанбаев Т.Ш, Омашев К.К.</t>
  </si>
  <si>
    <t>Использование мирового генофонда сельскохозяйственных животных</t>
  </si>
  <si>
    <t>Задача сохранения генофонда растительного и животного мира занимает особое место среди глобальных проблем развития человечества. Казахстан обладает богатейшими генетическими ресурсами различных форм растительного и животного мира. Огромное пространство пастбищ и выпасов республики (187 млн. га), представляет собой огромный потенциал для разведения на данной территории значительного количества видов и пород сельскохозяйственных животных обладающих мировым генофондом.
 Изучение данной дисциплины дает представление о роли и значении мирового генетического потенциала на качественное преобразование отечественных пород сельскохозяйственных животных, роли отечественных и зарубежных ученых и специалистов в правильном выборе и применении мирового генофонда в конкретных экономических и региональных зонах разведения животноводства. В учебном пособии «Использование мирового генофонда сельскохозяйственных животных» затрагиваются вопросы по проблемам сохранения генофонда животного мира как регионального так и мирового масштаба, описываются породы животных разводимые в Казахстане и странах зарубежья представляющие интерес для селекционеров в вопросах повышения племенных, продуктивных и приспособительно-адаптационных качеств разводимых животных.</t>
  </si>
  <si>
    <t>0000825</t>
  </si>
  <si>
    <t>Асанбаев Т.Ш.</t>
  </si>
  <si>
    <t>Улучшение продуктивности казахской породы лошадей путем скрещивания с жеребцами новоалтайской породы в условиях северо-востока Казахстана</t>
  </si>
  <si>
    <t>Обобщение результатов исследований данной монографии позволяет сделать выводы о целесообразности скрещивания местных лошадей с жеребцами новоалтайской породы. Помеси обладают повышенной энергией роста, значительными мясными качествами и высокими приспособительными качествами к природно-климатическим и кормовым факторам Северо-востока Казахстана. Монография предназначена для магистрантов и студентов сельскохозяйственных учебных вузов, имеет своей целью освоение методики исследований и технологических расчетов в области продуктивного коневодства.</t>
  </si>
  <si>
    <t>0000826</t>
  </si>
  <si>
    <t>Коневодство</t>
  </si>
  <si>
    <t>В «Практикуме по коневодству» приводятся рекомендации по проведению практических занятий по дисциплине «Коневодство, технология производство кумыса и конины», показана методика ведения практических работ, варианты тем курсовых проектов. Дается определение основных технологических показателей работы в коневодстве, уделяется внимание самостоятельной работе студентов. Кроме того, приведены разные истории о лошадях, для привития интереса к предмету и более интеллектуального развития студентов.</t>
  </si>
  <si>
    <t>0000827</t>
  </si>
  <si>
    <t>Асанбаев Т.Ш., Бексеитов Т.К., Уахитов Ж.Ж</t>
  </si>
  <si>
    <t>Основы кинологии</t>
  </si>
  <si>
    <t>Учебник предназначен для студентов агротехнологических факультетов по специальности «Технология производства продуктов животноводства». В книге в доходчивой форме, с практическим уклоном, изложены вопросы анатомии, физиологии и экстерьера собак. Авторами излагается история приручения собак человеком, их роль в развитии человечества. Основные разделы посвящены описанию отдельных пород собак играющие определенную роль в повседневной и производственной деятельности человека, в частности о роли собаки как активного помощника чабанов, табунщиков и скотоводов в отгонном животноводстве. Изложены принципы общей дрессировки, и основы техники специальной дрессировки служебных собак (пастушьих, караульных, сторожевых, защитно-караульных и др.), вопросы кормления собак, а также дано описание некоторых болезней собак, их профилактика и лечение. Освещены вопросы разведения и племенного дела в собаководстве. Многовековая селекция позволила довести представителей рода Canis до необходимого человеку уровня, которые отразились в современных породах собак. Работа собаковода – заводчика, требует знаний в области анатомии, физиологии, строения и роли нервной системы в психологии поведения собак, основ генетики и разведения, изучения пород животных, умения выбора последних по их природным и приобретенным рабочим качествам. Учебник рекомендован студентам специальности «Технология производства продуктов животноводства».</t>
  </si>
  <si>
    <t>0000828</t>
  </si>
  <si>
    <t>Асанбеков Б.А.</t>
  </si>
  <si>
    <t>Гидравлика және гидрожетектер</t>
  </si>
  <si>
    <t>Гидравликаның негізгі салалары: гидростатика, кинематика және гидродинамика, сондай-ақ гидрожетектер бойынша негізгі түсініктер берілген. Агроинженерлік мамандық студенттеріне өзіндік жұмыс жасауы үшін тапсырмалар беріліп, ол тапсырманы орындауға қажетті әдеби көздерге сілтемелер көрсетілген. Олардың алған білімдерін бекіту үшін гидравлика бөлімі бойынша тест сұрақтары берілген. 
 5В080600-«Аграрлық техника және технология» мамандығы студенттеріне арналған.</t>
  </si>
  <si>
    <t>0000829</t>
  </si>
  <si>
    <t>Асанов К. Д.</t>
  </si>
  <si>
    <t>Сөз өнері және журналистика</t>
  </si>
  <si>
    <t>0000830</t>
  </si>
  <si>
    <t>Асанова М.К., Жартай Ж.М., Газизова М.Р.</t>
  </si>
  <si>
    <t>Ресурстық нарықтар</t>
  </si>
  <si>
    <t>Ресурстық нарықтар - нарықтық қатынастар дамуының негізгі шарты болып табылады, ал оның жекелеген элементтері қалыптасуы мен дамуы бәсекелестікті және нарықты ерекшелейді. Сондықтан ұсынылып отырған оқу құралы ресурстық нарықтар, олардың арасындағы өзара байланысты сипаттайтын теориялық қағидалардан, маңызды нәтижелерден және заңдылықтардан тұрады. Қарастырылып отырған оқу құралы ресурстық нарықтардың микроэкономикалық негіздері, еңбек нарығы мен оның факторлы табысы еңбекақының, жер нарығы мен оның табысы рентаның, капитал нарығы мен оның табысы проценттің микроэкономикалық ерекшеліктеріне тоқталып өтеді. Оқу құралы экономика факультетінің студенттеріне, магистранттарына, докторанттарына, оқытушыларға және ресурстық нарықтар мәселелерімен қызығатын тұлғаларға арналған.</t>
  </si>
  <si>
    <t>0000831</t>
  </si>
  <si>
    <t>Асанова У.О.</t>
  </si>
  <si>
    <t>Кәсіби қазақ тілі (Құқықтану мамандығында оқитын орыс тілді топтарға арналған)</t>
  </si>
  <si>
    <t>Язык казахский, Юридический</t>
  </si>
  <si>
    <t>Ұсынылып отырған оқу-әдістемелік құрал заң факультеттерінің студенттеріне арналады. Мамандық тілін меңгерту қазақ тілінің грамматикалық құрылысының негіздерін, орфография және орфоэпия нормаларын басшылыққа ала отырып, қазақ тілінің ерекшеліктерін жүйелі түрде үйрету бағытында жүргізіледі. 
 Кітапта кәсіби бағыттағы лексика-грамматикалық тақырыптармен бірге, танымдық дағдыларды қалыптастыратын, сондай-ақ тілдік құзіреттілікті дамытуға қатысты мәтіндер таңдалып алынған. Еңбекте сөйлеу әрекетінің түрлері: тыңдалым, оқылым, айтылым және жазылым арқылы білім алушылардың сөйлеу дағдыларын қалыптастыру мiндеттерi де ескерілген. 
 Бұл оқу-әдістемелік құралда тілді меңгерудің С1, С2 деңгейлеріне сәйкес келетін тапсырмалар қамтылған. Мәтіндер типтік оқу бағдарламасына сәйкес алынды.</t>
  </si>
  <si>
    <t>0000832</t>
  </si>
  <si>
    <t>Асенова Б.К., Ребезов М.Б., Амирханов К.Ж., Нургазезова А.Н., Бакирова Л.С.</t>
  </si>
  <si>
    <t>Ет өнімдерін өндірудің физика-химиялық және биохимиялық негіздері</t>
  </si>
  <si>
    <t>Оқу құралында ет және ет өнімдерін өндірудің физика-химиялық және биохимиялық негіздері бойынша дәріс курстары қамтылған. Технологиялық факторлар мен микроорганизмдердің, ферменттердің әсерінен ет пен ет өнімдерінің қасиеттерінің өзгеруі және етті тұздау, кептіру техникасы мен технологиясы жан-жақты қарастырылған.
 Оқу құралында ет өнімдерінің технологиясы саласындағы ғылыми қызметкерлерге, өндіріс мамандарына, сонымен қатар студенттерге, ғылыми қызметкерлер мен оқытушыларға арналған.</t>
  </si>
  <si>
    <t>0000833</t>
  </si>
  <si>
    <t>Асенова Б.К., Ребезов М.Б., Нургазезова А.Н., Бакирова Л.С., Нурымхан Г.Н., Бауыржанова А.З., Игенбаев А.К.</t>
  </si>
  <si>
    <t>Ет және ет өнімдері өндірісіндегі технохимиялық бақылау және сапаны басқару</t>
  </si>
  <si>
    <t>0000834</t>
  </si>
  <si>
    <t>Асенова Б.К., Ребезов М.Б., Топурия Г.М.,Топурия Л.Ю., Смольникова Ф.Х.</t>
  </si>
  <si>
    <t>Контроль качества молока и молочных продуктов</t>
  </si>
  <si>
    <t>В учебном пособии приводятся сведения о контроле качества молока и молочных продуктов. Главными задачами ехнохимического контроля являются следующие: предотвращение выработки и выпуска предприятием продукции, не соответствующей требованиям нормативной документации; укрепление технологической дисциплины и повышение ответственности всех звеньев производства за качество выпускаемой продукции; осуществление мер по рациональному использованию материальных ресурсов. Данное учебное пособие предназначено для студентов и магистрантов дневной и заочной форм обучения по направлениям: технология продовольственных продуктов; технология перерабатывающих производств; продукты питания животного происхождения, агроинженерия; пищевая безопасность.</t>
  </si>
  <si>
    <t>0000835</t>
  </si>
  <si>
    <t>Асильбеков А.Т.</t>
  </si>
  <si>
    <t>Основы проектирования транспортных устройств и сооружений. 1 часть</t>
  </si>
  <si>
    <t>0000836</t>
  </si>
  <si>
    <t>Основы проектирования транспортных устройств и сооружений. 2 часть</t>
  </si>
  <si>
    <t>0000837</t>
  </si>
  <si>
    <t>Аскарова Ш.К.</t>
  </si>
  <si>
    <t>Биотехнология микроорганизмов</t>
  </si>
  <si>
    <t>Данное учебно-методическое пособие по дисциплине «Биотехнология микроорганизмов» предназначено для бакалавров и магистрантов биотехнологических специальностей для изучения теоретических основ и практического применения микробиологических методов в лабораторных исследованиях. В данном пособии учебный материал изложен с учетом требований подготовки бакалавров и магистрантов технологических ВУЗов пищевого профиля и государственного образовательного стандарта.</t>
  </si>
  <si>
    <t>0000839</t>
  </si>
  <si>
    <t>Асқар Л.Ә.</t>
  </si>
  <si>
    <t>Логика как феномен культуры мышления в контексте истории философии</t>
  </si>
  <si>
    <t>Монография посвящена историко-философскому анализу логики как науки. В работе рассматриваются в историко-культурной репрезентации проблемы становления логической науки, ее место в качестве науки о правильном мышлении в системе научного знания. В монографии уделяется внимание вопросу определения теоретического потенциала логики в обосновании модели правильного мышления. В монографии автор рассматривает историю формирования логики в античной и средневековой культуре. Автором определяется вклад Аристотеля, аль-Фараби, ибн-Сина и других философов в разработке архитектоники логической науки.</t>
  </si>
  <si>
    <t>0000846</t>
  </si>
  <si>
    <t>Асылбеков Б. Ж.</t>
  </si>
  <si>
    <t>Сертификаттау</t>
  </si>
  <si>
    <t>Бұл негізінен ауыл шаруашылығы мамандықтары бойынша білім алатын студенттерге «Мал шаруашылығы өнімдерін стандарттау және сертификаттау» пәнінің оқу бағдарламасына арнайы сәйкестендіріп жазылған ұлттық, тілдегі алғашқы оқу кұралы болып табылады. Оқу құралы: 5В070100 – «Биотехнология», 5В072700 – «Азық - түлік тағамдары технологиясы», 5В080200- «Мал шаруашылығы өнімдерін өндіру технологиясы», 5В080300 – «Аң және балық шаруашылығы», 5В120100 – «Ветеринариялық медицина», 5В120200 - «Ветеринариялық санитария», 5В080100 – «Агрономия», т.б. бірқатар аграрлық бағыттағы мамандықтарға оқу бағдарламасына сай өңделіп, баспаға қайта ұсынылды.</t>
  </si>
  <si>
    <t>0000847</t>
  </si>
  <si>
    <t>Мал өсіру негіздері</t>
  </si>
  <si>
    <t>Оқу құралы 5В080200, (050802)- «Мал өнімдерін өндіру технологиясы», 5В120100 (5В120200) - «Ветеринария» және тағы басқа бірқатар ауыл шаруашылығы мамандықтары бойынша білім алатын студенттерге «Мал өсіру», «Генетика және селекция», «Ветеринарлық генетика», «Мал шаруашылығы негіздері» т.с.с. кәсіби пәндерінің оқу бағдарламасына сәйкестендіріліп және алғашқы нұсқасы қайта өңделіп жазылды. Оқу құралында студенттердің теориялық тұрғыда және материалдарды өз бетімен оқып үйренуіне де көп мүмкіндіктер берілген. Оның үстіне, мұнда мал шаруашылығының жекелеген салалары бойынша арнайы оқу-тәжірибелік сабақтарға арналған тапсырмалар мен олардың дұрыс орындалу жолдары көрсетілген.</t>
  </si>
  <si>
    <t>0000848</t>
  </si>
  <si>
    <t>Качества производства продуктов животноводства</t>
  </si>
  <si>
    <t>В учебном пособии рассматриваются основные вопросы качества производимой мясной и молочной продукции, их требования при заготовка и реализации, лабораторные методы оценки их качества, отделные показатели технологических и физико-химических свойств продукции. Учебное пособие предназначена для студентов обучающихся по специальности 5В080200-«Технология производства продуктов животновдства», 5В120200-«Ветеринарная санитария» и 5В120100-«Ветеринарная мидицина», а так же для учащихся агроколледжей.</t>
  </si>
  <si>
    <t>0000852</t>
  </si>
  <si>
    <t>Асылбекова М.П.</t>
  </si>
  <si>
    <t>Балалар психологиясы</t>
  </si>
  <si>
    <t>Бұл оқу құралы «Балалар психологиясы» курсынан оқылған дәрістер мен тәжірибелік жұмыстардың жемісі болып табылады. Оқу құралында балалар психологиясының жалпы мәселелері, баланың психикалық даму ерекшеліктері, баланың психикалық процестерінің дамуы, негізгі іс-әрекеті және мектептегі оқуға психологиялық дайындығы туралы мәселелер қарастырылған. Оқу құралы педагогикалық жоғары оқу орындарының оқытушыларына, тәрбиешілерге, психологтарға, магистранттарға, студенттерге арналған</t>
  </si>
  <si>
    <t>0000855</t>
  </si>
  <si>
    <t>Атабай Б.Ж., Мустахишев К.М.</t>
  </si>
  <si>
    <t>Математика ( Общий и специальный курс). 1часть</t>
  </si>
  <si>
    <t>Учебник охватывает все разделы и главы математики, указанные в программах и стандартах образования для технических вузов и колледжей, утвержденных Министерством образования и науки РК. Учебные заведения могут пользоваться учебником в объемах, предусмотренных их учебными планами. Учебник ставит целью не только теоретически обеспечить учебный
 процесс по математике во втузах, но и оказать методическую помощь студентам в выполнении их самостоятельных работ. В качестве приложений приведены таблицы, обеспечивающие применение методов теории вероятностей и математической статистики при решении задач.</t>
  </si>
  <si>
    <t>0000856</t>
  </si>
  <si>
    <t>Математика ( Общий и специальный курс). 2часть</t>
  </si>
  <si>
    <t>0000857</t>
  </si>
  <si>
    <t>Атабай Б.Ж., Мұстахишев К.М.</t>
  </si>
  <si>
    <t>Математика (Жалпы жене арнаулы курс) 1 бөлім</t>
  </si>
  <si>
    <t>Оқулық техникалық жоғары оқу орындары және колледждер үшін математикадан ҚР Білім және ғылым министрлігі бекіткен бағдарламалар мен стандарттарда көрсетілген барлық бөлімдер мен тарауларды қамтиды.Әр оқу орны оқулықты өз оқу жоспарларына сай қолдана алады. Математикадан оқу процесін теориялық тұрғыдан қамтамасыз етумен қатар оқулық студенттердің өз бетімен орындайтын жұмыстарына жөн сілтеуді де мақсат етеді. Оқулықта шығарылған есептер мен мысалдар студентке теориялық материалды тереңірек түсінумен қатар ұқсас тапсырмаларды өз бетімен орындауға көмектеседі. Оқулықтың соңында ықтималдықтар теориясы мен математикалық статистика әдістерін қолануды жеңілдету мақсатында қосымша кестелер келтірілген.</t>
  </si>
  <si>
    <t>0000858</t>
  </si>
  <si>
    <t>Математика (Жалпы жене арнаулы курс) 2 бөлім</t>
  </si>
  <si>
    <t>0000859</t>
  </si>
  <si>
    <t>Атақұлов Т.А., Ержанова К.М., Жоламанов Қ.К. /Атакулов Т.</t>
  </si>
  <si>
    <t>Егіншіліктің инновациялық технологиялары</t>
  </si>
  <si>
    <t>Оқу құралында егіншіліктің инновациялық технологиялары жөнiнде түсiнiк, оның ауылшаруашылығына тигiзетiн әсерi берiлген. Егіншіліктің инновациялық технологиялары оқу құралында ауылшаруашылық мамандары үшін технологиялардың түрлері, айырмашылықтары және аграрлық өнеркәсіп кешенінде инновациялық технологияларды енгізудің маңыздылығы қарастырылған. Келешек ауыл шаруашылық жоғары оқу орындарының докторанттары мен магистранттарына, ауылшаруашылығы мамандықтары студенттеріне және фермерлер мен шаруа қожалығы қызметкерлерiне арналған.</t>
  </si>
  <si>
    <t>0000860</t>
  </si>
  <si>
    <t>Атақұлов Т.А., Оспанбаев Ж.О., Ержанова К.М. /Атакулов Т.</t>
  </si>
  <si>
    <t>Суғармалы егіншілк</t>
  </si>
  <si>
    <t>Оқулықта суғармалы егіншіліктің Қазақстанда даму жағдайы, келешегі, оны жақсарту шаралары, тиімді пайдалану жолдары жөнiнде түсiнiк, және ауыл шаруашылық дақылдарын өніп-өсуіне және өнімділігіне тигiзетiн әсерi берiлген.</t>
  </si>
  <si>
    <t>0000861</t>
  </si>
  <si>
    <t>Атақұлов Т. А. /Атакулов /, Ержанова К.М.</t>
  </si>
  <si>
    <t>Агрометеорология практикумы</t>
  </si>
  <si>
    <t>Оқу құралында агрометеорология жөнiнде түсiнiк, оның ауыл шаруашылығына тигiзетiн әсерi берiлген.
 Агрометеорология оқу құралында ауыл шаруашылық мамандарына метеорологиялық элементтерге бақылау жүргiзу, олардың өзгеруiне байланысты дұрыс агротехникалық шаралар ұйымдастыру, зиянды метеорологиялық құбылыстардың алдын алып, олардың әсерiн азайту мәселелерi қарастырылған.
 Келешек ауыл шаруашылық 5В080100 – Агрономия, 5В080800 – Топырақтану және агрохимия, 5В080900 – Жеміс, көкөніс шаруашылығы мамандарына және фермерлер мен шаруа қожалығы қызметкерлерiне арналған.</t>
  </si>
  <si>
    <t>0000862</t>
  </si>
  <si>
    <t>Атақұлов Т.А. /Атакулов /, Ержанова К.М.</t>
  </si>
  <si>
    <t>Агрометеорология</t>
  </si>
  <si>
    <t>Оқулықта агрометеорология жөнiнде түсiнiк, оның ауылша-руашылығына тигiзетiн әсерi берiлген.
 Агрометеорология оқулығында ауылшаруашылық мамандары үшін метеорологиялық элементтерге бақылау жүргiзу, олардың өзгеруiне байланысты дұрыс агротехникалық шаралар ұйымдас-тыру, зиянды метеорологиялық құбылыстардың алдын алып, олардың әсерiн азайту мәселелерi қарастырылған.
 Келешек ауыл шаруашылық жоғары және арнаулы орта оқу орындарының ауылшаруашылығы мен орман шаруашылығы мамандықтары студенттеріне және фермерлер мен шаруа қожалығы қызметкерлерiне арналған.</t>
  </si>
  <si>
    <t>0000871</t>
  </si>
  <si>
    <t>Аубакирова Б. К.
 Жанпейісова Ж. М.
 Мұсайбеков Р. К.
 Абылқасов Ғ. Ж.</t>
  </si>
  <si>
    <t>Кәсіби қазақ тілі (Математика мамандығына арналған ОӘК)</t>
  </si>
  <si>
    <t>Язык казахский, лит-ра, математика</t>
  </si>
  <si>
    <t>Оқу-әдістемелік кешен Типтік оқу бағдарламасы 5В010900-Математика мамандығы бойынша мемлекетгік жалпыға міндетті білім беру стандартына сәйкес құрастырылған.
  Оқу-әдістемелік кешен ҚР БжҒМ бекіткен типтік бағдарлама (15.05.2012 №18 бұйрығы бойынша) негізінде жасалды 
  Оқу-әдістемелік кешен жаратылыстану факультетінің 5В010900 - Математика мамандықтары студенттеріне арналған.Кәсіби қазақ тілінің оқу-әдістемелік құралы математика мамандығында оқитын студенттерге арналған.Қазақ тілі арқылы мамандыққа бейімдеу ,математика мамандарының кәсіби тілін қалыптастыру мақсаты көзделді.Оқу-әдістемелік кешкнде жүйеленген материалдар аталған сала бойынша ортақ мәселені арқау еткен. Осы мамандықтарға ортақ лексикалық бірлік , кәсіби сөздер, терминдер мен сөйлем құрылымдарын нысанаға алған ОӘК міндеті –қазақша ой түюге бағыттау.ОӘК белгілі бір дәрежеде мамандыққа сәйкес кәсіби лексиканы игеріп, қазақ тілін сөйлеу құралы ретінде меңгеруге , ауызша, жазбаша әдет-дағдыларын қалыптастыруға арналады.</t>
  </si>
  <si>
    <t>0000872</t>
  </si>
  <si>
    <t>Аубакирова Б. К., Искакова Г. Ж.</t>
  </si>
  <si>
    <t>Кәсіби қазақ тілі (5В050300 – Психология мамандығы студенттеріне арналған)</t>
  </si>
  <si>
    <t>Оқу – әдістемелік кешен</t>
  </si>
  <si>
    <t>Язык казахский, психология</t>
  </si>
  <si>
    <t>Оқу –әдістемелік кешен филология және педагогика факультетінің 5В050300 – Психология мамандығы студенттеріне арналған.</t>
  </si>
  <si>
    <t>0000873</t>
  </si>
  <si>
    <t>Аубакирова Б. К., Касенова Б. Р.</t>
  </si>
  <si>
    <t>Кәсіби қазақ тілі (Информатика мамандығына арналған ОӘК)</t>
  </si>
  <si>
    <t>Язык казахский, лит-ра, Информатика</t>
  </si>
  <si>
    <t>Оқу-әдістемелік кешен жаратылыстану факультетінің 5В011100 - Информатика мамандықтары студенттеріне арналған. Кәсіби қазақ тілінің оқу-әдістемелік құралы информатика мамандығының студенттеріне арналған.Қазақ тілі арқылы мамандыққа бейімдеу , информатика мамандарының кәсіби тілін қалыптастыру мақсаты көзделді.Оқу-әдістемелік кешенде жүйеленген материалдар аталған сала бойынша ортақ мәселені арқау еткен. Осы мамандықтарға ортақ лексикалық бірлік , кәсіби сөздер, терминдер мен сөйлем құрылымдарын нысанаға алған ОӘК міндеті –қазақша ой түюге бағыттау.ОӘК белгілі бір дәрежеде мамандыққа сәйкес кәсіби лексиканы игеріп, қазақ тілін сөйлеу құралы ретінде меңгеруге , ауызша, жазбаша әдет-дағдыларын қалыптастыруға арналады.</t>
  </si>
  <si>
    <t>0000874</t>
  </si>
  <si>
    <t>Аубакирова Б. К., Хамитова Г. Ж</t>
  </si>
  <si>
    <t>Кәсіби қазақ тілі (5В060700 – Биология мамандығына арналған)</t>
  </si>
  <si>
    <t>Язык казахский, биология</t>
  </si>
  <si>
    <t>5В060700 – Биология мамандығына арналған «Кәсіби қазақ тілі» пәніне кіріспе. Кәсіби қазақ тілінің мамандық пәндерімен байланысы</t>
  </si>
  <si>
    <t>0000877</t>
  </si>
  <si>
    <t>Аубакирова Ж.С.</t>
  </si>
  <si>
    <t>Историческое регионоведение.</t>
  </si>
  <si>
    <t>В учебном пособии последовательно раскрывается структура современных регионов мира, затем региона Центральной Азии и отдельно Казахстана как региона, дается сравнительный анализ регионов Казахстана. Представлена авторская классификация регионов Казахстана в виде районирования по различным критериям: демографическим характеристикам, этническому составу населения. Учебное пособие предназначено для магистрантов, обучающихся по направлению "Гуманитарные науки" и направлено на реализацию в учебном процессе технологии развития критического мышления.</t>
  </si>
  <si>
    <t>0000882</t>
  </si>
  <si>
    <t>Аубакирова Р.А., Оразова С.С.</t>
  </si>
  <si>
    <t>Глоссарий</t>
  </si>
  <si>
    <t>Словарь</t>
  </si>
  <si>
    <t>Учебное пособие Аубакировой Р.А. и Оразовой С.С. посвящено раскрытию основных понятий, определений химической технологии. Учебное пособие выполнено в виде глоссария, в котором содержатся все необходимые составляющие для понимания сложных технологических процессов, затрагивающих механизмы их проведения, основных параметров, характеризующих те или иные стороны технологических процессов. 
  В соответствии с программой полиязычия, внедряемой в вузе, глоссарий составлен на трех языках, что окажет несомненную помощь в изучении не только химической технологии, но и в языковой подготовке.
  Все основные понятия химической технологии, основные процессы, лежащие в основе получения технологических продуктов нашли отражение в этом учебном пособии.
  Учебное пособие предназначено для студентов и магистрантов химических и нехимических специальностей высших учебных заведений, а также учителей средних, средних специальных заведений и учащихся старших классов.</t>
  </si>
  <si>
    <t>0000884</t>
  </si>
  <si>
    <t>рус/каз/англ</t>
  </si>
  <si>
    <t>Аубакирова Р.А., Оразова С.С..</t>
  </si>
  <si>
    <t>Физико-химические методы анализа. Талдаудың физика-химиялық әдістері. Physico-chemical methods of analysis</t>
  </si>
  <si>
    <t>Учебное пособие составлено в соответствии с учебной программой. Пособие состоит из нескольких тем, включающих теоретические положения, формулы расчетов, которые способствуют, чтобы студенты могли самостоятельно изучить материал. Пособие предназначено для дополнительного изучения обучающимися образовательных программ 6В01504, 7М01504, 6В05302, 7М05302 – Химия, 6В01507 – Химия-биология, 6В07201 – Технология перерабатыающих производств для углубленного изучения дисциплины «Физико-химические методы анализа».</t>
  </si>
  <si>
    <t>0000887</t>
  </si>
  <si>
    <t>Аубакирова Ф.Х.</t>
  </si>
  <si>
    <t>Инженерные системы зданий и сооружений</t>
  </si>
  <si>
    <t>В учебном пособии рассмотрены вопросы выбора и устройства систем водоснабжения, канализации, теплоснабжения населенных мест, сооружений очистки природной и сточной воды, приведены основы проектирования и расчета внутреннего водопровода, канализации, отопления, вентиляции и кондиционирования зданий. Учебное пособие предназначено для студентов специальностей 5В072900 - «Строительство» и 5В042000 - «Архитектура».</t>
  </si>
  <si>
    <t>0000888</t>
  </si>
  <si>
    <t>Проектирование и расчет устройств нижнего бьефа гидротехнических сооружений</t>
  </si>
  <si>
    <t>В учебном пособии рассмотрены элементы крепления нижнего бьефа при различных гидравлических режимах сопряжения бьефов, освещены вопросы гидродинамических нагрузок на плиты водобоев и рисберм, приведены методы борьбы со сбойными течениями, сведения о русловых переформированиях в зоне нижнего бьефа, основы проектирования и расчета устройств нижнего бьефа. Учебное пособие предназначено для студентов специальности 5В080500 - «Водные ресурсы и водопользование».</t>
  </si>
  <si>
    <t>0000890</t>
  </si>
  <si>
    <t>Аубекеров Н.А.</t>
  </si>
  <si>
    <t>Теория движения автомобиля</t>
  </si>
  <si>
    <t>механика-транспорт</t>
  </si>
  <si>
    <t>Изложены особенности определения оценочных критериев, методов теоретического анализа эксплуатационных свойств автомобиля, проявляющихся в процессе движения и формирующих его закономерности, таких как динамичность, топливная экономичность, проходимость, управляемость, устойчивость, плавность хода автомобиля. Приведены основы анализа влияния на эти эксплуатационные свойства конструктивных и эксплуатационных факторов. Значительное внимание уделено тягово-скоростным свойствам и топливной экономичности, во многом определяющим производительность и себестоимость автомобильных перевозок. 
  Учебное пособие для студентов высших технических учебных заведений, может быть использован инженерно-техническими работниками автомобильного транспорта и автомобильной промышленности.</t>
  </si>
  <si>
    <t>0000896</t>
  </si>
  <si>
    <t>Аукажиева Ж. М. Чултуков А.С., Доненбаева Н.С.</t>
  </si>
  <si>
    <t>Геодезиялық өлшемдерді математикалық өндеу теориясы</t>
  </si>
  <si>
    <t>Геодезия</t>
  </si>
  <si>
    <t>Өлшемдер жер бетінің картографиялық – геодезиялық бағытта зерттеу үшін жүргізілетін барлық жұмыстардың негізгі мазмұнын құрайды. Жерді зерттеуге байланысты өлшем әдістері мен құрылғылары геодезияда, астрономияда, гравиметрияда, фотограмметрияда және т.б. өңделеді. Кез келген шаманы өлшегенде екі тұрғыдан қарастырады: сандық – өлшенетін бірліктің сандық мәнін көрсетеді және сапалық – өлшем дәлдігін сипаттайды. Ғылым мен техниканың, әсіресе геодезияның дамуымен бірге өлшемдердің дәлдігі артып, оларды математикалық өңдеу тәсілдері жетілдірілуде. Оқу құралында негізгі көңіл бөлінетін тақырыптар қателіктер теориясы бөлімін оқуға бөлінген, ал математикалық статистика, ықтималдылықтар теориясы мен ең кіші квадраттар теориясы қысқаша ғана беріліп, негізгі ұғымдары мен ережелері көрсетілген. Сондай-ақ, оқу құралы мысалдармен, лабораториялық жұмыстардың реті келтірілген. Өлшем жұмыстарында аса жоғары дәлдік те, жеткіліксіз дәлдік сияқты көп жағымды бола бермейді. Сондықтан да мақсатқа лайықты, яғни қажетті және жеткілікті өлшем алу мен оларды нәтижелерін өңдеу жолдарын алу жұмысы туындайды. Геодезиялық өлшемдердің сапасын зерттеу, шарасыз қателіктердің пайда болуы мен әрекеттерін, өлшемнің қажетті дәлдігін бағалау ережелері мен есептеулерін, сондай ақ есептеулердің әдістері мен тәсілдердің оқумен геодезиялық өлшемдерді математикалық өңдеу теориясы айналысады</t>
  </si>
  <si>
    <t>0000897</t>
  </si>
  <si>
    <t>Аукажиева Ж. М., Е. Ж. Маусымбеков, Д. А. Джорашов</t>
  </si>
  <si>
    <t>Высшая геодезия</t>
  </si>
  <si>
    <t>Целью преподавания дисциплины «Высшая геодезия» является обучение будущих специалистов основам теоретических и практических знаний:
 - о средствах и методах постановки высокоточных геодезических измерений на местности при создании, развитии и реконструкции государственных геодезических сетей и геодезических сетей специального назначения;
 - о методах и способах математической обработки результатов полевых геодезических измерений в гравитационном поле Земли с целью определения планово-высотного положения точек в различных системах координат и высот;
 - о геометрии земного эллипсоида;
 - о форме, размерах и гравитационном поле Земли,
 - о редукционной проблеме,
 - об организации геодезического мониторинга геодинамических процессов,
 - о задании геоцентрической и референцной систем координат.</t>
  </si>
  <si>
    <t>0000898</t>
  </si>
  <si>
    <t>Аукажиева Ж. М., Муратова А. М., Мусагалиева Б. Е.</t>
  </si>
  <si>
    <t>Картография</t>
  </si>
  <si>
    <t>В пособии рассмотрены основные методы и процессы всего комплекса проектирования и составления карт. Освещены вопросы современной классификации и свойств карт, их математическая основа. Представлены наиболее используемые картографические проекции и их свойства. Подробно разобраны элементы содержания карт и особенности их составления и генерализации на картах разных масштабов. Пособие предназначено для студентов спеиальности 5В071100 – «Геодезия и картография».</t>
  </si>
  <si>
    <t>0000899</t>
  </si>
  <si>
    <t>Аукажиева Ж. М., Мустафина Н. К., Доненбаева Н. С.</t>
  </si>
  <si>
    <t>Основы дешифрирования</t>
  </si>
  <si>
    <t>Тема дешифрирования снимков является одной из актуальных тем на сегодняшний день, т.к. эффективность использования материалов, полученных из космоса, не имеет себе равных, сейчас, и на перспективу. Содержание учебного пособия направлено на расширенное и углубленное изучение предмета «Дешифрирование снимков» через применение на практических занятиях теоретических знаний, приобретенных во время лекционных занятий</t>
  </si>
  <si>
    <t>0000901</t>
  </si>
  <si>
    <t>Аукажиева Ж.М., Кожанбекова Н. К., Мусағалиева Ж. Е.</t>
  </si>
  <si>
    <t>Оку кұралы</t>
  </si>
  <si>
    <t>Карта құрастырудың бүкіл кешенінің негізгі әдістері мен процестері оқу құралында қарастырылады. Карталардың қазіргі классификациясы мен қасиеттері, олардың математикалық негіздері. Ең көп қолданылатын картографиялық болжамдар мен олардың қасиеттері көрсетілген. Карталардың мазмұнын және әртүрлі масштабтағы карталарда жинақтау ерекшеліктерін, элементтерін жинақтауды қарастырады. Оқу құралы 5В071100 – «Геодезия және картография» мамандығының студенттеріне арналған</t>
  </si>
  <si>
    <t>0000902</t>
  </si>
  <si>
    <t>Аукажиева Ж.М., Қалыбеков Т., Әбен А.С., Муратова А.М.</t>
  </si>
  <si>
    <t>геодезия и картография</t>
  </si>
  <si>
    <t>Оқулықта геодезия және картография туралы жалпы мәліметтер, халық шаруашылығының әртүрлі саласында жүргізілетін геодезиялық жұмыстар мен қолданылатын аспаптар толығынан келтірілген. Геодезиялық өлшеулерді орындаудың теориясы мен әдістері, тіректік және түсірулік тораптарды дамыту тәсілдері, дәстүрлі және автоматтандырылған әдістерді пайдаланумен топографиялық түсірістерді жүргізу баяндалған. Геодезиялық өлшеулер қателіктерінің теориясынан мәліметтер келтірілген. Геодезиялық тірек тораптарының сипаттамалары және қосымша тірек пункттерінің орындарын анықтаудың тәсілдері жан-жақты түрде ұсынылған. Геодезиялық өлшеулерді қауіп-қатерсіз жүргізуді ұйымдастырудың және дала жұмыстары кезінде табиғатты қорғаудың негізгі ережелері келтірілген.Оқулық жоғары оқу орындарының геодезия және картография мамандығы студенттеріне арналған, сонымен қатар геодезияны оқып-үйренетін басқа да студенттер, магистранттар және докторанттар үшін де пайдалы бола алады</t>
  </si>
  <si>
    <t>0000904</t>
  </si>
  <si>
    <t>Афанасьева А.И., Асанбаев Т.Ш., Бексеитов Т.К., Бурамбаева Н.Б.</t>
  </si>
  <si>
    <t>Биолого – физиологические особенности лошадей</t>
  </si>
  <si>
    <t>В данном учебном пособии приведены сведения об анатомических, физиологических и биологических показателях лошадей. Отражены все системы организма лошадей, их функциональные, биологические характеристики и особенности. Предназначено для магистров и студентов высших учебных заведений по направлениям подготовки: 36.03.02 и 36.04.02 «Зоотехния»; 5В080200 «Технология производства продуктов животноводства»; 36.03.07 «Технология производства и переработки сельскохозяйственной продукции»; по специальности 36.05.01 «Ветеринария».</t>
  </si>
  <si>
    <t>0000905</t>
  </si>
  <si>
    <t>Ахаева Ж.Б., Закирова А.Б., Толегенова Г.Б.</t>
  </si>
  <si>
    <t>Учебно-методический комплекс по программированию роботов Lego Mindstorms EV3</t>
  </si>
  <si>
    <t>учебно-методический комплекс</t>
  </si>
  <si>
    <t>робототехника</t>
  </si>
  <si>
    <t>Учебно-методический комплекс по программированию роботов Lego Mindstorms EV3 будет полезен преподавателям базового, среднего, высшего и дополнительного образования, учащимся, студентам и всем, интересующимся вопросами робототехники</t>
  </si>
  <si>
    <t>0000906</t>
  </si>
  <si>
    <t>Lego Mindstorms EV3 роботтарын бағдарламалауға арналған оқу-әдістемелік кешен</t>
  </si>
  <si>
    <t>оқу-әдістемелік кешен</t>
  </si>
  <si>
    <t>Lego Mindstorms EV3 роботтарын бағдарламалауға арналған оқу-әдістемелік кешен, орта, жоғары және қосымша білім беру мұғалімдеріне, оқушыларға, студенттерге және робототехникамен айналысатындарға пайдалы болады</t>
  </si>
  <si>
    <t>0000907</t>
  </si>
  <si>
    <t>Ахажанов К.К.</t>
  </si>
  <si>
    <t>Зооанализ кормов</t>
  </si>
  <si>
    <t>0000908</t>
  </si>
  <si>
    <t>Химический состав и питательность кормов в безопасной зоне Семипалатинского ядерного полигона</t>
  </si>
  <si>
    <t>0000909</t>
  </si>
  <si>
    <t>Ахажанов К.К., Асанбаев Т.Ш., Коккозова С.А.</t>
  </si>
  <si>
    <t>Опытное дело в животноводстве</t>
  </si>
  <si>
    <t>В книге исследуются химический состав и питательность кор¬мов в зоне Семипалатинского ядерного полигона. Рассматриваются во¬просы улучшения химического состава и питательности кормов. Влияние сроков скашивания кормовых трав на качество кормов. Рекомендуется научным работникам, студентам сельскохозяйствен¬ных специальностей вузов.</t>
  </si>
  <si>
    <t>0000910</t>
  </si>
  <si>
    <t>Аханов Б.Ф., Кунжигитова Г.Б.</t>
  </si>
  <si>
    <t>Жарнама дизайн</t>
  </si>
  <si>
    <t>050107 – Бейнелеу өнері және сызу мамандығының студенттеріне арналған. Оқу құралы «Жарнама дизайн» пәннің оқу жоспары мен бағдарламасының талаптарына сәйкес құрастырылған және курстың теориялық мәліметтерді қамтиды. Оқу құралы бакалаврларға жарнама дизайн негіздерін меңгеруге, негізгі ұғымдарын, оның түрлері мен жанрларын, өнердің арнайы ерекшеліктерін, әдістерін, оның тұтынушыға психологиялық әсері және оны қажетті ақпарат көзіне тез және қызықты пішінде қарата (икемдете) алуға мүмкіндік береді.</t>
  </si>
  <si>
    <t>0000911</t>
  </si>
  <si>
    <t>Көркем кесте</t>
  </si>
  <si>
    <t>Оқу құралы 5В010700 – «Бейнелеу өнері және сызу» мамандығы студенттеріне арналған. Оқу құралы «Қол өнер негіздері» пәннің оқу жоспары мен бағдарламасының талаптарына сәйкес құрастырылған және курстың практикалық сабақтарының тақырыптарын орындауға қажетті барлық мәліметтерді қамтиды.</t>
  </si>
  <si>
    <t>0000912</t>
  </si>
  <si>
    <t>Аханов У.К.</t>
  </si>
  <si>
    <t>"Адам және жануарлар физиологиясы" зертханалық практикум</t>
  </si>
  <si>
    <t>Физиология человека и животных</t>
  </si>
  <si>
    <t>0000913</t>
  </si>
  <si>
    <t>Лабораторный практкум по дисциплине "Физиология человека"</t>
  </si>
  <si>
    <t>Лабораторный практикум</t>
  </si>
  <si>
    <t>Лабораторный практикум составлен в соответствии с требованиями учебно го плана и программой дисциплины «Физиология человека и животных» и вклю чает все необходимые сведения по выполнению лабораторных работ курса. Лабораторный практикум предназначены для студентов специальности 5В070100- «Биотехнология».</t>
  </si>
  <si>
    <t>0000914</t>
  </si>
  <si>
    <t>0000915</t>
  </si>
  <si>
    <t>Ахмеджанова Б., Тажибекова К.Б.</t>
  </si>
  <si>
    <t>Методика преподавания экономических дисциплин</t>
  </si>
  <si>
    <t>Учебное пособие содержит 6 тем, в которых системно отражены дидактические аспекты педагогического процесса, дан анализ конкретных форм учебного процесса: лекций, семинарских и практических занятий, самостоятельной работы студента, организация контроля знаний студентов, к каждой части приведена специальная учебная литература, предложены вопросы для организации самостоятельной работы студентов. Авторы стремились привлечь внимание к новым методикам в преподавании экономических дисциплин, дать ориентиры к творческому поиску в педагогической деятельности специалистам, избравшим профессию педагога-экономиста. Учебное пособие предназначено магистрантам специальности 6М050600 «Экономика», молодым преподавателям, а также всем читателям, имеющим отношение к преподаванию экономических дисциплин</t>
  </si>
  <si>
    <t>0000916</t>
  </si>
  <si>
    <t>Ахмедиярова Ә.Ж.</t>
  </si>
  <si>
    <t>Электр машиналары</t>
  </si>
  <si>
    <t>0000917</t>
  </si>
  <si>
    <t>Электротехника. Лабораториялық жұмыстар</t>
  </si>
  <si>
    <t>0000920</t>
  </si>
  <si>
    <t>Ахмедьяров К.К., Жаркынбекова Ш.К.</t>
  </si>
  <si>
    <t>Русский язык. Четвертое издание</t>
  </si>
  <si>
    <t>Учебное пособие создано на основе Государственного образовательного стандарта с учетом требований подготовки специалистов в условиях кредитной системы обучения. Оно состоит из шести разделов: в первом даны сведения об основных функциях языка, видах и формах речи, тексте как ведущей единицы общения; во втором предложен материал о функционально-смысловых типах речи; в третьем речь идет о функциональных стилях речи; в четвертом представлена информация о структурно-смысловом членении текста; в пятом содержится материал об основах компрессии научных текстов; шестой посвящен актуальным проблемам культуры речи и практической стилистики. Каждый раздел имеет достаточное количество заданий и упражнений, рассчитанных на активное обучение студентов русскому языку.</t>
  </si>
  <si>
    <t>0000922</t>
  </si>
  <si>
    <t>Ахметжанов Б.А., Шаметова А.А., Тажибекова К.Б.</t>
  </si>
  <si>
    <t>Экономика и менеджмент горного предприятия</t>
  </si>
  <si>
    <t>Учебник.</t>
  </si>
  <si>
    <t>В книге подробно освещены вопросы экономики горной промышленности, раскрыты современные методы и схемы управления отраслями и производственными объединениями. Большое внимание уделено повышению эффективности использования производственных фондов, росту производительности труда, формированию себестоимости, ценообразованию и рентабельности горных предприятий. Рассмотрены вопросы экономической эффективности капитальных вложений и новой техники, экономического обоснования размещения предприятий горной промышленности, а также вопросы экономической безопасности и реструктуризации горной промышленности. Показаны формы организации общественного производства, стратегическая и тактическая основа управления предприятием. Представлены современные данные, характеризующие состояние, проблемы и перспективы развития горной промышленности Казахстана.Учебник предназначен для студентов, магистрантов, докторантов, преподавателей вузов экономических специальностей вузов, а также для инженерно-технических работников горной промышленности</t>
  </si>
  <si>
    <t>0000929</t>
  </si>
  <si>
    <t>Ахметов Г.Б.</t>
  </si>
  <si>
    <t>Мұсылман құқығы</t>
  </si>
  <si>
    <t>0000930</t>
  </si>
  <si>
    <t>Ахметов Е. С.</t>
  </si>
  <si>
    <t>Жер мен жылжымайтын мүлікке баға беру</t>
  </si>
  <si>
    <t>0000931</t>
  </si>
  <si>
    <t>Жерге орналастырудағы геодезиялық жұмыстар</t>
  </si>
  <si>
    <t>Оқу құралы жерге орналастыру жобаларын жасау кезінде жүргізілетін геодезиялық жұмыстар жөніндегі мәліметтер, сонымен қатар жобалау және жобаны натураға көшіру әдістері, тәсілдері баяндалған. Оқу құралы 5В090300 –«Жерге орналастыру» 5В090700 – «Кадастр» мамандықтарының білімгерлері үшін арналған.</t>
  </si>
  <si>
    <t>0000932</t>
  </si>
  <si>
    <t>Оценка земли и недвижимости</t>
  </si>
  <si>
    <t>В учебном пособии изложены теоретические и методические основы массовой и индивидуальной оценки земельных участков. Рассмотрены особенности земли как объекта оценки, виды стоимости и их взаимосвязь с назначением оценочных работ. Приведены основные подходы и методы оценки земельного участка на практических примерах. Освещены вопросы оценки имущественных прав на земельные участки. Для контроля знания студентов подготовлены тестовые вопросы.
 Пособие предназначено для студентов обучающихся по специальности 050903 «Землеустройство»; 050907 «Кадастр» и 050908 «Оценка».</t>
  </si>
  <si>
    <t>0000933</t>
  </si>
  <si>
    <t>Ахметов Е.С., Қырықбаев Ж.Қ., Жұпархан Б.Ж</t>
  </si>
  <si>
    <t>Қазіргі жерге орналастырудың және кадастрдың теориясы мен тәжірибесі</t>
  </si>
  <si>
    <t>Жерге орналастырудың ғылыми негiздерi бiр қатар жалпы ғылыми пәндер - Қазақстан тарихы, геодезия, топырақтану және т.б. арқылы алынған бiлiмдерге сүйенедi. Солардың арасында жерге орналастырудың ғылыми негiздерiнiң - алдында оқылатын жер қатынастары мен жерге орналастыру тарихы. Бұндағы материалды ұғу барысында аса маңызды: жер қатынастарының негiзгi заңдылықтары, олардың өндiргiш күштерiн үнемi арттырып отырудағы ролi, жерге орналастырудың әр түрлi тарихи кезеңдерде, әсiресе iрi жер реформаларын (1861, 1906-1913 ж.ж.) жүзеге асырғандағы және 1917 ж. кейiн жер қатынастарын қайта құрғандағы мемлекет құралы ретiндегi ролi, жерге орналастыру iс-қимылдарының (қазiргi, Ресейге қосылғанға дейiнгi Қазақстан территориясында, Ресей империясы мен КСРО аумағында және тәуелсiздiк кезеңінде) соңғы ғасырлар iшiнде жерді пайдалануды және жер ресурстарын ұтымды пайдалануын ұйымдастыру жөнiндегi маңызы мен мазмұны.</t>
  </si>
  <si>
    <t>0000935</t>
  </si>
  <si>
    <t>Ахметов Н.М.</t>
  </si>
  <si>
    <t>Методы испытаний определения прочностных свойств</t>
  </si>
  <si>
    <t>0000939</t>
  </si>
  <si>
    <t>Ахметова А.К</t>
  </si>
  <si>
    <t>Психология тарихы</t>
  </si>
  <si>
    <t>0000941</t>
  </si>
  <si>
    <t>Ахметова Б.С., Нусупов А.М.</t>
  </si>
  <si>
    <t>Мал шаруашылығы негіздері</t>
  </si>
  <si>
    <t>Нусупов. А.М., Ахметова Б.С. «Мал шаруашылығы негіздері» пәнінің оқу - құралы Семей қаласының Шәкәрім атындағы мемлекеттік университетінің « Мал шаруашылығы өнімдерін өндіру технологиясы» және «Ветеринариялық санитария» мамандықтарының бакалавриаттарына арналған.</t>
  </si>
  <si>
    <t>0000942</t>
  </si>
  <si>
    <t>Ахметова К.А.</t>
  </si>
  <si>
    <t>Антилогизм мәнді синтаксистік конструкциялар</t>
  </si>
  <si>
    <t>0000943</t>
  </si>
  <si>
    <t>Ахметова Қ.А., Ә.Құрмашқызы</t>
  </si>
  <si>
    <t>Кәсіби қазақ тілі
 (Техникалық физика мамандығында оқитын студенттерге арналған)</t>
  </si>
  <si>
    <t>Язык казахский</t>
  </si>
  <si>
    <t>Бұл оқу құралы оқу жұмыс бағдарламасына сай физика-техникалық факультетінің техникалық физика мамандығының студенттеріне арнап жазылған. Студенттердің мамандықтарына қатысты мәтіндермен жүйелі түрде жұмыс істеу мақсатында түрлі тапсырмалар легі жан-жақты құрастырылған. Жоғары оқу орындарының орыс тілді аудиториясында білім алып жатқан студенттерге және өздігінен білім-біліктілігін жетілдіруші қауымға арналады.</t>
  </si>
  <si>
    <t>0000945</t>
  </si>
  <si>
    <t>Ахметова М.К.</t>
  </si>
  <si>
    <t>Бизнес саласындағы мамандарға арналған практикалық қазақ тілі</t>
  </si>
  <si>
    <t>Қазақ тілінің практикалық курсы бойынша дайындалған оқу құралы ресми-іскери қарым-қатынас аясындағы сауаттылықты арттыруға септігін тигізеді. Құжат түрлеріне байланысты ұсынылған ресми мәтіндер, құжаттардың толтырылу үлгілеріне қатысты берілген тапсырмалар жазба тілдің нормаларын тәжірибе арқылы меңгертуге мүмкіндік береді. Оқу құралына ресми ісқағаздарында жиі жұмсалатын тілдік бірліктер мен қысқарған атаулардың енгізілуі кәсіпкерлердің ресми аядағы коммуникативтік құзыреттіліктерін қалыптастырып, жазбаша, ауызша сөйлеу дағдыларын жетілдіруге ықпалын тигізеді. Кітап мемлекеттік тілде ресми ісқағаздарының құрылымын, тілдік ұйымдасуын меңгергісі келетін кәсіпкерлерге арналады.</t>
  </si>
  <si>
    <t>0000946</t>
  </si>
  <si>
    <t>Ахметова С.Т., Шаймерденова Л.Е.</t>
  </si>
  <si>
    <t>IT-технологияларды жобалау</t>
  </si>
  <si>
    <t>Дәрістер жинағы</t>
  </si>
  <si>
    <t>Дәрістер жинағы «IT-технологияларды жобалау» пәні бойынша оқу бағдарламаға сәйкес құрастырылып, пән бойынша барлық мәліметтерді қамтиды. Дәрістер жинағы 6М070400 – «Есептеу техникасы және бағдарламамен қамтамасыз ету» магистранттарына арналған. Дәрістер жинағында келесі тақырыптар қамтылған: инструменталды құралдарды жіктеу, программаларды құрастырудың тәсілдері мен құрал-саймандары, программаны құрастырудың өмірлік циклі мен жобалау тәсілдері, моделдеудің біріздендірілген тілі (UML).</t>
  </si>
  <si>
    <t>0000948</t>
  </si>
  <si>
    <t>Ашенова С.В.</t>
  </si>
  <si>
    <t>Журналистика во взаимодействии с политикой</t>
  </si>
  <si>
    <t>0000950</t>
  </si>
  <si>
    <t>Ашимбаева Н.М.</t>
  </si>
  <si>
    <t>Дәстүрлі қазақ қоғамындағы атақ-лауазымдар жүйесі</t>
  </si>
  <si>
    <t>Бұл монографияда атақ-лауазымдарға қатысты атаулардың қалыптасуы мен ел басқару ісінің түрлері және оған қатысты атақ-лауазым атаулары дәуірлік кезеңдестіру негізінде тарихи тұрғыдан қарастырылып, атақ-лауазымға қатысты атаулардың мақал-мәтелдердегі тілдік репрезентациясы (көрінісі) және уәжділігі мәселелері зерделенді. Монография студенттерге, магистранттарға және осы тақырыпқа қызығушы көпшілік қауымға арналады.</t>
  </si>
  <si>
    <t>0000951</t>
  </si>
  <si>
    <t>Ашимова А. К., Заяц Т. В., Исмагулова А. Е.</t>
  </si>
  <si>
    <t>Межкультурная коммуникация: теория и практика</t>
  </si>
  <si>
    <t>Пособие предназначено для студентов высших учебных заведений предодавателей курса межкультурной коммуникации а так же всех тех кто совершенствует свои лингвокультурологические и культуроведческие знания с целью повышения эффективности межкультурного общения</t>
  </si>
  <si>
    <t>0000953</t>
  </si>
  <si>
    <t>Аширбаев Н. Қ.</t>
  </si>
  <si>
    <t>Жоғары математика курсының негіздері.</t>
  </si>
  <si>
    <t>Оқу құралы аналитикалық геометрия мен сызықтық алгебра элементтері; дифференциалдық есептеулер мен оның кейбір қолданулары; интегралдар; көп айнымалы функциялар; жай дифференциалдық теңдеулер; қатарлар; еселі, қисық сызықты және беттік интегралдар және ықтималдықтық теориясының элементтерінен тұрады.
 Бұл еңбек инженерлік және экономикалық мамандықтарды оқитын студенттерге арналған. Оқу құралын өз бетінше оқып-үйренушілер де пайдалануға болады./Учебное пособие содержит элементы аналитической геометрии и линейной алгебры; дифференциальные вычисления и некоторые его применения; интегралы; функции многих переменных; простые дифференциальные уравнения; ряды; кратные, криволинейные и поверхностные интегралы и элементы теории вероятности. Этот труд предназначен для студентов, обучающихся по инженерным и экономическим специальностям. Учебное пособие можно использовать и те, кто обучается самостоятельно.</t>
  </si>
  <si>
    <t>0000963</t>
  </si>
  <si>
    <t>Аширбаев Н.К., Қаратаев Ж.</t>
  </si>
  <si>
    <t>Жай дифференциалдық теңдеулер</t>
  </si>
  <si>
    <t>Оқу құралы жоғары оқу орындарында оқытылатын «Дифференциалдық теңдеулер» пәнінің бағдарламасына сәйкес жазылған. Оқу құралы екі тараудан тұрады: бірінші ретті дифференциалдық теңдеулер және жоғары ретті дифференциалдық теңдеулер. Оқу құралының әрбір тарауында қысқаша теориялық қағидалар және оны меңгеруге жәрдемдесу үшін мысалдар толық түсіндірмесімен келтірілген. Әрбір параграфтың соңында есептер мен жаттығулар келтірілген. Оқу құралының соңында өзіндік жұмыстарға арналған есептер мен тест тапсырмалары берілген. 
  Оқу құралы жоғары оқу орындарының студенттеріне және арнаулы орта оқу орындарының оқушыларына арналған.</t>
  </si>
  <si>
    <t>0000966</t>
  </si>
  <si>
    <t>Аширбекова Г.Ш. Джанпаизова В.М., Серікбаев Б.Е.</t>
  </si>
  <si>
    <t>Мақтаны алғашқы өңдеу</t>
  </si>
  <si>
    <t>Оқу құралы оқу жоспары және 5В073300 -«Тоқыма материалдарының технологиясы және жобалануы» мамандығының күндізгі оқитын студенттеріне «Мақтаны алғашқы өңдеу» пәнінің оқу бағдарламасы талаптарына сәйкес құрастырылған және пәнге қатысты барлық қажетті мәліметтерді қамтиды
  Бұл оқу құралында табиғи талшықтың ең бір негізгі түрі мақта талшығы туралы толық мәліметтер, мақтадан алынатын тоқыма материалдары мен олардың қасиеттері, толық технологиясы және қолданылу аймағы жайлы жазылған. Мақта талшығы мен оның өнімдерінің сапасын көрсететін негізгі көрсеткіштер қарастырылған.</t>
  </si>
  <si>
    <t>0000968</t>
  </si>
  <si>
    <t>Ашкеев Ж.А.</t>
  </si>
  <si>
    <t>Пластикалық теория</t>
  </si>
  <si>
    <t>Оқулық құрал «металдарды қысыммен өндеу» (МҚӨ) мамандығы бойынша оқитын студенттеріне «Пластикалық теория» пәнi бойынша өзiндiк, практикалық және курстық жұмыстарды орындауға арналған.
 Жұмыста металдарды қысыммен өндеу процестерi есептерін шешудiң жалпы негiздері берiлген. Оқулық құралдын негізгі бағыты – инженерлiк есептердi шығару арқылы студенттердiң теориялық бiлiмдерiн нығайтуына мүмкiндiк беру.
 Оқулық құралда пластикалық теориясының бес бөлiмi бойынша: «Векторлық және тензорлық санаулар», «Кернеулi күй теориясы», «Деформациялық күйiнiң теориясы», «Пластикалық шарты», «Сырғанау сызықтары әдiсi» есептер жинағы және оларды шешуге нұсқау берілген.</t>
  </si>
  <si>
    <t>0000978</t>
  </si>
  <si>
    <t>Аязбаев Т. Л.</t>
  </si>
  <si>
    <t>Жалпы физика курсынан тестік тапсырмалар</t>
  </si>
  <si>
    <t>0000979</t>
  </si>
  <si>
    <t>Тестовые задания по курсу общей физики</t>
  </si>
  <si>
    <t>физика</t>
  </si>
  <si>
    <t>Учебное пособие представляет собой сборник тестовых заданий, охватывающих своим содержанием программу курса общей физики для технических и технологических специальностей ВУЗов. Предназначено для самостоятельной работы студентов по контролю усвоения как отдельных разделов, так и всего курса физики в целом. Представляет также интерес для преподавателей физики ВУЗов и средних учебных заведений при составлении тестов в самых различных дидактических целях.</t>
  </si>
  <si>
    <t>0000982</t>
  </si>
  <si>
    <t>Аяпов К.Д., Кампитова Г.А., Мажитова Р.С. Мұсақұлова А.С.</t>
  </si>
  <si>
    <t>Жүзім шаруашылыгы</t>
  </si>
  <si>
    <t>Жүзім шаруашылығы кешенді биологиялық ерекшеліктерімен негізделеді. Өзінің өсу қасиетіне қарай, өсімдік шаруашылығының бір саласы ретінде жоғары маңызға ие және халықшаруашылығы өнді-рісімен тығыз байланысты. Жүзім шаруашылығы өнімдерімен респуб-лика халқын жыл бойы қамтамасыз ету үшін жүзім өсіру техноло-гияларының жаңа бағыттарын дамыту қажет. Оқу құралы жеміс, көкөніс-жүзім шаруашылығы мамандығына және ауыл шаруашылығы салалары бойынша оқитын студенттерге, магистранттар мен оқытушыларға арналған.</t>
  </si>
  <si>
    <t>0001004</t>
  </si>
  <si>
    <t>Бабаев С.Б.</t>
  </si>
  <si>
    <t>Жалпы педагогика</t>
  </si>
  <si>
    <t>Оқулық жоғары оқу орындарының «Педагогика» пəні бойынша мемлекеттік оқу стандартына сай жазылып, «Педагогика жəне психология» мамандығын игеруші студенттерге арналады. Бұл еңбектің ерекшелігі – педагогика курсының мазмұны ықшамдалып, жалпыланған күйде ғылым əдіснамасы тұрғысынан берілді; аксеологиялық теория, инновациялық бағыт-бағдарлар мен оқу технологиялары жөніндегі білімдік мəліметтер алғаш енгізіліп отыр. Көп көңіл тұлғалық тəлім-тəрбие мəселелеріне бөлінді. «Қысқа да нұсқа оқу технологиясы» айдарымен ұсынылған бұл оқулық жаңадан еніп жатқан кредиттік оқу жүйесінде өз тиімділігімен көрінеріне сенеміз</t>
  </si>
  <si>
    <t>0001007</t>
  </si>
  <si>
    <t>Бабкина С.С., Елфимов В.И., Мясоедов Е.М.</t>
  </si>
  <si>
    <t>Лабораторный практикум по общей химии</t>
  </si>
  <si>
    <t>Лабораторный практикум соответствует программе по общей и неорганической химии и предназначен для обучения по этой дисциплине бакалавров и специалистов химико-технологических направлений, а также избирательно мо-
 жет быть использован для обучения по дисциплине «Химия» бакалавров и специалистов инженерно-технических направлений.</t>
  </si>
  <si>
    <t>0001008</t>
  </si>
  <si>
    <t>Бабкина С.С., Улахович Н.А.</t>
  </si>
  <si>
    <t>Бионеорганическая химия: биометаллы в организмах</t>
  </si>
  <si>
    <t>0001009</t>
  </si>
  <si>
    <t>Метрология и обеспечение качества химического анализа</t>
  </si>
  <si>
    <t>0001010</t>
  </si>
  <si>
    <t>Химическая безопасность техногенных систем</t>
  </si>
  <si>
    <t>0001011</t>
  </si>
  <si>
    <t>Русс</t>
  </si>
  <si>
    <t>Метрология в аналитическом контроле</t>
  </si>
  <si>
    <t>Учебное пособие предназначено для студентов ВУЗов, исследователей и сотрудников аналитических лабораторий, использующих метрологию в аналитическом контроле. Изложены основы математической статистики. Рассмотрены характеристики методик измерения экспериментальных величин, способы их оценивания и нормирования. Обсуждены способы оценки случайных и систематических погрешностей при метрологической аттестации химического состава различных объектов. Даются рекомендации по точечным и интервальным (доверительным) оценкам как истинного значения измеряемой величины и точности измерений, так и параметров эмпирических формул. Приведены простейшие методы проверки гипотез и основные сведения о корреляционных и регрессионных зависимостях.</t>
  </si>
  <si>
    <t>0001012</t>
  </si>
  <si>
    <t>Бабкина С.С., Улахович Н.А., Бабкин Ю.А.</t>
  </si>
  <si>
    <t>ДНК в аналитической химии: биоаффинные методы на основе сенсорных систем и наноматериалов.</t>
  </si>
  <si>
    <t>В монографии обобщен опыт по разработке биоаффинных методов ана-лиза на основе ДНК и электрохимических ДНК-сенсоров и по их примене-нию в биохимическом анализе, а анализе структуры ДНК и ее повреждений, в комониторинге и т.д. Большой опыт авторов монографии дополнен сведе-ниями о достижениях в этой области исследований в России и за рубежом за длительный период времени, включая подробный обзор информации за по-следние 5 лет. Особое внимание уделено способам иммобилизации биомолекул и со-зданию на их основе ДНК-сенсоров; предложен алгоритм их создания и ис-пользования. Рассмотрен широкий круг вопросов, связанных с механизмом взаимодействия ДНК с ее эффекторами, с аналитическим применением элек-трохимических биоаффинных методов для определения низко- и высокомо-лекулярных биологически активных веществ, среди которых тяжелые метал-лы и их комплексы, экотоксиканты, противоопухолевые и другие лекар-ственные препараты, белки, антитела, ДНК и ее фрагменты. Представлены последние достижения в области применения нанотехнологии и наноматери-алов при разработке биоаффинных методов анализа на основе ДНК и ДНК-сенсоров. Монография предназначена для научных и инженерно-технических ра-ботников в области аналитической химии, биохимии, биоинженерии, меди-цины и экологии, а также для преподавателей и студентов соответствующих специальностей.</t>
  </si>
  <si>
    <t>0001013</t>
  </si>
  <si>
    <t>Бабкина С.С., Улахович Н.А., Медянцева Э.П.</t>
  </si>
  <si>
    <t>Основы химической экотоксикологии.</t>
  </si>
  <si>
    <t>Учебное пособие предназначено для студентов ВУЗов, специализирующихся в области химии, экологии, фундаментальной медицины и биологии. Особое внимание уделено наиболее опасным токсикантам (тяжелым металлам, хлорорганическим и фосфорорганическим соединениям). Рассмотрены особенности аэрозольной составляющей атмосферы, а также проблемы тропосферного и атмосферного озона. Описаны свойства наиболее распространенных химических загрязнителей окружающей среды, экологическое значение их метаболизма и трансформации в биосфере.</t>
  </si>
  <si>
    <t>0001014</t>
  </si>
  <si>
    <t>Баганов Н.А.</t>
  </si>
  <si>
    <t>Грузоведение</t>
  </si>
  <si>
    <t>В учебном пособии рассмотрены вопросы классификации, транспортного состояния и транспортных характеристик грузов, приема груза к перевозке, выбора условий перевозки и хранения грузов. Приведены методики расчета для решения некоторых прикладных задач, связанных с перевозкой и хранением грузов. Пособие предназначено для студентов специальности 5В090100 «Ор¬ганизация перевозок, движения и эксплуатация транспорта» и 5В090900 «Логистика». Оно может быть использовано на практических аудиторных занятиях, при самостоятельной работе студентов, а также при дипломном проектировании.</t>
  </si>
  <si>
    <t>0001015</t>
  </si>
  <si>
    <t>Баганов Н.А., Черкасов Ю.Б.</t>
  </si>
  <si>
    <t>Грузовые перевозки</t>
  </si>
  <si>
    <t>В учебном пособии рассмотрены вопросы классификации, транспортного состояния и транспортных характеристик грузов, приема груза к перевозке, выбора условий перевозки и хранения грузов. Приведены методики расчета для решения некоторых прикладных задач, связанных с перевозкой и хранением грузов.
  Пособие предназначено для студентов специальности 5В090100 «Ор-ганизация перевозок, движения и эксплуатация транспорта» и 5В090900 «Логистика». Оно может быть использовано на практических аудиторных занятиях, при организации самостоятельной работы студентов, а также при дипломном проектировании.</t>
  </si>
  <si>
    <t>0001016</t>
  </si>
  <si>
    <t>Багитова С.Ж., Цыгулев Д.В.</t>
  </si>
  <si>
    <t>Металлические подкрановые конструкции</t>
  </si>
  <si>
    <t>Учебное пособие является руководством по выполнению раздела "Подкрановые конструкции" курсового проекта "Расчет поперечной рамы одноэтажного промышленного здания" по металлическим конструкциям для специальности 5В072900 – Строительство. Пособие содержит теоретический курс по металлическим подкрановым балкам, основы расчета, определение усилий, подбор сечения, проверка жесткости и местной устойчивости балок. Приложение - справочный материал, необходимый для практического расчета; примеры расчета. Учебное пособие разработано в соответствии с требованиями СНиП РК 5.04-23-2002 и СНиП 2.01.07-85*</t>
  </si>
  <si>
    <t>0001018</t>
  </si>
  <si>
    <t>Бағытова С.Ж. / Багитова /</t>
  </si>
  <si>
    <t>Құрылыс конструкциялары</t>
  </si>
  <si>
    <t>Оқулықта темiрбетон және металл құрылыс конструкцияларын есептеудiң негiзгi әдістерi мен жобалаудың негiздерi қарастырылған. Аталған конструкциялар элементтерінің беріктік, деформация, темірбетон элементтердің жарыққа төзімділік есептері және оларды құрылымдау бойынша негізгі тәсілдер келтірілген. Дайындалу әдістері түрліше жазық жабын тақталарын есептеу және құрылымдау қарастырылған. Оқулық өнеркәсіптік және азаматтық құрылыс мамандығы бойынша оқитын жоғарғы оқу орындары студенттерiне арналған</t>
  </si>
  <si>
    <t>0001019</t>
  </si>
  <si>
    <t>Баданбекқызы Зәуре</t>
  </si>
  <si>
    <t>Ағылшын тілі фонетикасы</t>
  </si>
  <si>
    <t>0001020</t>
  </si>
  <si>
    <t>Баданов К.И.</t>
  </si>
  <si>
    <t>Маталарды өңдеу</t>
  </si>
  <si>
    <t>Оқу құралында маталарды өңдеу процесстерінің теориялық негіздері, технологиялық мәліметтер, рецептуралары мен режимдері, қолданылатын құрал-жабдықтар келтірілген., бақылау сұрақтары берілген. «Маталарды өңдеу» оқу құралы 5В073300, 6М073300 – «То-қыма материалдарының технологиясы және жобалануы», 5В072600, 6М072600 - «Жеңіл өнеркәсіп бұйымдарының технологиясы және құрастырылуы» мамандығы бойынша оқитын жоғарғы оқу орында-рының білімгерлеріне, магистранттарына арналған.</t>
  </si>
  <si>
    <t>0001021</t>
  </si>
  <si>
    <t>Текстиль өнеркәсібіндегі пайдаланылатын полимерлердің қасиеттері</t>
  </si>
  <si>
    <t>Оқу құралында текстиль өнеркәсібінде пайданылатын полимер-лер тұралы және олардан алынатын талшықтардың физика-химиялық негіздері, полимерлер ерітінділерінің қасиеттері, оларды зерттейтін әдістері мен пайдаланатын аспаптар келтірілген. Жұмыстарды орын-дау үшін әдістемелік нұсқаулар, бақылау сұрақтары мен жаттығулар берілген. Барлық мазмұнын қамтитын тест сұрақтары берілген. «Текстиль өнеркәсібінде пайдаланылатын полимерлердің қаси-еттері» оқу құралы 050733 – «Тоқыма материалдарының техноло-гиясы және жобалануы», 050726- «Тоқыма және жеңіл өнеркәсіп бұйымдары мен тауарлар технологиясы» мамандығы бойынша оқи-тын жоғарғы оқу орындарының білімгерлеріне, магистранттарына арналған.</t>
  </si>
  <si>
    <t>0001024</t>
  </si>
  <si>
    <t>Базарбаев А.Т.</t>
  </si>
  <si>
    <t>Гидротехникалық құрылымдар</t>
  </si>
  <si>
    <t>0001026</t>
  </si>
  <si>
    <t>Базарбаева Г.С., Баймадиева Ғ.Ә., Райхан М.</t>
  </si>
  <si>
    <t>Жоғары математика. 1том</t>
  </si>
  <si>
    <t>Ұсынылып отырған «Жоғары математика. І бөлім» оқу құралы жоғары оқу орындарының жаратылыстану, техникалық мамандықтары бағыттары бойынша дайындайтын студенттеріне және оқытушыларына арналған</t>
  </si>
  <si>
    <t>0001028</t>
  </si>
  <si>
    <t>Жоғары математика. Қысқаша курс</t>
  </si>
  <si>
    <t>Ұсынылып отырған оқу құралы жоғары оқу орындарының жаратылыстану, инженер-техникалық, экономика мамандықтары бағыттары бойынша дайындайтын студенттеріне арналған.</t>
  </si>
  <si>
    <t>0001029</t>
  </si>
  <si>
    <t>Базарбаева К.Қ.</t>
  </si>
  <si>
    <t>Студенттік жастағы тұлғаның базалық қабілеттерін қалыптастыру және дамыту</t>
  </si>
  <si>
    <t>Монографияда «қабілеттілік» түсінігінің мәні зерттеледі, оның түрлері, әлеуметтік мәдени, танымдық және жеке тұлғалық әрекеттерде психикалық әлеуеті ретінде даму жағдайлары нақтыланады, жастардың студенттік шақта әлеуметтік үйренулері, әлеуметтенуі, дамып жетілуі кезінде когнитивті, интеллектуалды, кәсіби, тұлғалық базалық қабілеттерінің және сонымен қоса қоғамда қалыптасуы, «Мен - концепциясының», эго - бірегейліліктің, өзінінің өзектілігін және өзін-өзі билеудің іске асуы барысында базалық қабілеттердің даму ерекшеліктері сипатталады; стратегиялар анықталады және бейнеленеді, жеке тұлғаның базалық қабілеттерін белсенді етуге және дамытуға бағытталған әлеуметтік – психологиялық тренингтер сипатталады.</t>
  </si>
  <si>
    <t>0001030</t>
  </si>
  <si>
    <t>Базарбекова А.А. , Базарбеков А.Б.</t>
  </si>
  <si>
    <t>Жоғары математика (есептер жинағы)</t>
  </si>
  <si>
    <t>Педагогикалық және психологиялық мамандықтар бойынша білім алатын студенттер мен магистранттарға арналады, сонымен қатар басқа мамандықтар бойынша білім алушы суденттермен магистранттарға қызығушылық тудыруы мүмкін, қабілеттер психологиясы проблемаларына қызығушылық тудырушы мамандарға пайдалы болуы мүмкін</t>
  </si>
  <si>
    <t>0001032</t>
  </si>
  <si>
    <t>Базаров Б.А., Сайфуллина А.Р., Унайбаев Б.Б., Конакбаева А.Н., 
 Филатов Д.А.</t>
  </si>
  <si>
    <t>Планировка строительной площадки с учетом разновидностей уклонов с применением МКЭ</t>
  </si>
  <si>
    <t>строительство</t>
  </si>
  <si>
    <t>При проведении геодезических работ, связанных с планировкой строительной площадки, возникает трудоемкий процесс обработки данных для вычисления объемов работ перемещения земляных масс, а также расчета оптимальных уклонов для отвода осадочных вод. Данная монография посвящена изучению автоматических методов расчета планировки строительной площадки с учетом применения различных видов уклона МКЭ.
 Монография рассчитана на инженерно – технический состав научно – исследовательских и строительных организаций, а также студентов и магистрантов ВУЗов для выполнения НИР.</t>
  </si>
  <si>
    <t>0001033</t>
  </si>
  <si>
    <t>Базаров Б.А., Унайбаев Б.Б., Конакбаева А.Н.</t>
  </si>
  <si>
    <t>Моделирование фундаментных конструкций на подрабатываемых территориях угольных месторождений</t>
  </si>
  <si>
    <t>Данная монография разработана для студентов, магистрантов, исследователей, занимающихся изготовлением и испытанием моделей. В монографии представлены в сравнительно сжатой форме большинство данных, относящихся к теории проведения исследований моделей фундаментных конструкций, а также содержится достаточно информации, чтобы выявить преимущества и недостатки модельного анализа, что поможет студентам, магистрантам в планировании и проведении модельных лабораторных исследований. Подробно рассматриваются выбор подходящих для моделирования фундаментных конструкций, техника испытаний и анализпроведенных экспериментальных испытаний</t>
  </si>
  <si>
    <t>0001041</t>
  </si>
  <si>
    <t>Байбатшанов /Baybatshanov М.K., Otegen N.,</t>
  </si>
  <si>
    <t>Quail Production</t>
  </si>
  <si>
    <t>book</t>
  </si>
  <si>
    <t>Ветеринария, птицеводство</t>
  </si>
  <si>
    <t>(Перепеловодство). In this book there are the features of the reproductive function of quail, it disclosed the effect of complex biological factors - crossing, nutrition, physiological stimulation of generative and endocrine systems of the body, light and thermal performance on productivity. It also studied the practical conversion of quail’s local population with regard to the specific climatic conditions of Kazakhstan. The book is designed for a wide range of industry experts and students of agricultural poultry profile. It will be of great assistance to many novice quail producers.</t>
  </si>
  <si>
    <t>0001042</t>
  </si>
  <si>
    <t>Байбатшанов М.К.</t>
  </si>
  <si>
    <t>Бөдене шаруашылығы</t>
  </si>
  <si>
    <t>Оқулық еліміздегі ауыл шаруашылығының жаңа саласы бөдене шаруашылығын жан-жақты қарастырып, оның анатомиялық және физиологиялық ерекшеліктерін, сондай-ақ бөдене құсын өсіріп бағу кезінде қамтылатын міндеттерді қамтиды. 
 Оқу құралы зоотехния, аңшылықтану және аң шаруашылығы мамандықтарында оқитын студенттерге және көпшілік оқырымандарға арналған.</t>
  </si>
  <si>
    <t>0001043</t>
  </si>
  <si>
    <t>Жалпы аң шаруашылығы</t>
  </si>
  <si>
    <t>Оқулықта аң шаруашылығы саласының даму тарихы мен бүгінгі күнге дейінгі аралығы баяндалған. Сондай-ақ аңдармен құстардың биологиялық ерекшеліктері, сан мөлшерін көбейту, жерсіндіру, алынатын өнімді арттыру және сапасын жақсарту, жетілдіру жолдары қарастырылады.
 Кітап студенттерге, магистрантарға, PhD-докторантарға және көпшілік оқырмандарға арналған.</t>
  </si>
  <si>
    <t>0001047</t>
  </si>
  <si>
    <t>Байбатырова Б.У., Абдуова А.А., Еримбетова А.А., Таубаева А.С</t>
  </si>
  <si>
    <t>Табиғат қорларын тиімді пайдалану</t>
  </si>
  <si>
    <t>Оқу құралы оқу жоспары талаптары сәйкес және «Табиғат қорларын тиімді пайдалану» пәнінің бағдарламасы бойынша құрастырылған.
 Оқу құралында табиғат қорларының тиімді пайдалану мәселесі мен олардың табиғатта таралуының негізгі заңдылықтарымен қатар табиғат қорларының жіктелуі, ерекшеліктері, қалпына келетін, қалпына келмейтін қасиеттері, Қазақстанның табиғат ресурстарына жалпы сипаттама берілген.</t>
  </si>
  <si>
    <t>0001048</t>
  </si>
  <si>
    <t>Байболат Л.Б.</t>
  </si>
  <si>
    <t>Кәсіби қазақ тілі. (Журналистика, Қоғамдық байланыс)</t>
  </si>
  <si>
    <t>Бұл оқу құралы тілді үйретудің халықаралық стандарттарына сай белгіленген С1 деңгейі бойынша «Журналистика», «Қоғамдық байланыс» мамандықтары студенттеріне кәсіби қазақ тілін жете меңгертуге бағытталған.</t>
  </si>
  <si>
    <t>0001051</t>
  </si>
  <si>
    <t>Байбосынова А.Т., Кабдрахманова С.К., Оразова С.С.,</t>
  </si>
  <si>
    <t>Жалпы және анорганикалық химия практикумы</t>
  </si>
  <si>
    <t>Оқулық оқу бағдарламасына сай құрастырылған. Оқулықта химияның негізгі ұғымдары, атап айтқанда атом-молекулалық ілім, атом құрылысы, Д.И.Менделеевтің периодтық заңы мен элементтердің периодтық жүйесі, химиялық байланыс түрлері мен реакция жылдамдығы және анорганикалық қосылыстардың негізгі кластарының теориясы қарастырылып, зертханада жұмыс істеу техникасының ережелері, әрбір тақырып бойынша зертханалық жұмыс, бекітуге арналған сұрақтар мен жаттығулар берілген.
 Ұсынылып отырған оқу құралы «География», «Экология», «Биология» мамандығы студенттері үшін «Химия», «Географиялық орта химиясы» пәндерін оқытуға көмек құралы ретінде қоршаған орта химиясын, анорганикалық химияның теориялық курсында өтілген материалдарды практика жүзінде терең меңгеруге арналған. Кітаптың бірінші басылымына едәуір өзгерістер енгізіліп, қоршаған орта химиясы мен экологиясы, атмосфера, гидросфера және литосфера компоненттерін талдау бойынша материалдар жаңа деректермн толықтырылды.</t>
  </si>
  <si>
    <t>00010586</t>
  </si>
  <si>
    <t>Тұрысбеков Б.Т. / Турысбеков</t>
  </si>
  <si>
    <t>Ауылшаруашылығындағы механикаландырылған жұмыстардың технологиясы 1 том</t>
  </si>
  <si>
    <t>транспорт, сельхоз</t>
  </si>
  <si>
    <t>Қолданыстағы бағдарламаға сәйкес дайындалған нұсқаулықта дақылдарды өсіру мен жинаудың прогрессивті технологияларын негіздеу және қолдану, қажетті технологиялық операцияларды таңдау бойынша ұсыныстар берілген, машинно-трактор агрегаттарын қалай пайдалану туралы негізгі ақпараттар айтылған, олардың жұмыс режимдері сипатталған және т. б. Бұл оқу құралының тұжырымдамасы Қазақстан Білім беру стандартының кәсіби сипаттамаларына сәйкес білікті маман даярлау, сондай-ақ өзін-өзі жүзеге асыруға қабілетті тұлғаны дамыту және қалыптастыру идеясы болып табылады. Әзірленген "ауылшаруашылығындағы механикаландырылған жұмыстардың технологиялары" оқу құралының мақсаты оқушыларға Қазақстан аумағында өсірілетін ауыл шаруашылығы дақылдарын өсірудің заманауи топырақ үнемдеуші және ресурс үнемдеуші технологияларын зерделеуге көмектесу. Оқушыларға біздің аймақта өсірілетін дақылдарды өсіру үшін заманауи ауылшаруашылық техникаларын үйренуге көмектесу. Нақты өндірістік жағдайларда ауыл шаруашылығындағы еңбек қауіпсіздігінің негізгі ережелері мен нормаларын түсінуге және қолдануға қол жеткізу. Ауылшаруашылығын кешенді механикаландыру туралы ғылым ретінде "ауыл шаруашылығындағы механикаландырылған жұмыс технологиялары" пәнаралық курсын оқу мәселелерінде еңбекқорлыққа, тәртіпке, түсіністікке тәрбиелеу.Орта және ауылшаруашылығы оқу орындарының оқушыларына арналған</t>
  </si>
  <si>
    <t>00010587</t>
  </si>
  <si>
    <t>Ауылшаруашылығындағы механикаландырылған жұмыстардың технологиясы 2 том</t>
  </si>
  <si>
    <t>00010588</t>
  </si>
  <si>
    <t>Кереев Я. М.</t>
  </si>
  <si>
    <t>Инвазионные болезни рыб и пчел</t>
  </si>
  <si>
    <t>ветеринария</t>
  </si>
  <si>
    <t>В учебном пособии представлены наиболеечасто встречающиеся инвазионные болезни рыб и пчел, а также методы исследования при этих болезнях и санитарная оценка. Учебное пособие может быть использовано студентами по специальности 5В120200 - "Ветеринарная санитария"</t>
  </si>
  <si>
    <t>00010589</t>
  </si>
  <si>
    <t>Инвазионные болезни птиц</t>
  </si>
  <si>
    <t>Преведены сведения об основных гельминтозах, эймериозах, арахноэнтомозах и смешанных инвазий сельскохозяйственных птиц. При описании отдельных заболеваний рассмотрены виды возбудителей. Их морфология, биология, данные по экстенсивности и интенсивности инвазии. В основном описаны лечение, эпизоотологические данные, диагностика, новые методылечения и профилактики инваазионныхт болезней. Для студентов, магистрантов, аспирантов высших учебных заведений ветеринарных специальностей, а также для преподавателей ВУЗов, колледжей, научных сотрудников, практических ветеринарных специалистов.</t>
  </si>
  <si>
    <t>00010590</t>
  </si>
  <si>
    <t>Гельминты, гельминтозы собак и кошек</t>
  </si>
  <si>
    <t>В учебнике представлены общие сведения паразитозов собак и кошек, распространненые в Казахстане и сопредельных государствах СНГ. С учетом научных достижений и практического опыта, перечислены новейшие препараты и средства применяемые при лечении и профилактике паразитарных болезней собак и кошек, в том числе и результаты собственных исследований автора.</t>
  </si>
  <si>
    <t>00010929</t>
  </si>
  <si>
    <t>Паразитология и инвазионные болезни животных 2 часть</t>
  </si>
  <si>
    <t>В учебнике представлены сведения по общей паразитологии, включающие разделы: "Общая паразитология", "Ветеринарная гельминтология", "Ветеринарная протозоология", "Ветеринарная арахноэнтомология". Описаны инвазионные болезни овец, крупного рогатого скота, лошадей, верблюдов, свиней, собак, пушных зверей, кроликов, птиц, пчел и рыб, распространенные в основном в Казахстане и сопредельных государствах СНГ. Некоторые разделы дополнены сведениями по гельминтологии и протозоологии с учетом научных достижений и практического опыта, перечислены новейшие препараты для лечения и профилактики паразитарных болезней животных, в том числе и результаты собственных исследований авторов.</t>
  </si>
  <si>
    <t>00010593</t>
  </si>
  <si>
    <t>Иманбаева З.О., Молдашбаева Л.П.</t>
  </si>
  <si>
    <t>Агроөнеркәсіп кешеніндегі бухгалтерлік есеп</t>
  </si>
  <si>
    <t>Оқу құралы «Агроөнеркәсіп кешеніндегі бухгалтерлік есеп» пәні бойынша экономика мамандықтарының кәсіби құзыреттілігіне қойылатын талаптарды ескере отырып әзірленген және жеті негізгі бөлімнен тұрады: ауыл шаруашылық өндірісінің ерекшеліктері, тұқым, жем-шөп және басқа материалдарды есепке алу, малдарды өсіру мен бордақыдағы малдың есебі, ауыл шаруашылығы кәсіпорындары мүлкін міндетті сақтандыру есебін жүргізу, өсімдік шаруашылығында өнімнің өзіндік құнын калькуляциялау, мал шаруашылығында өнімнің өзіндік құнын калькуляциялау, ауыл шаруашылығы өнімін қайта өңдеу бойынша шығын есебі. Оқу құралы материалдары дипломдық жұмыстар, магистрлік диссертацияларды жазуда құнды ақпарат көзі болып табылады және курстың теориялық сұрақтарын үздіксіз және терең зерттеуге мүмкіндік беретін бақылау сұрақтары, есептер тізімі мен тест сұрақтары ұсынылды. Оқу құралы «Есеп және аудит» білім бағдарламасымен білім алатын экономикалық жоғары оқу орындарының студенттеріне, бухгалтерлік есеп қызметкерлеріне арналған.</t>
  </si>
  <si>
    <t>00010594</t>
  </si>
  <si>
    <t>Каипова А.Д., Казагачев В.Н..</t>
  </si>
  <si>
    <t>Программирование на PYTHON</t>
  </si>
  <si>
    <t>Информатика</t>
  </si>
  <si>
    <t>Python является простым и, в то же время, мощным интерпретируемым объектно-ориентированным языком программирования. Пособие предназначено для изучение основных конструкций языка Python, которые пригодятся при решении широкого круга задач – от анализа данных до разработки новых программных продуктов. В результате освоения – научатся обрабатывать и хранить числа, тексты и их наборы, освоят стандартную библиотеку языка Python и смогут автоматизировать задания по сбору и обработке данных. Учебное пособие предназначено для студентов и преподавателей инженерных и естественно-научных специальностей вузов, школьников старших классов и учителям информатики.</t>
  </si>
  <si>
    <t>00010596</t>
  </si>
  <si>
    <t>Каймбаева Л.А., Узаков Я.М., Буралхиев Б.А.</t>
  </si>
  <si>
    <t>Использование нетрадиционных источников мясного сырья для производства продуктов лечебно-профилактического питания. Том-1</t>
  </si>
  <si>
    <t>В монографии исследован рынок мясного сырья в Казахстане. Изучены процессы, происходящие при автолизе мяса маралов и верблюжатины, для улучшения качества мясного сырья использован механический способ массирования.Проведены научные эксперименты и исследования мясного нетрадиционного сырья: изучен морфологический состав туш маралов и верблюдов, пищевая и биологическая ценность мяса и продуктов переработки маралов (субпродуктов, крови, коллагенсодержащего сырья) и верблюдов.Изучены закономерности физико-химических и функционально-технологических характеристик мясного сырья при автолизе, химических и биохимических реакций в процессе технологической обработки мясного сырья в условиях мясоперерабатывающего предприятия. На основе изученных закономерностей созданы научно-практические аспекты переработки мяса маралов и верблюжатины, дана оценка качества нетрадиционных видов мясного сырья и готовых поликомпонентных продуктов.Монография предназначена для специалистов, работающих в мясоперерабатывающей и пищевой промышленности, а также для ученых, преподователей, докторантов, магистрантов и бакалавров технологических специальностей ВУЗов, обучающихся по специальностям «Технология продовольственных продуктов</t>
  </si>
  <si>
    <t>00010597</t>
  </si>
  <si>
    <t>Использование нетрадиционных источников мясного сырья для производства продуктов лечебно-профилактического питания. Том-2</t>
  </si>
  <si>
    <t>00010598</t>
  </si>
  <si>
    <t>Рскелдиев Б.А., Абжанова Ш.А., Абильмажинова Н.К.</t>
  </si>
  <si>
    <t>Ет өнеркәсібі саласындағы жобалау негіздері</t>
  </si>
  <si>
    <t>Оқу құралында ет саласы объектілерін жобалауды, салуды және инженерлік жабдықтауды ұйымдастыру туралы мәліметтер келтірілген, технологиялық есептеулердің әдістемелері, жекелеген өндірістердің технологиялық процестерін ұйымдастыру жөніндегі ұсынымдар, нормативтік және анықтамалық деректер, технологиялық жабдықтың стильдендірілген бейнесі мен негізгі параметрлері бар негізгі тізбесі, сондай-ақ шығарылатын өнім мен рецептураның ассортименті, шикізат пен материалдарды жұмсау нормалары, өндірістің технологиялық схемалары берілген.
 «Ет және ет өнімдері саласын жобалау негіздері» оқу-әдістемелік құралы В068 – «Азық түлік өнімдерінің өндірісі» білім беру бағдарламасының «Ет және балық өнімдері» мамандық тобы бойынша бакалаврлардың оқу процессінде қолдануға болатын көрнекті теориялық материал болып табылады.</t>
  </si>
  <si>
    <t>00010599</t>
  </si>
  <si>
    <t>Берікханова Г.Е. / Берикханова Г.Е.</t>
  </si>
  <si>
    <t>Математикалық анализдің есептік практикумы IІ бөлім</t>
  </si>
  <si>
    <t>«Математикалық анализдің есептік практикумы» I бөлім оқу құралы мазмұны мен құрылымы 5В060100 «Математика», 5В060200 «Информатика», 5В060400 «Физика» мамандықтары бойынша «Математикалық анализ» пәнінің типтік бағдарламасына сай келеді.Сонымен қатар бұл оқу құрал 5В010900 «Математика», 5B011000 – Физика, 5В011100 – Информатика және жаратылыстану бағытындағы мамандықтар мен техникалық мамандықтың студенттері үшін «Жоғары математика» курсын меңгеруде өте тиімді.Мұнда қатарлар теориясына, көп айнымалының функциясының дифференциалдық және интегралдық есептеулері тақырыбына арналған қиындық деңгейі жоғары, әр типті, есептеуге уақытты көп талап ететін есептердің шығарылуы түсіндіріліп, толық көрсетілген. Әр тақырыптың алдында анықтамалар, теоремалар, формулалар, қысқаша теориялық мәліметтер берілген. Студенттерге өздігінен орындайтын жаттығулар берілген.</t>
  </si>
  <si>
    <t>0001060</t>
  </si>
  <si>
    <t>Байгазиева Г.И.</t>
  </si>
  <si>
    <t>Спирт және спирттік өнімдер технологиясы</t>
  </si>
  <si>
    <t>This tutorial is designed to explore the theoretical material of laboratory and independent work on the course "Technology of alcohol" for the specialty "Technology of Fermentation and Winemaking". The data on the chemical composition and properties of the main raw materials, intermediates and products of alcohol production, discussed methods of analysis and processing of the results.</t>
  </si>
  <si>
    <t>00010600</t>
  </si>
  <si>
    <t>Окусханова Э.К., Асенова Б.К., Ребезов М.Б., Смольникова Ф.Х.</t>
  </si>
  <si>
    <t>Совершенствование технологии мясных продуктов на основе комбинирования сырья животного и растительного происхождения</t>
  </si>
  <si>
    <t>В монографии приведены результаты научных исследований по разработке рецептуры и технологий мясных продуктов на основе комбинирования животного и растительного сырья. Описаны качественные характеристики растительного сырья (фасоль, морковь, пророщенная пшеница, нутовая мука, свекла), которые используются как дополнительные ингредиенты в составе мясных продуктов. Приведен научный обзор технологии мясных продуктов с добавлением белковых обогатителей, белково-жировой эмульсии, растительного сырья. Разработаны и исследованы на пищевую и биологическую ценность технологии мясных продуктов (мясной паштет из мяса марала, паштет из мясной обрези с добавлением пророщенных ростков пшеницы, вареная колбаса с добавлением морковного порошка, мясные котлеты с добавлением говяжьего рубца и столовой свеклы).</t>
  </si>
  <si>
    <t>00010601</t>
  </si>
  <si>
    <t>Асенова Б.К., Окусханова Э.К., Ребезов М.Б., Смольникова Ф.Х.</t>
  </si>
  <si>
    <t>Физико-химические и биохимические основы переработки мяса сельскохозяйственных и диких животных</t>
  </si>
  <si>
    <t>В учебном пособии рассматриваются физико-химические и биохимические основы переработки мяса сельскохозяйственных и диких животных. Предназначено для студентов вузов, обучающихся по специальности «Технология продовольственных продуктов».</t>
  </si>
  <si>
    <t>00010602</t>
  </si>
  <si>
    <t>Куанышбаева М.Г., Хромов В.А.</t>
  </si>
  <si>
    <t>Иллюстрированный атлас-определитель жесткокрылых ВКО</t>
  </si>
  <si>
    <t>учебно-методическое пособие</t>
  </si>
  <si>
    <t>биология</t>
  </si>
  <si>
    <t>Учебно-методическое пособие может быть использовано в качестве полевого определителя студентами биологических специальностей, а также учениками и учителями-биологами школ.</t>
  </si>
  <si>
    <t>00010603</t>
  </si>
  <si>
    <t>Давильбекова Ж.Қ.</t>
  </si>
  <si>
    <t>Гелогиялық барлау жұмыстарын ұйымдастыру және жоспарлау</t>
  </si>
  <si>
    <t>Экономика, геология</t>
  </si>
  <si>
    <t>Оқу құралында өндірісті ұйымдастырудың теориялық негіздері көрсетілген. Ғылыми негіздерге, заңдарға, жүйелік тұжырымдамаларға және барлау өндірісін ұйымдастыру процесіне көп көңіл бөлінген. Кәсіпорынның дербес шаруашылық субъектісі және нарықтық қатынастардың негізгі тасымалдаушысы ретіндегі ролі, сонымен қатар кәсіпорындағы өндірістік процесті ұйымдастырудың мәні көрсетілген. Өндірісте геологиялық барлаудың негізгі түрлерін ұйымдастырудың ерекшеліктері мен көмекші өндірістік қондырғылар мен геологиялық барлау кәсіпорнының қызмет көрсету объектілерін ұйымдастырудың ерекшеліктері қарастырылғаң, сонымен қатар өндірісті ұйымдастыруды жетілдірудің экономикалық тиімділігін бағалаудың әдістемелік ережелері көрсетілген. Еңбекті ұйымдастырудың, еңбекақының, кәсіпкерлікті ұйымдастырудың және геологиялық ұйымдарды жоспарлаудың ғылыми -әдістемелік негіздеріне көп көңіл бөлінген.</t>
  </si>
  <si>
    <t>00010604</t>
  </si>
  <si>
    <t>978-601-330-432-8</t>
  </si>
  <si>
    <t>Ульева Г.А., Ахметова Г.Е., Туысхан К.</t>
  </si>
  <si>
    <t>Металтану және термиялық өңдеу</t>
  </si>
  <si>
    <t>металлургия</t>
  </si>
  <si>
    <t>Әдістемелік нұсқаулық металтану және термиялық өңдеудің маңызды бөлімдері бойынша әзірленген. Бұл нұсқаулық материалтану, термиялық өңдеу, металл материалдарын легірлеу негіздері бойынша дәйекті мәліметтер болып табылады.
 Оқу құралы жоғары оқу орындарының студенттеріне «Металтану мен термиялық өңдеу» пәнін оқу кезінде, «Материалдарды қысыммен өңдеу технологиясы», «Материалтану», «Физикалық материалтану», «Материалтану және конструкциялық материалдар технологиясы», «Конструкциялық материалдар және термиялық өңдеу» пәндерінде тірек материалдар ретінде және «Материалтану және жаңа материалдар технологиясы», «Көлік, көліктік техника және технология». «Жылу энергетикасы», «Машинажасау», «Технологиялық машиналар және жабдықтар» мамандықтары бойынша білім алушыларға, сондай-ақ ұқсас пәндерді оқитын орта-арнайы оқу орындарының оқушыларына ұсынылады.</t>
  </si>
  <si>
    <t>00010605</t>
  </si>
  <si>
    <t>Медики</t>
  </si>
  <si>
    <t>Burmistrova V. / Бурмистрова В.</t>
  </si>
  <si>
    <t>Quantized educational texts with items in a test form for master’s program medical students</t>
  </si>
  <si>
    <t>The workbook on the professional-oriented English language is intended both for master’s program medical students. It includes quantized educational texts, items in a test form, and tasks contributing to the development of the skills of oral and written communication.</t>
  </si>
  <si>
    <t>00010606</t>
  </si>
  <si>
    <t>Шабалин Л. И.</t>
  </si>
  <si>
    <t>Практическое пособие по камнерезному делу и камнеграфии</t>
  </si>
  <si>
    <t>Практическое пособие</t>
  </si>
  <si>
    <t>искуство, дизайн</t>
  </si>
  <si>
    <t>В первой части книги изложен практический опыт автора по технологии изготовления различных изделий из камня – мозаичных декоративных столиков, шкатулок, ваз из камня, письменных приборов, подсвечников, мозаичных картин – панно, книжечек с обложкой из камня, абажуров, пепельниц, тарелок конфетниц, настенных и настольных часов, коллекционно-подарочных образцов камней и мелких ювелирных изделий. Во второй части книги представлено разработанное автором новое направление в художественном искусстве, названное камнеграфия, сущность которого заключается в том, что в основу мозаичного рисунка берутся не мелкие пластинки цветного камня, как это используется в русской, римской или флорентийской мозаике, а более крупные по размерам их участки, текстура и цвет которых отражают какие либо целые участки природы – неба, леса, реки, озера, дерева, части художественного текстурного узора и т.д., так что в создании картины принимает участии сама природа вместе с созданным ею текстурным узором в камне. Это уникальный вид искусства, произведения которого невозможно подделать или сделать копию также, как невозможно повторить текстурный узор из разных срезов даже из одного и того же камня. Книга предназначена как для начинающих любителей камнерезного дела, так и для опытных специалистов, которых могут заинтересовать некоторые отработанные автором технологические приемы изготовления изделий из камня. Новое направление в искусстве – камнеграфия может быть интересно людям, которым нравится красота природного камня и они хотят создавать картины как из натуральных камней, так и рисовать их в компьютере с использованием фотографий их полированных образцов.</t>
  </si>
  <si>
    <t>00010607</t>
  </si>
  <si>
    <t>Сабитова А.Н.</t>
  </si>
  <si>
    <t>Мұнайхимия курсынан есептер шыгаруға арналған оқу құралы</t>
  </si>
  <si>
    <t>Нефтехимия</t>
  </si>
  <si>
    <t>Оқу құралында мұнай химиядағы мұнай мен мұнай өнімдерінің, көмірсутекті газдардың физикалық-химиялық қасиеттері мен құрамын есептеу, мұнайды бастапқы өңдеу қондырғыларының ректификациялық бағаналарын, жылу процестерінің реакциялық құрылғыларын және каталитикалық процестердің реакциялық құрылғыларын есептеу мысалдары мен есептер келтірілген. Әр тарау теориялық материалдарды түсіндіруден басталады, сол тақырыпқа байланысты есептер мен жаттығулардың шығару жолдары көрсетіледі, сонымен бірге, білім алушы өздігінен шығаруға арналған әр түрлі деңгейдегі есептер мен жаттығулар берілген. Оқу құралы химия және химиялық технология мамандықтарын дайындайтын жоғары оқу орындарының студенттері мен магистранттарына арналған.</t>
  </si>
  <si>
    <t>00010608</t>
  </si>
  <si>
    <t>Силаева О.В.</t>
  </si>
  <si>
    <t>Операционный менеджмент</t>
  </si>
  <si>
    <t>экономика, менеджмент</t>
  </si>
  <si>
    <t>Пособие содержит теоретические основы, практические задания, конкретные управленческие ситуации, задачи и упражнения по дисциплине «Операционный менеджмент», а также методические рекомендации по их выполнению.Предназначено для студентов экономических специальностей всех форм обучения. Пособие может использоваться при проведении практических занятий по дисциплине «Операционный менеджмент», а также для самообразования руководителей всех уровней управления и заинтересованных лиц.</t>
  </si>
  <si>
    <t>00010609</t>
  </si>
  <si>
    <t>Кабиева С.К., Жаслан Р.Қ.</t>
  </si>
  <si>
    <t>Жалпы фармакология. Бойынша қысқаша дәрістер курсы</t>
  </si>
  <si>
    <t>фармация</t>
  </si>
  <si>
    <t>Оқу құралы фармакология саласындағы жаңа ғылыми жетістіктер мен тәжірибелік жаңалыктарға сүйене отырып кұрастырылған. Окулыкта дәрілік заттардың медицина практикасындағы негізгі топтары карастырылған. Оқу-әдістемелік құралда фармокологияның жалпы түсініктері, дәрілік преператтары туралы негізгі ақпараттар келтірілген. «Жалпы фармакология» бөлімінде дәрілік заттардың фармакокинетикасы мен фармодинамикасының жалпы мәселелері сөз болады. Сонымен қатар, клиникалык практикада кеңінен колданылатын дәрілік заттардың негізгі топтары және тиімділігі жоғары жаңа дәрілік заттар тобы жайлы айтылады. Оқу құралы студенттерге де, оқытушыларға да теориялық, зертханалық-практикалық сабақтарды ұйымдастыруда пайдалы болады.</t>
  </si>
  <si>
    <t>0001061</t>
  </si>
  <si>
    <t>Спирт технологиясы. Зертханалық практикум</t>
  </si>
  <si>
    <t>Зертханалық практикум «Ашыту және шарап жасау технологиясы» мамандығының «Спирт технологиясы» курсы бойынша теориялық материалды меңгеру, зертханалық және өзіндік жұмыстарды жасау үшін арналған. Спирт өндірісінде шикізаттың және дайын өнімнің технохимиялық бақылау негіздері туралы мағлұмат берілген.</t>
  </si>
  <si>
    <t>00010610</t>
  </si>
  <si>
    <t>Дәрілік заттардың өнеркәсіптік технологиясы</t>
  </si>
  <si>
    <t>Оқу құралында дәрілік заттарды олардың дәрілік түрлеріне сәйкес өндірудің негізгі өнеркәсіптік технологиялары баяндалған. "Фармацевтикалық өндіріс технологиясы" білім беру бағдарламасы студенттерінің өзін-өзі бақылауына арналған тест тапсырмалары келтірілген.Оқу құралы студенттерге де, оқытушыларға да теориялық, зертханалық-практикалық сабақтарды ұйымдастыруда пайдалы болады.</t>
  </si>
  <si>
    <t>00010611</t>
  </si>
  <si>
    <t>978-601-13-0657-7</t>
  </si>
  <si>
    <t>Козыкенова Ж. У.</t>
  </si>
  <si>
    <t>Ассоциация между p53-связывающим белком 1 и геномной нестабильностью при онкоцитарной фолликулярной аденоме щитовидной железы</t>
  </si>
  <si>
    <t>Монография на тему: «Ассоциация между p53-связывающим белком 1 и 
 геномной нестабильностью при онкоцитарной фолликулярной аденоме щитовидной железы» посвящена для совершенствования прогнозирования онкоцитарных фолликулярных аденом щитовидной железы, наряду с традиционными методами необходимо включить в исследования пациентов методы молекулярной генетики, так как, они дают возможность более ранней диагностики на уровне изменённой структуры ДНК, позволяя выявить локализацию наследственных нарушений. Молекулярно-генетические методы дают возможность выявить мутации, связанные с заменой даже единичного основания.Молекулярно-генетические исследования рекомендуется к применению в практической медицине для прогнозирования малигнизации аденом щитовидной железы и дальнейшего прогрессирования новообразований.Материалы монографии могут быть рекомендованы к применению методов измерения баланса про/антиоксидантных составляющих в плазме крови для оценки степени тяжести заболевания у больных с онкоцитарной фолликулярной аденомы щитовидной железы.</t>
  </si>
  <si>
    <t>00010612</t>
  </si>
  <si>
    <t>Омбаев А.М., Мирзакулов С.М.,Бупебаева Л.К.</t>
  </si>
  <si>
    <t>Технология производства продукции сельскохозяйственных животных, птиц, рыб и пчёл.</t>
  </si>
  <si>
    <t>ветеринария,животноводство, птицеводство,пищеваяи перерабатывающая промышленность</t>
  </si>
  <si>
    <t>Учебное пособие включает общие и частные методики проведения лабораторно-практических занятий и содержит материалы для теоретической подготовки бакалавров по специальности «Технология производства продукции животноводства». В издании представлены материалы по оценке племенных и продуктивных качеств по видам сельскохозяйственных животных, птиц, рыб и пчел. Издания содержит указания и задания для лабораторно-практических занятий и самостоятельной работы студентов</t>
  </si>
  <si>
    <t>00010613</t>
  </si>
  <si>
    <t>под редакцией Усенбекова Е. С.</t>
  </si>
  <si>
    <t>Молекулярно-генетические методы диагностики в ветеринарии.</t>
  </si>
  <si>
    <t>Ветеринарная медицина</t>
  </si>
  <si>
    <t>В учебном пособии подробно описаны структура и строение молекулы ДНК, молекулярно-генетические основы и принципы метода полимеразной цепной реакции, дана характеристика этапам амплификации, компонентам реакционной смеси, приводятся методики выделения ДНК из различного биологического материала. Имеется информация о генетической природе наследственных аномалий и распространенности генетических дефектов: BLAD, CVM, DUMPS, BC, Brachyspina, FXID у крупного рогатого скота, указаны методы ПЦР-диагностики точечной мутации, инсерции и делеции в кодирующей части соответствующих генов. В работе описаны молекулярно-генетические методы определения ДНК полиморфизма по локусам фактора некроза опухоли (TNFα), лактоферрина (LTF) и гена GDF9 у племенных коров. В учебном пособии представлены детали проведения генотипирования коров по гаплотипам фертильности, определения оплодотворяющей способности спермиев быков-производителей методами ДНК фрагментации, содержание протамина и гистона в спермиях, ПЦР-диагностика половых инфекций на примере микоплазмоза и кампилобактериоза, авторами указано преимущество метода Реал-Тайм ПЦР детекции генетических дефектов у племенных животных по сравнению с классической ПЦР-диагностикой. Пособие иллюстрировано фотографиями, электрофореграммами, рисунками, таблицами, графическими изображениями результатов Реал Тайм ПЦР-диагностики. Указаны все этапы работы по выделению ДНК, проведению горизонтального электрофореза, постановки ПЦР.</t>
  </si>
  <si>
    <t>00010614</t>
  </si>
  <si>
    <t>Ветеринариядағы молекулярлық-генетикалық балау әдістері.</t>
  </si>
  <si>
    <t>Оқу құралында ДНҚ молекуласының құрылымы мен құрылысы, молекулярлық-генетикалық негіздері және полимераздық тізбек реакциясы әдісінің қағидалары толық сипатталған, амплификация сатыларына, реакциялық қоспа компоненттеріне жеткілікті түсініктеме берілген, түрлі биологиялық материалдардан ДНҚ бөліп алу әдістері келтірілген. Тұқым қуалаушылық аномалиялардың генетикалық табиғаты жөнінде және ірі қара малының генетикалық кемтарлықтарының: BLAD, CVM, DUMPS, BC, Brachyspina, FXID таралуы туралы мәліметтер берілген, сәйкес гендердің кодтаушы бөліктерінің нүктелік мутациясын, инсерциясын және делециясын ПТР әдісімен балау туралы жазылған. Жұмыста ісік некрозы (TNFα) факторларының, лактоферриннің (LTF) және асыл тұқымды сиырлардың GDF9 генінің локустары бойынша ДНҚ полиморфизмін молекулярлық-генетикалық анықтау әдістері сипатталған. Оқу құралында сиырларды фертильдік гаплотиптері бойынша генотиптеуді жүргізу техникасы, ДНҚ фрагментациясы әдісімен аталық бұқалардың спермийлерінің ұрықтандыру қабілетін анықтау, спермийлердегі протамин және гистон мөлшерін, микоплазмоз, кампилобактериоз сияқты жыныстық инфекцияларды ПТР-балау әдістері келтірілген, авторлар асыл тұқымды жануарлардың генетикалық кемтарлықтарын балау барысында классикалық ПТР қолдануға қарағанда Реал-Тайм ПТР әдісінің артықшылық жақтарын көрсеткен. Оқу құралы суреттермен, электрофореграммалармен, кестелермен, Реал Тайм ПТР-балау нәтижелерінің графиктік кескіндерімен безендірілген. ДНҚ бөліп алу, горизонталдық электрофорез жүргізу, ПТР қою жұмыстарының барлық сатылары көрсетілген. Оқу құралы «Ветеринариядағы молекулярлық-генетикалық балау әдістері» элективтік пәні бойынша 5В120100-«Ветеринарлық медицина» мамандығының студенттеріне арналған.</t>
  </si>
  <si>
    <t>00010615</t>
  </si>
  <si>
    <t>Жандарбек Б.А.</t>
  </si>
  <si>
    <t>Қазақстан Республикасының мұрагерлік құқығы</t>
  </si>
  <si>
    <t>юридический</t>
  </si>
  <si>
    <t>Оқулықта жоғарғы оқу орындарының заң факультеттерінде зерттелетін мұрагерлік құқығының мәселелері егжей-тегжейлі қарастырылған және заңнамаға енгізілген жаңа толықтырулар мен сот тәжірибесінің материалдары есепке алынған. Студенттерге, магистранттарға, докторанттарға және жоғарғы заңи оқу орындары мен факультеттерінің оқытушыларына, құқық қорғау жүйесінің өкілдеріне, сонымен қатар мұрагерлік құқығына қызығушылық танытатындардың барлығына арналған. Қазақстанда тұңғыш рет жарық көріп отыр.</t>
  </si>
  <si>
    <t>00010616</t>
  </si>
  <si>
    <t>Қазақстан Республикасының отбасы құқығы</t>
  </si>
  <si>
    <t>Оқулықта жоғарғы оқу орындарының заң факультеттерінде зерттелетін отбасы құқығының мәселелері егжей-тегжейлі қарастырылған және заңнамаға енгізілген жаңа толықтырулар мен сот тәжірибесінің материалдары есепке алынған.Студенттерге, магистранттарға, докторанттарға және жоғарғы заңи оқу орындары мен факультеттерінің оқытушыларына, құқық қорғау жүйесінің өкілдеріне, сонымен қатар отбасы құқығына қызығушылық танытатындардың барлығына арналған. Қазақстанда тұңғыш рет жарық көріп отыр.</t>
  </si>
  <si>
    <t>00010617</t>
  </si>
  <si>
    <t>Джандарбек Б.А.</t>
  </si>
  <si>
    <t>Семейное право Республики Казахстан</t>
  </si>
  <si>
    <t>Настоящий практикум по семейному праву предназначен для проведения практических занятий по семейному праву. Он позволит обучающимся полнее и глубже усвоить теорию данной подотрасли гражданского права, приобрести навыки анализа возникающих в жизни ситуаций, связанных с применением семейного законодательства. В практикум включены задачи, сгруппированные по соответствующим темам семейного права. Для каждой темы подобран перечень рекомендуемой к изучению литературы, а также отдельные подзаконные акты для решения задач. Данный практикум представляет собой учебно-методическое пособие и в силу этого предназначено для преподавателей, магистрантов и студентов юридических вузов и факультетов, а также интересующихся семейно-правовыми вопросами.</t>
  </si>
  <si>
    <t>00010618</t>
  </si>
  <si>
    <t>Есимов Б.О., Руснак В.В., Адырбаева Т.А., Егоров Ю.В., Анашкин А.В., Адырбаев Б.О.</t>
  </si>
  <si>
    <t>Минерально-сырьевые ресурсы туркестанской области для цементных, керамических и стекольных производств</t>
  </si>
  <si>
    <t>геология,строительство, горнорудное, полезные ископаемые</t>
  </si>
  <si>
    <t>В монографии рассматриваются особенности геологического строения территории Туркестанской области и условия формирования важнейших нерудных полезных ископаемых – минеральных сырьевых ресурсов для производств вяжущих материалов, керамики и стекла. Даны геологические, минералого-петрографические, химические и технологические характеристики более чем 30 видов горнорудного сырья региона - граниты, тефрито-базальты, полевой шпат, волластонит, вермикулит, цеолиты, хризотил-асбест, тальковый камень, барит, гипс и ангидрит, глино-гипс, известняки, известняки-ракушечники, доломиты и доломитизированные известняки, суглинки и лессовидные суглинки, бентониты, тугоплавкие и огнеупорные глины, опоки и опоковидные глины, кварцевые пески, кварциты, травертины, мраморы, маршаллиты, песчаники, минеральные пигменты и др. Особое внимание уделено экспериментальным исследованиям и технологическим разработкам по созданию высокоэффективных силикатных и строительных материалов на их основе и перспективам комплексного использования сырья. Монография предназначена научным работникам, бакалаврам, магистрантам и докторантом, работникам отраслевых департаментов промышленности, строительства и недропользования, а также предпринимателям и бизнесменам-промышленникам.</t>
  </si>
  <si>
    <t>00010619</t>
  </si>
  <si>
    <t>Уалиева Р.М.</t>
  </si>
  <si>
    <t>Микроморфология, ультраструктура и функции желточников и тельца Мелиса трематод с недифференцированным и дифференцированным телом</t>
  </si>
  <si>
    <t>биология,ветеринария, ветеринарная медицина</t>
  </si>
  <si>
    <t>Монография посвящена исследованию микроморфологии, ультраструктуры и функций желточников и тельца Мелиса трематод с недифференцированным и дифференцированным телом.Монография представляет интерес для специалистов – паразитологов, преподавателей, студентов, магистрантов и докторантов биологических, сельскохозяйственных, медицинских специальностей ВУЗов и колледжей.</t>
  </si>
  <si>
    <t>0001062</t>
  </si>
  <si>
    <t>Байгазиева Г.И. /Baigaziyeva G.I., Bayazitova M.M.</t>
  </si>
  <si>
    <t>"Industry оf alcoholic beverage" laboratory workshop</t>
  </si>
  <si>
    <t>laboratory workshop</t>
  </si>
  <si>
    <t>Данное учебное пособие предназначено для изучения теоретического материала лабораторных и самостоятельных работ по курсу "технология спирта" по специальности "Технология брожения и виноделие". Приведены данные о химическом составе и свойствах основных видов сырья, полупродуктов и продуктов спиртового производства, рассмотрены методы анализа и обработки полученных результатов.</t>
  </si>
  <si>
    <t>00010620</t>
  </si>
  <si>
    <t>978-601-13-0501-3</t>
  </si>
  <si>
    <t>Умаров Б.Д.</t>
  </si>
  <si>
    <t>Технология получения моторных масел и улучшение эксплуатационных показателей ДВС.</t>
  </si>
  <si>
    <t>инженерный, механика, транспортный, машиностроение, нефте-газовый</t>
  </si>
  <si>
    <t>Учебное пособие для студентов высших технических учебных заведений. Учебное пособие написано в соответствии с программой Министерства образования и науки Республики Казахстан. В нем отражены новейшие достижения науки и передового опыта по подбору, рациональному использованию смазочных материалов, применяемых при эксплуатации ДВС. Вопросы, освещаемые в учебнике, соответствуют типовой программе ГОСО.</t>
  </si>
  <si>
    <t>00010621</t>
  </si>
  <si>
    <t>Жолдасов С.А., Өтегенова Д.Н.</t>
  </si>
  <si>
    <t>Аналитикалық геометрия</t>
  </si>
  <si>
    <t>оқу әдістемелік</t>
  </si>
  <si>
    <t>математика, физика</t>
  </si>
  <si>
    <t>Оқу әдiстемелiк құрал педагогикалық жоғары оқу орындарының студенттеріне арналған. Аналитикалық геометрия курсының тараулары: матрицалар, анықтауыштар, сызықтық теңдеулер жүйесi және векторлық алгебра және аналитиқалық геометрияның негiзгi ұғымдары берiлген. Материал бакалавриаттың педагогикалық мамандықтары бойынша стандарттар талаптарына сәйкес жазылған. Әрбір тарауда типтік есептер және өзіндік жұмысқа арналган жаттығу есептері берілген Оқу құралы кредиттік жүйе бойынша оқытуға, білім алушылардың өзіндік жұмысын жүргізү үшін және қашықтықта оқыту үшін пайдалануға арналған. Оқу құралы электрондық түрде толық берілген және электрондық кітапханаға орналастырылған.</t>
  </si>
  <si>
    <t>00010622</t>
  </si>
  <si>
    <t>Жолдасов С.А.</t>
  </si>
  <si>
    <t>Ықтималдықтар теориясы және математикалық статистикаға арналған есептер жинағы</t>
  </si>
  <si>
    <t>математика, физика, информатика</t>
  </si>
  <si>
    <t>Оқу – әдістемелік құралы математика, физика және информатика мамандықтарының студенттері үшін «Ықтималдықтар теориясы және математикалық статистика» пәнінінің практикалық сабақтары бойынша ұсынылған типтік бағдарламасына сәйкес жасалынған. Оқу құралында ықтималдықтар теориясы және математикалық статистиканың қысқаша мазмұндағы тақырыптары, ықтималдықтар теориясының кейбір тақырыптарына қосымша зерттеулер және тақырыпқа сай тесттер, мысалдар, тапсырмалар берілген. Оқу құралы жоғары оқу орнының студенттеріне арналған.</t>
  </si>
  <si>
    <t>00010623</t>
  </si>
  <si>
    <t>математика, физика, информатика, механика</t>
  </si>
  <si>
    <t>Оқу әдiстемелiк құрал жоғары оқу орындарының студенттеріне арналған.Ұсынылатын оқу құралы университеттердің математика, физика, механика, информатика жəне оларға жақын мамандарды дайындайтын факультеттердің студенттеріне арналып жазылған. Заттар қозғалыстарын зерттейтін ғылымдар жаратылыстану деп аталатыны белгілі десек, теориялық механиканы жаратылыстану ғылымдарының саласына жатқызуға болады. Өйткені, теориялық механиканың негізгі мақсаты – күштер әсерлерінен туындайтын денелердің механикалық қозғалыстарының ең жалпы заңдылықтарын анықтау, олардың іс жүзінде қолдану жолдарын көрсету болып табылады. ары және әсерлесулМеханикалық қозғалыс деп дененің өзге денелерге қарағандағы кеңістіктегі орнының уақыт өтуіне байланысты өзгеріп отыруын айтамыз. Механикада денені қозғалысқа келтіруші немесе оның қозғалысын өзгертуші физикалық себепті күш деп атайды. Күш – материялық денелердің өзара механикалық әсерлесулерінің өлшемі ретінде алынады. Қысқаша айтқанда, механика – материялық денелердің қозғалыстері туралы ғылым. Механикалық қозғалыстың табиғатта да, техникада да өте жиі кездесетінін ескерсек, қазіргі жаратылыстану мен техника үшін теориялық механиканың мәні қандай зор екені өзінен өзі түсінікті болады. Бұдан теориялық механиканы қазіргі техниканың ғылыми негізі деп айта аламыз. Теориялық механика үш бөлімнен тұрады: статика, кинематика, динамика.Оқу құралы соңғы жылдары университеттерде қалыптасқан бағдарламаға жəне жаңа оқу технологиясына сай жазылған.</t>
  </si>
  <si>
    <t>00010624</t>
  </si>
  <si>
    <t>Елибаева Р.Д., Бейбитова У.А.</t>
  </si>
  <si>
    <t>Учебно-методическое пособие «Профессиональный русский язык» для студентов всех специальностей</t>
  </si>
  <si>
    <t>филология, русский язык</t>
  </si>
  <si>
    <t>В УМП приводятся краткие теоретические сведения, примеры выполнения практических заданий и упражнений, задания для самостоятельной работы студентов с преподавателем, задания для самостоятельной работы студентов, тесты для закрепления по каждой теме и список рекомендуемой литературы. УМП составлено в соответствии с учебным планом и учебной программой и включают все сведения, необходимые для дисциплины и выполнения всех видов работы студентов. Учебно-методическое пособие «Профессиональный русский язык» предназначено для студентов всех специальностей и составлено с учетом постепенного овладения лексики, грамматики и пунктуации, и призвано дать профессионально-ориентированные зна­ния, необходимые специалистам</t>
  </si>
  <si>
    <t>00010625</t>
  </si>
  <si>
    <t>978-601-330-510-3</t>
  </si>
  <si>
    <t>Елибаева Р.Д., Ахметова Д.М., Бейбитова У.А.</t>
  </si>
  <si>
    <t>Лексикология современного русского языка</t>
  </si>
  <si>
    <t>Учебное пособие «Лексикология современного русского языка» содержит необходимые сведения о лексических единицах, на которых базируется формирование единиц других уровней языка, а также дает последовательное описание лексической системы русского языка, формирует представление о системных и функциональных свойствах лексических единиц, необходимых будущим специалистам-филологам в соответствии с образовательными стандартами Республики Казахстан для выпуска бакалавров по направлению - 6В01702 «Подготовка учителей русского языка и литературы», в том числе с применением дистанционных образовательных технологий. Пособие составлено в соответствии с Учебным планом и программой и включает все сведения, необходимые для дисциплины «Лексикология современного русского языка» и выполнения всех видов работы студентов.Учебное пособие рекомендуется как студентам, так и магистрантам, преподавателям-филологам, а также всем тем, кто интересуется вопросами лексикологии современного русского языка.</t>
  </si>
  <si>
    <t>00010626</t>
  </si>
  <si>
    <t>Елибаева Р.Д., Ахметова Д.М.,Бейбитова У.А.,Джумадиллаева Г.Б.</t>
  </si>
  <si>
    <t>Учебное пособие по практической стилистике русского языка</t>
  </si>
  <si>
    <t>Данное учебное пособие предназначено для бакалавров, обучающихся по кредитной технологии. Основная цель пособия – научить студентов русскому языку. Задачей курса при обучении русскому языку является достижение соответствующего уровня коммуникативной компетенции в период обучения в вузе; подготовка студентов к проведению эффективной самообразовательной работы над языком специальности. Пособие содержит теоретический и практический материал в объеме, углубляющем программу и позволяющем закрепить умения и навыки по практической стилистике русского языка, а также вопросы для самопроверки, тестовые задания и коды правильных ответов к ним.Рекомендуется студентам очной, дистанционной форм обучения.</t>
  </si>
  <si>
    <t>00010627</t>
  </si>
  <si>
    <t>русс</t>
  </si>
  <si>
    <t>Еспаева Р.Н.</t>
  </si>
  <si>
    <t>Неотложные состояния в акушерстве и гинекологии</t>
  </si>
  <si>
    <t>Гинекология</t>
  </si>
  <si>
    <t>В учебном пособии представлены сведения о неотложных состояниях в акушерстве и гинекологии, такие как гипертензивные состояния при беременности,кровотечения во время беременности и родов (предлежание плаценты, преждевременная отслойка нормально расположенной плаценты), внебольничные роды,послеродовые кровотечения, внематочная беременность,апоплексия яичников, перекрут придатков матки, пельвиоперитонит, маточные кровотечения, экстренная контарцепция. Изложены принципы диагностики и оказания помощи на догоспитальном этапе и в стационаре согласно клиническим протоколам МЗ РК. В Приложении представлены материалы для оценки практических и коммуникативных навыков студентов при оказании неотложной помощи на догоспитальном этапе при ведении второго периода родов, при асфиксии новорожденных, прервавшейся внематочной беременности и маточных кровотечениях. В учебное пособие включены 20 ситуационных задач, 60 тестовых заданий по излагаемым темам и глоссарий (термины на государственном, русском и английском языках). Предназначено для подготовки бакалавров, интернов,врачей общей практики, резидентови врачей акушеров-гинекологов.</t>
  </si>
  <si>
    <t>00010628</t>
  </si>
  <si>
    <t>978-601-13-0095-7</t>
  </si>
  <si>
    <t>Sabdenov K., Sirgebayeva S., Kulataev B. / Кулатаев Б.</t>
  </si>
  <si>
    <t>Innovative technology of goat breeding production 1 Volume</t>
  </si>
  <si>
    <t>Ветеринария, Технология производства продуктов животноводства</t>
  </si>
  <si>
    <t>Учебник "Инновационная технология племенного производства коз" написан в соответствии с учебным планом университета по специальности "Технология производства продуктов животноводства", утвержденным МОН РК. В учебнике освящены положение и перспективы отрасли. Дана характеристика биологических особенностей и продуктивных качеств коз различной продуктивной направленности. Подробное описание технологии кормления, содержания и развития, темы практических и лабораторных занятий со студентами, а также тестовые вопросы для проверки закрепления знаний студентов.Книга также полезна для практикующих скотоводов. / Textbook "Innovative technology of goat breeding production" is written according to the curriculum of the university on specialty "Zootechnyia" and "Technology of breeding production " approved by MES PK. The textbook sanctified position and prospects of the industry. The characteristic of the biological characteristics and productive qualities of goats of different productive direction. Detailed description of the technology feeding, housing and development, topics of practical and laboratory classes with students, as well as test questions to test students' knowledge consolidation.The book is also useful for practitioners of cattle-breeder.</t>
  </si>
  <si>
    <t>00010629</t>
  </si>
  <si>
    <t>978-601-13-0097-1</t>
  </si>
  <si>
    <t>Innovative technology of goat breeding production 2 Volume</t>
  </si>
  <si>
    <t>0001063</t>
  </si>
  <si>
    <t>Байгазиева Г.И., Аскарбеков Э.Б., Баязитова М.М.</t>
  </si>
  <si>
    <t>Технология спирта. Лабораторный практикум</t>
  </si>
  <si>
    <t>Данное учебное пособие предназначено для изучения теоретического материала, выполнения лабораторных и самостоятельных работ по курсу «Технология спирта» для специальности «Технология бродильных производств и виноделие». Приведены сведения о химическом составе и свойствах основного сырья, полупродуктов и продуктов спиртового производства, рассмотрены методики анализа и обработка результатов.</t>
  </si>
  <si>
    <t>00010630</t>
  </si>
  <si>
    <t>Рамазанова Н. Е.</t>
  </si>
  <si>
    <t>Жайық өзені алабындағы су эрозиясы үрдісін бағалау мәселелері</t>
  </si>
  <si>
    <t>география</t>
  </si>
  <si>
    <t>«Жайық өзені алабындағы су эрозиясы үрдісін бағалау мәселелері» aтты монографиясы гeoгpaфия, гидрология, экология мaмaндығындa oқитын жoғapы oқу opындapының cтудeнттepі, мaгиcтpaнттapы мен докторанттарына елімізде болып жатқан су эрозиясы мәселелерін үлгілеу, болжау туралы теориялық және практикалық білімге қызығушылығы бар oқыpмaн қaуымғa ұcынылып oтыp.</t>
  </si>
  <si>
    <t>00010631</t>
  </si>
  <si>
    <t>Қазақстанның физикалық географиясы бойынша практикалық жұмыстар</t>
  </si>
  <si>
    <t>«Қазақстанның физикалық географиясы бойынша практикалық жұмыстар» aтты oқу құpaлы гeoгpaфия мaмaндығындa oқитын жoғapы oқу opындapының cтудeнттepі мeн мaгиcтpaнттapынa, еліміздің географиясына қызығушылығы бар oқыpмaн қaуымғa ұcынылып oтыp. Оқулықта Қазақстанның физикалық географиясы курсын зерттеу барысында оқытудың классикалық және инновациялық әдістері, заманауи картографиялық әдістер, ГАЖ технологиялары қолданылады</t>
  </si>
  <si>
    <t>00010632</t>
  </si>
  <si>
    <t>Практические занятия по физической географии Казахстана</t>
  </si>
  <si>
    <t>Учебнoe пocoбиe «Прaктичecкиe зaнятия пo физичecкoй гeoгрaфии Кaзaхcтaнa» для преподавателей географии, cтудeнтoв, мaгиcтрaнтoв cпeциaльнocти гeoгрaфия. В учебном пособии в процессе изучения курса физическая география Казахстана применяются классические методы, инновационные методы обучения и современные картографические методы, ГИС технологии.</t>
  </si>
  <si>
    <t>00010633</t>
  </si>
  <si>
    <t>Сарсембаева Г.Б.</t>
  </si>
  <si>
    <t>Сборник тестов с множественным выбором по дисциплине «Основы бухгалтерского учета»</t>
  </si>
  <si>
    <t>Тесты</t>
  </si>
  <si>
    <t>В данном сборнике представлены тестовые вопросы и методические рекомендации для подготовки к тестированию по дисциплине «Основы бухгалтерского учета» по образовательной программе «Учет и аудит». Сборник тестов с множественным выбором рекомендуется для подготовки обучающихся к промежуточной и итоговой аттестации.</t>
  </si>
  <si>
    <t>00010634</t>
  </si>
  <si>
    <t>Учебное пособие подготовлено для удобства пользования и лучшего усвоения теоретического материала курса «Основы бухгалтерского учета». Используя данное пособие при подготовке к сдаче промежуточной и итоговой аттестации, обучающиеся смогут в сжатые сроки систематизировать и конкретизировать знания, приобретенные в процессе изучения дисциплины; сформулировать примерный план ответов на возможные экзаменационные вопросы.</t>
  </si>
  <si>
    <t>00010635</t>
  </si>
  <si>
    <t>Практикум для проведения практических занятий по дисциплине «Основы бухгалтерского учета»»</t>
  </si>
  <si>
    <t>Целью практикума является формирование у студентов теоретических знаний и практических навыков по использованию методов и принципов бухгалтерского учета. Основными задачами практикума являются: систематизация, закрепление и расширение теоретических и практических навыков по отдельной дисциплине; развитие навыков ведения самостоятельной работы; выяснение подготовленности студентов для самостоятельной работы при подготовке к написанию курсовых и дипломных работ. Практикум состоит из введения, практических заданий по тематике учебного пособия «Основы бухгалтерского учета» и приложения. В целях закрепления теоретических знаний в практикуме по каждой теме представлен тестовый материал. Студент должен уметь творчески мыслить и излагать собственную точку зрения по проблемным вопросам, использовать положения по бухгалтерскому учету в своей практической работе. Практикум соответствует предъявленным требованиям и может быть внедрен в учебный процесс обучающихся по направлению «Бизнес и управление».  Практикум составлен на основании современной литературы и периодических изданий по направлению и профилю подготовки.</t>
  </si>
  <si>
    <t>00010636</t>
  </si>
  <si>
    <t>Алибекова Б.А.</t>
  </si>
  <si>
    <t>Государственный аудит (продвинутый)</t>
  </si>
  <si>
    <t>В учебном пособии рассматриваются теоретические и организационные аспекты развития государственного аудита в современных условиях, раскрываются вопросы методологии и техники реализации инновационных видов государственного аудита, методики осуществления аудиторской проверки в отношении отдельных субъектов государственного и квазигосударственного секторов. Учебное пособие предназначено для подготовки обучающихся образовательных программ по направлению «бизнес и управление» (аудит и налогообложение). Может быть полезен для преподавателей и практических работников сферы государственного аудита.</t>
  </si>
  <si>
    <t>00010637</t>
  </si>
  <si>
    <t>Алибекова Б.А., Бейсенова Л.З., Ракаева А.Н.</t>
  </si>
  <si>
    <t>Экологический аудит</t>
  </si>
  <si>
    <t>В учебном пособии раскрываются понятия, мировой опыт, порядок организации и регулирования государственного и производственного экологического аудитов. Анализируется роль и место органов государственного аудита в реализации Целей и задач устойчивого развития. Рассматриваются вопросы методологии и техники экологического аудита через изучение последовательного выполнения этапов аудиторского цикла. Учебное пособие предназначено для подготовки обучающихся образовательных программ по направлению «Бизнес и управление» (Аудит и налогообложение). Может быть полезен для преподавателей и практических работников сферы государственного аудита.</t>
  </si>
  <si>
    <t>00010638</t>
  </si>
  <si>
    <t>978-601-330-397-0</t>
  </si>
  <si>
    <t>Жакишев Б.А., Айтмагамбетова М.Б., Салихова Т.С.</t>
  </si>
  <si>
    <t>Өнеркәсіптік кәсіпорындарда энерготасығыштарды өндіру және үлестіру жүйесі</t>
  </si>
  <si>
    <t>теплоэнергетика</t>
  </si>
  <si>
    <t>«Өнеркәсіптік кәсіпорындарда энерготасығыштарды өндіру және үлестіру жүйесі» оқулығы «Жылуэнергетикасы» мамандығының студенттеріне арналған. Оқулықта ауамен жабдықтау жүйелері, отынмен қамтамасыз ету, салқындату өндірісі және оны тарату, өндірістік суды өндіру және бөлу туралы айтылған, сонымен қатар барлық мамандықтардың студенттеріне ұсынуға болады.</t>
  </si>
  <si>
    <t>00010639</t>
  </si>
  <si>
    <t>Койшибаева К.Ж., Шыныбай Ж.С., Есенгабылова Н.Ж.</t>
  </si>
  <si>
    <t>Электр энергетикасы</t>
  </si>
  <si>
    <t>Электроэнергетика</t>
  </si>
  <si>
    <t>Бұл оқу құралы 6В071 – «Инженерия және инженерлік іс» дайындау бағыты бойынша «Электр энергетикасы», «Электротехникалық инжиниринг» білім беру бағдарламаларының студенттеріне арналған және оның мазмұны пәннің жұмыстық оқу бағдарламасына сәйкес жасалынған. Авторлар кітапты жазу барысында «Электр энергетикасы» курсына қатысты көптеген оқу әдебиеттерімен танысып, оларды сараптап және ой елегінен өткізіп еңбектенді. Оқу құралы техникалық жоғары оқу орындарының студенттеріне арналған.</t>
  </si>
  <si>
    <t>0001064</t>
  </si>
  <si>
    <t>Байгазиева Г.И., Баязитова М.М.</t>
  </si>
  <si>
    <t>Ликер-арақ өнімдерінің технологиясы. Зертханалық практикум</t>
  </si>
  <si>
    <t>Зертханалық практикум «Ашыту және шарап жасау технологиясы» мамандығының «Ликер-арақ өнімдерінің технологиясы» курсы бойынша теориялық материалды меңгеру, зертханалық және өзіндік жұмыстарды жасау үшін арналған. Ликер-арақ өндірісінде шикізаттың және дайын өнімнің технохимиялық бақылау негіздері туралы мағлұмат берілген.</t>
  </si>
  <si>
    <t>00010640</t>
  </si>
  <si>
    <t>Глущенко Т.И., Бедыч Т.В., Хабдуллина Г.А.</t>
  </si>
  <si>
    <t>Дәстүрлі емес және жаңартылатын энергетиканың теориялық негіздері</t>
  </si>
  <si>
    <t>Оқу құралында электр және жылу энергиясын алу үшін күн, жел, су және биомасса энергиясын түрлендіру туралы теориялық материал бар. Әр түрлі энергия сақтау құрылғылары келтірілген. 7В07101 - Электр энергетикасы білім беру бағдарламасына арналған; ол жоғары оқу орындарының оқытушыларына жаңартылатын энергия көздері бойынша оқу сабақтарын өткізу кезінде ұсынылуы мүмкін.</t>
  </si>
  <si>
    <t>00010641</t>
  </si>
  <si>
    <t>978-601-330-333-8</t>
  </si>
  <si>
    <t>Кадырова Г.Т.</t>
  </si>
  <si>
    <t>Сквозное учебное пособие по профессиональным практикам для студентов специальностиУчет и аудит</t>
  </si>
  <si>
    <t>экономичексий</t>
  </si>
  <si>
    <t>В данном сборнике представлен учебный пример сквозной задачи для прождения учебной практики студентов специальности «Учет и аудит» - знакомство с организацией и ведением учетного процесса хозяйствующего субъекта. Учебная практика проводится в учебной лаборатории «Бухгалтер фирмы + 1С» в объеме, предусмотренном учебным планом специальности.</t>
  </si>
  <si>
    <t>00010642</t>
  </si>
  <si>
    <t>978-601-330-583-7</t>
  </si>
  <si>
    <t>Сквозное учебное пособие по профессиональным практикам для студентов специальности Финансы</t>
  </si>
  <si>
    <t>В данном сборнике представлен учебный пример сквозной задачи для прохождения учебной практики студентов специальности «Финансы» - знакомство с организацией и анализом финансово-экономической деятельности хозяйствующего субъекта. Учебная практика проводится в учебной лаборатории «Бухгалтер фирмы + 1С» в объеме, предусмотренном учебным планом специальности.</t>
  </si>
  <si>
    <t>00010643</t>
  </si>
  <si>
    <t>978-601-330-488-5</t>
  </si>
  <si>
    <t>Сборник тестов с множественным выбором для проведения текущего и итогового контроля по дисциплине «Педагогика»</t>
  </si>
  <si>
    <t>педагогика</t>
  </si>
  <si>
    <t>В данном сборнике представлены тестовые вопросы и методические рекомендации для подготовки к тестированию по дисциплине «Педагогика» специальности 5В012000 «Профессиональное обучение» направления «Социальные науки, экономика и бизнес». Сборник тестов с множественным выбором рекомендуется для подготовки студентов выпускного курса к участию в комплексном тестировании при внутренней оценке учебных достижений.</t>
  </si>
  <si>
    <t>00010644</t>
  </si>
  <si>
    <t>Нұрғалиева А.А. / Нургалиева А.А.</t>
  </si>
  <si>
    <t>Маркетинг</t>
  </si>
  <si>
    <t>Нарық жағдайында шаруашылық субъектілерінің табысты жұмыс істеу үшін осы заманғы ғылыми теория мен практиканың әдіс-амалдарын қолдана білудің маңызы зор, сондықтан нарықтық экономика пәндерінің ішінде маркетинг елеулі орын алады.Маркетинг - қазіргі бизнес философиясы, ойлау стилі және тұтынушылардың мүқтаждықтары мен тілектерін қа-нағаттандыруға бағытталған мақсат. Мұндай көзқарасты ұстанатын авторлар маркетингті әлеуметтік-экономикалық жағынан қарастырады, бірақ мүнда оның мақсаттары тым мінсіздендірілген (идеализированы). Бұл көзқарас нарықтық экономикасы дамыған елдердегі фирмалардың маркетингтік қызметіне сәйкес келеді.Маркетингті адамдардың мұқтаждықтары мен қажеттіліктерін зерттеуге және қанағаттандыруға бағытталған әлеуметгік үдеріс ретінде қарастырылатын анықтамалар.«Маркетинг» оқу құралын құрастыра отырып, автор жоғарыда аталған бағыттарды іске асыру бойынша университеттің оқу-әдістемелік базасының дамуына ықалын тигізеді деп ойлайды.Қорыта келе, өндіруші өз тауарларын сатқысы келетін тұтынушыларды өзі іздеуі керек, олардың тұтыныстарын анықтап, сол тұтынысты толғырақ қанағаттандыратын тауар шығаруы керек. Адамдар өз мұқтаждықтарын, мүдделерін алмастыру арқылы қанағаттандырған жағдайда ғана маркетинг түсінігі орынды болады.Сол себепті халық шаруашылығы кешенінің барлық элементтерінің өзара қатынаста қалыпты жұмыс істеулерін қамтамасыз ету олардың құрылым түзеуші әр элементінің орны мен рөлін анықтаудың жаңаша, сапалық тұрғыдан келуді қажет етеді.</t>
  </si>
  <si>
    <t>00010645</t>
  </si>
  <si>
    <t>Ауылдық туризмді дамытудың стратегиялық басымдылықтары</t>
  </si>
  <si>
    <t>Монографияда кәсіпорын экономикасындағы меншіктің барлық формасы баяндалған. Материал мысалдар мен тапсырмалардың үлкен көлемімен түсіндіріліп, сипатталған. Монография экономика мамандықтарының студенттеріне арналған.</t>
  </si>
  <si>
    <t>00010646</t>
  </si>
  <si>
    <t>Нурмагамбетова Л.И.</t>
  </si>
  <si>
    <t>Аудит</t>
  </si>
  <si>
    <t>Учебное пособие представляет собой основы теории и практики аудита, рассматривает общепринятые международные принципы, методы и приемы аудиторской деятельности в условиях рыночной экономики, позволяет специалистам приобрести навыки составления программы аудита и умение анализировать, владеть современными методами и средствами информации. В учебном пособии изложены основополагающие принципы аудита в условиях рынка, пособие способствует приобретению теоретических и практических навыков организации аудиторской деятельности в компаниях; знакомит с технологией обработки учетной информации, учетными регистрами и видами аудита. Пособие содержит практические и тестовые задания. Учебное пособие предназначено для студентов специальности 6B04104 - «Учет и аудит » изучающих аудиторскую деятельность субъектов.</t>
  </si>
  <si>
    <t>00010647</t>
  </si>
  <si>
    <t>Даленов Е.Д., Тарджибаева С.К., Абдулдаева А.А.,  Досжанова Г.Н., Шаканов Д.Р., Көшерова П.А., Керимкулова С.Ж.,  Тультаева М.Т., Серікбай С.Ж.</t>
  </si>
  <si>
    <t>Алиментарлық аурулардың профилактикасы</t>
  </si>
  <si>
    <t>Общая медицина</t>
  </si>
  <si>
    <t>Осы оқу құралы алиментарлық – тәуелді аурулардың алдын алу есебінен өмір сүру сапасын арттыру жүйесін сипаттайды және превентивті медицина саласында медициналық-ұйымдастыру іс-шараларын қалыптастыру үшін негіз бола алады.Оқу құралы жалпы медицина факультетінің бакалавр, интернатура студенттеріне арналған.</t>
  </si>
  <si>
    <t>00010648</t>
  </si>
  <si>
    <t>Азимхан А., Кенжетаева Г.К.</t>
  </si>
  <si>
    <t>Кәсіпкерлік іс-әрекет негіздері пәніне арналған түсіндірме сөздік</t>
  </si>
  <si>
    <t>Сөздік</t>
  </si>
  <si>
    <t>Барлық мамандықтарға арналған пәнің оқу құралы оқу курсын жақсы меңгеру үшін негізгі түсіндірме сөздік материалдары жиналған. Оқу құралын студенттер мен оқытушылар пайдалана алады.</t>
  </si>
  <si>
    <t>00010649</t>
  </si>
  <si>
    <t>Кенжетаева Г.К., Азимхан А., Кенжин Ж.Б.</t>
  </si>
  <si>
    <t>Мемлекеттік қызмет және басқару</t>
  </si>
  <si>
    <t>экономичексий,Государственное и местноеуправление</t>
  </si>
  <si>
    <t>«Мемлекеттік және жергілікті басқару» мамандығының білім алушыларына арналған оқу құралы. Оқу курсын жақсы меңгеру үшін негізгі оқу-әдістемелік материалдар жиналған. Оқу құралын студенттер мен оқытушылар пайдалана алады.</t>
  </si>
  <si>
    <t>0001065</t>
  </si>
  <si>
    <t>Байгазиева Г.И., Кекибаева А.К.</t>
  </si>
  <si>
    <t>Технология ликероводочного производства. Лабораторный практикум</t>
  </si>
  <si>
    <t>Данное учебное пособие предназначено для изучения теоретического материала, выполнения лабораторных и самостоятельных работ по курсу «Технология ликероводочного производства» для специальности «Технология бродильных производств и виноделия».Приведенаинформация об этапах технохимическогоконтроля сырья и продуктов вликероводочном производстве.</t>
  </si>
  <si>
    <t>00010650</t>
  </si>
  <si>
    <t>Автомобильдер құрылысы 1 том</t>
  </si>
  <si>
    <t>механика, транспорт</t>
  </si>
  <si>
    <t>Оқу құралы қазіргі кезде Қазақстан аумағында қолданыстағы және біздің елімізде шығарылатын (құрастырылатын) автомобильдер негізіне бейімделіп жазылған. Оқулықта кейінгі кезде автомобиль құрылысына енгізілген жаңа құрылғылардың жұмысына көп көңіл бөлінген. Оқулық осы мамандық бойынша мамандар дайындалатын стандартқа сәйкестендіріліп, қазіргі кезде қолданылып жүрген машиналардың қондырғыларына көп көңіл бөлінген. Бұл оқулықтың ерекшелігі қондырғылардың жұмысы мен құрылысын түсіндіруде суреттер мен сызбалар ерекше көп қолданылған, ондағы мақсат оқыған тақырыпты оқушылардың жеңіл меңгеруін қамтамасыз ету. Оқу құралы қайта өңделіп толықтырылып жазылған. Оқу құралы кәсіптік білім алушыларға және жоғарғы оқу орны студенттеріне арналған.</t>
  </si>
  <si>
    <t>00010651</t>
  </si>
  <si>
    <t>Автомобильдер құрылысы 2 том</t>
  </si>
  <si>
    <t>00010652</t>
  </si>
  <si>
    <t>Абдигапбарова У.М., Жиенбаева Н.Б., Кириллова Г.Р.</t>
  </si>
  <si>
    <t>Организация научно-исследовательской работы в области инклюзивного образования</t>
  </si>
  <si>
    <t>Учебное пособие «Организация научно-исследовательской работы в области инклюзивного образования» предназначено для магистрантов, обучающихся по образовательной программе 7М01906 – Специальная педагогика: инклюзивное образование. В пособии излагаются вопросы, связанные с предметной областью исследований, типами исследований, ориентированных на выработку систематизированного знания в форме проблем, гипотез, концепций, а также методы конкретных эмпирических исследований в специальной педагогике и инклюзивном образовании. Пособие подготовлено в целях удовлетворения потребности в учебно-методическом обеспечении для системы подготовки кадрового потенциала педагогов с магистерской степенью в инклюзивном образовании.</t>
  </si>
  <si>
    <t>00010653</t>
  </si>
  <si>
    <t>Бошкаева А.К.</t>
  </si>
  <si>
    <t>Исследование химической реакции образования полиметиновых красителей</t>
  </si>
  <si>
    <t>Фармация</t>
  </si>
  <si>
    <t>В данной монографии представлены исследования реакции образования полиметиновых красителей и применение ее в фармацевтической практике. Приведены основные фрагменты работ по подбору оптимальных условий проведения реакции образования полиметиновых красителей и применению в анализе производных пиридина, антибиотиков ароматического ряда, антибиотиков пенициллинового ряда, а также исследования по доказательству свойств продуктов гидролитического распада беталактамидов пенициллинового и цефалоспоринового ряда во взаимодействии с производным глутаконового альдегида. На основе реакции образования полиметиновых красителей разработаны физико-химические методы анализа лекарственных веществ, лекарственного растительного сырья и биологических жидкостей. Экспериментальные исследования направлены на подтверждение структуры полиметиновых красителей с применением ЯМР 1Н, ЯМР 13С, ИК и УФ спектроскопии. Рассмотрены особенности химизма и механизма реакции образования полиметиновых красителей с применением химической программы HyperChem. Монография предназначена для студентов, магистрантов, PhD-докторантов химических и фармацевтических специальностей ВУЗов и научного персонала.</t>
  </si>
  <si>
    <t>00010654</t>
  </si>
  <si>
    <t>978-601-330-817-3</t>
  </si>
  <si>
    <t>Текжанов К.М. , Жумабаева З.Е., Бахралинова А.Ж.</t>
  </si>
  <si>
    <t>Профессиональный русский язык(2-ое издание)</t>
  </si>
  <si>
    <t>Русский язык</t>
  </si>
  <si>
    <t>Основная цель учебного пособия – обучение студентов неязыковых групп образовательной программы «Дошкольное обучение и воспитание» предмету «Профессиональный русский язык». Пособие создано в соответствии с новыми образовательными нормативными требованиями русского языка как профессионального.Учебное пособие предназначено для студентов неязыковых групп образовательной программы «Дошкольное обучение и воспитание», может быть использовано при проведении практических занятий, самостоятельной работы студентов и будет полезно читателям, интересующимся вопросами профессионального русского языка по направлению «Дошкольное обучение и воспитание».</t>
  </si>
  <si>
    <t>00010655</t>
  </si>
  <si>
    <t>Аманжолов Ж.К., Сыздыкбаева Д.С., Халикова Э.Р.</t>
  </si>
  <si>
    <t>Еңбекті қорғау жөніндегі іс-шаралар мен төтенше жағдайлар салдарын экономикалық бағалау</t>
  </si>
  <si>
    <t>Охрана труда</t>
  </si>
  <si>
    <t>Нұсқаулықта табиғи және техногендік төтенше жағдайлардан келтірілген залалға, сондай-ақ еңбек жағдайларын жақсартуға, өндірістік жарақаттану мен кәсіптік аурулар жағдайларын азайтуға бағытталған еңбек қауіпсіздігі және еңбекті қорғау жөніндегі іс-шараларды енгізу нәтижелеріне экономикалық баға беріледі. Өндірістікжәне кәсіби ауруларданжазатайым оқиғалардан қызметкерлерді сақтандыру, қызметі үшінші тұлғаларға зиян келтіру қаупімен байланысты объектілер иелерінің азаматтық-құқықтық жауапкершілігі мәселелері қаралды. Оқу құралы 6В11201 «Қоршаған ортаны қорғау және өмір тіршілігінің қауіпсіздігі» мамандығының докторанттары, магистранттары және студенттерініңбарлық оқу түрлеріне арналған.</t>
  </si>
  <si>
    <t>00010656</t>
  </si>
  <si>
    <t>Альмишев У. Х.,. Уахитов Ж. Ж, Альмишева Т. У.</t>
  </si>
  <si>
    <t>Жидектану</t>
  </si>
  <si>
    <t>Ұсынылып отырған оқу құралы «Жидектану» еңбегі Қазақстанда кеңінен таралған қара, қызыл қарақат, таңқурай, тұшала, құлпынай, бүлдірген сияқты жидек тұқымдастардан басқа әлі де елімізде ауқымын арттыра алмай отырған, оқырмандарға көп танымды емес актинидия, көк жидек, мүк жидек, княженика және т.б. жидек дақылдарымен таныстырады. Оқу құралы «Агрономия», «Биология» мамандықтары магистранттарына, студенттеріне, сонымен қатар болашақта жидек дақылдарымен айналысуға ниеті бар агроқұрылым жетекшілеріне, мамандарына арналған көрнекті құрал болып табылады.</t>
  </si>
  <si>
    <t>00010657</t>
  </si>
  <si>
    <t>Уахитов Ж.Ж., Бурамбаева Н.Б., Апсеева Ы.А.</t>
  </si>
  <si>
    <t>Технология производства и переработки птицеводческой продукции и сырья</t>
  </si>
  <si>
    <t>В настоящем издании практически полностью охвачены темы курса лабораторно – практических занятий дисциплины «Инкубация сельскохозяйственной птицы» для студентов специальности «Технология производства продуктов животноводства». Пособие имеет целью закрепить и углубить знания, полученные на лекциях, привить обучающемуся практические навыки, освоить методики исследований и технологических расчетов в области инкубации сельскохозяйственной птицы.</t>
  </si>
  <si>
    <t>00010658</t>
  </si>
  <si>
    <t>Кайракбаев А. К, Айткалиев Г.С, Казагачев В.Н, Лекеров Е.Д.</t>
  </si>
  <si>
    <t>Финансовая математика 2 издание</t>
  </si>
  <si>
    <t>В рамках дисциплины «Финансовая математика» включена в состав цикла общих математических и естественнонаучных дисциплин. Целью изучения дисциплины является освоение студентами современных методов количественного финансового анализа и методик финансово-экономических расчетов, позволяющих анализировать, сравнивать и измерять эффективности различных финансово-кредитных и коммерческих операций. Пособие содержит теоретические сведения, примеры практического выполнения. Приводится пример выполнения и варианты контрольной работы. Предназначено для студентов младших курсов, обучающихся по специальностям «Учет и аудит», «Финансы», «Менеджмент», «Маркетинг», а также для самостоятельной подготовке по финансовой математике.</t>
  </si>
  <si>
    <t>00010659</t>
  </si>
  <si>
    <t>Шангытбаева Г.А., Жумагулова А.А., Казагачев В.Н.</t>
  </si>
  <si>
    <t>Білім берудегі цифрлық технологиялар</t>
  </si>
  <si>
    <t>0001066</t>
  </si>
  <si>
    <t>Байгулова Н.З. /Baigulova N.Z.</t>
  </si>
  <si>
    <t>Mathematics II</t>
  </si>
  <si>
    <t>Lectures /Лекции</t>
  </si>
  <si>
    <t>Lectures prepared in accordance with the requirements of the curriculum and program of the discipline “Mathematics II” and include all the necessary information. In lectures provides information of a theoretical nature, collected and illustrated by examples of methods for the solution, given a large additional material helps to better study this section of mathematical analysis.
 Lectures designated for students of specialty - 5B072600</t>
  </si>
  <si>
    <t>00010660</t>
  </si>
  <si>
    <t>Орынбасарова К.К.</t>
  </si>
  <si>
    <t>Дәрілік өсімдік шикізаттарын фармакогностикалық талдау</t>
  </si>
  <si>
    <t>фармакогнозия</t>
  </si>
  <si>
    <t>Медициналық жоғары оқу орындарының фармацевтикалық факультеттерінің студенттері мен колледж оқушыларына арналған оқу құралы ретінде ұсынылады. Оңтүстік Қазақстан медицина академиясының Ғылыми кеңес мүшелерінің шешімімен бекітіліп, баспаға ұсынылған.</t>
  </si>
  <si>
    <t>00010661</t>
  </si>
  <si>
    <t>Тоқсанбаева Ж.С., Серікбаева Т.С., Патсаева К.К.</t>
  </si>
  <si>
    <t>Фармакогнозия 1 том</t>
  </si>
  <si>
    <t>Ұсынылып отырған оқулық «Фармация» мамандығының колледж оқушыларына одан да басқа ЖОО-ның фармацевтикалық факультет студенттеріне, дәріхана қызметкерлеріне, дәрігерлерге, шикізат дайындаушаларға арналады. Бұл оқулықтың басқа оқулықтан айырмашылығы дәстүрлі фармакогнозияның сұрақтарымен қатар дәрілік өсімдік шикізат фармакологиялық ұстаным бойынша топтастырылған және алғаш рет өсімдік текті дәрілік заттар әсері, қолданылуы, жанама әсері, қарсы көрсеткіштері туралы мәліметтермен тікелей байланыста беріледі. Оқулық барлық оқу әдістемелік басылымдарға қойылатын талаптарға сай жазылған.</t>
  </si>
  <si>
    <t>00010662</t>
  </si>
  <si>
    <t>Фармакогнозия 2 том</t>
  </si>
  <si>
    <t>00010663</t>
  </si>
  <si>
    <t>978-601-330-868-5</t>
  </si>
  <si>
    <t>Иманғазинов С.Б. / Имангазинов С.Б.</t>
  </si>
  <si>
    <t>Аппендицит</t>
  </si>
  <si>
    <t>Хирургия</t>
  </si>
  <si>
    <t>Қазақ тілінде жазылған монография құрсақ қуысының жиі кездесетін сырқат түрі - аппендицитке арналған. Аппендициттің дамуы, клиникалық көріністері мен морфологиялық, емдеу-тактикалық ерекшеліктері мен тағы да басқа қырлары суреттеледі. Кітап хирург дәрігерлерге, студенттер, жас ғалымдар мен мамандарға арналып жазылған.</t>
  </si>
  <si>
    <t>00010664</t>
  </si>
  <si>
    <t>рус.</t>
  </si>
  <si>
    <t>Карбаев Н.К</t>
  </si>
  <si>
    <t>Проектирования оборудования для испытания материалов в машиностроении</t>
  </si>
  <si>
    <t>машиностроение</t>
  </si>
  <si>
    <t>Книга посвящена обсуждению роли и областей эффективного применения титановых сплавов в машиностроении, которая определяется экономическими и техническими соображениями. подробно анализируются структуры современных тита новых сплавов с высокой удельной прочностью, формируемые в ходе термомеханической обработки и металловедческие идеи, заложенные в их основу. описываются и анализируются современные стали, в первую очередь для самолетостроения и производства авиационных двигателей и технологии производства титановых сплавов с точки зрения формирования структуры и свойств. большое внимание уделено стадиям разработки материалов и технологий, методам исследования структуры, реализации идей и вопросам практического применения и освоения технологий. книга рассчитана на научных работников, специалистов и инженерно-технических работников металлургических предприятий, преподавателей вузов, может быть полезна инженерам-конструкторам и проектировщикам, а также студентам и магистрантам.</t>
  </si>
  <si>
    <t>00010665</t>
  </si>
  <si>
    <t>Ахметов К.А., Дильмағанбетова Б.М.</t>
  </si>
  <si>
    <t>Мәліметтерді талдау технологиясы</t>
  </si>
  <si>
    <t>Оқулықта іс жүзінде мәліметтерді талдауда жиі пайдалынатын қолданбалы математикалық статистикалық әдістер және оларды Excel электронды кестесінде қарапайым орындау тәсілдері, сонымен қатар аалынған нәтижелер арқылы өндірістік шешімдар қабылдау технологиялары қарастырылған. Мәліметтердіt статистикалық өңдеудің экономикалық, математикалық және компьютерлік қыр-сырлары сипатталған. Әрбір тақырып мәтіні мұқият талданған мысалдармен, сәйкес графиктермен толықтырылған. Қарастырып отырған мәліметтерді талдау әдістерін Excel көмегімен шешудің толық нұсқаулары келтірілген.Оқулық халық шаруашылығы салаларының барлық, оның ішінде техникалық, инженерлік, аграрлық, экономикалық бағыттағы мамандықтардың бакалаварларына, магистранттарына, PhD докторанттарына, жоғарғы оқу орындарының оқытушыларына және ғылыми жұмыспен айналысатын ізденушілерге арналған</t>
  </si>
  <si>
    <t>00010667</t>
  </si>
  <si>
    <t>Капышева Г.К.</t>
  </si>
  <si>
    <t>Изучение идиом разноструктурных языков</t>
  </si>
  <si>
    <t>филологиия</t>
  </si>
  <si>
    <t>Монография посвящена одной из наиболее репрезентативных регулярностей как внутри фразеологической системы одного языка, так и разных языков, а именно соотнесенности, соответствий фразеологических единиц, в частности, изучению национально-культурных особенностей фразеологических единиц в разноструктурных языках. Представлены теоретические методы анализа предполагающий сопоставительное изучение фразеологических систем с целью выявления сходства и различий.</t>
  </si>
  <si>
    <t>00010668</t>
  </si>
  <si>
    <t>Kapysheva G.K. (Капышева Г.К)</t>
  </si>
  <si>
    <t>Interlanguage equivalents of unrelated languages</t>
  </si>
  <si>
    <t>The monograph deals with issues related to the development of cognitive linguistics, comparative linguistics and the teaching of theoretical disciplines in a foreign language, which are necessary for future teachers in their professional activities. This monograph provides students with a scientific view of linguistics. The monograph is intended for students of the studying programs "Translation studies " and "Foreign language: two foreign languages" of the faculties of foreign languages./В монографии рассматриваются вопросы, связанные с развитием когнитивной лингвистики, сравнительного языкознания и преподаванием теоретических дисциплин на иностранном языке, которые необходимы будущим учителям в их профессиональной деятельности. Эта монография знакомит студентов с научным взглядом на лингвистику. Монография предназначена для студентов учебных программ "Переводоведение" и "Иностранный язык: два иностранных языка" факультетов иностранных языков.</t>
  </si>
  <si>
    <t>00010669</t>
  </si>
  <si>
    <t>Мажинов Б.М.</t>
  </si>
  <si>
    <t>Қазіргі кезде жоғары оқу орындарында мүгедек студенттерге білім берудің ұйымдастырушылық-педагогикалық шарттары</t>
  </si>
  <si>
    <t>Монографияда қазіргі кезде жоғары оқу орындарында мүгедек студенттерге білім берудің ұйымдастырушылық-педагогикалық шарттары қарастырылған. Сонымен қатар мүгедек студенттерді оқыту теориясы мен тәжірибесінің қазіргі жағдайы мен ЖОО-дағы оқу үдерісінде қолдау көрсету түрлері талданған. Монография мазмұнында жоғары оқу орындарында инклюзивті білім беруді ұйымдастырудың теориялық негіздері туралы құнды деректер берілген. Монография студенттерге, магистранттар мен докторанттарға, педагог ғалымдарға арналған.</t>
  </si>
  <si>
    <t>00010670</t>
  </si>
  <si>
    <t>Картаева А.М.</t>
  </si>
  <si>
    <t>Абайтану (2 издание, дополненое)</t>
  </si>
  <si>
    <t>Казах-ая лит-ра</t>
  </si>
  <si>
    <t>Оқу құралында Абайдың шығармашылық мұрасы мен ақындық дәстүрі қазіргі күн талабына сай жаңаша көзқараспен зерделенеді. Абай шығармашылығының қайнар көздері, ақын шығармаларындағы қазақ халқының тарихи шындығы мен қоғамдық болмысы, суреткерлік шеберлігі, эстетикалық дүниетанымы, адамгершілік мұраттары сөз болады. Абай дәстүрінің Алаш әдебиетіндегі жалғастығы, көркемдік сабақтастығы сараланады. Еңбек жоғары оқу орындарының оқытушы-ұстаздарына, студенттерге, магистранттарға, PhD докторанттарға және мектеп оқушылары мен мұғалімдеріне арналған</t>
  </si>
  <si>
    <t>00010671</t>
  </si>
  <si>
    <t>Сихымбаев А.Е.</t>
  </si>
  <si>
    <t>Материалы к дендрофлоре Западного Таниртау</t>
  </si>
  <si>
    <t>биология,экология,география</t>
  </si>
  <si>
    <t>В монографии на основе многолетних исследований дается конспект древесно-кустарниковых растений, история исследования,фитогеография Западного Таниртау и статистические характеристики дендрофлоры исследуемого региона.Издание рассчитана на биологов, экологов , географов.</t>
  </si>
  <si>
    <t>00010672</t>
  </si>
  <si>
    <t>Қазығұрт тауының флорасы</t>
  </si>
  <si>
    <t>флористика,экология ,биология,сельское хозяйство</t>
  </si>
  <si>
    <t>Қазығұрт – Батыс Тәңір тауы тау жүйелерінің ең батыс шеткі аймағына орналаса және Қызылқұм шөлімен түйісе отырып, өзіне тән флорасы мен өсімдіктер жабынымен ерекшеленетін аласа тау. Кітапта флораның сипаттамасы мен түрлердің өсу ортасы, географиясы, биоморфологиясы, ареалдық талдауы, cонымен қатар өсімдіктердің толық тізімі келтірілді. Сондай-ақ, алғаш рет Қазығұрт тауы флорасының конспектісі берілді. Еңбек флористерге, экологтарға, дендропарк, ұлттық сая-бақтар мен қорық қызметкерлеріне, орман шаруашылығы мамандарына, аспиранттар мен магистранттарға, қалың оқушы қауымға арналған</t>
  </si>
  <si>
    <t>00010673</t>
  </si>
  <si>
    <t>Сергеева А.М., Терещенко Т.А., Бердыгулова Г.Е.</t>
  </si>
  <si>
    <t>Әлeумeттiк, экoнoмикaлық жәнe caяcи гeoгpaфияғa кipicпe 1 том</t>
  </si>
  <si>
    <t>Әлeyмeттiк, экoнoмикaлық жәнe caяcи гeoгpaфияғa кipicпe» oқyлықта экoнoмикaлық жәнe әлeyмeттiк гeoгpaфияның әдicнaмaлық нeгiздepi, экoнoмикaлық жәнe әлeyмeттiк гeoгpaфиядaғы тeopиялap мeн iлiмдep, гeocaяcaт жәнe гeoэкoнoмикa нeгiздepi, жaңa экoнoмикaлық гeoгpaфия мәceлeлepi қapacтыpылғaн. Oқyлық гeoгpaфия білім бағдарламасы бойынша білім алатын cтyдeнттepгe, магистранттарға, oқытyшылapғa apнaлғaн</t>
  </si>
  <si>
    <t>00010674</t>
  </si>
  <si>
    <t>Әлeумeттiк, экoнoмикaлық жәнe caяcи гeoгpaфияғa кipicпe 2 том</t>
  </si>
  <si>
    <t>00010676</t>
  </si>
  <si>
    <t>978-601-330-476-2</t>
  </si>
  <si>
    <t>Бухарбаев М.А., Суюнбаева А.Ж., Казагачев В.Н.</t>
  </si>
  <si>
    <t>Самостоятельная подготовка переводу при дистанционном образовании</t>
  </si>
  <si>
    <t>Переводческое дело</t>
  </si>
  <si>
    <t>Настоящее учебное пособие предназначено для студентов, магистрантов и переводчиков-референтов, которые владеют английским языком на уровне (С1,С2). Прежде чем, приступить к отработке практических навыков устного перевода, студенты изучают теорию перевода. Студенты знакомятся с триадой перевода, видами и приемами устного перевода, а также с практическими аспектами подготовки к устному переводу и переводу вообще. Задания и упражнения содержат аутентичные материалы - журналы, газеты, профессиональные сайты переводчиков и международных организаций. Упражнения в пособие нацелены на развитие у будущих специалистов способности – быстрого переключения с одного языка на другой, находить синонимы, как на русском, так и на английском языке, использовать правила переводческой скорописи, работать с различными носителями информации, повышения культурного уровня, профессиональной компетенции; готовности к постоянному саморазвитию. Материал пособия представлен и на английском и русском языках,</t>
  </si>
  <si>
    <t>00010677</t>
  </si>
  <si>
    <t>Каниева Б.А, Казагачев В.Н.</t>
  </si>
  <si>
    <t>Основы электротехники 1 том</t>
  </si>
  <si>
    <t>Электротехника</t>
  </si>
  <si>
    <t>Курс «Основы электротехники» включает в себя изучение установившихся и переходных процессов в электрических и магнитных цепях, решение проблем электротехники, электротехнологии, передачи сигналов и информации, поэтому знания в этой области необходимы. Они позволяют специалисту в своей практической деятельности осознанно и более эффективно использовать знания по электротехнике и электронике. Курс «Основы электротехники» является примером синтеза физики и информатики, графических методов исследования и математики, поэтому курс играет также важную мировоззренческую роль в профессиональной подготовке бакалавров инженерных и естественно-научных специальностей вузов.</t>
  </si>
  <si>
    <t>00010678</t>
  </si>
  <si>
    <t>978-601-13-0279-1</t>
  </si>
  <si>
    <t>Основы электротехники 2 том</t>
  </si>
  <si>
    <t>00010679</t>
  </si>
  <si>
    <t>Шангытбаева Г.А, Казагачев В.Н, Бухарбаев М.А, Айткалиев Г.С.</t>
  </si>
  <si>
    <t>Профессиональная цифровая грамотность 2 издание 1 том</t>
  </si>
  <si>
    <t>Учебно-методическое пособие составлено в соответствии с программой дисциплины и предназначено для изучение цифровой грамотности, формирование у студентов необходимых знаний и умений в области цифровых технологий, позволяющих студентам успешно адаптироваться в новых экономических условиях, повысить уровень безопасного и эффективного использования цифровых технологий и онлайн-сервисов в различных сферах жизни.Для студентов специальностей B07111 - Автоматизация и управление, 5В011100 – Информатика, 6В06112 - "Вычислительная техника и програмное обеспечение", 6В06111 -"Информационные системы".</t>
  </si>
  <si>
    <t>0001068</t>
  </si>
  <si>
    <t>Байдабеков Ә.К.</t>
  </si>
  <si>
    <t>Инженерлік графика. Сандық проекциялар</t>
  </si>
  <si>
    <t>Книга предназначена для студентов по специальности живопись, изобразительное искуство и черчение, дизайн высшего учебного заведения и ученикам колледжа, преподавателям и учителям, а также для всех любителей изобразительного искусства.</t>
  </si>
  <si>
    <t>00010680</t>
  </si>
  <si>
    <t>Профессиональная цифровая грамотность 2 издание 2 том</t>
  </si>
  <si>
    <t>Учебно-методическое пособие составлено в соответствии с программой дисциплины и предназначено для изучение цифровой грамотности, формирование у студентов необходимых знаний и умений в области цифровых технологий, позволяющих студентам успешно адаптироваться в новых экономических условиях, повысить уровень безопасного и эффективного использования цифровых технологий и онлайн-сервисов в различных сферах жизни. Для студентов специальностей B07111 - Автоматизация и управление, 5В011100 – Информатика, 6В06112 - "Вычислительная техника и програмное обеспечение", 6В06111 -"Информационные системы".</t>
  </si>
  <si>
    <t>00010682</t>
  </si>
  <si>
    <t>Кайкен Ж.Б., Тойкин С.К, Кожагельдиев Б.К.</t>
  </si>
  <si>
    <t>Әлеуметтік –экономикалық бағдарлау</t>
  </si>
  <si>
    <t>Оқулық он төрт тараудан тұратын әлеуметтік-экономикалық бағдарлау мәселелерін қамтыған. Онда бағдарлаудың мақсаты, мәні, әрбір салаларда жобалаудағы қолданылатын әдістер, бағдаралудың қарайтын сұрақтары жіктелген. Қазақстанның дамуындағы 2030, 2020,2015 өзекті жерлері келтіріліп, қазіргі экономикалық жағдайы жазылған. Әрбір тараудың кейінгі көрсетілген сұрақтар тақырыптарды тәжірибе сабақтарында талқылауға ыңғайлы.Оқулық экономика мамандықтарындағы студент тер мен магистранттарға арналған.</t>
  </si>
  <si>
    <t>00010683</t>
  </si>
  <si>
    <t>Кайкен Ж.Б., Алимжанова А.М., Қожагелдиев Б.Қ.</t>
  </si>
  <si>
    <t>Бағаның туындауы</t>
  </si>
  <si>
    <t>Оқулықта баға туралы түсінік ,нарық экономика жағдайындағы Бағаның қызметтінің ерекшелгі,пайдаланылатын баға түрлері,Кәсіпорында бағаның туындауы,оны шығаруда қолданылатынНегізгі әдістер, оны үйренуге машықтандыратын есептенр,бағаАрқылы тұтынушыларды тартып,разы ету,әртүрлі жағдайлардыескеріп бағаны өзгерту,дамыған шет елдердің бағаны пайдаланудағы тәжірибелері жазылған.Оқулық экономикасаласындағы мамандықтарды алуға талпынған жоғарғы,арнайыкәсіптік орта оқу орындарның шәкірттеріне,магистранттарғаарналған.</t>
  </si>
  <si>
    <t>00010684</t>
  </si>
  <si>
    <t>Кайкен Ж.Б., Түсіпбеков Т.</t>
  </si>
  <si>
    <t>Экономиканы мемлекеттік реттеу</t>
  </si>
  <si>
    <t>Экономика, Финансы</t>
  </si>
  <si>
    <t>Оқу құралында экономикалық мемлекеттік реттеудің мәні, маңызы, мағнасы, қажеттілігі, оны туындайтын себептері түсіндіріледі. Одан кейінгі тарауларында экономиканы реттеудің басты жолдары: мемлекеттік қаржы, экономиканы бағдарлау, ақша – қарыз мәселелері, салық, баға, негізгі қорлардың жеделдетілген өтемін пайдалану сияқтылар жазылған. Оқулықтың құндылығы мемлекеттік, таза ана тілінде жазылғандылығында. Оқу құралы экономика саласында мамандар қажетілігін оқу орындарының студенттері мен экономиканы қазіқ тілінде игеруге талпынатын жас мамандарға, оқушыларға арналған.</t>
  </si>
  <si>
    <t>00010685</t>
  </si>
  <si>
    <t>Кайкен Ж.Б., Нуралина К.Т., Джандыбаева 3.С.</t>
  </si>
  <si>
    <t>АӨК кәсіпорындарының экономикальық талдауы</t>
  </si>
  <si>
    <t>экономика</t>
  </si>
  <si>
    <t>Окулыкта өндіріспен, кәсіпкерлікпен шұғылданушыларға зияннан пайдаға (түнектен жарыкқа) шығу жолдары меңзеледі</t>
  </si>
  <si>
    <t>00010686</t>
  </si>
  <si>
    <t>Кайкен Ж.Б Джандыбаев Т.М Тойкин С.Х Дюсембинова Ж.С.</t>
  </si>
  <si>
    <t>Агробизнестi ұйымдастыру</t>
  </si>
  <si>
    <t>Оқулықта ауыл кәсіпкерлігін ұйымдамстыу туралы ұғым, егін-мал шаруашылықтарында өндірісті жүргізу, нәтижесінқадағалап талдау, сиыр, қой, жылқы шаруашылықтарында кәсіптік жоспардың өнім өндіруге байланысты бөлімдерін шығару әдістері жазылған. Оқулық шаруа қожалығын ұйымдастыру мамандығын жоғары, орта кәсіптік білім алмақшы шәкірттерге, қожалық иелері мен мамандарына арналған.</t>
  </si>
  <si>
    <t>00010687</t>
  </si>
  <si>
    <t>Кайкен Ж. , Құрманбаев С.Қ.</t>
  </si>
  <si>
    <t>Ауылшаруашылығы өнімдерін өндіруді жоспарлау</t>
  </si>
  <si>
    <t>Ветеринария,</t>
  </si>
  <si>
    <t>Оқу құралында ауылшаруашылығының басты салалары астық өндіру, сиыр, қой, шошқа шаруашылықтарында өнім өндіруді жоспарлау әдістері түсіндіріліп , жоғарғы оқу орындарының экономика пәндерінің тәжірибе сабақтарын жүргізуде жоспарлауға байланысты есептердің шығару жолдары көрсетіледі . ақырғы тарауында қосымша салалардағы жоспарлау келтірілген . оқу құралы көмекші үсаздар , шәкірттер , экономиканы оз алдына игерушілерге арналган.</t>
  </si>
  <si>
    <t>00010688</t>
  </si>
  <si>
    <t>Мухаметов А.Е., Ербулекова М.Т.</t>
  </si>
  <si>
    <t>Майонезная продукция со сбалансированным жирно-кислотным составом</t>
  </si>
  <si>
    <t>Пищевая технология</t>
  </si>
  <si>
    <t>Данная монография является результатом научно-исследовательской работы, посвященной совершенствованию технологии получения майонезной продукции со сбалансированным жирно-кислотным составом с использованием сырьевой базы казахстанского происхождения. Предназначена для студентов, магистрантов, докторантов и преподавателей технологических вузов, научных работников, а также для специалистов системы жировых продуктов.</t>
  </si>
  <si>
    <t>00010689</t>
  </si>
  <si>
    <t>Мухаметов А.Е.</t>
  </si>
  <si>
    <t>Оксистабильные композиции растительных масел</t>
  </si>
  <si>
    <t>Данная монография является результатом научно-исследовательской работы, посвященной разработке технологии получения оксистабильной композиции со сбалансированным жирно-кислотным составом с использованием сырьевой базы казахстанского происхождения.Предназначена для студентов, магистрантов, докторантов и преподавателей технологических вузов, научных работников, а также для специалистов системы жировых продуктов.</t>
  </si>
  <si>
    <t>00010690</t>
  </si>
  <si>
    <t>Саидов А.М., Жангабылова Н.Д., Есеева Г.К.</t>
  </si>
  <si>
    <t>Өсімдік шаруашылығы өнімдерін өңдеу және сақтау</t>
  </si>
  <si>
    <t>Оқу құралы техникалық мамандықтар студенттеріне арналған; жоғары оқу орындарының студенттеріне өсімдік шаруашылығы өнімдерін өңдеу және сақтау пәні бойынша оқу сабақтарын өткізу барысында және өзіндік жұмысын ұйымдастыру кезінде ұсынылуы мүмкін.</t>
  </si>
  <si>
    <t>00010692</t>
  </si>
  <si>
    <t>Омарова К.М., Төлеубаев Б.Ә., Есеева Г.К., Омаров М.С.</t>
  </si>
  <si>
    <t>Тағамдық өнімдердің сапасын бағалауға қажетті қарапайым тәсілдер мен әдістер</t>
  </si>
  <si>
    <t>Бұл басылымда органолептикалық көрсеткіштердің негізгі ұғымдары берілген. Тағамдық өнімдердің дәмдік сапасын қарапайым жолмен анықтау мақсатындағы талдамадан өткізу тәртіптері, талаптары және ережелері берілген. Сонымен қатар, өнімдердің сапасын сипаттайтын әрі белгілейтін басты көрсеткіштері көрсетілген. Оқу құралында өнім сапасын бағалауға қажетті қарапайым тәсілдері мен әдістеріне баса назар аударылған.Жоғары оқу орындарының аграрлы өндіріс пен тамақ өндіру технологиялары мамандықтары бойынша оқитын студенттерге, PhD-докторанттарға, магистранттарға, ет, сүт және басқа да тағамдық өндірістердің мамандарына және осы саладағы колледж бен кәсіптік лицейлердің оқушыларына да пайдалы болары анық.</t>
  </si>
  <si>
    <t>00010693</t>
  </si>
  <si>
    <t>Есеева Г.К.</t>
  </si>
  <si>
    <t>Специальные технологии перерабатывающих производств</t>
  </si>
  <si>
    <t>Курс лекции</t>
  </si>
  <si>
    <t>Учебное пособие «Курс лекции «Специальные технологии перерабатывающих производств» предназначена для студентов ОП «Технология перерабатывающих производств». Учебное пособие является компонентом для выбора профилирующих дисциплин, объемом 5 кредитов. Данное пособие разработано в соответствии с современными знаниями в технологии перерабатывающих производств. Учебное пособие полезно при выполнении курсовых работ (проектов).</t>
  </si>
  <si>
    <t>00010694</t>
  </si>
  <si>
    <t>Калдарова М.Ж.</t>
  </si>
  <si>
    <t>Системное программирование</t>
  </si>
  <si>
    <t>Пособие представляет собой по системному программированию. После краткой характеристики основных элементов современных систем программирования: библиотек, языков программирования. Она посвящена вопросам разработки приложений с использованием интерфейса прикладного программирования операционных систем компании Microsoft (Windows XP, Windows 2000 Windows Server 2003). Учебное пособие предназначено для студентов старших курсов, специальностей: 5B070400 – «Вычислительная техника и программное обеспечение», аспирантов и программистов, специализирующихся в области разработки системного математического обеспечения и в смежных областях.</t>
  </si>
  <si>
    <t>00010695</t>
  </si>
  <si>
    <t>978-601-13-0321-7</t>
  </si>
  <si>
    <t>Мендыбаев С.А.</t>
  </si>
  <si>
    <t>Промышленная электроника</t>
  </si>
  <si>
    <t>Технический,инженрено техниченский</t>
  </si>
  <si>
    <t>Рассматриваются принцип действия, характеристики и параметры полупроводниковых приборов, схемы включения и особенности их применения в различных режимах работы. Излагаются принципы построения типовых аналоговых, импульсных и цифровых устройств, основанных на применении интегральных микросхем. Рассмотрены принцип действия, характеристики и параметры полупроводниковых вентильных преобразователей.Для студентов технических специальностей высших учебных заведений и может быть полезна инженерно – техническим работникам в их практической деятельности.</t>
  </si>
  <si>
    <t>00010696</t>
  </si>
  <si>
    <t>Ендік реттелетін ток- параметрлі электр түрлендіргіштер</t>
  </si>
  <si>
    <t>Энергетика</t>
  </si>
  <si>
    <t>Монографияда жүктеменің шығыс тогын кең ауқымда ендік әдістермен реттеуге мүмкіндік беретін табиғи ток сипаттамалары бар клапан түрлендіргіштері қарастырылған; монографияда қарастырылған ток түрлендіргіштері жоғары энергетикалық сипаттамаларға ие және іс жүзінде қуатты энергияны көп қажет ететін электротехнологиялық тұтынушыларды тамақтандыру үшін қолайлы.</t>
  </si>
  <si>
    <t>00010697</t>
  </si>
  <si>
    <t>Савельева В.В</t>
  </si>
  <si>
    <t>Профессиональная подготовка бакалавров к проектной деятельности в условиях университетского образования</t>
  </si>
  <si>
    <t>Технический, технологический гуманитарный и.тд</t>
  </si>
  <si>
    <t>Проектная деятельность – это целая дидактическая система, объединяющая целый ряд проектов, связанных едиными образовательными целями (предметными или межпредметными), содержательной близостью, определяемой направлением подготовки и образовательной программой, ориентацией на формируемые компетенции и результаты обучения. Проектная деятельность ориентирована на использование знаний, умений и навыков, полученных в ходе обучения, для постановки и решения практических задач, которые могут носить как академический, так и прикладной характер. Она позволяет студентам участвовать в создании конкретного результата и научиться работать в условиях ограниченного времени, под руководством реального заказчика, презентовать проект, работать в команде, а также обрести навыки профессиональной коммуникации с различными контрагентами. Проблемное поле научного исследования проработано в контексте выдвинутой проблемы в теоретическом, аналитическом и практическом аспектах, при этом исследовательский вектор концентрировался в трёх взаимосвязанных направлениях: становление и развитие проектной деятельности в образовании как историческо-педагогической реальности; особенностях научного обоснования в педагогической науке; внедрения в практике.</t>
  </si>
  <si>
    <t>00010698</t>
  </si>
  <si>
    <t>Туксаитова Р.О., Кукенова Г.А., Омарова Г.Т.</t>
  </si>
  <si>
    <t>Русский язык в 3-х частях</t>
  </si>
  <si>
    <t xml:space="preserve">Язык русский </t>
  </si>
  <si>
    <t>Учебное пособие составлено в соответствии с типовой программой по русскому языку цикла общеобразовательных дисциплин, утвержденной приказом МО от 31 октября 2018 года № 603 по направлениям бакалавриат. и содержит теоретические материалы, упражнения, тексты с лексико-грамматическими заданиями, контрольные вопросы для закрепления усвоенного материала.</t>
  </si>
  <si>
    <t>0001070</t>
  </si>
  <si>
    <t>Байдибекова А.</t>
  </si>
  <si>
    <t>Интерактивті тақтаны оқыту әдістемесі</t>
  </si>
  <si>
    <t>Оқу әдістемелік құралда оқу үрдісіне интерактивті технологияларды пайдалану, ACTIVboardты қолдану арқылы интерактивті оқытудың кешенді жүйесі, Техникалық және кәсіби білім беру мекемелерінің оқу үрдісінде оқытудың жаңа техникалық құралдарын пайдалану әдістері қарастырылған</t>
  </si>
  <si>
    <t>00010700</t>
  </si>
  <si>
    <t>Ильясов Ж.К., Торегожина А.К.</t>
  </si>
  <si>
    <t>6В02106 «Арт -менеджмент» мамандығының студенттері үшін дипломдық жобаны (жұмысты) жазу бойынша әдістемелік нұсқаулар</t>
  </si>
  <si>
    <t>Әдістемелік нұсқау</t>
  </si>
  <si>
    <t>Арт менеджмент</t>
  </si>
  <si>
    <t>6В02106 «Арт-менеджмент» бакалавриатының студенттері үшін дипломдық жобаны (жұмысты) жазуға арналған бұл әдістемелік нұсқаулар соңғы біліктілік жұмыстарын орындау үшін Қазақстан Республикасының Мемлекеттік жалпыға міндетті білім беру стандарты негізінде құрастырылған.</t>
  </si>
  <si>
    <t>00010701</t>
  </si>
  <si>
    <t>Копобаева А.Н.</t>
  </si>
  <si>
    <t>Қазақстан геологиясы және минералдық ресурстары</t>
  </si>
  <si>
    <t>Геология</t>
  </si>
  <si>
    <t>Оқырмандарға ұсынылып отырған оқу құралы «Геология және пайдалы қазба кенорындарын барлау» және «Пайдалы қазба кенорындарын іздеудің геофизикалық әдістері» білім беру бағдарламаларының (бакалавриат және магистратура) студенттеріне арналған. Бұл оқу құралында Қазақстан аумағына тиісті жер қыртысының геологиялық құрылысының ерекшеліктері және оның геологиялық даму тарихы жайлы мәліметтер келтірілген. Қазақстан Республикасына тиісті жер қыртысының жербедер ерекшеліктері, құрылымдық элементтерді аудандастыру принциптері мен олардың бір-біріне бағыныштылық дәрежесі көрсетіледі. Жер қыртысына тиесілі әртүрлі құрылымдық элементтерді қалыптастырудағы геотектоникалық процестердің шешуші рөлі баяндалған. Оқу құралының соңғы бөлімдерінде еліміздің басты минералдық ресурстарына сипаттама беріліп, олардың негізгі кенорындары жайлы мәліметтер келтіріледі.</t>
  </si>
  <si>
    <t>00010702</t>
  </si>
  <si>
    <t>Жусипбекова Ш.Е, Рыстыгулова В.Б., Алимбекова Г.Б.</t>
  </si>
  <si>
    <t>Электротехника және электроника негіздері</t>
  </si>
  <si>
    <t>Бұл оқу құралы медициналық жоғары оқу орындарының фармацевтикадағы өндіріс технологиясы мамандығы бойынша білім алатын қазақ бөлімі студенттеріне арналған. Оқу құралында студенттердің Электротехника және электроника негіздері пәнін меңгеру деңгейін тексеру үшін болашақ мамандықтарына қатысты теориялық және тесттік тапсырмалар берілген</t>
  </si>
  <si>
    <t>00010703</t>
  </si>
  <si>
    <t>Силыбаева Б.М., Рахимжанова А.М., Букабаева Ж.Т. , Байгазинов Ж. А.</t>
  </si>
  <si>
    <t>Өсімдіктер систематикасының практикумы</t>
  </si>
  <si>
    <t>Агро.Растен.,фарм,биология</t>
  </si>
  <si>
    <t>Оқу құралында төменгі және жоғары сатыдағы өсімдіктер систематикасының негізгі бөлімдері, кластары,қатарлары және тұқымдастары берілген. Жергілікті жердің флорасындағы төменгі және жоғары сатыдағы өсімдіктерді зертханалық сабақта қолдану әдістері көрсетілген. Бұл оқу құралы Қазақстан Республикасының білім және ғылым министрлігі бекіткен мемлекеттік стандартына сәйкес жазылған. Оқу құралы педагогикалық университеттердің биология мамандықтарының 5В011300 «Биология» және 6В01509 «Химия және биология» студенттеріне арналған.</t>
  </si>
  <si>
    <t>00010704</t>
  </si>
  <si>
    <t>Силыбаева Б.М.,Байғана Ж.К., Карипбаева Н.Ш., Полевик В.В.</t>
  </si>
  <si>
    <t>Жоғары сатыдағы өсімдіктер систематикасы 1 том</t>
  </si>
  <si>
    <t>Бұл оқу құралында Қазақстан Республикасының Білім және Ғылым министрлігі бекіткен типтік оқу бағдарламасына сәйкес жоғары өсімдіктер систематикасының жалпы бөлімдері толығымен қамтылған. Әрбір бөлімде өсімдіктердің систематикасы, құрылым ерекшеліктері, көбеюі мен дамуы, биологиясы, экологиясы, филогенезі жүйелі түрде берілген. Кітаптың соңында оқу құралында қолданған өсімдік атауларының қазақ, латын және орыс тілдеріндегі алфавиттік көрсеткіштері көрсетілген. Оқу құралы биолог мамандарға, медициналық, мал дәргерлік, зоотехникалық және агрономиялық жоғары оқу орындарының студенттеріне, магистранттарға, оқытушыларға арналған.</t>
  </si>
  <si>
    <t>00010706</t>
  </si>
  <si>
    <t>Зәкенов С.Т. (Закенов), Нұршаханова Л.Қ.</t>
  </si>
  <si>
    <t>Мұнай кен орындарын игеруді модельдеу</t>
  </si>
  <si>
    <t>нефти и газ</t>
  </si>
  <si>
    <t>Бұл оқулық мұнай кен орындарының модельдерін құруда қолданылатын негізгі принциптермен танысуға арналған. Онда осы процессті және оның ерекшеліктерін түсіну үшін қажетті модельдеудің негізгі негіздері бар.Бұл оқулықтың ұсынғандағы басты міндетіміз -геологиялық-технологиялық модель деген не, оның негізгі мәні неде, оны құрудың және тәжірибелік мақсаттарда, атап айтқанда көмірсутек шикізаты кен орындарын игеруді жобалау кезінде пайдаланудың негізгі ерекшеліктері қандай екенін түсінуге көмектесу. «Мұнай газ ісі» мамандығы бойынша Ш.Есенов атындағы технологиялар және инжиниринг университетінің академиялық кеңесімен басылымға ұсынылған.</t>
  </si>
  <si>
    <t>00010707</t>
  </si>
  <si>
    <t>Шаяхметов А.Б., Бедыч Т.В.</t>
  </si>
  <si>
    <t>Использование солнечной энергии и карбонового тепловыделяющего гибкого материала для обогрева мобильных помещений</t>
  </si>
  <si>
    <t>Электроэнергетика,электроснабжения</t>
  </si>
  <si>
    <t>В монографии рассмотрены вопросы значения микроклимата, локальные системы электроснабжения, перспективы развития альтернативных источников энергии в Казахстане, возобновляемые источники энергии, солнечные электростанции и особенности их применения в децентрализованном электроснабжении, исследования системы отопления с использование солнечной станции и обогревателя с карбоновым тепловыделяющим гибким материалом для обогрева мобильных помещений.</t>
  </si>
  <si>
    <t>00010708</t>
  </si>
  <si>
    <t>Ахметов Н.А.</t>
  </si>
  <si>
    <t>Үстел теннисі</t>
  </si>
  <si>
    <t>Физкультура, спорт</t>
  </si>
  <si>
    <t>Оқу-әдістемелік құралында күнделікті сабақта пайдаланылатын оқыту қағидалары мен сабақ өткізу әдістері, жарыстарды жоспарлау, жарыстың түрлері, жарысты өткізу ережелері мен жарыс кестесін құру жүйесі көрнекі тілмен түсіндірілген. Оқу-әдістемелік құралы дене тәрбиесі пәнінің мұғалімдерінің студенттерінің мен жаттықтырушылардың күнделікті сабақ және үйірме жұмысы барысында қолдануына ұсынылған.</t>
  </si>
  <si>
    <t>00010709</t>
  </si>
  <si>
    <t>Ахметов Н.Ә.</t>
  </si>
  <si>
    <t>Психологиялық реттеу және дене тәрбиесінің құралдары мен әдістері арқылы зиянды әдеттерге студенттердің жағымсыз көзқарасын тәрбиелеу</t>
  </si>
  <si>
    <t>Дене тәрбиесі және спорт» мамандығы бойынша білім алатын студенттерге арналған</t>
  </si>
  <si>
    <t>00010710</t>
  </si>
  <si>
    <t>ГалымжановаЗ.Т. Қабылдина А.Ж., Шойбасова Т.К. Сарбаева Г.Д.</t>
  </si>
  <si>
    <t>Бастауыш сыныптарда оқытудың жаңа технологияларын қолдану жолдары</t>
  </si>
  <si>
    <t>Оқу-әдістемелік нұсқаулық</t>
  </si>
  <si>
    <t>Аталған оқу-әдістемелік нұсқаулықта бастауыш сыныптардағы оқу-тәрбие үрдісінде жаңа педагогикалық технологияларды қолдану мүмкіндіктері қарастырылған. Оқу-әдістемелік құрал бастауыш сынып мұғалімдері мен студенттерге арналған.</t>
  </si>
  <si>
    <t>00010711</t>
  </si>
  <si>
    <t>Галымжанова З.Т. Болганбаева Ж.М</t>
  </si>
  <si>
    <t>Бастауыш сыныптарда ойын технологиясын қолдану</t>
  </si>
  <si>
    <t>Әдістемелік нұсқаулықта білім сапасын арттыруда оқытудың тиімді әдіс – тәсілдерін оқыту процесіне ендіру қарастырылады. Ойын арқылы оқушылардың танымдық қабілеттерін арттыру материалды қамтиды.Ойын түрін сабақта пайдалану арқылы жаңа материалды жеңіл де тиянақты, нақты түсіндіруге, меңгеруге жағдай жасалып, ол оқушының санасында берік сақталатын болады.</t>
  </si>
  <si>
    <t>00010712</t>
  </si>
  <si>
    <t>Алиева Г.С., Бапашева Р. Т.</t>
  </si>
  <si>
    <t>Оқушылардың жобалау әрекеттерін ұйымдастыру</t>
  </si>
  <si>
    <t>Ұсынылып отырған «Оқушылардың жобалау әрекеттерін ұйымдастыру» оқу-әдістемелік нұсқаулығы жоғары оқу орындарының педагогтар даярлайтын мамандықтар үшін өте қажетті. Оқу-әдістемелік нұсқаулық білім берудің жаңа парадигмасына сай педагогикалық білім берудегі негізгі бағыттардың бірі – болашақ педагогтың білім берушілік ролі өзгеруін теориялық және әдістемелік тұрғыдан қамтамасыз етуге бағытталған. Құзыреттілік нәтижелеріне бағытталған 12-жылдық білім беруге көшуге даярлық барысында педагогтардың жаңаша ойлау мен іс – әрекеттік дағдыларын қалыптастыру үшін оқытудың жаңа әдістерін игеру үлкен роль атқарады. Оқулықтың құрылымы, тақырыптары, теориялық мәселелері, ондағы негізгі ой – пікірлер жоғары оқу орындарында білім алып жатқан студенттерге және мектеп мұғалімдеріне арналған.</t>
  </si>
  <si>
    <t>00010713</t>
  </si>
  <si>
    <t>Жамалова С.А., Ақмұрза А.Қ., Алиева Г.С.</t>
  </si>
  <si>
    <t>Векторлық графика Inkscape</t>
  </si>
  <si>
    <t>Әдістемелік нұсқаулықта Inkscape векторлық редакторында векторлық графикамен жұмыстың негізгі принциптері туралы түсінік алуға мүмкіндік беретін теориялық және практикалық материалды қамтиды. Нұсқаулықта векторлық графиканың негізгі түсініктері берілген. Графикалық редактордың интерфейсі мен құралдарының қасиеттері мен сипаттамалары қарастырылады.</t>
  </si>
  <si>
    <t>00010714</t>
  </si>
  <si>
    <t>Абилхамитқызы Рысгүл</t>
  </si>
  <si>
    <t>Қазақ әдебиетін оқыту әдістемесі</t>
  </si>
  <si>
    <t>Казахский язык, казахская литература</t>
  </si>
  <si>
    <t>Оқулықтың теориялық және практикалық мазмұны Қазақстан Республикасының білім беру және тілдерді дамыту саласындағы мемлекеттік саясатының негізгі бағыттарына сәйкес. Әдебиетті оқытудың отандық дәстүрлі және жаңашыл озық әдістемесі негізінде оқыту деңгейін бүгінгі ғылым мен мәдениеттің даму үрдісіне жақындату, оқыту үрдісінде жаңа технологияларды орнықтыру, оқу-тәрбие үдерісін ізгілендірудегі басым бағыттарды меңгерту сынды пәнді оқытудағы ұтымды әдіс тәсілдер қарастырылды. 
 Оқулық жоғары және арнайы оқу орындарының қазақ тілі мен әдебиеті мамандығының бакалавр білім алушылары, магистранттары, докторанттары және әдебиет пәнінің оқытушылары мен мұғалімдеріне арналады.</t>
  </si>
  <si>
    <t>00010715</t>
  </si>
  <si>
    <t>Жумаев Ж., Жумаев К.Ж.</t>
  </si>
  <si>
    <t>Конвенционная подготовка судоводителей 1 том</t>
  </si>
  <si>
    <t>Морская техника, Судовождение</t>
  </si>
  <si>
    <t>Данное учебное пособие разработано в качестве учебного пособия по актуализированным типовым учебным планам и программам для системы высшего и морского профессионального образования по специальности 5В071500 – Морская техника и технология (Судовождение) с целью достижения результатов обучения по профессиональному модулю. Разработанное пособие является комплексным учебным материалом, основанным на многолетнем опыте преподавания и на тесном сотрудничестве с работодателями.В учебном издании подробно изложены организация производственно-экономической деятельности и подготовка судна к рейсу, включая управления судном и маневрирования, а также по оформлению судовой документации и преддипломной практики в соответствии с требованиями международной конвенций ПДМНВ-78/95 с Манильскими поправками с учетом 2010.Учебное пособие предназначено для специалистов и студентов морского образования по специализации «Судовождение». Квалификация: «Инженер - судоводитель».</t>
  </si>
  <si>
    <t>00010716</t>
  </si>
  <si>
    <t>Конвенционная подготовка судоводителей 2 том</t>
  </si>
  <si>
    <t>00010717</t>
  </si>
  <si>
    <t>978-601-13-0988-2</t>
  </si>
  <si>
    <t>Кемежүргізушілерді конвенциялық дайындау 1 том</t>
  </si>
  <si>
    <t>Осы оқу құралы кәсіптік модуль бойынша оқыту нәтижелеріне қол жеткізу мақсатында «Кемежүргізу» мамандығы бойынша оқу құралы ретінде әзірленді. Әзірленген оқу құралы көп жылдық оқыту тәжірибесіне және жұмыс берушілермен тығыз ынтымақтастыққа негізделген кешенді оқу материалы болып табылады.
 Оқу басылымында өндірістік-экономикалық қызметті ұйымдастыру және кемені басқару мен маневр жасауды қоса алғанда, кемені рейске дайындау, сондай-ақ 2010-шы Манила түзетулерін ескере отырып, ПДМНВ-78/95 халықаралық конвенцияларының талаптарына сәйкес кеме құжаттамасы мен диплом алдындағы практиканы ресімдеу туралы егжей-тегжейлі жазылған.Оқу құралы «Кемежүргізу» мамандығы бойынша жоғары білім беру студенттеріне арналған. Біліктілігі: Кеме жүргізуші-инженер.</t>
  </si>
  <si>
    <t>00010718</t>
  </si>
  <si>
    <t>Кемежүргізушілерді конвенциялық дайындау 2 том</t>
  </si>
  <si>
    <t>00010719</t>
  </si>
  <si>
    <t>Молдамурат Х.</t>
  </si>
  <si>
    <t>Радиоэлектрониканың және микросұлбаның техникалық негіздері</t>
  </si>
  <si>
    <t>Радиоэлектроника</t>
  </si>
  <si>
    <t>Радиоэлектрониканың негізгі бөлшектері, қағидалары, негізгітері мен қолдану орындары және архитектуралық ерекшеліктері берілген. Ғылым мен техниканың бір саласы радиоэлектрониканың және микросұлбаның техникасын зерттейтін мәселелары: шалаөткізгіш құрылғыларға, микросұлбаларға және тағы басқа да электроникалық құрылғыларға қатысты физикалық құбылыстар,шалаөткізгіш құрылғылардың, микросұлбалардың және тағы басқа электроникалық құрылғылардың сипаттамалары мен параметрлері, электрондық құрылғылар жүйесі мен құрылғылардың қасиеттері, радиобөлшектер мен наноэлектрониканың мәселелері қарастырылған. Микроэлектроника техниканың негізгі құрылымы мен ішкі сигналдардың алмасу мен ұйымдастыру жүйесі, микросұлбалардың түрлері және оның архитектурасы мен жұмыс істеу негізгітері қарастырылған. Шағын ғарыш аппараттарының борттық басқару жүйесіндегі рөлі мен қолдану аясындағы MSI, LSI, ULSI, VLSI құрылғыларындағы қолдану тәсілдері мен жұмыс істеу негізгітері мысалға берілген. Оқу құралының мазмұны білім саласына қатысты негізгі теориялар, микроэлектроника мен радиоэлектроникадағы техникалық және архитектуралардың түрлері мен негізгі ерекшеліктері, жұмыс істеу негізгітері, қолдану аясы, түсініктемелер мен терминдері берілген.</t>
  </si>
  <si>
    <t>00010721</t>
  </si>
  <si>
    <t>Табылдиева О.Д.</t>
  </si>
  <si>
    <t>ХХ ғасырдағы Маңғыстаудың даму тарихы</t>
  </si>
  <si>
    <t>Бұл монография қазіргі елдегі процестерді түсіндіруде өткен кезеңдегі этнодемографиялық процестерге объективті, нақты баға беруге, ХХ ғасырдағы Маңғыстау халқының өсіп-дамуындағы өзгерістерді, олардың бағыттары мен нәтижелерін жан-жақты талдап, жалпы заңдылықтары мен аймақтық ерекшеліктерін анықтауға арналған. Өлке халқының жалпы саны мен территориялық (қала мен ауыл, аудандар және т.б.) орналасуы, ХІХ ғ. соңы мен ХХІ ғ. басы аралығындағы Маңғыстау халқының жасы мен жыныстық құрамындағы өзгерістер, тарихи факторларға байланысты өлке халқының білім деңгейінің өсу бағыттары мен нәтижелері, өлке халқының табиғи өсуі, оның тұрғындардың саны мен құрамына әсері айтылады.</t>
  </si>
  <si>
    <t>00010722</t>
  </si>
  <si>
    <t>Куатбаева Т.К.</t>
  </si>
  <si>
    <t>Сәулет I 1 том</t>
  </si>
  <si>
    <t>Строительный</t>
  </si>
  <si>
    <t>Оқу құралынды. Сәулетшілік адамзат өнерінің ежелгі түріне жатады. Құрылыс саласы дамуының тарихи процесін талдай отырып, ғимараттардың шағын екендігіне, материал көп кетпейтініне көз жеткізуге болады. Қазіргі құрылыста көтеруші құрылым мен қоршаушы құрылымдарды саралау принципі орын алуда.Көтеруші құрылым ғимараттың кеңістіктік қаңқасын жасаса, жұқа қалқа түріндегі қоршаушы құрылымдар ішкі кеңістікті сыртқысынан бөліп тұрады. Құрылысқа жаңа құрылымдар енгізу, сәулет заңына негізделген дәстүрлі және қазіргі заманғы құрылымдық шешімдерді шебер ұштастыру құрылысшылар алдында тұрған халық шаруашылығының маңызды міндеттерін орындауға көмектеседі. 
 Оқулықта «Сәулет» дәрісінің бағдарламасымен қарастырылған барлық мәселелер мазмұндалған. Оқулық мазмұнын зерттеу және меңгеру әртүрлі жобалау және құрылыс ұйымдарында жобалау жұмысын іс жүзінде сәтті атқаруға мүмкіндік беретін негізгі кәсіби білім деңгейін қалыптастырады.</t>
  </si>
  <si>
    <t>00010723</t>
  </si>
  <si>
    <t>978-601-330-940-8</t>
  </si>
  <si>
    <t>Сәулет I 2 том</t>
  </si>
  <si>
    <t>00010724</t>
  </si>
  <si>
    <t>Ныгыманова Н.Т.</t>
  </si>
  <si>
    <t>Этнопедагогика</t>
  </si>
  <si>
    <t>Этнопедагогика оқу құралы – халықтық тәрбиені, оның үлгі-нұсқаларын зерделей келе, оны бүгінгі тәрбиенің өзекті мәселесін шешуде пайдаға асыруды мақсат етеді. Сондай-ақ аталмыш саланың қыр-сырын бағамдап, нақты тәжірибелер негізінде оның үлгі тұтарлық тұстарына сипаттама беруді көздейді.Оқу құралы жоғары оқу орындары Оқу құралының қолжазбасы (бірінші басылым) жоғары оқу орындарының педагогикалық 6В01205, 5В010100 – «Мектепке дейінгі оқыту және тәрбиелеу»; 6В01303, 5В010200 – «Бастауышта оқыту педагогикасы мен әдістемесі»; 6В01102, 5В010300 – «Педагогика және психология»; 6В01606, 5В011400 – «Тарих»; 6В01704, 5В011900 – «Шетел тілі: екі шетел тілі» білім беру бағдарламасында оқып жатқан студенттеріне, магистранттары мен докторанттарына, оқытушыларына, ғылыми қызметкерлерге, мектеп мұғалімдеріне арналған.</t>
  </si>
  <si>
    <t>00010725</t>
  </si>
  <si>
    <t>Нуршаханова Л.К., Закенов С.Т.</t>
  </si>
  <si>
    <t>Оценка давления насыщения нефтей в процессе разработки месторождения</t>
  </si>
  <si>
    <t>Нефтегазовое дело, инженерно технический</t>
  </si>
  <si>
    <t>В монографии приведены основные свойства нефтей нефтяных месторождений Мангистау, которые могут быть использованы как справочный материал, изложены результаты расчета физико-химических свойств по методике МИНХ и ГП им. И.М. Губкина, которые выполнены с целью изучения возможности использования этой методики для расчета измененных свойств нефти и разработана методика позволяющая по минимальной исходной информации рассчитывать свойства нефтей месторождения Узень, в том числе и давления насыщения.Также рассмотрены вопросы обоснования величин оптимального забойного давления относительно снижения забойных давлений ниже давления насыщения нефти. Для научных и инженерно-технических работников нефтегазовой промышленности, также для студентов и магистрантов обучающихся по специальности «Нефтегазовое дело».</t>
  </si>
  <si>
    <t>00010726</t>
  </si>
  <si>
    <t>Рахимжанов К.Х.</t>
  </si>
  <si>
    <t>Билингвальные контакты и их отражение в региональной художественной литературе: социолингвистический аспект (на основе творчества писателей Павлодарского Прииртышья)</t>
  </si>
  <si>
    <t>Лит-ра, Филология</t>
  </si>
  <si>
    <t>В монографии раскрывается социолингвистическая и психолингвистическая сущность билингвальных контактов в региональном аспекте, описывается их антропоцентрический характер, в деятельностно-функциональном плане рассматривается взаимодействие двуязычных индивидов, характеризуются письменные каналы контактирования русскоязычных и казахскоязычных носителей языка. Для студентов, магистрантов, докторантов, а также для всех, кто интересуется вопросами билингвизма, контактологии.</t>
  </si>
  <si>
    <t>00010727</t>
  </si>
  <si>
    <t>Тайторина Б.А. Байсалова Г.Т. Нурбаева Л.Б.</t>
  </si>
  <si>
    <t>Юридическая ответственность за нарушение таможенных правил по административному законодательству Республики Казахстан</t>
  </si>
  <si>
    <t>В учебном пособии рассмотрены проблемы института юридической ответственности за нарушение таможенных правил по административному законодательству Республики Казахстан, дана ее сущностная характеристика, обоснована специфика административной ответственности в системе юридической ответственности. На основе современных доктринальных источников и нормативно-правовых актов рассмотрены вопросы классификации административно-процессуальных правоотношений в теории правоотношений, проблемы применения норм законодательства об административных правонарушениях в сфере таможенного дела, тенденции развития административных процессуальных правоотношений в сфере административной ответственности за нарушение таможенных правил, административно-правовые проблемы реализации запретов и ограничений в сфере таможенного дела.Предназначено для студентов, магистрантов и преподавателей юридических факультетов вузов, специалистов в области права.</t>
  </si>
  <si>
    <t>00010728</t>
  </si>
  <si>
    <t>Озекбаева Н.А. ОрдабаеваА.А. Ергешбаева Р.А.</t>
  </si>
  <si>
    <t>Русский язык. Учебное пособие для студентов 1 курса казахского отделения колледжей, обучающиеся по специальности «Организация питания»</t>
  </si>
  <si>
    <t>Русский язык, Организация питания</t>
  </si>
  <si>
    <t>Данное учебное пособие предназначено для студентов первого курса групп с казахским языком обучения по специальности «Организация питания».Основная цель его – сформировать у студентов языковую и речевую базу для освоения ими языка будущей профессии. Задачей курса при обучении русскому языку является достижение необходимого и достаточного уровня коммуникативной компетенции для общения в социально-бытовой, социально-культурной, общественной и учебно-профессиональной сферах речевой коммуникации в период обучения в колледже.</t>
  </si>
  <si>
    <t>00010729</t>
  </si>
  <si>
    <t>978-601-330-921-7</t>
  </si>
  <si>
    <t>Русский язык. Учебное пособие для студентов 1 курса казахского отделения колледжей, обучающиеся по специальности «Швейное производство и моделирование одежды»</t>
  </si>
  <si>
    <t>Русский язык, Швейное производство</t>
  </si>
  <si>
    <t>Данное учебное пособие предназначено для студентов первого курса групп с казахским языком обучения по специальности «Швейное производство и моделирование одежды».Основная цель его – сформировать у студентов языковую и речевую базу для освоения ими языка будущей профессии. Задачей курса при обучении русскому языку является достижение необходимого и достаточного уровня коммуникативной компетенции для общения в социально-бытовой, социально-культурной, общественной и учебно-профессиональной сферах речевой коммуникации в период обучения в колледже.</t>
  </si>
  <si>
    <t>0001073</t>
  </si>
  <si>
    <t>Байдыбекова С.К.</t>
  </si>
  <si>
    <t>Бухгалтерлік есептің компьютеризациясы І-том</t>
  </si>
  <si>
    <t>Соңғы жылдары барлық қызмет түрлері аясында жаппай компьютерлендіру үдерісі жүріп жаттыр. Бұл үдеріс қаржы-экономикалық қызмет саласына да ене бастады.Компьютерлердің енгізілуімен байланысты кәсіпорындағы бухгалтерлік есепті автоматтандыру бойынша көптеген арнайы бағдарламалар пайда болды. Бухгалтерлік бағдарламалардың ең кең тараған түрі 1С-Кәсіпорын.1С- Кәсіпорын бағдарламасын үйрену мақсатында автор «Бухгалтерлік есепгің компьютеризациясы» атты оқулықты ұсынады. Оқулықта әртүрлі бухгалтерлік ақпараттық жүйелердің (Алтын, Лука-ПРО, ТСВ-Бухгалтерия және т.б.) қолданылуы мен мазмұндары ашып көрсетілген. Оқу құралында «1С- Кәсіпорын 8.2» бағдарламасына ерекше назар аударылған. Жалпы теориялық сұрақтармен қатар, оқу құралы «1С-Кәсіпорын 8.2» бағдарламасымен жұмыс жасау әдістерін де қарастырады. Оқу құралы «Есеп және аудит», «Қаржы», «Экономика», «Менеджмент» мамандықтарының студенттеріне, магистранттарға, оқытушыларға және тәжірибедегі бухгалтерлерге арналған</t>
  </si>
  <si>
    <t>00010730</t>
  </si>
  <si>
    <t>Сегизбаева А.С.</t>
  </si>
  <si>
    <t>Валеология</t>
  </si>
  <si>
    <t>В учебном пособии рассматриваются вопросы сохранения здоровья, так как это является актуальной проблемой на сегодняшний день. Даны основы знаний возникновения заболеваний и рекомендации по их профилактике. По окончании тем включены задания для самоконтроля, тесты и анкеты. Основная задача учебного пособия- ориентировать учащихся на здоровый образ жизни. Данное пособие предназначено в помощь для подготовки по предмету «Валеология» учащимися 1 курсов учебных заведений среднего профессионального образования.</t>
  </si>
  <si>
    <t>00010731</t>
  </si>
  <si>
    <t>Микробиология</t>
  </si>
  <si>
    <t>Агрономия,Технология перерабатывающих производств</t>
  </si>
  <si>
    <t>В учебном пособии дан обзор материала по темам, включенным в учебную программу специальности 1216000 «Элеваторное, мукомольное, крупяное и комбикормовое производство (по отраслям)». Пособие состоит из двух разделов общей и специальной микробиологии. В первом разделе рассматриваются морфология микроорганизмов, их культивирование, биохимические процессы, вызываемые микроорганизмами, а также основы санитарно-микробиологического контроля воздуха, воды, почвы, оборудования, дающие полное представление о возможностях контроля данных объектов с точки зрения их безопасности для здоровья населения. В разделе специальной микробиологии дано описание микрофлоры зерна, требования к качеству зерна, способы предотвращения заражения зерна. Для контроля усвоения каждой темы разработаны вопросы для самопроверки. Данное пособие представляет собой обобщенный материал по дисциплине «Микробиология» для обучающихся колледжей и является дополнительным источником к уже изданным трудам ученых, освещающих вопросы общей и специальной микробиологии. Материал, изложенный в пособии, может быть использован при подготовке дисциплины студентами специальностей 050801«Агрономия»,050728 «Технология перерабатывающих производств», учащимися колледжей и работниками сферы зерноперерабатывающих производств.</t>
  </si>
  <si>
    <t>00010732</t>
  </si>
  <si>
    <t>Баешов А., Баешова А.К.</t>
  </si>
  <si>
    <t>Қоршаған орта және таза су мәселелері</t>
  </si>
  <si>
    <t>Оқулықта экология ғылымының маңызды деректері мен концепциялары келтіріліп, биосферадағы тепе-теңдіктің бұзылу себептері, қоршаған ортаны ластаудың негізгі көздері және күннен күнге қордаланып отырған экологиялық мәселелерді шешу мен оларды алдын алу туралы мағлұматтар қорытындыланған. Ғылым мен техника жетістіктерінің экожүйеге тигізер теріс әсерлері және тірі организмдер-қоршаған орта қарым-қатынасының негізгі заңдылықтары туралы түсініктер қамтылған. Оқулықтың қазақ тіліндегі өзге басылымдардан өзгешелігі – баяндауы ықшам және қоршаған ортаны сақтау мәселелері тек биологиялық тұрғыдан ғана емес, ғылыми-техникалық процесс дәуіріндегі антропогенді іс-әрекеттердің биосфера компоненттеріне тигізер залалы туралы ұғымдар жүйелі инженерлік-экологиялық көзқарастар төңірегінде шоғырланған. Биосферадағы сулардың ластану көздері, және оларды тазалау әдістері көрсетілген. Бүгінгі күні бүкіл адамзат бетбұрыс алып отырған қоғамның тұрақты дамуы туралы мәліметтер келтірілген.Оқулық - «Экология», «Экология және табиғатты пайдалану», «Қолданбалы экология, «Қоршаған ортаны қорғау» және осы сала мамандықтарында оқитын студенттерге және жаратылыстану ғылымдары саласы бойынша мамандықтарды игеретін жоғарғы оқу орындарындағы тыңдаушыларға арналған.</t>
  </si>
  <si>
    <t>00010733</t>
  </si>
  <si>
    <t>Байсалова Г.Т. Тайторина Б.А. Тарап Ж.Д.</t>
  </si>
  <si>
    <t>Қазақстан Республикасындағы кеден ісінің құқықтық негіздері</t>
  </si>
  <si>
    <t>Юридичесий</t>
  </si>
  <si>
    <t>Ұсынылған оқу құралында Қазақстан Республикасындағы кеден ісінің (реттеудің) құқықтық мәнін көрсететін сызбалар жиынтығы берілген.Бакалавариат студенттеріне, магистранттарға, заң факультеттері мен жоғары оқу орындарының оқытушыларына, құқық қорғау органдары мен сот қызметкерлеріне, сондай-ақ кеден құқығының құқықтық проблемаларына қызығушылық танытқан тұлғалар шеңберіне арналған.</t>
  </si>
  <si>
    <t>00010734</t>
  </si>
  <si>
    <t>Тайторина Б.А., Байсалова Г.Т., Бейсенбаева М.Т.</t>
  </si>
  <si>
    <t>Энергетическое право Республики Казахстан</t>
  </si>
  <si>
    <t>Юридичесий, энергетика</t>
  </si>
  <si>
    <t>Настоящее учебное пособие предназначено для изучения как общетеоретических положений энергетического права, так и особенностей правового регулирования в отдельных отраслях энергетики Республики Казахстан. В соответствующих разделах учебного пособия рассматриваются общетеоретические вопросы энергетического права, в том числе вопросы о понятии, принципах энергетического права, источниках энергетического права; отдельные разделы посвящены вопросам государственного регулирования в сфере энергетики, различным правовым аспектам саморегулирования в сфере энергетики, особенностям договорного регулирования в сфере энергетики, характеристике правового регулирования общественных отношений в различных отраслях энергетики: газовой, нефтяной, угольной, в сфере электроэнергетики, теплоснабжения, в области использования атомной энергии. Материалы учебного пособия составлены с учетом динамики развития энергетического законодательства. Предназначено для студентов юридических, экономических, инженерных специальностей вузов, специалистов в области права, энергетики, экологии.</t>
  </si>
  <si>
    <t>00010735</t>
  </si>
  <si>
    <t>Баямирова Р.У.,Тогашева А.Р., Койшина А.И.</t>
  </si>
  <si>
    <t>Мұнайгаз құбырларының жабдықтары және машиналары</t>
  </si>
  <si>
    <t>Нефть, газ</t>
  </si>
  <si>
    <t>Оқу құралында мұнай және газдың физико- химиялық сипаттамалары көрсетілген, мұнай және газды тасымалдаудың әртүрлі қысқаша салыстырмалы түрлері, қондырғының көлемдік және гидродинамикалық өткізгіші, мұнайды сақтау үшін жабдықтары, негізгі және көмекші сорапты және компрессорлы станциялар жабдықтары туралы мәліметтер берілген.Оқу құралы мұнай ЖОО-на және колледждер студенттері, сонымен қатар мұнай өндірісінің инженерлі-техникалық қызметкерлері арасында қолданылуға арналған.</t>
  </si>
  <si>
    <t>00010736</t>
  </si>
  <si>
    <t>Каирова Н.И. Волосова Н.Ю. Сабитаева А.К.</t>
  </si>
  <si>
    <t>Смертная казнь в Японии: философско-правовой подход</t>
  </si>
  <si>
    <t>Монография посвящена проблеме смертной казни в Японии как вида уголовного наказания. В исследовании раскрываются философские и правовые подходы японского общества к пониманию смертной казни. Приведены исследования общественного мнения на данный вид наказания, дан анализ полученных результатов, вскрыты причины противоречивых результатов. Изучены нормы международного права, рекомендации ООН и Совета Европы Японии о необходимости введения моратория на применение смертной казни в качестве вида уголовного наказания и дальнейшей его отмене.Монография будет интересна студентам, преподавателям, а также всем, кто интересуется законодательством Японии и компаративистскими исследованиями.</t>
  </si>
  <si>
    <t>00010738</t>
  </si>
  <si>
    <t>Альжанова Р.М. Джаксылыкова А.К. Зотиков В.И. Кудрявцев В.А.
 Искаков М.А.</t>
  </si>
  <si>
    <t>Физиология растений 1 том</t>
  </si>
  <si>
    <t>Рассмотрено и рекомендовано к изданию Департаментом высшего и послевузовского образования МОН РК, протокол №3-2-1/526 от 13.07.2005 года, в качестве учебника для студентов сельскохозяйственных специальностей высших учебных заведений. Материал изложен с учетом зональных особенностей северных районов Республики Казахстан.
 Учебник предназначен для студентов, магистрантов, научных сотрудников.</t>
  </si>
  <si>
    <t>00010739</t>
  </si>
  <si>
    <t>Альжанова Р.М. Джаксылыкова А.К. Зотиков В.И. Кудрявцев В.А. Искаков М.А.</t>
  </si>
  <si>
    <t>Физиология растений 2 том</t>
  </si>
  <si>
    <t>0001074</t>
  </si>
  <si>
    <t>Бухгалтерлік есептің компьютеризациясы 2-том</t>
  </si>
  <si>
    <t>00010740</t>
  </si>
  <si>
    <t>Тойкин С.Қ., Сұлтанов Ө.С.</t>
  </si>
  <si>
    <t>Ауыл шаруашылығы экономикасы және менеджменты 1 том</t>
  </si>
  <si>
    <t>Экономика,Ветеринария,Сельскохоз</t>
  </si>
  <si>
    <t>Қазақстанның ауыл шаруашылығы кешені жүйесіндегі ауыл шаруашылығы саласында экономиканың, нарықтың және басқарудың өзекті мәселелері қарастырылған. Нарық жағдайында аграрлық сектордағы субъектілер арасында ауыл шаруашылығы өнімдерін сатып алу және өткізу бойынша шаруашылық байланыстардың экономикалық ерекшеліктері көрсетілген.«Экономика», «Мал шаруашылығы өнімдерін өндірудің технологиясы», «Мемлекеттік және жергілікті басқару», «Ветеринария» мамандықтарының студенттеріне, магистранттарға, жоғарғы оқу және арнайы орта білім беру орындарының оқытушыларына, кадрлардың біліктілігін жоғарылату және қайта даярлау жүйесінің тыңдаушыларына арналған.</t>
  </si>
  <si>
    <t>00010741</t>
  </si>
  <si>
    <t>Ауыл шаруашылығы экономикасы және менеджменты 2 том</t>
  </si>
  <si>
    <t>Қазақстанның ауыл шаруашылығы кешені жүйесіндегі ауыл шаруашылығы саласында экономиканың, нарықтың және басқарудың өзекті мәселелері қарастырылған. Нарық жағдайында аграрлық сектордағы субъектілер арасында ауыл шаруашылығы өнімдерін сатып алу және өткізу бойынша шаруашылық байланыстардың экономикалық ерекшеліктері көрсетілген. «Экономика», «Мал шаруашылығы өнімдерін өндірудің технологиясы», «Мемлекеттік және жергілікті басқару», «Ветеринария» мамандықтарының студенттеріне, магистранттарға, жоғарғы оқу және арнайы орта білім беру орындарының оқытушыларына, кадрлардың біліктілігін жоғарылату және қайта даярлау жүйесінің тыңдаушыларына арналған.</t>
  </si>
  <si>
    <t>00010742</t>
  </si>
  <si>
    <t>Акошева М.К.</t>
  </si>
  <si>
    <t>Интеpпpетация и понимание в теоpии pечевой коммуникации</t>
  </si>
  <si>
    <t>В моногpафии pассматpиваются пpоблемы интеpпpетации и понимания в совpеменной теоpии pечевой коммуникации. Детальному анализу подвеpгаются pечевые акты с точки зpения семантики, пpагматических оттенков содеpжания, языковых сpедств выpажения и коммуникативных контекстов употpебления, pассматpиваются вопpосы субъекта в языковом выpажении, понимания смыслообpазования как пpоцесса, соотношения понимания и интеpпpетации в межличностной коммуникации. Для студентов, магистpантов, доктоpантов, а также для всех, кто интеpесуется вопpосами межличностной коммуникации, интеpпpетации и понимания.</t>
  </si>
  <si>
    <t>00010743</t>
  </si>
  <si>
    <t>Baibatsha A.B. / Байбатша Ә.Б.</t>
  </si>
  <si>
    <t>General and historical geology</t>
  </si>
  <si>
    <t>геологи, геофизики</t>
  </si>
  <si>
    <t>Provides general geological information for educating specialists of gen-eral geological specialization (geologists, geophysicists, hydrogeologists, seis-mologists, geoecologists), and technical specializations (drillers, technologists, mechanics, design engineers, builders), i.е., specialists in the research and ex-ploration of mineral resources. On the other hand, there is much to learn from the study of the historical geology.For students specializing in "Geology and exploration of mineral depos-its".
 Предоставляет общую геологическую информацию для обучения специалистов общей геологической специализации (геологи, геофизики, гидрогеологи, сейсмологи, геоэкологи) и технических специальностей (бурильщики, технологи, механики, инженеры-конструкторы, строители), т.е. исследование и разведка полезных ископаемых. С другой стороны, изучение исторической геологии может многому научиться.Для студентов специальности «Геология и разведка месторождений полезных ископаемых».</t>
  </si>
  <si>
    <t>00010744</t>
  </si>
  <si>
    <t>Еруланова А.Е.</t>
  </si>
  <si>
    <t>Автоматизация процесса дозирования сыпучих материалов в кондитерской промышленности</t>
  </si>
  <si>
    <t>Пищевая инженерия,Автоматизация и управление</t>
  </si>
  <si>
    <t>В монографии приведены основные идеи и методы синтеза систем управления в пространстве состояний на примере систем дозирования сыпучих материалов. в кондитерской промышленности. Выявлены основные закономерности процесса дозирования, которые позволяют составить физическое и математическое описание объекта. Пояснены особенность и необходимость разных методов описания систем управления в пространстве состояний. Монография предназначена для студентов специальности «Автоматизация и управление», может быть рекомендована для студентов в учебную программу которых входят дисциплины, связанные с автоматикой и автоматизацией.</t>
  </si>
  <si>
    <t>00010745</t>
  </si>
  <si>
    <t>Арынбаева Р.А.,Арынбаева Р.А.</t>
  </si>
  <si>
    <t>М.Әуезов - қазақ әдебиетінің тарихын</t>
  </si>
  <si>
    <t>Казахская литература</t>
  </si>
  <si>
    <t>М.Әуезовтің 125жылдық мерейтойы қарсаңында осы монография баспадан жарық көрмек. Заманымыздың заңғар биік жазушысы М.Әуезовтің қаламынан жарық көрген еңбектерінің әдебиет тарихын зерттеуде алатын орны ерекше. Алғаш әдебиет тарихын зерттеуге негіз болған еңбегінің бірі - "Әдебиет тарихы" атты зерттеу. Монографияның өн бойында бұл қызғылықты еңбегі терең талданады. Бұл еңбек жоғары оқу орындарында және магистратурада Мұхтартану пәнін оқитын білім алушыларға арналады.</t>
  </si>
  <si>
    <t>00010746</t>
  </si>
  <si>
    <t>978-601-330-347-5</t>
  </si>
  <si>
    <t>Шораев Б.А, Аскарова Э.Т., Муканов А.А.</t>
  </si>
  <si>
    <t>Лекционный комплекс 
 по дисциплине «Деньги кредит банки»</t>
  </si>
  <si>
    <t>Дисциплина "Деньги. Кредит. Банки" является теоретическим курсом, рассчитано на студентов, успешно освоивших базовые общие гуманитарные и социально-экономические дисциплины (макроэкономика статистика, теория бухгалтерского учета и теория экономического макроэкономическое планирование и прогнозирование, менеджмент, мировая экономика и международные экономические отношения, экономика организаций)в процессе обучения студентов бакалавров по направлению: 080100 ЭКОНОМИКА, ФИНАНСЫ.</t>
  </si>
  <si>
    <t>00010747</t>
  </si>
  <si>
    <t>Физиологические и продуктивные особенности свиноматок, родившихся с разной степенью физиологической зрелости</t>
  </si>
  <si>
    <t>Ветеринарная медицина,Ветеринарная</t>
  </si>
  <si>
    <t>В учебном пособии рассмотрена совокупность знаний по физиологическим и продуктивным особенностям свинок, родившихся с разной степенью физиологической зрелости в связи с их возрастом, впервые дана их сравнительная характеристика обменных процессов, роста и продуктивных качеств и определена эффективность использования их для воспроизводства поросят. Учебное пособие можно использовать в качестве дополнительного учебно-методического материала для более глубокого изучения физиологических особенностей свинок, родившихся с разной степенью физиологической зрелости. Учебное пособие предназначено для самостоятельной работы в приобретении знаний физиологии животных по сельскохозяйственным специальностям: 050801 Зоотехния; 5В080200 Технология производства продуктов животноводства; 5В072700 Технология продовольственных продуктов, 5В0120100 «Ветеринарная медицина»; 5В120200 «Ветеринарная санитария», а также для специалистов в области свиноводства, зоотехников племенных и товарных хозяйств.</t>
  </si>
  <si>
    <t>00010748</t>
  </si>
  <si>
    <t>Хозяйственно-биологические особенности основных видов сельскохозяйственных животных</t>
  </si>
  <si>
    <t>В монографии дается подробная характеристика хозяйственных и биологических особенностей основных видов сельскохозяйственных животных. Книга предназначена для студентов, слушателей курсов повышения квалификации, технологов по производству и переработке продукции, зооинженеров, ветеринаров, физиологов.</t>
  </si>
  <si>
    <t>00010749</t>
  </si>
  <si>
    <t>Джумабаев.А.Ш.</t>
  </si>
  <si>
    <t>Домбыра бас аспабына арналған оқу құралы</t>
  </si>
  <si>
    <t>Искусство, музыка</t>
  </si>
  <si>
    <t>Құрманғазы атындағы Қазақ ұлттық консерваториясының ұстазы Ә.Жұмабаевтың «Домбыра бас аспабына арналған оқу құралы» еңбегін алғаш рет ұсынып отыр. Бұл жинақ музыка мектеп ұстаздарына, орта және жоғарғы музыкалық оқу орындарына «Мамандық», «Аспаптандыру», «Методика», «Нота оқу және оркестрлік қиындықтарды игеру», «Оркестр», «Ансамбль» т.б. пәндерге қолдануға болады. Бұл оқу құралы бас домбыра аспабында ойнап жүрген мамандардың көңілінен шығар құнды еңбек болатынына талас туғыбайды.</t>
  </si>
  <si>
    <t>0001075</t>
  </si>
  <si>
    <t>Бухгалтерский учет в соответствии с МСФО 2-том</t>
  </si>
  <si>
    <t>В условиях рыночной экономики в процессе образования предприятий различных форм собственности управление предприятием, контроль за его работой, анализ хозяйственной деятельности предприятий являются основой для принятия администрацией оперативных решений. Последовательная интеграция Республики Казахстан в мировое экономическое сообщество, широкая возможность предприятий и фирм осуществлять внешнеэкономическую деятельность делает необходимой прозрачность национальной системы учета и отчетности.В условиях глобализации экономики все большее значение приобретает необходимость обеспечения конкурентоспособности стран СНГ. При этом одним из условий обеспечения конкурентоспособности и транспарентности экономики является соответствие системы бухгалтерского учета, финансовой отчетности и контроля международным стандартам.Для решения принципиальных задач по развитию рыночных механизмов управления экономикой первоочередное место занимает реформирование системы бухгалтерского учета и отчетности. Необходимость теоретических исследований в области бухгалтерского учета и аудита определяется в условиях развития рыночных отношений новыми требованиями, предъявляемыми к оценке объектов учета, к организации бухгалтерского учета и отчетности на принципах международных стандартов финансовой отчетности.Учебное пособие «Бухгалтерский учет в соответствии с МСФО» предназначено для студентов, магистрантов специальности «Учет и аудит», «Финансы», студентов экономических специальностей, преподавателей, практикующих бухгалтеров</t>
  </si>
  <si>
    <t>00010750</t>
  </si>
  <si>
    <t>Калиакбарова Л.Т. Юсупова А.А.</t>
  </si>
  <si>
    <t>Пути развития менеджмента в музыкальном образовании</t>
  </si>
  <si>
    <t>Искусство музыка,арт менеджер</t>
  </si>
  <si>
    <t>Монография "Пути развития менеджмента в музыкальном образовании" посвящена особенностям управления учебным процессом в творческих вузах. Авторами впервые проведено комплексное многоплановое исследование современного состояния и тенденций управления учебным процессом, развития стратегии интернационализации творческого вуза в контексте реформирования казахстанского высшего специализированного музыкального образования в концепте Болонской декларации на примере Казахской национальной консерватории имени Курмангазы. Издание адресовано руководителям структурных подразделений вузов искусства, будущим арт-менеджерам, педагогам-музыкантам, а также широкому кругу читателей, интересующихся проблемами музыкального образования.</t>
  </si>
  <si>
    <t>00010751</t>
  </si>
  <si>
    <t>Сакиева З.Ж., Буралхиев Б.А., Жолмырзаева Р.Н., Боранбаева Т.К. Мамаева Л.А</t>
  </si>
  <si>
    <t>Ауылшаруашылық өнімдерінің
 логистика және қауіпсіздігі</t>
  </si>
  <si>
    <t>Пищевая безопасность, ветеринария</t>
  </si>
  <si>
    <t>Бұл оқулық азық-түлік өнімдерінің қауіпсізідігі және логистикасы туралы. Мал өнімдерінің және олардың қауіпсізідігін қамтамасыз етеді, тасымалдау жолдарында оның заманауи қызметі жайлы, әлемдік барлық тәжірибеге сүйене отырып жазылған еңбегі туралы мәліметтер тіркелген.Қазіргі заманауи әдістерді қолдана отырып тасымалдау және оның қауіпсіздігін қамтамасыз ету жолдары қарастырылған. Азық- түлік өнімдерінің әлемнің кезкелген бұрышынан ұзақ және жақын арақашықтықтарға автокөліктермен, пойыздармен, су және әуе жолдары арқылы тасымалдау жолдары туралы мәлімет қамтылған. Азық- түлік өнімдерін тасымалдау саласында мал дәрігерлері, заңгерлер жүк тасымалдауға маманданған түрлі сала қызметкерлері еңбек етеді. Аталған оқу құралы негізінен азық- түлік өнімдерін тасымалдау және қауіпсіздігін қамтамасыз ету Қазақстан Республткасындағы шаруашылықпен айналысатын мамандар үшін аса қажетті оқу құралы. Қазақ тілінде жарық көріп отырған бұл оқу құралы жоғары оқу орындарының студенттеріне, магистранттарына, РhD докторанттарға және ізденушілерге арналады.</t>
  </si>
  <si>
    <t>00010752</t>
  </si>
  <si>
    <t>Дунаев П.А.</t>
  </si>
  <si>
    <t>Методы оценки качества цифрового телевизионного изображения и пропускной способности в мультисервисных IP-сетях</t>
  </si>
  <si>
    <t>Для студентов ВУЗов и специалистов, занимающихся разработкой, проектированием и эксплуатацией мультисервисных IP-сетей.</t>
  </si>
  <si>
    <t>00010753</t>
  </si>
  <si>
    <t>Қасымбекова Д.А. (Касымбекова)</t>
  </si>
  <si>
    <t>Компьютерлік химия практикумы</t>
  </si>
  <si>
    <t>Химия, Информационные технологий</t>
  </si>
  <si>
    <t>Берілген оқу құралы екі бөлімнен тұрады. Бірінші бөлімінде компьютерлік технологиялардың даму тарихы мен негізгі теориялық ережелері және телекоммуникациялық, желілік, мультимедиялық технологиялар сияқты негізгі ақпараттық технологиялар туралы дәрістер берілген. Оқу құралында мәтіндік электрондық мәліметтер базасында химиялық ақпараттық іздеу принциптері қарастырылған. Мета-іздеу жүйелерімен және тақырыптық каталогтармен жұмыс істеу әдістемесі бойынша ұсыныстар берілді. Оқу құралының екінші бөлімінде HyperChem пакетін кванттық химиялық есептеу мүмкіндіктері көрсетілген. HyperChem бағдарламасында зертханалық жұмыстарды орындау үшін нұсқаулар мен тапсырмалар берілген. Әдістемелік құралда қарастырылған барлық мәліметтер мен тапсырмалар "Компьютерлік технология оқу үрдісінде", "Компьютерлік химия"курсы бойынша химиялық мамандықтарға арналған бағдарламаға сәйкес әзірленген. Оқу-әдістемелік құрал Жоғары оқу орындарының студенттері мен магистранттарына, оқытушыларға арналған.</t>
  </si>
  <si>
    <t>00010754</t>
  </si>
  <si>
    <t>978-601-330-320-8</t>
  </si>
  <si>
    <t>Практикум по компьютерной химии</t>
  </si>
  <si>
    <t>В первой части данного пособия рассматриваются история развития и основные теоретические положения компьютерных технологий, приводятся лекции о базовых информационных технологиях, таких как телекоммуникационные, сетевые, мультимедийные технологии. В учебном пособии рассматриваются принципы проведения химического информационного поиска в текстовой электронной базе данных. Даны рекомендации по методике работы с Мета-поисковыми системами и тематическими каталогами. Во второй части пособия изложены возможности квантово-химических вычислений пакета HyperChem. В программе HyperChem даны методические указания и задания по выполнению лабораторных работ. Все вопросы и задания, рассмотренные в методическом пособии, разработаны в соответствии с программой для химических специальностей по курсу «компьютерная технология в учебном процессе», «компьютерная химия». Учебно-методическое пособие предназначено для студентов и преподавателей магистрантов высших учебных заведений</t>
  </si>
  <si>
    <t>00010755</t>
  </si>
  <si>
    <t>Жумагулова Б.С. Байшукурова Г.Ж.</t>
  </si>
  <si>
    <t>Русский язык: научный стиль. Уровень С1 1 часть</t>
  </si>
  <si>
    <t>Язык русский</t>
  </si>
  <si>
    <t>Настоящее учебное пособие построено с учетом требований подготовки специалистов в условиях кредитной системы и соответствует типовой программе. Авторы делают упор на работу с научными текстами по специальности на русском языке: выделять основную информацию, создавать компрессию текста и уметь четко передавать содержание текста в краткой форме. Кроме того, рассматривается структурно-смысловой анализ учебно-научного текста по специальности «6В02301 Филология» и определяется его алгоритм.</t>
  </si>
  <si>
    <t>00010756</t>
  </si>
  <si>
    <t>Русский язык: научный стиль. Уровень С1 2 часть</t>
  </si>
  <si>
    <t>Настоящее учебное пособие построено с учетом требований подготовки специалистов в условиях кредитной системы и соответствует типовой программе. Материал учебного пособия включает тексты и задания к ним, направленные на развитие навыков устной и письменной речи студентов. Последовательно проводится подача необходимых теоретических сведений. Задания и тексты могут найти применение в процессе самостоятельной работы студентов. Пособие может быть использовано в качестве вспомогательного материала при обучении русскому языку в рамках полиязычного образования, также по курсу практического русского языка, в практике преподавания русского языка в казахской и иностранной аудитории. Предназначено для студентов казахских групп специальности «6В02301 Филология», может использоваться в работе с иностранными учащимися.</t>
  </si>
  <si>
    <t>00010757</t>
  </si>
  <si>
    <t>Калижанова А.У.</t>
  </si>
  <si>
    <t>Системы интеррогации сигналов с оптоволоконным рефрактометром с использованием телекоммуникационных сетей</t>
  </si>
  <si>
    <t>Радиотехника, электроника и телекоммуникации, Информационные системы</t>
  </si>
  <si>
    <t>Монография представляет собой результаты исследования по созданию системы интеррогации сигналов с оптоволоконным рефрактометром на основе волоконных решеток Брэгга. Монография посвящена изучению методов и разработке новых технологий для измерения коэффициента преломления среды. В работе предложены новые технологии измерения коэффициента преломления среды, разработка системы интеррогации сигналов, которая позволит делать измерения независимо от влияния внешней температуры и электромагнитного поля на месте измерения, что будет достигнуто за счет того, что решетки Брэгга будут записываться на одном и том же оптическом волокне. Экспериментальные исследования проводились в лабораториях Оптоэлектроники факультета электротехники и компьютерных наук Люблинского технического университета в рамках проекта ГФ №AP05132778 «Исследование и разработка системы интеррогации сигналов с оптоволоконным рефрактометром с использованием телекоммуникационных сетей» ИИВТ КН МОН РК.Монография предназначена для студентов бакалавриата, магистрантов и PhD докторантов технических специальностей высших учебных заведений, обучающихся по специальностям: «Математическое и компьютерное моделирование», «Радиотехника, электроника и телекоммуникации», «Автоматизация и управление», «Вычислительная техника и программное обеспечение», «Информационные системы», «Интернет вещей», «Компьютерная инженерия», а также для лиц, самостоятельно занимающихся данной проблематикой.</t>
  </si>
  <si>
    <t>00010758</t>
  </si>
  <si>
    <t>Масенов Қ.Б. , Ботабекова Г.Т.</t>
  </si>
  <si>
    <t>Өнеркәсіптік экология</t>
  </si>
  <si>
    <t>Оқу құралында адамның табиғи жүйелермен қарым-қатынасы, ғылыми-техникалық прогрестің даму жолдары, табиғи жүйенің қорлары және оларды пайдалану, табиғи ортаның сапасы, қоршаған ортаның ластануының экологиялық зардаптары, қоршаған ортаның ластаушылары, қоршаған ортаға тигізетін өнеркәсіптік өндірістің қауіпті әсерлерін төмендету деңгейі, мемлекеттің экологиялық саясатының негізгі принциптері қарастырылған.Оқу құралы 5В060800 – Экология мамандығының студенттеріне арналған.</t>
  </si>
  <si>
    <t>00010759</t>
  </si>
  <si>
    <t>Жапарова С.Б., Ботабекова Г.Т.</t>
  </si>
  <si>
    <t>Өсімдіктер және жануарлар экологиясы</t>
  </si>
  <si>
    <t>Оқу құралында өсімдіктер және жануарлар туралы ғылымның дамуы, түрдің қоршаған орта факторларына қатысы, ағзалардың тіршілік формалары, негізгі тіршілік орталары және оларға сипаттама, өсімдіктерді және жануарларды зерттеу әдістері, түрлер және оладың таралу аймағы. Биоценоз, өсімдіктерді жіктеу (синтаксономия), түрлердің экологиялық фитоценотикалық стратегиясы, биогеоценоз динамикасы: флуктуация және сукцессия, флора және өсімдіктерді қорғау, жануарлар әлемі және оларды қорғау, биологиялық әртүрлікті қорғауға бағытталған негізгі шаралар қарастырылған. Оқу құралы 5В060800 – Экология мамандығының студенттеріне арналған.</t>
  </si>
  <si>
    <t>0001076</t>
  </si>
  <si>
    <t>Бухгалтерский учет в соответствии с МСФО I-том</t>
  </si>
  <si>
    <t>00010760</t>
  </si>
  <si>
    <t>Makhmudova L. (Махмудова Л.К. )</t>
  </si>
  <si>
    <t>Professionally-oriented foreign language</t>
  </si>
  <si>
    <t>Язык английский, водные ресурсы</t>
  </si>
  <si>
    <t>The textbook is intended for students, who are learning of higher education institutions under the educational program «Water Resources Management using IT technologies», as well as for specialists working in the field of water management, nature management, ecology and geography. The purpose of the textbook is to teach reading and understanding of special literature, as well as to enrich the vocabulary of students. Учебник предназначен для студентов, обучающихся в вузах по образовательной программе «Управление водными ресурсами с использованием IT-технологий», а также для специалистов, работающих в области водного хозяйства, природопользования, экологии и географии. Цель учебника - научить читать и понимать специальную литературу, а также пополнить словарный запас учащихся.</t>
  </si>
  <si>
    <t>00010761</t>
  </si>
  <si>
    <t>Baibatsha A.B.</t>
  </si>
  <si>
    <t>Geology of Mineral Deposits</t>
  </si>
  <si>
    <t>геология</t>
  </si>
  <si>
    <t>Provides general information about mineral deposits, the distribution, material composition, morphology and mode of occurrence of bodies of minerals.Reviews all types of minerals in Kazakhstan.Gives the genetic and industrial classification of deposits as well as describing the processes of their formation, using examples. Describes the geology of coal, oil and gas, and provides information on the coal and oil and gas potential of Kazakhstan.For students specializing in "Geology and exploration of mineral deposits".Дает общие сведения о месторождениях полезных ископаемых, распространении, вещественном составе, морфологии и способах залегания тел полезных ископаемых. Обзор всех видов полезных ископаемых Казахстана. Дает генетико-промышленную классификацию месторождений, а также описывает процессы их образования с помощью Примеры. Описывает геологию угля, нефти и газа, а также предоставляет информацию об угольном и нефтегазовом потенциале Казахстана. Для студентов специальности «Геология и разведка месторождений полезных ископаемых».</t>
  </si>
  <si>
    <t>00010762</t>
  </si>
  <si>
    <t>Акушерия және гинекологиядағы қауырт жағдайлар</t>
  </si>
  <si>
    <t>Оқу құралында акушерия және гинекологиядағы жүктілік кезіндегі гипертензиялық жағдайлар,плацентаның жатуы, қалыпты орналасқан плацентаның мерзімінен бұрын сылынуы, ауруханадан тыс босану, босанудан кейінгі қан кету,жатырдан тыс жүктілік,анабезісігінің аяқшасының бұралуы,пельвиоперитонит, анабез аппоплексиясы, жатырдан қан кету, шұғыл контрацепция сияқты қауырт жағдайлар көрсетілген.ҚР ДСМ-ң клиникалық хаттамасына сәйкес ауруханаға дейінгі кезеңде диагностиканың мақсаттары мен көмек көрсету себептері көрсетілген.Қосымшада студенттердің ауруханаға дейінгі кезеңде босанудың 2-кезеңін жүргізуге,нәрестелердің асфиксиясына,жатырдан тыс жүктіліктің үзілуіжәне жатырдан қан кету кезінде көрсеткен шұғыл көмектерін, коммуникативті және тәжірибелік дағдыларын бағалау туралы мәлімет көрсетілген.Оқу құралында тақырып бойынша 20 жағдайлық есеп және 60 тест түріндегі сұрақтар қосылған. Оқу құралдың соңында үш тілде (мемлекеттік, орыс және ағылшын)глоссарий берілген.Оқу құралстуденттерге, интерндерге, резиденттерге,жалпы тәжирибелік дәрігерлерге және дәрігер акушер-гинекологтарға арналған.</t>
  </si>
  <si>
    <t>00010763</t>
  </si>
  <si>
    <t>Раманқұлова А.А. (Раманкулова)</t>
  </si>
  <si>
    <t>Биологиялық статистика</t>
  </si>
  <si>
    <t>Оқу құралы медициналық-биологиялық деректерге статистикалық талдау жүргізу әдістеріне арналған. Оқу құралында заманауи статистикада қолданылатын негізгі параметрлік және параметрлік емес статистикалық әдістер: сандық және сапалық белгілер үшін айырмашылықтарды, байланыстарды, өміршеңдікті талдау қарастырылады. Әрбір статистикалық әдістің қолданылу принципі сипатталады, оларды қолданудың шекаралары айқын көрсетіледі. Медициналық басылымдардан алынған мысалдарға, сәйкес статистикалық талдаулар жүргізіледі, қорытындылар жасалынады. Статистикалық теорияның негізі болып саналатын ықтималдықтар теориясының негізгі ұғымдары келтіріледі. Оқу құралы жалпыға міндетті мемлекеттік білім беру стандартына сәйкес дайындалған.Оқу құралы жоғары медициналық оқу орындары студенттеріне, магистранттарына, оқытушыларына арналған.</t>
  </si>
  <si>
    <t>00010765</t>
  </si>
  <si>
    <t>Исмаилова А.А Нурбаева Н.А.</t>
  </si>
  <si>
    <t>«Өнеркәсіптік экология» оқулығында дәрістік сабақтар курсы бар, студенттерге табиғи ресурстардың жіктелуі туралы жалпы ақпаратты алуға мүмкіндік береді; агроөнеркәсіптік кешен кәсіпорындарының қоршаған ортаға өндіріс процесінде антропогендік және техногенді жүктемелердің сипаттамалары; табиғат ортасының негізгі ластауыштарының сапа стандарттарын бағалау және есептеу әдісі; табиғи ресурстарды ұтымды пайдаланудың экологиялық мәселелерін және «жасыл индустрия» үшін экологиялық саясатты және даму саясатын әзірлеу үдерісінде ресурстарды үнемдеудің инновациялық технологияларын енгізуді қарастырады.
 Әл-Фараби атындағы ҚазҰУ жанындағы Республикалық оқу-әдістемелік кеңесінің оқу-әдістемелік бірлестігімен оқулық ретінде бекітілді (№2 хаттама 24.05.2019 ж.)</t>
  </si>
  <si>
    <t>00010766</t>
  </si>
  <si>
    <t>Исмаилова А.А., Нурбаева Н.А.</t>
  </si>
  <si>
    <t>Промышленная экология</t>
  </si>
  <si>
    <t>Учебник «Промышленная экология» содержит курс теоретических и практических вопросов, позволяет студенту получить общие сведения о классификации природных ресурсов; характеристики антропогенных и техногенных нагрузок в процессе производственной деятельности предприятий агропромышленного комплекса на окружаюшую среду; методы оценки и расчета норматив качества основных загрязнителей природной среды; рассматривает экологические вопросы рационального использования природных ресурсов и внедрения инновационных технологий ресурсосбережения в процессе разработки экологической стратегии и политики развития «зеленой промышленности.Данное учебное пособие позволяет студенту получить общие сведения о направленности учебного курса, содержит учебную программу и учебно-методические материалы по дисциплине «Промышленная экология». Учебник «Промышленной экология» рекомендуется для студентов очного и заочного обучения, магистрантам и phD докторантам по специальности «Экология» и другим специальностям технических, биологических и медицинских наук. Утверждено учебно-методическим объединением Республиканского учебно-методического совета на базе КазНУ им. Ал-Фараби в качестве учебника (протокол №2 от 24.05.2019г.)</t>
  </si>
  <si>
    <t>00010768</t>
  </si>
  <si>
    <t>Суримбаева К.,Елибаева Г.И.,Кушербаева С., Жылқыбаев Ә.</t>
  </si>
  <si>
    <t>Оңтүстік Қазақстанның қуаңшылық аймағына төзімді бағалы мал азықтық өсімдіктер</t>
  </si>
  <si>
    <t>Аграрный,сельского хозяйства</t>
  </si>
  <si>
    <t>Оқулықта ғылыми-зерттеу жұмыстарының нәтижелері бойынша Оңтүстік Қазақстанның қуаңшылық аймағына төзімді,жерсіндірілген, бағалы мал азықтық өсімдіктердің экологиялық-биологиялық ерекшеліктері,мал азықтық құндылығы, өсіру технологиясы, егістікті күтіп-баптау тәсілдері, екпе жайылымдар жасау технологиясы және аридтік өсімдіктердің тұқымын дайындау технологиясы көрсетілген. Оқулық аграрлық саладағы жоғары оқу орындарындағы ұстаздар мен студенттерге, ауыл шаруашылығы саласындағы мамандарға, шаруа қожалықтар мен фермерлерге, ғылыми қызметкерлерге арналған.</t>
  </si>
  <si>
    <t>00010769</t>
  </si>
  <si>
    <t>Утегенова Б.М., Хамзина К.Б., Ермаганбетова А.Ж.</t>
  </si>
  <si>
    <t>Мұғалімдердің рефлексиялық мәдениетін қалыптастыру</t>
  </si>
  <si>
    <t>Педагогика,психология</t>
  </si>
  <si>
    <t>Оқу құралында педагогикалық рефлексияны дамыту негізінде мұғалімнің кәсіби өзін-өзі жетілдірудің негізгі тәсілдерін көрсетеді, сонымен қатар, оқушылардың рефлексиялық мәдениетін дамыту және өзін-өзі дамыту үшін мұғалімдерге арналған практикалық ұсыныстар берілген.Оқу құралы материалдары мұғалімнің өзі және өзінің қызметіне қатысты зерттеушілік көзқарасты қабылдау қабілеті ретінде кәсіби рефлексиясының мәселесі, рефлексияның мазмұны, оның механизмі, мұғалімнің қызметі мен ойындағы рөлі және орны қарастырылады. Басты назар мұғалімнің рефлексивтік қабілетін дамыту мәселесіне аударылған: педагогикалық рефлексияны дамытудың түрлі әдіс-тәсілдеріне шолу жасалған, рефлексия бойынша тренинг өткізу материалдары ұсынылған. Осы еңбекте ойлаудың рефлексивті қасиеттерін дамытуына бағытталған жаттығулар, өзін-өзі бақылауға арналған тапсырмалар үлгілері берілген. Бұл құрал мұғалімдерге және өзін- өзі рефлексивті талдау қабілетін дамыту мәселер қызықтыратын қауымға арналған.</t>
  </si>
  <si>
    <t>0001077</t>
  </si>
  <si>
    <t>Компьютеризация бухгалтерского учета (Версия 8.2) 2-том</t>
  </si>
  <si>
    <t>В учебном пособии «Компьютеризация бухгалтерского учета (Версия 8.2)» за основу берутся знания, получен­ные при изучении основ бухгалтерского учета, финансового учета и на их базе рассматриваются вопросы теории и практики финансового учета материальных, трудовых и денежных ресурсов, источ­ников формирования средств и составления финансовой отчетности. Изучение курса направлено на то, чтобы научить студентов,магистрантов организовать и осуществлять бухгалтерский учет в программе «1С» в организациях различных форм собственности, самостоятельно принимать решения по вопро­сам, связанных с учетно-аналитической деятельностью организаций и анализировать полу­ченные результаты. Задачей курса «Компьютеризация бухгалтерского учета» является изучение вопросов организации ведения бухгалтерского учета в условиях новых информационных технологий. Учебное пособие «Компьютеризация бухгалтерского учета (Версия 8.2)» предназначено для студентов, магистрантов специальностей «Учет и аудит», «Экономика», «Финансы», «Менеджмент», преподавателей, руководителей, практикующих бухгалтеров и аудиторов</t>
  </si>
  <si>
    <t>00010770</t>
  </si>
  <si>
    <t>Шрайманова Г.С., Тажигулова Г.О., Утегенова Б.М., Ахметжанова Г.А.</t>
  </si>
  <si>
    <t>Кәсіби педагогика</t>
  </si>
  <si>
    <t>Ұсынылып отырған оқу құралында кәсіби мектепте және өндірісте оқыту мен тәрбиелеудің мазмұны, педагогикалық қызметтің әдістері мен формалары, білім беру қызметіндегі жеке тұлғаға бағытталған тәсілдемелер баяндалады. Студентті кәсіби қызметке дайындау, білікті жұмыс күшін жаңғырту туралы мәселелері қарастырылады. Оқу құралы оқытушылар, студенттер мен магистранттардың әдістемелік даярлықтарын арттыру мақсатында көмек бере алады.</t>
  </si>
  <si>
    <t>00010771</t>
  </si>
  <si>
    <t>Bezhina V.V., Solovyeva N.A.,Utegenova B.M. /Утегенова Б.М.</t>
  </si>
  <si>
    <t>Professional guidance of the teacher – ICT based approach</t>
  </si>
  <si>
    <t>The study manual based on interactive lectures is intended for students of pedagogical specialties studying the course "Professional guidance of the teacher" in English with the aim of forming a general idea about the nature and role of 7 Modules based Programme elaborated by NIS in the modern education system. This manual can be applied in high schools in the framework of the mainstream of the pedagogical cycle. The manual consists of an introduction, two sections: theoretical and practice-oriented blocks. In the theoretical part, the theoretical foundations of the core of the Programme in the pedagogical sphere are presented, the practical block represents the development of model guidance for the implementation of practical work, the tasks of the IWS and the other applied aspects of the Programme.
 Учебно-методическое пособие на основе интерактивных лекций предназначено для студентов педагогических специальностей, изучающих курс «Профессиональная ориентация учителя» на английском языке, с целью формирования общего представления о сущности и роли 7-модульной Программы, разработанной НИШ в современной система образования. Данное пособие может применяться в вузах в рамках основного направления педагогического цикла.Пособие состоит из введения, двух разделов: теоретического и практико-ориентированного блоков. В теоретической части представлены теоретические основы ядра Программы в педагогической сфере, практический блок представляет собой разработку типовых рекомендаций по выполнению практических работ, задач СРС и других прикладных аспектов Программы</t>
  </si>
  <si>
    <t>00010772</t>
  </si>
  <si>
    <t>Джакупов И.Т., Дюльгер Г.П. Ахметов А.Н.</t>
  </si>
  <si>
    <t>Ветерианариялық акушерлік, гинекология және жануарларды көбейту биотехникасы</t>
  </si>
  <si>
    <t>Ауылшаруашылық жануарларының аналық және аталықтары жыныс органдарының анатомиялық ерекшеліктері мен функциялары, ұрық алу және оны бағалау әдістері, ұрықтандыру физиологиясы мен биотехникасы, эмбриондарды трансплантациялау, буаздылық, төлдеу мен төлдеуден кейінгі кезең физиологиясы мен патологиясы, жаңа туған төлдердің аурулары, аналық жануарлар сүт безі аурулары, оперативтік акушерлік негіздері, акушерлік-гинекологиялық диспансерлеуге қатысты сұрақтар қарастырылған.</t>
  </si>
  <si>
    <t>00010773</t>
  </si>
  <si>
    <t>978-601-13-0324-8</t>
  </si>
  <si>
    <t>Ускенбаев Д.Е. Мендыбаев С.А.</t>
  </si>
  <si>
    <t>Электроматериаловедение с основами наноэлектроники</t>
  </si>
  <si>
    <t>Радиоэлектроника,телекоммуникации</t>
  </si>
  <si>
    <t>Учебник «Электроматериаловедение с основами наноэлектроники» содержит основные сведения об электротехнических материалах, применяемых в современном приборостроении, электротехнике и радиоэлектронике. Дана общая характеристика основных групп электротехнических материалов: проводников, диэлектриков, полупроводников и магнитных материалов. По каждой группе материалов рассмотрена физическая сущность явлений, происходящих в материалах при их взаимодействии с электромагнитным полем, даны основные электрофизические характеристики материалов и определено влияние на них различных факторов, технологии получения материалов и их применение в электротехнических и радиоэлектронных устройствах, элементах автоматики и приборах.Настоящее учебное пособие предназначено для студентов высших учебных заведений, обучающихся по подготовки бакалавров и магистров по направлению радиоэлектроника и телекоммуникации.</t>
  </si>
  <si>
    <t>00010774</t>
  </si>
  <si>
    <t>978-601-330-552-3</t>
  </si>
  <si>
    <t>Введение в финансы</t>
  </si>
  <si>
    <t>Учебное пособие по дисциплине « Введение в финансы» дает возможность знать основы организации и управления государственных финансов, финансов хозяйствующих субъектов и финансовых институтов; терминологию и понятия деятельности субъектов финансовых отношений, уметь анализировать денежные потоки государства, хозяйствующих субъектов и финансовых институтов, владеть навыками управления финансами для принятия решений по формированию и использованию финансовых ресурсов на разных уровнях общественного устройства.</t>
  </si>
  <si>
    <t>00010775</t>
  </si>
  <si>
    <t>Введение в педагогическую профессию</t>
  </si>
  <si>
    <t>Комплекс лекций</t>
  </si>
  <si>
    <t>Лекционный комплекс дисциплины «Введение в педагогическую профессию» выделяют следующие разделы: современное образование и личность в контексте непрерывного образования, педагогическая профессия и личность педагога, факторы непрерывного профессионального роста педагога.</t>
  </si>
  <si>
    <t>00010776</t>
  </si>
  <si>
    <t>978-601-330-579-0</t>
  </si>
  <si>
    <t>Сборник тестов с множественным выбором для проведения текущего и итогового контроля по дисциплине «Финансовый учет»</t>
  </si>
  <si>
    <t>В данном сборнике представлены тестовые вопросы и методические рекомендации для подготовки к тестированию по дисциплине «Финансовый учет» специальности «Учет и аудит» направления «Социальные науки, экономика и бизнес». Сборник тестов с множественным выбором рекомендуется для подготовки студентов выпускного курса к участию в комплексном тестировании при Внешней оценке учебных достижений.</t>
  </si>
  <si>
    <t>00010777</t>
  </si>
  <si>
    <t>Yeskatova G.K. / Ескатова Г.К.</t>
  </si>
  <si>
    <t>English for IT students</t>
  </si>
  <si>
    <t>Учебное пособие “English for IT students” разработано для обучения студентов специальностей «Информационные системы», «Вычислительная техника и программное обеспечение» профессионально-ориентированному английскому языку с целью совершенстования обучаемыми навыков общения в сфере информационных технологий. Учебное пособие “English for IT students” предназначено для студентов КИнЭУ им. М.Дулатова, может быть использовано студентами других вузов Республики Казахстан, а также всеми кто интересуется профессиональным регистром английского языка в сфере информационных технологий.</t>
  </si>
  <si>
    <t>00010779</t>
  </si>
  <si>
    <t>Автоматты басқару теориясы</t>
  </si>
  <si>
    <t>Автоматика,автоматизация и управление</t>
  </si>
  <si>
    <t>Оқу құралда қысқаша теориялық мағлұматтар, есептердің шешу мысалдары мен өздік жұмысқа есептер келтірілген. 5В07105 – «Аспап жасау» мамандығындағының студенттеріне арналған.</t>
  </si>
  <si>
    <t>0001078</t>
  </si>
  <si>
    <t>Компьютеризация бухгалтерского учета (Версия 8.2) І-том</t>
  </si>
  <si>
    <t>00010780</t>
  </si>
  <si>
    <t>анг рус</t>
  </si>
  <si>
    <t>Yeskatova G.K/ Ескатова Г.К.</t>
  </si>
  <si>
    <t>English for lawyers. Texts for reading with exercises. Part I. Английский язык для юристов. Тексты для чтения с упражнениями. Часть I</t>
  </si>
  <si>
    <t>Язык англ, Юридический</t>
  </si>
  <si>
    <t>The textbook contains texts in English with exercises on the problems of law, the activities of the police, courts, penitentiaries in the UK and the USA. All texts are authentic - taken from original sources (works of English and American authors) and hardly adapted.
 It is intended for students of departmental educational institutions of the Ministry of Internal Affairs, as well as for students of law faculties of universities. The content of the manual allows you to use it when teaching the discipline "English for specific purpose" and "English. Professional".В учебном пособии представлены тексты на английском языке с упражнениями по проблемам права, деятельности органов полиции, судов, пенитенциарных учреждений Великобритании и США. Все тексты аутентичны – взяты из оригинальных источников (работ английских и американских авторов) и почти не адаптированы. Предназначено для слушателей ведомственных учебных заведений МВД, а также для студентов юридических факультетов вузов. Содержание пособия позволяет использовать его при преподавании дисциплины «Профессионально ориентированный английский язык» и «Английский язык. Профессиональный».</t>
  </si>
  <si>
    <t>00010781</t>
  </si>
  <si>
    <t>Оспанова А. К. Калиева А. Б. Шарипова А. К.</t>
  </si>
  <si>
    <t>Өсімдіктер, жануарлар, микроорганизмдер биоалуантүрлілігі</t>
  </si>
  <si>
    <t>Биология,Экология,Агрономия,Лесное хозяйства</t>
  </si>
  <si>
    <t>Оқу құралы 5В060700 Биология, 6М060700 Биология, 5В060800 Экология, 6М060800 Экология, 5В080100 Агрономия, 5В080700 Орман шаруашылығы мамандығының студенттеріне арналған. Әртүрлі систематикалық топқа жататын өсімдіктердің, жануарлардың, микроорганизмдердің анатомиялық, физиологиялық және экологиялық ерекшеліктері келтірілген.</t>
  </si>
  <si>
    <t>00010782</t>
  </si>
  <si>
    <t>Nurlybekova A.B. /Нурлыбекова А.</t>
  </si>
  <si>
    <t>Innovative educational activity in pedagogy</t>
  </si>
  <si>
    <t>Teaching aid “Innovative educational activity in pedagogy” is developed in accordance with the requirements of State Educational Standards for specialties and curriculum of the given discipline. The given teaching aid is intended for undergraduates and doctoral students. Учебно-методическое пособие «Инновационная образовательная деятельность в педагогике» разработано в соответствии с требованиями ГОСО по специальностям и учебным планом по данной дисциплине. Данное учебное пособие предназначено для магистрантов и докторантов.</t>
  </si>
  <si>
    <t>00010783</t>
  </si>
  <si>
    <t>Savelyeva V.V. /Савелева В.</t>
  </si>
  <si>
    <t>Educational and methodical manual for independent work of students in the discipline Information and communication technologies (in English)</t>
  </si>
  <si>
    <t>Технический, информационные технологии</t>
  </si>
  <si>
    <t>Учебно-методическое пособие для самостоятельной работы студентов по дисциплине Информационно-коммуникационные технологии ,Современный период развития общества характеризуется сильным влиянием на него компьютерных технологий, которые проникают во все сферы человеческой деятельности, обеспечивают распространение информационных потоков в обществе, формируя глобальное информационное пространство. Компьютеризация образования является неотъемлемой и важной частью этих процессов. Компьютерные технологии призваны стать не дополнительным «придатком» в обучении, а неотъемлемой частью целостного образовательного процесса, значительно повышая его эффективность. Создание и развитие информационного общества (ИО) предполагает широкое использование информационно-коммуникационных технологий (ИКТ) в образовании, что определяется рядом факторов. Во-первых, внедрение ИКТ в образование значительно ускоряет передачу знаний и накопленного технологического и социального опыта человечества не только из поколения в поколение, но и от одного человека к другому. Во-вторых, современные ИКТ, повышая качество образования и обучения, позволяют человеку успешнее и быстрее адаптироваться к окружающей среде и происходящим социальным изменениям. Это дает каждому возможность приобрести необходимые знания как сегодня, так и в будущем постиндустриальном обществе.</t>
  </si>
  <si>
    <t>00010784</t>
  </si>
  <si>
    <t>Үсен А.Ә.</t>
  </si>
  <si>
    <t>Абай мен шекспир: Адамтану биігі</t>
  </si>
  <si>
    <t>Монографияда ұлы ақын Абай Құнанбайұлы мен әлемге әйгілі драматург У.Шекспирдің шығармашалығындағы сабақтастық, ықпалдастық ғылыми негізде жүйеленеді. Ақындардың лирикалындағы ортақ көркемдік идеялар мен образдар жүйесі талданады. Абай шығармашылығы мен Шекспир трагедияларындағы мотивтер, тақырып пен идея, көркемдік пен бейнелілік сипаты сараланып, олардың шығармашылығындағы адамтану проблемасы салыстырыла-салғастырыла қарастырылады. Екі шығармашылық тұлғаның өнерге көзқарасы мен талаптары айқындалып, жаңашыл тұжырымдары зерттеледі. Кітап орта, орта, арнаулы білім беру ұйымдарының шәкірттеріне, жоғары оқу орындарының студенттеріне, магистрант, докторанттары мен әдебиеттанушыларға, жалпы әдебиет сүйер қауымға арналады.</t>
  </si>
  <si>
    <t>00010785</t>
  </si>
  <si>
    <t>978-601-330-465-6</t>
  </si>
  <si>
    <t>Қазақ және әлем әдебиеті</t>
  </si>
  <si>
    <t>Монографияда қазақ әдебиеті әлемдік әдеби даму кеңістігінде зерттеледі. Қазақ әдебиетіне тән көркемдік құбылыстарды орыс, еуропа әдебиетінің алдыңғы қатарлы өкілдерімен салыстыра талдап, ондағы ұлттық ерекшеліктерді саралайды. Қазақ әдебиетінің мәселелерін біртұтас әдебиет әлемінің бір бөлшегі, бір сипаты ретінде тану арқылы шығармашылықтағы жаңа көзқарас, дүниетанымды айқындайды. Жалпы ХХ ғасырда қазақ әдебиетінде көрінген құбылыстарды әлемдік даму арқауында зерттеу, текстологиялық талдау арқылы сабақтастық пен ықпалдастықтың, диалогтың ғылыми жүйелеленеді. 
  Кітап орта, орта, арнаулы білім беру ұйымдарының шәкірттеріне, жоғары оқу орындарының студенттеріне, магистрант, докторанттары мен әдебиеттанушыларға, жалпы әдебиет сүйер қауымға арналады.</t>
  </si>
  <si>
    <t>00010786</t>
  </si>
  <si>
    <t>Мукашева Т.К. Есеева Г.К.</t>
  </si>
  <si>
    <t>Системы качества</t>
  </si>
  <si>
    <t>Стандартизация и сертификация</t>
  </si>
  <si>
    <t>Учебное пособие составлено в соответствии с требованиями учебного плана и программой дисциплины «Системы качества» и включает все необходимые сведения по выполнению тем практических занятий курса.Пособие предназначены для студентов специальности «Стандартизация и сертификация». В учебном пособии рассмотрены вопросы внедрения системы качества на предприятиях (организациях), разработка основных документов системы качества, необходимых для демонстрации предприятиями и организациями функционирования современных методов управления качеством на основе стандартов ИСО серии 9000, порядок проведения внутренних аудитов и разработка предупреждающих и корректирующих действий для улучшения СМК.</t>
  </si>
  <si>
    <t>00010787</t>
  </si>
  <si>
    <t>Тайторина Б.А. Байсалова Г.Т. Бейсенбаева М.Т.</t>
  </si>
  <si>
    <t>Қазақстан Республикасының энергетикалық құқығы</t>
  </si>
  <si>
    <t>Юридический,энергетика</t>
  </si>
  <si>
    <t>Бұл оқу құралы энергетикалық құқықтың жалпы теориялық ережелерін де, Қазақстан Республикасының энергетика секторының жекелеген секторларындағы құқықтық реттеудің ерекшеліктерін зерттеуге арналған. Оқулықтың тиісті тарауларында энергетикалық құқықтың жалпы теориялық мәселелері қарастырылады, оның ішінде энергетикалық құқықтың түсінігі, қағидалары, энергетикалық құқықтың қайнар көздері туралы сұрақтар; жекелеген бөлімдер энергетика саласындағы мемлекеттік реттеу мәселелеріне, энергетика саласындағы өзін-өзі реттеудің әр түрлі құқықтық аспектілеріне, энергетикалық сектордағы келісімшарттық реттеудің ерекшеліктеріне, әр түрлі энергетикалық салалардағы қоғамдық қатынастарды газ, мұнай, көмір, электр энергиясы, жылумен қамтамасыз ету, атом энергиясын пайдалану саласындақұқықтық реттеудің ерекшеліктеріне арналған. Оқу құралының материалдары энергетикалық заңнаманың даму динамикасын ескере отырып құрастырылған. Оқу құралыжоғары оқу орындарының заңгер, экономика, инженербілім бағдарламаларының студенттеріне, құқық, энергетика, экология саласындағы мамандарға арналған.</t>
  </si>
  <si>
    <t>00010788</t>
  </si>
  <si>
    <t>978-601-342-995-3</t>
  </si>
  <si>
    <t>Наноэлектроника негіздерімен электроматериалтану</t>
  </si>
  <si>
    <t>"Наноэлектроника негіздерімен электроматериалтану " оқулығында заманауи аспаптарды жасауда, электротехникада және радиоэлектроникада қолданылатын электротехникалық материалдар туралы негізгі мәліметтер бар. Электр материалдарының негізгі топтарына жалпы сипаттама берілген: өткізгіштер, диэлектриктер, жартылай өткізгіштер және магниттік материалдар. Материалдардың әр тобы электромагниттік өріспен өзара әрекеттесу кезінде материалдардағы құбылыстардың физикалық мәнін қарастырады, материалдардың негізгі электрофизикалық сипаттамаларын береді және оларға әртүрлі факторлардың әсерін, материалдарды алу технологиясын және оларды электр және радиоэлектрондық құрылғыларда, автоматика элементтері мен құрылғыларда қолдануды анықтайды.Бұл оқу құралы Радиоэлектроника және телекоммуникация бағыты бойынша бакалаврлар мен магистрлерді даярлайтын жоғары оқу орындарының студенттеріне арналған.</t>
  </si>
  <si>
    <t>00010789</t>
  </si>
  <si>
    <t>Усенкулов Ж.А., Усенкулова Ш.Ж.</t>
  </si>
  <si>
    <t>Ремонт автомобильных дорог. 1 том</t>
  </si>
  <si>
    <t>Архитектура и строительство</t>
  </si>
  <si>
    <t>Данное учебное пособие освещает основные положения технологии ремонта и реконструкции автомобильных дорог, и сделан на основе систематизации работ в этом направлении российских, зарубежных и отечественных авторов.В настоящем учебном пособии изложены положения диагностирования и оценки эксплуатируемых автомобильных дорог, причины появления и виды дефектов. Основное внимание уделено описанию современных технологий, методов и способов ремонта и реконструкции автомобильных дорог, которые применяются в настоящее время на практике. Подробно рассмотрены вопросы техники безопасности при производстве работ, методы организации и обеспечения качества дорожно-строительных работ. Предлагаемый материал рассчитан на широкий круг научных работников, преподавателей и студентов вузов, колледжей и профессиональных школ.Учебное пособие рекомендовано к изданию Учебно-методическим объединением по направлению подготовки кадров «Архитектура и строительство» Республиканского учебно-методического Совета Министерство образования и науки Республики Казахстан</t>
  </si>
  <si>
    <t>0001079</t>
  </si>
  <si>
    <t>Учет и анализ заработной платы в бюджетных организациях республики казахстана в соответствии с МСФООС</t>
  </si>
  <si>
    <t>Заработная плата является неотъемлемой и основополагающей составной материального благосостояния каждого работающего и трудоспособного человека. Она основана на различных принципах, основу которых составляет справедливость и дифференциация. Заработная плата имеет разветвленную сеть по форме, системам и видам. Правильное ведение учета труда позволяет с легкостью отнести то, или иное вознаграждение работника к характерным признакам и соответственно определить методику ее расчета. Вопросы организации учета труда и его оплаты занимают первостепенную роль в любом хозяйствующем экономическом субъекте. Их актуальность возрастает наряду с развитием рыночной экономики. От размеров, формы, системы и видов оплаты труда во многом зависит не только результаты хозяйствующего субъекта, но также благосостояние и удовлетворенность человеческих ресурсов своими потребностями. Государственное регулирование системы оплаты труда, с точки зрения гаранта прав и свобод человека, а также с точки зрения работодателя, должно быть четко обосновано и иметь тенденцию к совершенствованию и чувствительному реагированию к изменяющимся условиям.
 Учебное пособие «Учет и анализ заработной платы в бюджетных организациях Республики Казахстан в соответствии с МСФООС» предназначено для студентов и магистрантов экономических специальностей.</t>
  </si>
  <si>
    <t>00010790</t>
  </si>
  <si>
    <t>Ремонт автомобильных дорог. 2 том</t>
  </si>
  <si>
    <t>Данное учебное пособие освещает основные положения технологии ремонта и реконструкции автомобильных дорог, и сделан на основе систематизации работ в этом направлении российских, зарубежных и отечественных авторов.В настоящем учебном пособии изложены положения диагностирования и оценки эксплуатируемых автомобильных дорог, причины появления и виды дефектов. Основное внимание уделено описанию современных технологий, методов и способов ремонта и реконструкции автомобильных дорог, которые применяются в настоящее время на практике. Подробно рассмотрены вопросы техники безопасности при производстве работ, методы организации и обеспечения качества дорожно-строительных работ.Предлагаемый материал рассчитан на широкий круг научных работников, преподавателей и студентов вузов, колледжей и профессиональных школ. Учебное пособие рекомендовано к изданию Учебно-методическим объединением по направлению подготовки кадров «Архитектура и строительство» Республиканского учебно-методического Совета Министерство образования и науки Республики Казахстан</t>
  </si>
  <si>
    <t>00010791</t>
  </si>
  <si>
    <t>Байжуманов А.А.</t>
  </si>
  <si>
    <t>Ықтималдықтар теориясы және математикалық статистика мәселелері</t>
  </si>
  <si>
    <t>Оқу құрaлы</t>
  </si>
  <si>
    <t>Ұсынылып отырған оқу құралы «Математика», « Информатика» және «Физика» мамандықтарының студенттеріне және де пән бойынша білімін жетілдірем деушілерге арналған.</t>
  </si>
  <si>
    <t>00010792</t>
  </si>
  <si>
    <t>Дорошенко А.В.(Свами Абишек)</t>
  </si>
  <si>
    <t>91 день</t>
  </si>
  <si>
    <t>Худож-но психол. Лит-ра</t>
  </si>
  <si>
    <t>Жизнь обретает смысл, когда мы приходим к пониманию своей миссии на Земле. Чтобы прийти к такому пониманию, требуются десятилетия, а часто многие жизни. Но иногда бывает достаточно одного дня. Эта книга для тех, кто хочет прийти к свету, любви и гармонии, но пока не знает, как. Смог я, сможете и Вы. Книга рассчитана на аудиторию 18 лет и старше Автор Алексей Дорошенко (духовное имя Свами Абхишек) проживает в Казахстане. Имеет высшее техническое и экономическое образование. Опыт проектной работы в международных финансовых институтах, включая Citigroup, позволил ему применить проектный подход в жизни, разработать и использовать метод «базовых лагерей на пути к вершине» для реализации желаний. Проводит коуч-сессии по реализации желаний. Практикует активный образ жизни и позитивное мышление. Женат, имеет троих детей, а также трёх собак неопределённой породы и двух волнистых попугаев. Открыт для общения по электронной почте sa.98560@mail.ru. Информация в книге не должна рассматриваться в качестве медицинских рекомендаций. Перед внесением изменений в режим питания, необходимо проконсультироваться с лечащим врачом или диетологом.</t>
  </si>
  <si>
    <t>00010793</t>
  </si>
  <si>
    <t>узб</t>
  </si>
  <si>
    <t>Karimov Baxodir/Каримов Б.</t>
  </si>
  <si>
    <t>“Ўткан кунлар” ибрати</t>
  </si>
  <si>
    <t>Абдулла Қодирий ва “Ўткан кунлар”... Бу эгизак номни эшитмаган ўқувчи бўлмаса керак!Азиз китобхон! Қодирийшунос Баҳодир Каримнинг ушбу рисоласида “Ўткан кунлар”нинг умуммазмуни, айрим қаҳрамонларнинг қисқа тавсифи ҳамда романнинг ўзига хос талқинлари билан танишасиз. Китобда келтирилган энг муҳим кўчирмалар, роман асрору жозибаси ва бетакрор гўзаллигини кўрсатадиган таҳлиллар изидан Сиз азизларда “Ўткан кунлар”ни ўқиш, илгари ўқиганларда эса қайта ўқиш истаги пайдо бўлишига ишонамиз.</t>
  </si>
  <si>
    <t>00010794</t>
  </si>
  <si>
    <t>Рухият алифбоси</t>
  </si>
  <si>
    <t>Адабиёт руҳият алифбосидир. Инсон руҳиятини англаш мушкул, машаққатли. Бадиий адабиёт инсон қалбини, руҳиятни тушуниш сари йўл очади... Ушбу китобга адабиётшунос, мунаққид Баҳодир Каримнинг насрий ва шеърий асарлар таҳлили, адабий танқидчилик ва устоз адабиётшунос олимлар ҳамда адабиётшунослик методлари тўғрисида ёзган мақолалари жамланган. Мақолаларда бадиий ижоднинг кўпгина назарий масалалари дунё адабиётшунослиги мезонлари асосида талқин қилинган. Китоб филолог мутахассислар, адабиёт муаллимлари ҳамда бадиий ижодга қизиқадиган адабиёт муҳибларига мўлжалланган.</t>
  </si>
  <si>
    <t>00010795</t>
  </si>
  <si>
    <t>Туркпенов Г.Ж., Түрікпен-Ұлы Ж.</t>
  </si>
  <si>
    <t>Этнопсихология</t>
  </si>
  <si>
    <t>Бұл оқу құралында этнопсихология әртүрлі көзқарастармен қарастырылып, теориялық аспектілері ашылған. Оқу құралы психология мамандығының студенттеріне, магистранттарына және этнопсихология мәселесіне қызығушылық танытқан барша қауымға арналған.</t>
  </si>
  <si>
    <t>00010796</t>
  </si>
  <si>
    <t>Жанболатов С.Е., Нұртаева Г.Е.</t>
  </si>
  <si>
    <t>Қазақ жеріндегі психология ғылымының дамуы</t>
  </si>
  <si>
    <t>Оқу құралында қазақ жеріндегі психология тарихының көне дәуірден бастау алған және орта ғасырдағы ақын-жыраулар мен билердің сондай-ақ ХIX –XX ғасырлардағы қазақ ағартушылары мен кеңестік дәуірдің және қазіргі психологиялық ой-пікірлер сараланып және талданып бүгінгі таңда оқу үдерісінде жан-жақты қолдануға ұсынылған.
 Оқу құралы жоғары және арнаулы педагогикалық оқу орындарының студенттері мен оқытушыларына,мектеп мұғалімдері мен жалпы ғылыми ортадағы психология тарихын зерделеп жүрген оқырман қауымға арналып жазылған.</t>
  </si>
  <si>
    <t>00010797</t>
  </si>
  <si>
    <t>Жанболатов С.Е.</t>
  </si>
  <si>
    <t>Ұлттық психология негіздері</t>
  </si>
  <si>
    <t>Оқу құралында ұлтық психология тарихының бұрын терең зерттеуді қажет еткен кезеңдері, яғни сақ және ғұн дәуірінің психологиялық ой-тұжырымдары жан-жақты сараланып, салыстырмалы тарихи тұрғыдан зерттелініп талданады.Сондай-ақ оқу құралының зерттеу аясы нәтижесіне орта ғасырдағы ақын-жыраулар мен билердің кейінгі қазақ ағартушылары мен кеңестік және қазіргі психологиялық ой-пікірлер жүйеленіп бүгінгі таңда тиімді пайдалануға ұсыныстар беріледі.Оқу құралы жоғары және арнаулы педагогикалық оқу орындарының студенттері мен оқытушыларына, мектеп мұғалімдері мен жалпы ғылыми ортадағы жүрген оқырман қауымға арналған.</t>
  </si>
  <si>
    <t>00010798</t>
  </si>
  <si>
    <t>Жанболатов С.Е., Ешенкулова Д.Б., Алибекова А.А., Үмбетов Д.Қ.</t>
  </si>
  <si>
    <t>Халықтық педагогика құндылықтары негізінде болашақ мамандардың азаматтық бағдарларын қалыптастыру</t>
  </si>
  <si>
    <t>Этнопсихология, Психология</t>
  </si>
  <si>
    <t>Монография барысында жас мамандардың азаматтық бағдарын қалыптастыруда ықпалы мол сан түрлі ұлттардың этнопедагогикасы,этнология және этнопсихологиясы туралы зерттеулер жасалып түрлі сипаттамалар берілген. Сондай-ақ қазақ – ақын жыраулары мен би-шешендерінің тәлімдік жырлары,тапқыр ой-қорытындылары зерттеу арқауына айналған. Шығыстың ғасырлар бойы жинақталған педагогикалық,тәрбиелік ой-пікірлері,нақыл сөздері мен мақал мәтелдері күні бүгінге дейін құндылығыг жоймаған ой-маржандары әсіресе жас мамандары тәрбиесіне, олардың азаматтық бағдарын қалыптастыруға ықпал ететін тәлімдік ойлары талдау объектісі болған. Монографияда сондай-ақ түрлі ұлттардың мінез-құлқындағы ерекшеліктеріне де этнопсихологиялық қорытындылар беріліп өткен. Монография педагогикалық бағыттағы жоғары оқу орындарының студенттері мен магистранттарына,мектеп мұғалімдері мен ата-аналарға және көпшілік оқырман қауымға арналады.</t>
  </si>
  <si>
    <t>00010799</t>
  </si>
  <si>
    <t>Қазақ даласында ежелгі дәуірдегі тәлім-тәрбиелік ой-пікірлердің дамуы (б.д.д. VII – б.д. V ғасырлар)</t>
  </si>
  <si>
    <t>Казахская История</t>
  </si>
  <si>
    <t>Монографияда ерекше атап өтер нәрсе сақ және ғұн дәуірінен басталатын педагогикалық ой-пікірлер педагогика тарихына қосылған ғылыми жаңалығымен айрықша ізденістермен ерекше атап өтуге тұрарлық тың мәліметтерімен дараланады.. Әсіресе көңіл аудартатын нәрсенің бірі Ұлы ғұн қолбасшысы Аттиланың ой-пікірлері мен қазіргі заманымыздың даңқты батыры, қол бастаған әскери жазушысы Бауыржан Момышұлының ой-пікірлерінің үндестігі. Көне дәуір ғұламаларының бірі Құдыс пен орта ғасырдың дана ойшылы Жүсіп Баласағұнның ойларының үйлесім табуы ,олардың әділет пен шындық жолындағы ақиық үндері ғасырлар куәсіндей бізге жеткені қандай керемет ғанибет құбылыс. Сондай-ақ монографияда Афрасиаб, Томирис сынды сақ патшаларының отаншылдық тәрбиесіне баулитын асыл сөздері Мөде қағанны тәлімдік іс-әрекеттері анық баяндалған.Сол дәуірдің ғұламалары сақ даласынан шыққан Токсарид пен Анахарсистің шешендік сөздері ұрпақ тәрбиесіне қосар өзіндік үлесі бар дүниелер. Монографияда қазақтың ғұламалары, тарихи тұлғалардың идеялары мен ақын-жыраулардың педагогиялық-тәлімдік ойларына саралап жасалған талдаулар бар.Монография жоғары оқу орны студенттері мен ұстаздарына және мектеп оқушылары мен мұғалімдеріне қосымша материал ретінде дәрісте пайдалануға маңыздылғы мол еңбек</t>
  </si>
  <si>
    <t>0001080</t>
  </si>
  <si>
    <t>Теория и методология формирования финансовой отчетности хозяйствующих субьектов РК в условиях автоматизации бухгалтерского учета</t>
  </si>
  <si>
    <t>Финансовая отчетность остается основой процессов подготовки, принятия и реализации решений различными группами пользователей. Необходимость теоретических исследований в области бухгалтерского учета и анализа определяется в условиях развития рыночных отношений новыми требованиями, предъявляемыми к оценке объектов учета, к организации бухгалтерского учета и анализа на принципах международных стандартов финансовой отчетности и анализа. Полученные в работе научные результаты способствуют формированию теоретических и методологических основ организации учетной системы в соответствии с международными стандартами финансовой отчетности (МСФО) при автоматизированной форме учета и анализа. Результаты исследования могут быть использованы в качестве концептуальных и методических положений, определяющих векторы развития и содержание бухгалтерского учета и экономического анализа, позволяющего решать прикладные задачи по обеспечению информационной поддержки принятия управленческих решений.</t>
  </si>
  <si>
    <t>00010800</t>
  </si>
  <si>
    <t>Арыстанбаев К.Е., Мамбаева А.М.</t>
  </si>
  <si>
    <t>Химия – технологиялық үдерістерді басқару жүйесі.</t>
  </si>
  <si>
    <t>"Химиялық-технологиялық үдерістерді басқару жүйесі" пәні кәсіптік пәндердің бірі болып табылады және арнайы технологиялық дайындығы бар фармацевтикалық өндіріс маманын қалыптастыруға бағытталған.Оқу құралы 6В07200-Фармацевтикалық өндіріс технологиясы мамандықтың студенттеріне арналған. Химиялық-технологиялық үдерістерді автоматтандыру, автоматтандыру құралдарын таңдау және негіздеу, бақылау, сигналдау және реттеу параметрлерін таңдау және негіздеу-мұның бәрін фармацевтикалық өндірістің инженер-технологы білуі керек.</t>
  </si>
  <si>
    <t>00010801</t>
  </si>
  <si>
    <t>Мухамбедьярова А.Т.</t>
  </si>
  <si>
    <t>Политическая безопасность государства. Учебное пособие по дисциплине Модуль социально-политических знаний: Политология</t>
  </si>
  <si>
    <t>Политология</t>
  </si>
  <si>
    <t>Данное учебное пособие посвящено комплексному политологическому анализу национальной безопасности, как гарантии независимости государства и стабильности эффективной жизнедеятельности общества. Цель исследования – изучение проблемы обеспечения политической безопасности, поскольку последняя является стержнем, основой национальной безопасности. Незавершенность процессов формирования демократических механизмов согласования интересов личности, общества и государства свидетельствуют об актуальности политологического исследования проблем политической безопасности Казахстана. Учебное пособие, предназначенное для политологов, историков, общественных деятелей, а также для студентов ВУЗов, будет способствовать более объективному и углубленному анализу политической безопасности государства.</t>
  </si>
  <si>
    <t>00010802</t>
  </si>
  <si>
    <t>Модели демократии в современной политической науке. Учебное пособие по дисциплине Модуль социально-политических знаний: Политология</t>
  </si>
  <si>
    <t>Данное учебное пособие посвящено комплексному политологическому анализу эволюции понятия «народовластие», а также различных аспектов идеи и принципов народовластия в истории политической мысли. Цель исследования – выявить исторические корни мировоззренческих основ категории «народовластие». В учебном пособии представлена авторская концепция народовластия, выработанная на основе анализа истории демократических идей, достижения отечественной и зарубежной политико-правовой мысли, обобщающей теории и практики народовластия в нашей стране.Учебное пособие, предназначенное для политологов, историков, общественных деятелей, а также для студентов ВУЗов, будет способствовать более объективному и углубленному анализу идеи народовластия в истории политической мысли.</t>
  </si>
  <si>
    <t>00010804</t>
  </si>
  <si>
    <t>Түрікпен-ұлы Ж., Мырзатаева Б.П.</t>
  </si>
  <si>
    <t>Тәрбие психологиясына кіріспе</t>
  </si>
  <si>
    <t>Оқу құралында тәрбиенің және тұлға тәрбиелеудің психологиялық негіздері, ұстаз психологиясының мәселелері баяндалады. Адамның психологиялық дамуының жас кезеңдері көрсетіліп, баланың туылғаннан студенттік кезеңге дейінгі психологиялық даму ерекшеліктері: психикалық даму заңдылықтары, даму дағдарыстары, жаңа құрылымдары, танымдық үрдістері мен тұлғалық аумағының дамуы, өзіндік санасы мен этностық өзіндік санасының қалыптасуы, қарым-қатынас жүйесінің ерекшеліктері туралы ғылыми мағлұматтар беріледі. Сонымен қатар, девиантты балаларды тәрбиелеудің психологиялық-педагогикалық негіздері, оқушыларды еңбекке баулу мен оларға кәсіптік бағдар беру мәселелері туралы мәліметтер де қамтылған.Оқу құралы «педагогика-психология», «психология», «әлеуметтік педагогика және өзін-өзі тану», «мектепке дейінгі оқыту және тәрбиелеу», «бастауыш оқыту педагогикасы мен әдістемесі» мамандықтарының студенттеріне, магистранттарына, докторанттарға, білім беру ұйымдарында педагогикалық практикадан өтетін бүкіл мамандықтардың білім алушыларына, сонымен қатар білім беру жүйесінде қызмет ететін тәрбиешілер мен мұғалімдерге, педагог-психологтарға, әлеуметтік педагогтарға, балаларды дамыту және түзету орталықтарында балалармен және жасөспірімдермен жұмыс жасайтын педагогтар мен психологтарға арналған.</t>
  </si>
  <si>
    <t>00010805</t>
  </si>
  <si>
    <t>Kakimova L.Sh. / Какимова Л.Ш.</t>
  </si>
  <si>
    <t>Performance mastery a music teacher (Choral conducting): Study aid for undergraduate students of 6B01402 - Music Education specialty</t>
  </si>
  <si>
    <t>Study</t>
  </si>
  <si>
    <t>Искусство,Музыка</t>
  </si>
  <si>
    <t>The manual contains theoretical and practical material reflecting the content of the elective course “Performance mastery a music teacher (Choral Conducting)”, which is an important part of the general course of conducting and choral disciplines in the curriculum of the specialty “6В01402 - Music Education”. The manual is structured around the themes that determine the content of choirmaster training in deepening conductor’s knowledge and improving the acquired skills and abilities. 
 The manual provides the description of the basic concepts of conductor-choral training of future music teachers, assignments for the student’s independent work and independent work of students with a teacher, includes a recommended list of references and control questions for the course. The appendix contains a glossary of musical terms and examples of musical works. /Пособие содержит теоретический и практический материал, отражающий содержание элективного курса «Исполнительское мастерство учителя музыки (хоровое дирижирование)», который является важной частью общего курса дирижерско-хоровых дисциплин в учебном плане специальности «6В01402 - Музыка». Образование". Пособие построено вокруг тем, определяющих содержание хормейстерской подготовки по углублению дирижерских знаний и совершенствованию приобретенных навыков и умений.Пособие содержит описание основных понятий дирижерско-хоровой подготовки будущих учителей музыки, задания для самостоятельной работы студента и самостоятельной работы студента с преподавателем, включает рекомендуемый список литературы и контрольные вопросы по курсу. Приложение содержит глоссарий музыкальных терминов и примеры музыкальных произведений.</t>
  </si>
  <si>
    <t>00010806</t>
  </si>
  <si>
    <t>Қошқарова Б.С., Ахметкалиева Р.Д.</t>
  </si>
  <si>
    <t>Дифференциалдық теңдеулер үшін шекаралық есептер</t>
  </si>
  <si>
    <t>Оқу құралда екінші ретті қарапайым дифференциалдық теңдеулер үшін шекаралық есептер туралы теориялық ақпараттар ұсынылған. Әр тақырып типтік мысалдарымен қамтамасыз етілген. Сонымен қатар, құралдың соңында өзін өзі тексеруге арналған сұрақтар және өз бетінше орындауға арналған тапсырмалар берілген. Оқу құрал пәннің оқу бағдарламасы негізінде жасалған және механика-математика факультетінің білім алушылары мен оқытушыларына пайдалануға болады.</t>
  </si>
  <si>
    <t>00010807</t>
  </si>
  <si>
    <t>Шабалин Л.И.</t>
  </si>
  <si>
    <t>Поверхностный разуплотненный слой твердых веществ</t>
  </si>
  <si>
    <t>В этой, уже восьмой, книге автор последовательно развивает свои представления о существовании в природе силы, названной силой разуплотнения поверхностного слоя жидких, твердых и газообразных веществ — СРПС. Показано проявление температурной составляющей этой силы (Т-СРПС) в твердых веществах при процессах кристаллизации, испарения, спекания, горения, трения, в гетерогенном катализе, адсорбционных явлениях и т. д. Изложена новая трактовка понятий поверхностного натяжения и свободной поверхностной энергии, механизмы возникновения которых существенно различаются между собой. Приведенные данные позволяют заключить, что поверхностный разуплотненный слой веществ является важнейшей наноструктурой в природе.Книга предназначена для широкого круга исследователей, работы которых связаны с поверхностными явлениями.</t>
  </si>
  <si>
    <t>00010808</t>
  </si>
  <si>
    <t>Shabalin L.I. / Шабалин Л.И.</t>
  </si>
  <si>
    <t>Introduction in molecular physics of the surface</t>
  </si>
  <si>
    <t>In this already tenth book, devoted surface phenomena, the author summerizes the results of his instigations of molecular physics of surface. The main purpose of the investigations is elaboration of the idea about existence in the nature of unknown to the science force called force of decondensation of the superficial layer (FDSL) of liquid, solid and gaseous substances, which is the fundamental phenomenon of the nature. The book is intended for broad association of specialists in spheres of natural and technical sciences, works of which is connected with processes on the surfaces of substances. // В этой уже десятой книге, посвященной поверхностным явлениям, автор обобщает результаты своих исследований молекулярной физики поверхности. Основной целью исследований является разработка идеи о существовании в природе неизвестной науке силы, называемой силой деконденсации поверхностного слоя (FDSL) жидких, твердых и газообразных веществ, которая является фундаментальным явлением природы. Книга предназначена для широкого круга специалистов в области естественных и технических наук, работа которых связана с процессами на поверхностях веществ.</t>
  </si>
  <si>
    <t>00010809</t>
  </si>
  <si>
    <t>Основы молекулярно-кинетической концепции рудо- и магмообразования</t>
  </si>
  <si>
    <t>физика,геология</t>
  </si>
  <si>
    <t>Изложены основы новой концепции рудо- и магмообразова-ния, названной автором молекулярно-кинетической в отличие от сущест¬вующей сейчас феноменологической (термодинамической). Концепция базируется на четырех положениях: 1) молекулярно-кинетичес¬кой силе разуплотнения поверхностного слоя воды, 2) контактно-соударительном законе, 3) принципе устойчивости-энергоподвижности, 4) автометасоматически-мобилизационной модели постмагматического рудообразования. Эта концепция рас-смотрена на примерах конкретных геологических процессов; на ее основе показан меха¬низм формирования дифференцированной земной коры и континентов. Предназначена для широкого круга геологов.</t>
  </si>
  <si>
    <t>0001081</t>
  </si>
  <si>
    <t>Учет и анализ ресурсного потенциала предприятий в условиях МСФО</t>
  </si>
  <si>
    <t>Ресурсный потенциал предприятий является основой повышения конкурентоспособности, инвестиционной и деловой активности. Исследование состава и структуры ресурсного потенциала, а также методов его оценки на уровне предприятий является актуальной научно-практической задачей. Нахождение новых способов повышения привлекательности и активности предприятия на основе эффективного управления его ресурсным потенциалом является главным в решении проблемы вовлечения экономических ресурсов предприятия в реализацию приоритетных проектов.Управление ресурсным потенциалом предприятия – жизненно обусловленная стратегическая функция. Экономический потенциал формируется на предприятии как результат использования всех ресурсов при условии активизации трудового и научно-технического потенциала с учетом факторов внутренней и внешней среды, при этом в процессе реализации производственного потенциала происходит изменение структуры имущества предприятия и финансовых источников, его обеспечивающих, что отражается на финансовом состоянии предприятия.Ориентируясь на дальнейшее развитие предприятия необходимо принимать такие управленческие решения, которые обеспечили бы прирост экономического, и как следствие, ресурсного потенциала как результат эффективного использования и управления ресурсами.Учебное пособие «Учет и анализ ресурсного потенциала предприятий в условиях МСФО» предназначено для студентов и магистрантов экономических специальностей, менеджеров, практикующих бухгалтеров.</t>
  </si>
  <si>
    <t>00010810</t>
  </si>
  <si>
    <t>Force of decondensation of the superficial layer of water as fundamental phenomenon, creating exchange of substances
 (claim for discovery)</t>
  </si>
  <si>
    <t>00010811</t>
  </si>
  <si>
    <t>Рисуем камнеграфии вместе с природой</t>
  </si>
  <si>
    <t>живопись,камнедело</t>
  </si>
  <si>
    <t>Представленный альбом камнеграфий характеризует новое развиваемое автором направление в художественном искусстве, названное в целом композитография, а применительно к цветным камням – камнеграфия, к растениям - растениеграфия, а к пейзажным фотографиям – пейзажеграфия. Сущность его заключается в использовании для создания художественных картин тех красок и текстур, которые мы зрительно в цвете видим вокруг нас: листьев растений, стволов деревьев, всех видов цветов и плодов растительного мира, срезов всех типов цветных камней, краски неба и облаков, воды, мелкие детали пейзажа и т.д. Это направление в искусстве стало возможным только сейчас в связи с широким распространением компьютеров и цифровых фотоаппаратов, т.к. сфотографировав или отсканировав какой либо текстурный узор его можно быстро и просто перенести в компьютер и там в фотошопе сделать любую композицию из них. Автор, как геолог, сосредоточился в основном на искусстве камнеграфии, которое в основном и представлено в этом альбоме.Книга представляет интерес для людей, интересующихся и профессионально занимающихся художественным искусством, для школьников, учителей школ, студентов геологических и географических специальностей учебных заведений, художников - дизайнеров различного профиля, для научных работников, интересующихся текстурами и генезисом горных пород и руд и саморазвитием органической и неорганической природы в целом.</t>
  </si>
  <si>
    <t>00010812</t>
  </si>
  <si>
    <t>Сила разуплотнения поверхностного слоя воды и ее роль в геологических процессах</t>
  </si>
  <si>
    <t>В этой, уже шестой, книге автор последовательно разрабатывает и углубляет представление о существовании в природе неизвестной ранее фундаментальной силы – молекулярно-кинетической силы разуплотне¬ния поверхностного слоя (СРПС) жидких, твердых и газообразных ве¬ществ, и в первую очередь воды. Сущность этой силы заключается в том, что в период растекания воды и увеличения ее поверхности в новообра¬зующиеся участки ее поверхностного слоя подходят глубинные слои воды и разуплотняются здесь с силой, равной силе температурного расширения для воды в целом (температурная составляющая – Т-СРПС) и с силой осмотического давления для растворенных в воде веществ (осмотическая составляющая – О-СРПС).Более детально рассмотрены те ошибки в существующей молеку¬лярно-кинетической теории газов и жидкостей и поверхностных процессов, которые не позволяют теоретически обосновать это явление.Показана роль СРПС в главнейших геологических процессах и дру¬гих природных явлениях.Работа предназначена для специалистов по физике и химии, зани¬мающихся изучением поверхностных явлений, и для широкого круга гео¬логов.</t>
  </si>
  <si>
    <t>00010813</t>
  </si>
  <si>
    <t>Титаномагнетитовые месторождения. Геология, генезис, перспективы промышленного использования</t>
  </si>
  <si>
    <t>Изучены закономерности размещения и образования, технологическая минералогия и перспективы промышленного использования титано-магнетитовых руд как комплексного железо-титанованадиевого сырья на примере месторождений России и в первую очередь юга Сибири, с использованием также опубликованных материалов по главнейшим зарубежным месторождениям. Показано, что в России, обладающей большей частью мировых ресурсов титаномагнетитовых руд, имеются огромные перспективы для обеспечения собственным титановым сырьем своей промышленности, расширения добычи ванадия и возможность стать крупнейшим экспортером этих продуктов, основываясь на новых прогрессивных разработках российских ученых – металлургов.Книга представляет интерес для специалистов, изучающих проблемы дифференциации титаноносных базитовых и ультрабазит-базитовых интрузивов, генезиса и технологической минералогии титаномагнетитовых руд в них и использования этого вида сырья для промышленных целей.</t>
  </si>
  <si>
    <t>00010814</t>
  </si>
  <si>
    <t>Как саморазвивается живая и неживая природа</t>
  </si>
  <si>
    <t>философия, физика</t>
  </si>
  <si>
    <t>00010815</t>
  </si>
  <si>
    <t>Современные методы экономического анализа</t>
  </si>
  <si>
    <t>Учебное пособие направлено на формирование теоретических знаний и практических навыков в области современного экономического анализа.Пособие содержит теоретический метриал, практическую часть, индивидуальные задания по вариантам, а также методические рекомендации по их выполнению.Глоссарий экономических понятий и терминов поможет обучающимся при освоении теоретического материала и выполнении практических заданий.Предназначено для преподавателей и магистрантов экономических специальностей. Пособие может использоваться для самосточтельного изучения материала, при проведении практических занятий по дисциплине «Современные методы экономического анализа», а также для самообразования руководителей всех уровней управления.</t>
  </si>
  <si>
    <t>00010816</t>
  </si>
  <si>
    <t>Сила разуплотнения поверхностного слоя воды как фундаментальное явление природы, создающее обмен веществ</t>
  </si>
  <si>
    <t>Изложена разработанная автором идея о существовании неизвестного ранее фундаментального явления природы – молекулярно-кинетической силы разуплотнения поверхностного слоя воды в момент его образования. Эта сила является главнейшим механизмом, создающим в земной коре микропористые среды и обмен веществ сквозь них при образовании эндогенных месторождений и магматических пород и обмен веществ в биологических клетках растений и живых организмов. Этот механизм лежит в основе жизни на Земле. Его открытие позволяет объяснить неясные еще причины ряда природных процессов (осмос, гетерогенный катализ, поддержание проницаемости горных пород в земной коре, эффект Ребиндера, силу роста корней растений и т.д.), а также найти новые подходы к лечению ряда болезней, в том числе и пока неизлечимых, и разработать способы предотвращения природных катастрофических явлений – землетрясений и оползней. Первым практическим результатом открытия является разработка автором первого в истории человечества и пока единственного способа предотвращения катастрофических землетрясений (патент РФ, № 2140492, приоритет от 24.06.98).</t>
  </si>
  <si>
    <t>00010817</t>
  </si>
  <si>
    <t>Действительно ли существует сила разуплотнения поверхностного 
 слоя веществ (сила Шабалина)?</t>
  </si>
  <si>
    <t>Книга предназначена для широкого круга специалистов во всех областях естественных и технических наук, работы которых связаны с изучением процессов на поверхности веществ, в микропористых и микротрещинных системах, с исследованием наноструктур и разработкой нанотехнологий.</t>
  </si>
  <si>
    <t>00010819</t>
  </si>
  <si>
    <t>Поверхностные и собственно наноструктуры жидких, твердых и газообразных веществ 2 том</t>
  </si>
  <si>
    <t>Книга предназначена для широкого круга специалистов в области естественных и технических наук, работы которых связаны с изучением процессов на поверхности веществ, в микропористых системах, исследованием наноструктур и разработкой нанотехнологий.</t>
  </si>
  <si>
    <t>0001082</t>
  </si>
  <si>
    <t>Современная теория и практика бухгалтерского учета 1 том</t>
  </si>
  <si>
    <t>Учебное пособие «Современная теория и практика бухгалтерского учета» раскрывает сущность современного бухгалтерского учета, описывает основные способы его организации на отдельных участках финансово-хозяйственной деятельности предприятия в соответствии с действующей методологией и нормативными документами. В целях лучшего усвоения материала к каждой теме разработаны практические ситуации и задачи по организации учетной работы предприятия, а также вопросы и тесты для контроля и оценки знаний студентов. В результате освоения материала студенты и магистранты получат практические знания, навыки и умения, которые позволят работать бухгалтером в организации любого типа. Учебное пособие «Современная теория и практика бухгалтерского учета» разработано для студентов, магистрантов экономических специальностей высших учебных заведений, учащихся колледжей, специализирующихся по бухгалтерскому учету и финансовой отчетности, слушателей курсов и школ подготовки и переподготовки работников экономических специальностей, а также интересующихся практической организацией бухгалтерского учета и финансовой отчетности на предприятиях.</t>
  </si>
  <si>
    <t>00010820</t>
  </si>
  <si>
    <t>Движущие силы природы и стратегия выживания человечества</t>
  </si>
  <si>
    <t>В книге, кроме известных фундаментальных движущих сил природы – гравитационной, ядерной, электромагнитной, механической, рассмотрены еще три новых вида таких сил, выделенные автором впервые. К ним относятся сила разуплотнения поверхностного слоя веществ – СРПС и две духовные силы человека – сила материалистических чувств человека и сила его гуманистических чувств, на характеристике которых и сосредоточено все внимание. Показана роль этих сил в разных природных сферах Земли, в земной коре, в космосе и в человеческом обществе. Наибольшее внимание уделено СРПС и ее действию в различных природных процессах.Стратегия выживания человечества, по мнению автора, будет осуществляться в соответствии с лозунгом:«жить в согласии с природой, используя возобновляемые ресурсы и максимально экономя невозобновляемые». Показано, что это станет возможным только при наступлении пика добычи главнейших видов невозобновляемых полезных ископаемых и последующем сокращении их ресурсов, когда начнется спад промышленного производства, снижение прибыли интернациональных промышленных корпораций, их разорение и в результате этого переход промышленных предприятий в государственную собственность. Тогда будет возможным строительство социалистического общества во всех странах мира одновременно, когда сила гуманистических чувств человека сможет преодолеть силу его материалистических чувств, и это заставит его отказаться от господствующей сейчас потребительской идеологии.Книга представляет интерес для широкого круга специалистов в области естественных, технических и гуманитарных наук, а также для тех, кто просто хочет знать о перспективах будущей жизни человечества на планете Земля.</t>
  </si>
  <si>
    <t>00010821</t>
  </si>
  <si>
    <t>Гаврилова Т.В., Тулиндинова Г.К., Баймурзина Б.Ж., Габдуллин Е.С.</t>
  </si>
  <si>
    <t>Биология бойынша жаттықтырушы</t>
  </si>
  <si>
    <t>Оқу құралы өз білімдерін биологияда тереңдетуді қалайтын мұғалім- дер мен мектеп оқушыларына арналған түпнұсқа оқу-әдістемелік материал болып табылады. Әрбір бөлім авторлармен екі бөлікке бөлінеді: ақпарат- тандыратын және бақылайтын. Анықтамалық-ақпараттық материал кестелер мен схемалар түрінде ұйымдастырылған, бұл салыстырмалы қысқаша және оны баяндаудың сығылуы кезінде қажетті ақпараттың көп мөлшерін беруге мүмкіндік береді. Әр бөлім бойынша 30 тест тапсырмалары қарастырылған, олар да түпнұсқа болып табылады және авторлардың өздері құрастырады.</t>
  </si>
  <si>
    <t>00010822</t>
  </si>
  <si>
    <t>978-601-330-329-1</t>
  </si>
  <si>
    <t>Зәуірбек Ә.К.</t>
  </si>
  <si>
    <t>Рекомендации по трансформации в водохранилищах и пропуска половодья 1% обеспеченности транзитом по створу реки Есиль</t>
  </si>
  <si>
    <t>Гидрология, Водные ресурсы</t>
  </si>
  <si>
    <t>В монографии освещены основы расчета трансформации половодья в случаях каскадного расположения регулирующих водные ресурсы водохранилищ в Есильском водохозяйственном бассейне (ВХБ). Описаны особенности решения проблемы трансформации половодьи водохранилищами и возможности борьбы с опасными идрологическими явлениями (наводнениями) при современном уровне использования водно-земельных ресурсов. Обоснованы принципиальные особенности решения проблемы трансформации половодьи 1% (0,1%) обеспеченности водохранилищами и возможности борьбы с опасными гидрологическими явлениями (наводнениями) при перспективном уровне использования водно-земельных ресурсов. Приведены основные выводы и предложения, которые должны решаться в предстоящие ближайшие 5-10 лет.В приложениях приведены научно-методологические основы определения расчетного режима стока реки в створах, где наблюдаются хозяйственная деятельность. 
 И реестр разработок автора подготовленных в виде проспектов (без выходных данных) по рациональному использованию природных ресурсов, и в других направлениях в Республике Казахстан:Рекомендации предназначены научным работникам, сотрудникам проектно-изыскательских и эксплуатационных организации водного хозяйства. Они могут быть полезными студентам специальности 5В061000 – Гидрология и 5В081000 - Водные ресурсы и водопользование, магистрантам и докторантам специальности в отрасли Водное хозяйство</t>
  </si>
  <si>
    <t>00010823</t>
  </si>
  <si>
    <t>978-601-330-328-4</t>
  </si>
  <si>
    <t>Зәуірбек Ә.К., Тусупбеков Ж.А.</t>
  </si>
  <si>
    <t>Методическое пособие по выполнению полевых и камеральных работ к учебной практике по гидрометрии</t>
  </si>
  <si>
    <t>Настоящее методическое пособие устанавливает требования к прохождению учебной гидрометрической практики и закреплению основных положений теоретического курса «Гидрометрия 1» и «Гидрометрия 2» и разработано на основе ГОСО и модульной образовательной программы специальности 5В061000 – Гидрология. Пособие является одним из элементов комплекса методического обеспечения учебной практики «Гидрометрия», источником информации при подготовке и прохождении полевых работ, изучения основных характеристик водного потока при непосредственном выполнении гидрологических изысканий на водных объектах г.Нур-Султан и прилегающей территории.В работе приведены цель и задачи, правила соблюдения техники безопасности, рекомендации к организации и выполнению учебной практики. Освещены технические характеристики и принцип работ основных гидрометрических приборов, инструментов и других видов оборудования, применяемых в речной и озерной гидрометрии; технологии производства основных гидрометрических работ и наблюдений; принципы составления гидрографического описания водных объектов и их долин, обработки материалов полевых наблюдений, порядок ведения журнала о выполненных работах. Приведены методические указания к составлению отчета по учебной практике, составу и форме необходимых документов по их оформлению и его защите. Все указания по выполнению наблюдений приводятся в соответствии с действующими наставлениями гидрометеорологическим станциям и постам и гидрологическим наблюдениям и работам на реках</t>
  </si>
  <si>
    <t>00010824</t>
  </si>
  <si>
    <t>Айдарова А.Б.</t>
  </si>
  <si>
    <t>Кәсіпорын қызметін жоспарлау</t>
  </si>
  <si>
    <t>Экономика,Бизнес</t>
  </si>
  <si>
    <t>Оқулықта кәсіпорындағы жоспарлау жүйесі: жоспарларды жасау әдістері мен қағидалары, жоспарлардың есептелінуі мен кезектілігін өзара байланыстыра отырып, оларды кешенді негіздеу қарастырылған.
 Жоспарлы көрсеткіштерді негіздеу мәселелері жоспарлаудың заманауи көзқарастары мен әдістемелерін ескере отырып берілген: бюджеттеу, бизнес-жоспарлау, болжамдау, бағдарламалы-мақсатты жоспарлау.
 Оқулық экономикалық және техникалық бағыттағы білім беру бағдарламалары бойынша білім алушыларға, магистранттарға, докторанттарға, ғылыми қызметкерлер мен жоғары оқу орындарының, колледждердің оқытушыларына, барлық меншік нысанындағы кәсіпорындардың және қаржы қызметтерінің басшыларына, мамандарына арналған, сондай-ақ жоспарлаудың теориялық және практикалық мәселелеріне қызығушылық танытатын көптеген оқырмандар үшін пайдалы болуы мүмкін.</t>
  </si>
  <si>
    <t>00010825</t>
  </si>
  <si>
    <t>Зайкенова Руда</t>
  </si>
  <si>
    <t>М.Әуезовтің «Абай жолы» роман-эпопеясындағы ұлттық салт-дәстүр тағылымы</t>
  </si>
  <si>
    <t>Филология,История,Педагогика,Психология</t>
  </si>
  <si>
    <t>Бұл еңбекте академик-жазушы Мұхтар Әуезовтің (1897-1961) 26 тарау, екі эпилогтан тұратын төрт томдық Абай жолы» роман-эпопеясы әр кітап, әр тарау бойынша тұтас талданады. Осы арқылы оқырман қауым ата-бабамыздың күнелту салты, тұрмыс-тіршілігі, әдет-ғұрпы, салт-дәстүрі, үлгі-өнегесі, машық-дағдысы, той-думан, сауық-сайраны, тарих тағылымы сияқты қазақ өмірінің көркем шежіресімен жете таныса алады. Сондай-ақ Абайдың 50 жылғы саналы ғұмыр жолын таниды өмір шындығы мен көркем шындық туралы тиянақты тұжырым табады. Кітап жасөспірімдерге, студенттерге, ата-аналарға және көпшілік қауымға арналған.</t>
  </si>
  <si>
    <t>00010826</t>
  </si>
  <si>
    <t>Ибашова А. Б.</t>
  </si>
  <si>
    <t>Бастауышта «ақпараттық-коммуникациялық технология» курсын оқытудың теориялық-әдістемелік негіздері</t>
  </si>
  <si>
    <t>Монографияда жаңартылған бағдарлама бойынша бастауыш білім беру деңгейіндегі пәндерді оқыту ерекшеліктері, «Ақпараттық-коммуникациялық технологиялар» пәнін енгізудің қажеттілігі мен оны оқыту мәселелері,бастауыш сыныптарда оқушылардың ақпараттық мәдениетін қалыптастырудың маңызы, сондай-ақ бастауыш мектепте ақпараттық-білім беру ортасын қолдану, аталған курсты SMART-технологиясымен оқыту мүмкіндіктері бойыншаScratch бағдарламалау ортасы, Scratch және робот техника бойынша бағдарламалауды үйрететін технологиялар, мәтіндік редакторды оқытудағы технологиялар, оnline оқытуда әлеуметтік желілерді пайдалану жолдары ашылып, олардың шарттары анықталады.Жұмыс ҚР БҒМ грантының қаржылық қолдауымен орындалды (AP09260464" Smart-білім беру жағдайында "Scratch" және "Робототехника" курстары бойынша бастауыш мектепте ақпараттық білім ортасын әзірлеу " гранты).</t>
  </si>
  <si>
    <t>00010827</t>
  </si>
  <si>
    <t>Дробинский А.В, Кириченко Л.Н.,</t>
  </si>
  <si>
    <t>Электропреобразовательные устройства радиоэлектронных средств</t>
  </si>
  <si>
    <t>электроэнергетика</t>
  </si>
  <si>
    <t>В учебном пособии изложены основы электропреобразовательных устройств радиоэлектронных средств. Содержит разделы, в которых рассматриваются устройства, выполняемые на неуправляемых и управляемых полупроводниковых приборах (диодах и тиристорах). Вначале подробно рассматривается принцип функционирования схем на идеализированных элементах, а уже затем учитывается влияние реальных параметров диодов, тиристоров, трансформаторов и т. п. Рекомендуется студентам технических специальностей вузов, а также разработчикам элктропреобразовательных устройств, имеющих интерес к данному учебному пособию.</t>
  </si>
  <si>
    <t>00010828</t>
  </si>
  <si>
    <t>Жұмағұлова Қ. А. (Жумагулова К. А.)</t>
  </si>
  <si>
    <t>Биологияны оқыту үдерісінде мазмұндық-таңбалық модельдерді пайдалану әдістемесі</t>
  </si>
  <si>
    <t>Бұл, монографияда мазмұндық-таңбалық моделлдер және оны оқыту үрдісінде пайдаланудың тарихи-педагогикалық аспектілеріне теориялық талдау жасалып, оқыту үрдісінде мазмұндық-таңбалық моделдерді пайдалану арқылы білім алушылардың бiлiм сапасын арттырудың мүмкіндіктеріне және оқыту үрдiсiнде таңбалық-символдық көрнекiлiктi пайдалану арқылы негізгі ғылыми ұғымдарды қалыптастыру мен дамыту жолдары баяндалады. Монография мектеп мұғалімдеріне, әдіскерлерге, білім беру жүйесінің қызметкерлеріне арналған.</t>
  </si>
  <si>
    <t>00010829</t>
  </si>
  <si>
    <t>Әленов Ж.Н. (Аленов Ж.Н.), Балтабаев Қ.А. , Исмаилова А.А., Шаймерденов С.Қ.,</t>
  </si>
  <si>
    <t>Зиянкестер, аурулар мен арамшөптердің пайда болуын болжау және ескерту</t>
  </si>
  <si>
    <t>Агрономия</t>
  </si>
  <si>
    <t>Оқу құралында ауыл шаруашылық дақылдарының зиянкестері, аурулары және арамшөптері туралы толықтай мағлұматтар берілген. Нақтылы диагностика жасау үшін керекті зиянды ағзалардың морфологиясы және биоэкологиясы көрсетілген, сонымен қатар зиянкестермен залалданған өсімдіктердің сырт пішіндері сипатталған және аурулардың нышандары қарастырылған. Оқулықта ҒЗИ және өсімдік қорғау орталықтарының көпжылдық зерттеу жұмыстарының нәтижелері пайдаланылған. Жоғарғы және орташа білім беретін оқу орындарының агроном мамандықтар студенттеріне арналған оқу құралында ауыл шаруашылық дақылдарының зиянкестері, аурулар мен арамшөптердің пайда болуын болжау және ескерту туралы баяндалған.</t>
  </si>
  <si>
    <t>0001083</t>
  </si>
  <si>
    <t>Современная теория и практика бухгалтерского учета 2 том</t>
  </si>
  <si>
    <t>00010830</t>
  </si>
  <si>
    <t>Аленов Ж.Н., Сыздыкова Г.Т., Балтабаев К.А.,</t>
  </si>
  <si>
    <t>Солтүстік Қазақстанның ауылшаруашылық дақылдарын апробациялаудың нұсқаулық және басшылық құралы». (Толықтыру)</t>
  </si>
  <si>
    <t>Бұл оқу құралында – апробацияны жүргізудің теориялық және тәжірибелік принциптерінің тәртібі мен ережелері берілген. Солтүстік Қазақстанда өсетін дақылдардың апробациялық нышандары көрсетілген және студентердің өздік дайындалуына керекті материалдар бар. Сонымен қатар апробациялық бауларды сұрыптау және құжаттарды толтыру жолдары қарастырылған. Еңбек ауылшаруашылық оқу орындарының студентеріне, магистранттарына, ауыл шаруашылық мамандарына және апробаторларды дайындауға арналған.</t>
  </si>
  <si>
    <t>00010831</t>
  </si>
  <si>
    <t>978-601-13-0070-4</t>
  </si>
  <si>
    <t>Аленов Ж.Н., Сыздыкова Г.Т.,</t>
  </si>
  <si>
    <t>Руководство и инструкция по апробации зерновых, зернобовых, масличных и кормовых культур  Северного Казахстана (с дополнением)</t>
  </si>
  <si>
    <t>В данном учебном пособии освещаются теоретические и практические принципы проведения апробации. Указаны апробационные признаки культур, возделываемых и диверсификационных масличных, кормовых культур в Северном Казахстане и содержатся материалы для самостоятельной подготовки студентов. Большое внимание уделено на анализ апробиционного снопа и заполнения документации. Предназначена для студентов сельскохозяйственных вузов , магистрантов, специалистов сельского хозяйства и для подготовки апробаторов.</t>
  </si>
  <si>
    <t>00010832</t>
  </si>
  <si>
    <t>978-601-13-0077-3</t>
  </si>
  <si>
    <t>Аленов Ж.Н., Костиков И.Ф.,</t>
  </si>
  <si>
    <t>Интродукция новых и малораспространенных культур в Северном Казахстане. Часть 4 - Козлятник восточный (Galegaorientalis)</t>
  </si>
  <si>
    <t>Монография предназначена в качестве руководства при широкомасштабном введении в культуру козлятника восточного в условиях северных областей Казахстана с использованием на кормовые цели. Представляет интерес не только для специалистов и руководителей предприятий, занятых в сфере сельскохозяйственного производства, но и для студентов, магистрантов и преподавателей сельскохозяйственных учебных заведений. Обширный экспериментальный материал, представленный в этой работе, основан преимущественно на многолетней исследовательской работе учёных Северного Казахстана. Доказана возможность и перспектива использования козлятника восточного в зеленом и сырьевых конвейерах в условиях лесостепной и умеренно-засушливой сельскохозяйственных зон региона в качестве взамодополняющей культуры к традиционно возделываемым многолетним бобовым травам.</t>
  </si>
  <si>
    <t>00010833</t>
  </si>
  <si>
    <t>Сейтхожин Б.У., Сарсембаев Б.Ш., Феткулов А.Х.,</t>
  </si>
  <si>
    <t>Уголовно-правовые аспекты экономической контрабанды по законодательству Республики Казахстан</t>
  </si>
  <si>
    <t>В монографии представлены материалы ученых-юристов по актуальным проблемам экономической контрабанды в Республике Казахстан. На основе изучения юридической литературы, а также нормативных правовых актов рассматривается историко-правовой анализ и проблемы квалификации уголовного правонарушения, предусмотренного ст.234 Уголовного кодекса Республики Казахстан «Экономическая контрабанда». Монография представляет научный и практический интерес для студентов, слушателей высших учебных заведений, учащихся юридического колледжа, научных работников, преподавателей, магистрантов, докторантов, работников правоохранительных и таможенных органов, а также для всех заинтересованных лиц, осуществляющих внешнеэкономическую деятельность.</t>
  </si>
  <si>
    <t>00010834</t>
  </si>
  <si>
    <t>978-601-13-0078-0</t>
  </si>
  <si>
    <t>Сыздыкова Г.Т., Малицкая Н.В., Балтабаев К.А.</t>
  </si>
  <si>
    <t>Солтүстік Қазақстанда ауыл шаруашылығы дақылдарын өсірудің заманауилы технологиясы</t>
  </si>
  <si>
    <t>Оқулықта ауылшаруашылығы мақсатындағы негізгі нысандарды дайындау барысындағы талаптарды қамтиды: топырақ, өсіруге керекті тұқымдар, және сонымен қатар егу, күтіп баптау, егістік дақылдарды жинаудағы агрономиялық амалдарды сапалы түрде және заманауилы технологияларға сәйкестендіру туралы мағлұматтар бар.Технологияның әрбір элементтерінің сыртқы нышандардың әсеріне тәуелділікті екендігі айшықталынған. Өсірудің заманауилы технологиясы дақылдардың шаруашылықты бағыттары бойынша сипатталынған: дәнділер, астықбұршақтылар, майлылар, малазықтылар, көкөністер. Материалды жете түсінушілер үшін бақылау сұрақтары және әдебиеттер ұсынылған. Құрал оқу процессінде студенттерге, Агрономия мамандығы бойынша магистранттарға және өсімдікшаруашылығы, егіншілік бағытындағы докторанттарға да арналған. Оқулық оқытушылар, ғылыми қызметкерлер, ауылшаруашылығы құрылымдарының мамандарына да керекті және қызықты оқулық болып саналады</t>
  </si>
  <si>
    <t>00010835</t>
  </si>
  <si>
    <t>978-601-13-0079-7</t>
  </si>
  <si>
    <t>Сыздыкова Г.Т., Малицкая Н.В.,</t>
  </si>
  <si>
    <t>Современные технологии возделывания сельскохозяйственных культур в Северном Казахстане</t>
  </si>
  <si>
    <t>Учебное пособие включает материал, охватывающий требования по подготовке объектов сельскохозяйственного назначения: почвы, семян к возделыванию, а также к качественному проведению агрономических операций по посеву, уходу, уборке полевых культур в зависимости от современных технологий возделывания. Каждый элемент технологии описан в зависимости от влияния внешних факторов. Современные технологии возделывания представлены по хозяйственным направлениям культур: зерновые, зернобобовые, масличные, кормовые, овощные. Для усвоения материала тем предлагаются контрольные вопросы и литература. Пособие предназначено для использования в учебном процессе студентами, магистрантами специальности Агрономия и докторантами в направлениях растениеводство, земледелие. Учебное пособие будет интересно преподавателям, научным сотрудникам, специалистам сельскохозяйственных формирований.</t>
  </si>
  <si>
    <t>00010836</t>
  </si>
  <si>
    <t>Кумисбеков С.А., Волненко А.А., Серікұлы Ж., Сериков А.С.</t>
  </si>
  <si>
    <t>Аппарат с регулярной пластинчатой вибрирующей насадкой. Разработка и расчета</t>
  </si>
  <si>
    <t>Нефть, химия</t>
  </si>
  <si>
    <t>В монографии представлены результаты исследования авторов, приведена созданная авторами конструкция аппарата с регулярной пластинчатой вибрирующей насадкой, методика их расчета, рекомендации по проектированию промышленных аппаратов и определена область предпочтительного применения. Монография рассчитана на научных и инженерно-технических работников химической, нефтехимичесской и нефтеперерабатывающей отраслей промышленности. Она может быть полезна студентам, магистрантам и докторантам PhD химико-технологических специальностей.</t>
  </si>
  <si>
    <t>00010837</t>
  </si>
  <si>
    <t>Онгарбаева Г. Б.</t>
  </si>
  <si>
    <t>Истοрия Кaзaхстaнa(сборник заданий)</t>
  </si>
  <si>
    <t>Пособие Истοрия Кaзaхстaнa (сборник заданий) включaeт в сeбя рaзличныe типы зaдaний: вοпрοсы, твοрчeскиe здaния,исслeдοвaтeльскиe рaбοты, зaдaния нa прοвeдeниe срaвнитeльнοгο aнaлизa, зaпοлнeниe тaблиц, устaнοвлeниe сοοтвeтствия мeжду пοнятиeм и οпрeдeлeниeм, дοпοлнeниe нeдοстaющих признaкοв пοнятий, сοстaвлeниe схeм, нaписaниe эссe и др. Прaктичeскиe зaдaния нaучaт aнaлизирοвaть сοбытия; aктуaлизирοвaть прοшлую и сοврeмeнную истοрию; будут способствовать фοрмирοвaнию нaвыков примeнeния истοричeских знaний и умeния рaбοтaть с истοричeскими истοчникaми.Зaдaния рaссчитaны нa бοлee прοчнοe усвοeниe, пοвтοрeниe и зaкрeплeниe знaний, пοлучeнных при изучeнии дисциплины «Истοрия Кaзaхстaнa».Учeбнοe пοсοбиe прeднaзнaчeнο для прeпοдaвaтeлeй шкοл и срeдних прοфeссиοнaльных учeбных зaвeдeний, студeнтοв кοллeджeй.</t>
  </si>
  <si>
    <t>00010838</t>
  </si>
  <si>
    <t>Сыдықбаев Ж.Т.(Сыдыкбаев Ж.Т.), Шамбулов Е.Д., Мустамбаев Н.К.,</t>
  </si>
  <si>
    <t>Технологиялық машиналар және жабдықтарды жинақтау және пайдалану зертханалық практикум</t>
  </si>
  <si>
    <t>Технологические машины и оборудования</t>
  </si>
  <si>
    <t>Оқу құралында технологиялық машиналар мен жабдықтарды орнату, жинақтау, баптау, ретке келтіру және пайдалану бойынша материалдар келтірілген. Зертханалық жұмыстар тақырыбы осы аталған сипаттамаларды қамтиды. Әр зерт¬ханалық жұмыстың соңында жасалған жұмыс бойынша сұрақ¬тар келтірілген. Кітап жоғары оқу орындары студенттері мен магистранттарына, сонымен қатар осы салаға қызығушылық танытатын ғылыми қызметкерлер мен оқытушы¬ларға арналған.</t>
  </si>
  <si>
    <t>00010839</t>
  </si>
  <si>
    <t>Байжанов Ә.Ж., Жалғасова К.Ә.</t>
  </si>
  <si>
    <t>Механикалық берілістер</t>
  </si>
  <si>
    <t>Прикладная механика</t>
  </si>
  <si>
    <t>Ұсынылып отырған оқу құралында машиналар мен жабдықтардың негізгі құраушы бөлігі болып саналатын механикалық берілістердің түрлері мен конструкциялары, жобалау есептері мен құрастыру негіздері қарастырылған. Кітаптың әрбір бөлімінде берілістің түрлері жеке механизм түрінде де, медициналық техника құрамына енетін беріліс ретінде де баяндалған. Оқу құралы «Қолданбалы механика» пәнінің бағдарламасы мен оқу жоспарының талаптарына сәйкес құрастырылған және механикалық берілістер бойынша материалдар толық қамтылған.Оқу құралы ЖОО және орта дәрежелі техникалық оқу орындарында білім алушыларға арналған, сондай-ақ өндірісте еңбек етіп жүрген инженерлер мен технологтар және т.б. техника мамандары да пайдалануына болады.</t>
  </si>
  <si>
    <t>0001084</t>
  </si>
  <si>
    <t>Электронные формы налоговой отчетности 1 том</t>
  </si>
  <si>
    <t>Электронные формы налоговой отчетности являются одним из важнейших звеньев в системе налоговых отношений Республики Казахстан. Это проявляется, прежде всего, в защите экономических интересов государства. В последние годы усилилась роль фискальной функции налоговых органов. За время существования, налоговая служба, являясь составным элементом контролируемых органов Республики Казахстан вносит значительный вклад в решение задач по пополнению доходной части бюджета.Целью изучения курса «Электронные формы налоговой отчетности» является формирование у студентов и магистрантов знаний теоретических и методологических основ действующей в Республике Казахстан системы налогообложения и практических навыков по расчету и учету платежей по налогам, а также по составлению электронных форм налоговой отчетности. Основными задачами курса являются:
 - изучение действующей системы налогового учета, выявление взаимосвязи налогового и бухгалтерского учета;
 - освоение методики заполнения налоговой отчетности; - изучение организации работы системы налогового учета;
 - изучение особенностей организации налогового учета у отдельных категорий налогоплательщиков.
 Учебное пособие «Электронные формы налоговой отчетности» предназначено для студентов, магистрантов экономических специальностей, преподавателей, сотрудникам налоговых и финансовых служб, налоговым консультантам и практикующим бухгалтерам.</t>
  </si>
  <si>
    <t>00010840</t>
  </si>
  <si>
    <t>Саршаева А.Б.</t>
  </si>
  <si>
    <t>Ауыл шаруашылық жануарлар етін өңдеу технологиясы</t>
  </si>
  <si>
    <t>пищевое производство</t>
  </si>
  <si>
    <t>Оқу құралында ауыл шаруашылық малдарының (ірі қара, қой, жылқы) түрлері, субөнімдер және құс етін алғашқы өңдеу технологиясы, олардан алынатын өнімдерді өңдеу, жартылай фабрикаттар дайындау технологиясы қарастырылған.
 Оқу құралы «Азық-түлік өнімдерінің технологиясы», «Өңдеу өндірісінің технологиясы» мамандығының студенттеріне арналған қазақ тіліндегі оқу құралы.</t>
  </si>
  <si>
    <t>00010841</t>
  </si>
  <si>
    <t>Умирбекова А.С., Саршаева А.Б., Киябаева А.А.</t>
  </si>
  <si>
    <t>Нан өндірісінің биотехнологиялық және микробиологиялық негіздері</t>
  </si>
  <si>
    <t>Оқу құралында ашытқы жасушаларының және сүтқышқылды бактериаларының метаболизімі, бактериялардың биохимиялық қасиеті, наубайханалық ашытқылардың химиялық құрамы, ерекшеліктері, түрлері, сонымен қатар ашымалдардың микрофлорасы мен биотехнологиялық қасиеттерінің бейімделуін реттеу қарастырылған. 
 «Нан өндірісінің биотехнологиялық және микробиологиялық негіздері» оқу құралы 5В070100- Биотехнология және 5В072800 – Өңдеу өндірісінің технологиясы мамандықтарының студенттеріне арналған.</t>
  </si>
  <si>
    <t>00010842</t>
  </si>
  <si>
    <t>Рахимова Г.Д.</t>
  </si>
  <si>
    <t>Құрманғазы дүниетанымы қалыптасуының мəдени- философиялық алғышарттары</t>
  </si>
  <si>
    <t>Философия,культурология</t>
  </si>
  <si>
    <t>Бұл монографияда мəдениет философиясы аясында қазақ музы- ка өнеріндегі үрдістер Құрманғазы дүниетанымы негізінде зерттелген. Əлемдік мəдениеттің ерекше мұрасы ретінде біздің ұрпаққа жеткен ұлттық өнеріміз қазіргі замана ағымында туындаған тарихи-мəдени жағдайлармен байланыстырла мəдени философиялық тұрғыдан тал- данды. Монографияда жалпы адамзаттық мəдениеттің құрамдас бөлігі болып табылатын қазақтың ұлттық мəдениетінің сарқылмас мол мұралары қайтадан сараланып, əлі де болса, нақты шешімін таппай жүрген, сонымен қатар философиялық тұрғыдан жан-жақты зерттеу- ді қажет ететін өзекті мəдениеттанулық мəселелерге баса көңіл аударылған. Ғылыми еңбек еліміздің жоғарғы оқу орындарының сту- денттері мен магистранттарына, гуманитарлық саланың мамандары- на арналған.</t>
  </si>
  <si>
    <t>00010843</t>
  </si>
  <si>
    <t>Таирова Б.Л., Рахимова Г.Д.</t>
  </si>
  <si>
    <t>Ғылым дамуының философиялық мәселелері</t>
  </si>
  <si>
    <t>Монографияда ежелгі кезеңнен бастап бүгінгі күнге дейінгі аралықта адамзат мәдениеті мен өркениетіне ғылым мен техника, технологияның қосқан үлесіне тарих философиясы негізінде талдау жасалып, адамзат өркениеттің дамуында Батыс пен Шығыс құндылықтарын қарсылық ретінде емес, бір-біріне толықтырушы қызмет атқаратындығының мәні ашылды. Монография философтарға, мәдениеттанушыларға, әлеуметтанушылар мен саясаттанушыларға және жалпы оқырман қауымға арналған.</t>
  </si>
  <si>
    <t>00010844</t>
  </si>
  <si>
    <t>Садыков Ж.А., Гиззатжанова А.Г.</t>
  </si>
  <si>
    <t>Туристік өлкетану</t>
  </si>
  <si>
    <t>Туризм, география</t>
  </si>
  <si>
    <t>Ұсынылған оқу құралы 6В11101 – "Туризм" білім беру бағдарламасына сәйкес, "Туристік-өлкетану жұмысының негіздері", "Туристік өлкетану"пәндері бойынша оқу бағдарламаларының негізінде құрастырылған. Оқу құралы дәріс курсының теориялық сұрақтарын, практикалық жұмыстар мен БӨЖ тапсырмаларын орындауға арналған әдістемелік нұсқауларды, сондай-ақ өзін-өзі бақылауға арналған сұрақтарды және емтиханға дайындалуға арналған тест тапсырмаларын қамтиды.Оқу құралы "Туризм", "Халықаралық және ішкі туризм", "Туризм және қонақжайлылық" мамандықтары/білім беру бағдарламалары бойынша студенттер мен магистранттарға және "География"," География –тарих", осы курс бойынша сабақ жүргізетін мектеп мұғалімдері мен ЖОО оқытушылары, сондай-ақ туған өлкені зерттеуге қызығушылық танытқан көпшілікке арналған</t>
  </si>
  <si>
    <t>00010845</t>
  </si>
  <si>
    <t>Kunzhigitova G.B (Кунжигитова Г.Б.)</t>
  </si>
  <si>
    <t>Conceptual analysis of the fine arts of independent Kazakhstan in the light of its ethnic identity</t>
  </si>
  <si>
    <t>Monography</t>
  </si>
  <si>
    <t>Исскуство</t>
  </si>
  <si>
    <t>Эта монография специально разработана в рамках специального проекта "Современная казахстанская культура в мире" и в рамках программы ‘Духовное возрождение’. Монография направлена на популяризацию казахской культуры и культурных достижений Казахстана за рубежом. Также в монографии анализируются картины казахстанских и нескольких американских художников и содержатся рисунки художественных картин, схемы и использованные ссылки. В монографии рассматриваются творческие работы, относящиеся к разным периодам исторического развития Казахстана, что дает обществу возможность проследить эволюцию творческих личностей в Казахстане. Монография также показывает способность художников по-разному отображать окружающую действительность. Эти композиции представляют собой существенную жизнь.</t>
  </si>
  <si>
    <t>00010846</t>
  </si>
  <si>
    <t>Грекова Н.М. , Бордуновский В.Н., Гурьева И.В. (Қазақшаға аударғандар редакциясын басқарғандар Қаныбеков А)</t>
  </si>
  <si>
    <t>Диабеттік аяқ</t>
  </si>
  <si>
    <t>хирургия</t>
  </si>
  <si>
    <t>Ұсынылып отырған әдістемелік құралда диабеттік аяқтың эпидемиологиясы, патогенезі, жіктелуі, клиникасы, диагностикасы, салыстырмалы диагностикасының ерекшеліктері, оперативті емнің негіздері, операциядан кейінгі кезең және дамуы мүмкін асқынулар көрсетілген. Меңгерілген оқу әдістемелік материалдарын қаншалықты игерілгендерін байқау үшін жағдайлық тапсырмалар мен тестілік сұрақтар келтірілген. Оқу - құрал бакалаврларға, дәрігер - интерндерге және жаңадан жоғарғы оқу орынын бітірген жас дәрігер хирургтер, эндокринологтар және невропатологтарға арналған.</t>
  </si>
  <si>
    <t>00010847</t>
  </si>
  <si>
    <t>Khazbulatov A.R., Shaigozova Z.N. (Шайгозова Ж.Н.),</t>
  </si>
  <si>
    <t>History and theory of Kazakhstani artistic culture</t>
  </si>
  <si>
    <t>История, художественное образование</t>
  </si>
  <si>
    <t>Учебное пособие предназначено для студентов и магистрантов высших учебных заведений. Учебное пособие включает в себя основную информацию о формировании и генезисе уникального культурного разнообразия Казахстана на разных исторических этапах от древности до современности. Информация поможет получить необходимые базовые знания о культуре и искусстве родного края, системе ценностей и активной позиции, основанной на толерантности. Чтобы было понятнее, весь материал разделен на блоки: по оси времени и взаимосвязан по смыслу. Каждый блок кратко, но кратко и объективно информирует читателя об особенностях культурного развития казахского народа, об основных видах искусства, самобытности, шедеврах, знаменитых произведениях, фольклорном своеобразии и многом другом, что является гордостью суверенного Казахстана и должно занять особое место в интеллектуальном пространстве современного казахстанского народа.</t>
  </si>
  <si>
    <t>00010848</t>
  </si>
  <si>
    <t>Симтиков Ж.Қ., Құсайынов Д.Ө.</t>
  </si>
  <si>
    <t>Исламдағы ағартушылық: Исламтанушы үшін практикалық нұсқаулық</t>
  </si>
  <si>
    <t>Религиоведение</t>
  </si>
  <si>
    <t>Бұл оқу құралында қазіргі Қазақстан Республикасындағы қалыпта-сып жатқан рухани кеңістіктегі дін мен дәстүрдің кейбір мәселелері қарастырылып, исламтанушыларға көптеген нұсқаулар берілген. Соынмен қатар, жиі кездесетін діни түсініктермен дәстүрлі түсініктерге көңіл бөлініп, оларға глоссарий ретіндегі ішкі мазмұны ашылған.
 Оқу құралы қазіргі қазақ мәдениетінің ерекшеліктері мен оның ішкі болмысын аша отырып, ондағы дін мен дәстүрдің байланыстарымен қоғамдық санадағы көріністеріне жан-жақты түсініктемелер беруге арналған.</t>
  </si>
  <si>
    <t>00010849</t>
  </si>
  <si>
    <t>Амангельдина А. Б., Жармышева Г. К.,</t>
  </si>
  <si>
    <t>Бейнелеу өнері тарихы</t>
  </si>
  <si>
    <t>Изобразительное исскуство</t>
  </si>
  <si>
    <t>Бұл оқу құралының оқу-әдістемелік бөлімінде студенттердің өнертану бойынша ойлау дағдысын қалыптастыру, шығармашылық үдерісін жандандыру мен жетілдіру сияқты үрдістер қамтылған. Осы орайда, тест сұрақтарын дәстүрлі кейіпте ұсынумен қатар, «шығармашылық тестілері» де құрастырылып берілді. Практикалық тапсырмалары ұсынылды.</t>
  </si>
  <si>
    <t>0001085</t>
  </si>
  <si>
    <t>Электронные формы налоговой отчетности 2 том</t>
  </si>
  <si>
    <t>Электронные формы налоговой отчетности являются одним из важнейших звеньев в системе налоговых отношений Республики Казахстан. Это проявляется, прежде всего, в защите экономических интересов государства. В последние годы усилилась роль фискальной функции налоговых органов. За время существования, налоговая служба, являясь составным элементом контролируемых органов Республики Казахстан вносит значительный вклад в решение задач по пополнению доходной части бюджета. Целью изучения курса «Электронные формы налоговой отчетности» является формирование у студентов и магистрантов знаний теоретических и методологических основ действующей в Республике Казахстан системы налогообложения и практических навыков по расчету и учету платежей по налогам, а также по составлению электронных форм налоговой отчетности. Основными задачами курса являются:
 - изучение действующей системы налогового учета, выявление взаимосвязи налогового и бухгалтерского учета;
 - освоение методики заполнения налоговой отчетности;- изучение организации работы системы налогового учета;
 - изучение особенностей организации налогового учета у отдельных категорий налогоплательщиков.
 Учебное пособие «Электронные формы налоговой отчетности» предназначено для студентов, магистрантов экономических специальностей, преподавателей, сотрудникам налоговых и финансовых служб, налоговым консультантам и практикующим бухгалтерам.</t>
  </si>
  <si>
    <t>00010851</t>
  </si>
  <si>
    <t>Әбдікәрімов С.Ә. (Абдукаримов С.А.), Әділбеков М.Ә.</t>
  </si>
  <si>
    <t>Электр машиналары (толықтырылган екінші басылымы)</t>
  </si>
  <si>
    <t>Оқу құралы электрлік машинал пәнінің оқу бағдарламасына сәйкес жоғары оқу орнында оқитын студенттерге арналған. Мұнда электр машиналарының теориялық негіздері, құрылысы және жұмыс істеу принциптері баяндалады.Оқу құралы негізінен үш тараудан тұрады; Трансформаторлар; Айнымалы ток машиналары; Тұрақты ток машиналары. Әр тараудың соңында электрлік машиналардың теорияларын меңгеру мақсатында жаттығулар мен есептер жинағы берілген. Сонымен қатар жалпы қолданып жүрген электрлік машинармен арнайы электр машиналарының жұмыс процесстеріне, техникалық сипаттамаларына талдаулар жасалып қажетті формулалар мен теңдеулер келтірілген.Оқулық техникалық және кәсіптік білім беретін оқу орындарының студенттері мен оқытушыларына арналған.</t>
  </si>
  <si>
    <t>00010853</t>
  </si>
  <si>
    <t>Хазимов М.Ж.</t>
  </si>
  <si>
    <t>Отын жанар-жағармай және техникалық сұйықтар (қасиеттері мен пайдаланылуы)</t>
  </si>
  <si>
    <t>Транспорт</t>
  </si>
  <si>
    <t>Оқу құралында отын жанар-жағармай және техникалық сұйық заттардың негізгі физикалық, химиялық және пайдалану қасиеттері мен қолдану ерекшеліктері келтірілген. Отынның жану теориясының негіздеріне толық түсінік берілген. 
 Оқулық жоғары оқу орындарындағы инженерлік-техникалық мамандықтардың бакалавриат және мастерлік дәрежелерінде оқитын студенттерге арналған.</t>
  </si>
  <si>
    <t>00010855</t>
  </si>
  <si>
    <t>Мамырбаев Д. Ж.</t>
  </si>
  <si>
    <t>Қазақтар Христиан болған ба? Бояулы діндер</t>
  </si>
  <si>
    <t>История, Религиоведение</t>
  </si>
  <si>
    <t>Монография предназначена для специалистов, студентов высших учебных заведений, магистрантов, докторантов и читателей, интересующихся изобразительным искусством"</t>
  </si>
  <si>
    <t>00010856</t>
  </si>
  <si>
    <t>Момбек А.А., Ибраева К.Е.</t>
  </si>
  <si>
    <t>Начинающему учителю музыки</t>
  </si>
  <si>
    <t>исскуство музыка</t>
  </si>
  <si>
    <t>Проблема профессионально-ориентированной подготовки будущего учителя музыки приобретает в педагогике музыкального образования особую значимость, актуализируя необходимость исследования научно-методических подходов к сущности, организации и содержанию педагогической практики.Настоящее учебное пособие продиктовано стремлением авторов дать ориентиры для овладения основами педагогической деятельности учителя музыки, способствующими успешному прохождению педагогической практики студентами специальности Музыкальное образование.</t>
  </si>
  <si>
    <t>00010857</t>
  </si>
  <si>
    <t>Жайлыбай К.Н., Медеуова Ғ.Ж., Оразбаев Қ.И.,</t>
  </si>
  <si>
    <t>Экологиялық топырақтану: агробиологиялық және экологиялық негіздемесі. Том-1</t>
  </si>
  <si>
    <t>Экология топырақтың экологиялық және агробиологиялық қызметтері атқарылмаса жер бетінде тіршілік болмас еді. Осыған байланысты топырақ құнарлығын бағалау, сақтау мен арттыру ауыл шаруашылық дақылдарының өнімдерін өсіру үшін ғана емес, алдымен жер бетіндегі экологиялық жағдайдың тіршілікке қолайлы болуы үшін қажет. Топырақ ерекше биокосты және тірі табиғи дене. Ол геологиялық және биологиялық денелермен тығыз байланысты, ал оларды оқып білу биолог, эколог және аграрлық мамандарына өте маңызды. Оқу құралында топырақтың түзілу процесі (үдерісі), экологиясы және биологиялық негіздері, құрамы мен қаситеттері, оларды қорғау және тиімді пайдалану мен жолдары қарастырылған. Табиғатты қорғап, жерді анасындай аялап, күтудің арқасында ғана Жер бетінде тіршілік дұрыс қалыптасады. Адамзатты азық-түлікпен және шикізаттармен қамтамасыз ету мақсатында ауыл шаруашылығы өнімдерін көбейтіп, сапасын арттыру үшін тиісті мамандарға топырақтың агробиологиялық және экологиялық жағдайлары, оларды өсімдіктің талабына сәйкес жақсарту жолдары келтірілген. Оқу құралы Гуманитарлық университеттерінің Биология, Экология, География мамандығы студенттеріне, Аграрлық университеттеріңің Агрономия мамандығы студенттеріне, магистранттарына, Рд-докторанттарына, оқытушыларына арналған.</t>
  </si>
  <si>
    <t>00010858</t>
  </si>
  <si>
    <t>Экологиялық топырақтану: агробиологиялық және экологиялық негіздемесі. Том-2</t>
  </si>
  <si>
    <t>00010859</t>
  </si>
  <si>
    <t>Тлебаев К. Б.</t>
  </si>
  <si>
    <t>Радиационно-термические эффекты в теплофизических свойствах полимеров и композитов</t>
  </si>
  <si>
    <t>Физика,материаловедение,космической техники</t>
  </si>
  <si>
    <t>В монографии приведены оригинальные исследования по радиационно-термическим эффектам в структурах и теплофизических свойствах полимерных и композитных материалов, облученных пучками электронов. 
 Монография представляет огромный интерес для специалистов, работающих в области материаловедения, ядерной энергетики и космической техники, а также для магистрантов и докторантов.</t>
  </si>
  <si>
    <t>00010860</t>
  </si>
  <si>
    <t>Tlebaev K.B. (Тлебаев К. Б.)</t>
  </si>
  <si>
    <t>Radiation-thermal effects in the structures and properties of the polymers and composites</t>
  </si>
  <si>
    <t>00010863</t>
  </si>
  <si>
    <t>Қыдырбаева Куләш (Кыдырбаева К.)</t>
  </si>
  <si>
    <t>Хор дирижерлау техникасы</t>
  </si>
  <si>
    <t>музыка, искусство, творчество</t>
  </si>
  <si>
    <t>Оқу құралында дирижерлық өнердің үлгілері, негізгі дирижерлық қимылдарға жасалатын жаттығулар, тактілеу үлгілері, ауфтакт түрлері, ән сабағы мұғалімдерін дирижерлық өнерге дайындау қарастырылады.Оқу құралы музыкалық оқу орындарында (музыка мектептер, музыкалық колледж, жоғары оқу орындарындағы музыкалық бөлімдер) оқитын, сонымен бірге музыкант-практиканттар және музыкалық қызмет жөніндегі сұрақтар қызықтыратындардың барлығы үшін де өте құнды болып саналады. Жоғары және орта білім беретін оқу орындарындағы студенттер мен оқушыларға арналған хор дирижерлық өнер туралы түсініктері, музыкалықшығармаларын орындау ерекшеліктерімен, біліммен, дағдымен таныстыру және оларды тәжірибе жүзінде қолдану тәсілдері беріледі.</t>
  </si>
  <si>
    <t>00010864</t>
  </si>
  <si>
    <t>Хор әдебиеті</t>
  </si>
  <si>
    <t>Оқу құралының негізгі мақсаты – оқушы, студенттердің музыкалық ой-өрісін кеңейту, хор өнерінің опералық-хор жанрларымен, жақсы үлгілерімен таныстыру, хорға арналған шығармаларды талдау дағдыларын қалыптастыру</t>
  </si>
  <si>
    <t>00010865</t>
  </si>
  <si>
    <t>Сарсембаева Э.Ю.</t>
  </si>
  <si>
    <t>Оптимизация стилей управленческой деятельности педагогов-руководителей с учётом функциональной сенсомоторной асимметрии</t>
  </si>
  <si>
    <t>педагогика, психология</t>
  </si>
  <si>
    <t>Монография «Оптимизация стилей управленческой деятельности педагогов-руководителей с учетом функциональной сенсомоторной асимметрии» содержит теоретическое обоснование и практическое подтверждение отличий использования стилей, средств управленческой деятельности, способов достижения целей, управления конфликтами и особенностями общения право- и леволатеральными руководителями. Разработанная программа тренинговых упражнений и рекомендаций (с выявлением сильных и слабых сторон руководителя в зависимости от природных особенностей – функциональной сенсомоторной асимметрии) способствует расширению средств управленческой деятельности и, следовательно, оптимизации деятельности руководителя.Монография может быть рекомендована к использованию в профессиональной деятельности руководителями образовательных учреждений и предприятий различного профиля деятельности, студентам, изучающие дисциплины «Психология управления», «Психологический менеджмент», «Менеджмент в образовании», а также бизнес-тренерам, организационным психологам</t>
  </si>
  <si>
    <t>00010866</t>
  </si>
  <si>
    <t>Тарасовская Н. Е., Баймурзина Б. Ж., Суханова Н. В., Шакенева Д. К.,</t>
  </si>
  <si>
    <t>Съедобные и технологические дикорастущие растения Павлодарской области</t>
  </si>
  <si>
    <t>пищевая иинженерия, биотехнология, биология</t>
  </si>
  <si>
    <t>Северные регионы Казахстана, в том числе Павлодарская область, отличаются богатой и разнообразной природой, сочетающей пойменные, степные и лесные ландшафты. В нашей области произрастают свыше 500 видов дикорастущих высших растений, и многие из них могут использоваться как пищевые. Однако проблема использования региональных дикорастущих растений в пищу еще недостаточно изучена.Однако растения служат не только непосредственным источником пищи, но и технологическим сырьем для переработки традиционных пищевых продуктов – с получением оригинальных вкусовых качеств и максимальной пользы. С помощью дикорастущих растений можно решить многие бытовые проблемы – как в домашних, так и в экспедиционно-полевых условиях.</t>
  </si>
  <si>
    <t>00010867</t>
  </si>
  <si>
    <t>Стаценко О.А.</t>
  </si>
  <si>
    <t>Организация бизнеса</t>
  </si>
  <si>
    <t>Учебное пособие предназначено для студентов экономических специальностей, в нем рассматриваются теоретические и практические основы организации бизнеса в современных условиях развития экономики Казахстана. Материал учебного курса изложен в логической последовательности, отражающей вопросы создания, ведения и оценки бизнеса. В связи с этим рассмотрены особенности организационно-правовых основ бизнеса, механизм создания и ликвидации субъектов бизнеса, обобщен опыт организации малого и среднего бизнеса в Казахстане, рассмотрены подходы к изучению необходимых для развития бизнеса условий. Учебное пособие предназначено для бакалавров экономических специальностей, магистрантов и преподавателей вузов, колледжей</t>
  </si>
  <si>
    <t>00010868</t>
  </si>
  <si>
    <t>Конфликтология</t>
  </si>
  <si>
    <t>Туризм</t>
  </si>
  <si>
    <t>Учебное пособие содержит основные темы, предусмотренные программой дисциплины «Конфликтология», изложенные в доступной форме. Предназначено для студентов вузов специальности 5В 090200 «Туризм»</t>
  </si>
  <si>
    <t>00010869</t>
  </si>
  <si>
    <t>Государственное регулирование экономики</t>
  </si>
  <si>
    <t>Учебное пособие содержит основные темы, предусмотренные типовой программой дисциплины «Государственное регулирование экономики», изложенные в доступной форме. Рассматриваются научные основы и организация государственного регулирования экономики, методы регулирования различных типов экономики, в том числе рыночной экономики переходного периода. Раскрывается порядок государственного регулирования отношений собственности, отраслей материального производства, рынка труда, финансового рынка территориальных пропорций, природопользования, внешних экономических связей. После каждой темы даны вопросы для самопроверки и тестовые вопросы для самоконтроля знаний.Предназначено для студентов и преподавателей экономических вузов и факультетов, а также для работников органов государственного управления, экономических служб предприятий и организаций.</t>
  </si>
  <si>
    <t>00010870</t>
  </si>
  <si>
    <t>Қабышева Ж.К. (Кабышева Ж.К.), Мурзалимова А.К.</t>
  </si>
  <si>
    <t>Экология және тұрақты даму</t>
  </si>
  <si>
    <t>Оқу құралында экология түсінігіне, маңыздылығы, оның негізгі бөлімдеріне (аутоэкология, демэкология, синэкология); тұрақты даму түсінігіне және оның концепциясына қатысты негізгі сұрақтар мазмұндалған. Оқу құралында «Экология және тұрақты даму» курсы бойынша барлық мамандықтардың бакалаврларын дайындауға қажет.</t>
  </si>
  <si>
    <t>00010871</t>
  </si>
  <si>
    <t>Қабышева Ж.К. (Кабышева Ж.К.)</t>
  </si>
  <si>
    <t>Геоэкология</t>
  </si>
  <si>
    <t>экология, геология</t>
  </si>
  <si>
    <t>«Геоэкология» оқу құралы геоэкологияның теориялық негіздері мен əдістемелік ұстанымдары келтірілген, табиғи ортаның элементтері – литосфера, гидросфера, атмосфера жəне ландшафт қабығы табиғи жəне антропогендік үдерістерді есепке ала отырып қарастырылған. Адамзат қоғамы мен оны қоршаған табиғи орта арасындағы өзара қатынасқа ерекше көңіл бөлінген. Ғаламдық проблемалар, сонымен қатар климат өзгерістерінің əсерінен, техногенез салдарынан тіршілік ортасының бүлінуінің өңірлік проблемалары жəне Қазақстанның табиғи ресурстарын тиімді пайдалану мəселелері туралы мəліметтер берілген. Оқу құралы студенттерге, магистранттарға, мұғалімдерге, ғылыми қызметкерлерге, экология және өмір қауіпсіздігі және қоршаған ортаны қорғау мамандарына арналған.</t>
  </si>
  <si>
    <t>00010872</t>
  </si>
  <si>
    <t>978-601-330-340-6</t>
  </si>
  <si>
    <t>Даулетбаев Б.У.</t>
  </si>
  <si>
    <t>Су шаруашылығы құрылымдары мен кәріздік жүйелерін пайдалану</t>
  </si>
  <si>
    <t>Оқу құралының мақсаты – Қазақстан Республикасының Түркістан облысы оңтүстік аумақтарындағы сорланған топырақтардың және тұзданған жерлерінде кеңінен пайдаланылатын су шаруашылығындағы құрылымдарды және суды әкету үшін кәріздік жүйелерді пайдалану, барлық міндеттерге сай және гидротехникалық құрылымдарға берік және ұзақ қолдануға төзімді болуы, су шаруашылық жүйесінің басында орналасқандықтан суды беру және әкету жүйелерін пайдалануда олардың өлшемдерін және құрылымдардағы тасындылар қозғалысы, толқындық, гидравликалық құбылыстар мен процестерді жобалау жайлы туралы мәліметтер беру.Оқу құралы «Су ресурстары және суды пайдалану» білім беру бағдарламасы бойынша оқитын студенттерге және «Гидротехникалық құрылымдар және құрылыс» мамандығы бойынша оқитын білімгерлер үшін дайындалған. Оқу құралы, «Су шаруашылық жүйелерін және құрылымдарын пайдалану» және «Кәріздік жүйелер» курсы бағдарламасына (силлабус) енген барлық сұрақтар қамтылған 3 тараудан тұрады. Су шаруашылығы жүйелерінде суалғыш құрылымның сұрыптамасы, орнын таңдау, су тораптың типін таңдау, құрылымның құрамы және тораптың іріктелуін кәріздік хүйелерін жобалау негізгі талаптарға сәйкес жан-жақты қарастырылған. Материал түсінікті болу үшін, әр тараудың соңында бақылау сұрақтары, қорытынды, пайдаланылған әдебиеттер және тест сұрақтары жинағы берілген.</t>
  </si>
  <si>
    <t>00010873</t>
  </si>
  <si>
    <t>Токсамбаева Р.К., Кожас О.О</t>
  </si>
  <si>
    <t>Ремонт скважин</t>
  </si>
  <si>
    <t>нефтегазовое дело,горное дело</t>
  </si>
  <si>
    <t>Представлены техника и технология при эксплуатации, исследовании и ремонта скважин. Рассмотрены вопросы по ремонтно-исправительным и ловильным работам, инструменты, применяемые при СПО, методы бурение второго ствола и область применения, методы увеличения проницаемости пород ПЗС, текущие и капитальные ремонты при различных осложнениях  а также лабораторные работы на тренажере имитаторе капитального ремонта скважин АМТ-401(411). Описаны основные технологические этапы при гидравлическом разрыве пласта, цементировании обсадной колонны под давлением, соляно-кислотной обработки скважин, глушении скважин. Приведены основные формулы для расчетов параметров данных технологических процессов.Для студентов бакалавров образовательных программ: 6В07216 – Нефтегазовая инженерия и 6В07213 – Бурение нефтяных и газовых скважин.</t>
  </si>
  <si>
    <t>00010874</t>
  </si>
  <si>
    <t>Сеилханова Р.Б., Айткалиев Г.С, Казагачев В.Н, Бухарбаев М.А.</t>
  </si>
  <si>
    <t>Математика – 1 (каз)</t>
  </si>
  <si>
    <t>"Математика-1" пәні аясында "Математикалық анализ"бөлімі оқытылады. Математикалық және жаратылыстану білімінің негізін құрайды. Бұл пәннің негізгі ережелері кез-келген дерлік математикалық пәннің негізі болып табыла-тын классикалық математиканың бөлігі болып табылады. "Математика-1" кәсіпорнын зерттеу объектілері әр түрлі сипаттағы өзгермелі шамалар болып табылады, бірақ, әрине, ең алдымен-функциялар. Айнымалы шамаларды зерттеу әдісі-дифференциалдық және интегралдық есептеулер теориясы негізін құрайтын шексіз шамалар арқылы талдау. B07111 – «Автоматтандыру және басқару», 6В06112 – «Есептеу техникасы және бағдарламалық қамтамасыз ету», 6В06111 – «Ақпараттық жүйелер» мамандықтарының білім алушыларына арналған.</t>
  </si>
  <si>
    <t>00010875</t>
  </si>
  <si>
    <t>Онгарбаева Н., Жонысова М.У.</t>
  </si>
  <si>
    <t>Системный анализ технологических процессов обработки и переработки продукции растениеводства</t>
  </si>
  <si>
    <t>технология перерабатывающих производств, растениеводство</t>
  </si>
  <si>
    <t>Методические указания по выполнению практических работ подготовлены в соответствии с программой учебного предмета «Системный анализ технологических процессов обработки и переработки продукции растениеводства». Дисциплина занимает одно из центральных мест в системе подготовки PhD - докторантов. Знания и навыки, полученные PhD докторантами при изучении данного курса, необходимы в подготовке и написании диссертации по специальности 8D07202 – Технология перерабатывающих производств Настоящие указания предназначены разработаны с целью установления единства требований для анализа технологических процессов по обработке и переработке зерна и углубленного изучения отдельных вопросов технологической безопасности.</t>
  </si>
  <si>
    <t>00010876</t>
  </si>
  <si>
    <t>Методы оценки качества и безопасности зернопродуктов</t>
  </si>
  <si>
    <t>технология перерабатывающих производств</t>
  </si>
  <si>
    <t>Методические указания предназначены для выполнения практических работ по дисциплине «Методы оценки качества и безопасности зернопродуктов, для выполнения научно-исследовательских работ для магистров специальностей 6МО72800 – «Технология перерабатывающих производств», могут быть использованы также при оценке качества растительного сырья и пищевых продуктов на его основе в практической деятельности. В методических указаниях приведены стандартные методы оценки, принятые в РК, а также международные стандартные методы, в т.ч. методы оценки органолептических свойств зерна, муки, хлеба, макаронных изделий и крупы, методы определения их химического состава (белка, крахмала, жира, зольности, влажности), методы определения показателей безопасности (зараженности и загрязненности амбарными вредителями, содержания металломагнитной примеси, содержания токсичных элементов), определение жирнокислотного состава методом газожидкостной хроматографии и оценка хлебопекарных свойств зерна и муки методом пробной выпечки. Практические работы включают цель, общие положения, порядок выполнения работы, порядок отчета и вопросы для самопроверки</t>
  </si>
  <si>
    <t>00010877</t>
  </si>
  <si>
    <t>Торыбаев Х.Қ., Есіркепов У.Ш., Хидиров К.Р. , Қайқыбаев Қ.С.</t>
  </si>
  <si>
    <t>Алғашқы қанатсыздар</t>
  </si>
  <si>
    <t>Адамзат табиғи ресурстарды ұтымды пайдалану, қоршаған ортаны қорғау және келесі жастарды ғылымға деген ықыласын арттыру, оқыту жүйесіне енген оқулықтар, жиналған әдістемелік нұсқаулар жарық көре бастағанымен, оны түбегейлі меңгеру әліде болса көп ғылыми жұмыстар мен ізденістерді талап етеді. Ұсынылып отырған оқу құралы биология мамандарын өте кең ауқымда тереңдетіп оқытатын пән. “Омыртқасыз жануарлар” оқулығы ретінде өте маңызды ілім, оның ішінде алуан түрлі энтомологияның жалпы заңдылықтары дербес ғылыми қалыптасқан пән деп санаймыз</t>
  </si>
  <si>
    <t>00010878</t>
  </si>
  <si>
    <t>Nurgozhina Zh.K., Tursunbayeva Sh.A. / Нургожина Ж.К Турсынбаева Ш.А</t>
  </si>
  <si>
    <t>Seed on the bases of gardening</t>
  </si>
  <si>
    <t>The textbook is written in accordance with the working curriculum of the discipline specialty 6B07202-"Technology of processing industries "Seed on the bases of gardening".Grain is widely used in the food, feed and food industries. Thanks to such comprehensive use, they are grown in all regions of Kazakhstan. The textbook describes the morphological vegetative organs of grain crops, the basics of techno chemical control at flour mills, cereals and feed mills, quality control and characteristics of each of their groups, methods for determining quality safety indicators. The methodology, the results of the experiment on the determination of flour, cereals and feed products and their discussion are also considered. The student should know not only the sequence of a particular laboratory work, but also the scientific practical meaning of it. Therefore, the description of the methodology of laboratory work is accompanied by some theoretical information./Учебное пособие написано в соответствии с рабочим учебным планом дисциплины специальности 6В07202- "Технология перерабатывающих производств "Семеноводство на основах садоводства".Зерно широко используется в пищевой, кормовой и пищевой промышленности. Благодаря такому комплексному использованию их выращивают во всех регионах Казахстана. В учебнике описаны морфологические вегетативные органы зерновых культур, основы технохимического контроля на мукомольных заводах, крупяных и комбикормовых заводах, контроль качества и характеристики каждой из их групп, методы определения показателей безопасности качества. Также рассматриваются методика, результаты эксперимента по определению муки, круп и кормовых продуктов и их обсуждение. Студент должен знать не только последовательность выполнения конкретной лабораторной работы, но и ее научно-практический смысл. Поэтому описание методики проведения лабораторных работ сопровождается некоторой теоретической информацией.</t>
  </si>
  <si>
    <t>0001088</t>
  </si>
  <si>
    <t>Байжолова Р. А.</t>
  </si>
  <si>
    <t>Методика преподавания экономических дисциплин в условиях кредитной технологии обучения</t>
  </si>
  <si>
    <t>Методическое пособие</t>
  </si>
  <si>
    <t>Методическое пособие посвящено актуальным вопросам мето-дики преподавания экономических дисциплин в новых условиях. В ней автор рассматривает основные направления повышения теорети-ческого уровня лекций, совершенствования методики их чтения, проведения семинарских занятий. В работе особое внимание уделяется методам организации и контроля самостоятельной работой студентов в условиях кредитной технологии.
 Методическое пособие рассчитано, прежде всего, на преподавателей экономических дисциплин, а также магистрантов и докторов Phd – будущих преподавателей экономических вузов.</t>
  </si>
  <si>
    <t>00010881</t>
  </si>
  <si>
    <t>Казиев К.О</t>
  </si>
  <si>
    <t>Рефлексияны дамытудың негіздері</t>
  </si>
  <si>
    <t>Философия, психология, педагогика</t>
  </si>
  <si>
    <t>Ұсынылып отырған оқу құралында рефлексия ұғымы пәнаралық категория ретінде философия, психология және педагогика ғылымдары тұрғысынан түсіндіріледі. Сонымен қатар рефлексияның типтері мен түрлері, құрылымы мен атқаратын қызметтері, тетіктері, рефлексияның педагогикалық іс-әрекеттегі рөлі және іс-әрекеттің әртүрлі кезеңдеріндегі рефлексияның мақсаты, педагогтың рефлексивтілік біліктіліктері және инновациялық іс-әрекеті, рефлексивтік құзыреттілік, оның құрылымы қарастырылады. Болашақ педагог-психологтардың рефлексиясын дамыту диагностикасы мен сабақта студенттің рефлексиясын ұйымдастыру әдістемесі ұсынылады. Оқу құралы студенттерге, магистранттарға, докторанттарға және жоғары оқу орындарының оқытушыларына арналған.</t>
  </si>
  <si>
    <t>00010882</t>
  </si>
  <si>
    <t>Байшукурова Г.Ж.</t>
  </si>
  <si>
    <t>Основы лексикологии и фразеологии современного русского языка</t>
  </si>
  <si>
    <t>Филология,русский язык</t>
  </si>
  <si>
    <t>Учебное пособие содержит курс лекций, кратко и в доступной форме изложены основные проблемы лексикологии и фразеологии современного русского языка. Приведены конспекты лекций в соответствии с планом, контрольные вопросы, глоссарий и литература по каждой теме. Представлен перечень экзаменационных вопросов и тематика докладов для самостоятельной работ студентов. Учебное пособие рассчитано для студентов высших учебных заведений, обучающихся по филологическим и другим гуманитарным направлениям и специальностям, преподавателей русского языка и всех интересующихся проблемами русской лексикологии и фразеологии.</t>
  </si>
  <si>
    <t>00010883</t>
  </si>
  <si>
    <t>Сансызбай А.Р., Умитжанов М., Туребеков О.Т., Рысбаев М.Б.</t>
  </si>
  <si>
    <t>Түйе ауруларын балау, емдеу және алдын алу</t>
  </si>
  <si>
    <t>Осы оқу құралында түйелердің жұқпалы, инвазиялық және зеңдік ауруларының эпизоотологиясы, диагностикасы және алдын алу шаралары қамтылған.</t>
  </si>
  <si>
    <t>00010884</t>
  </si>
  <si>
    <t>Сансызбай А. Р.,Умитжанов М.,Туребеков О.Т.,Бакиров Н. Ж.</t>
  </si>
  <si>
    <t>Болезни верблюдов и их диагностика, лечение, и профилактика</t>
  </si>
  <si>
    <t>В учебном пособии освещены вопросы эпизоотологии, диагностики и профилактики инфекционных, инвазионных и грибковых болезней верблюдов.</t>
  </si>
  <si>
    <t>00010885</t>
  </si>
  <si>
    <t>Әбішева Шарапат /Абишева Ш.</t>
  </si>
  <si>
    <t>Мұнай және газ ісі мамандығының жалғастырушы топ студенттеріне арналып отырған «Қазақ тілі» оқу құралы жаңа оқыту технологиясы бойынша жасақталғанОқу құралының басты мақсаты тіл үйренушілердің қазақша таза сөйлеуіне, сауатты жазуына, мамандыққа қатысты мәтіндерді еркін баяндауына, сөздік қорын байытуға септігін тигізеді. Ұсынылып отырған еңбекте мамандыққа қатысты мәтіндер, жаттығу жұмыстары, өздік жұмыс тапсырмалары, студент алған білімін бекіту, қорыту мақсатында бақылау-тест тапсырмалары жүйелі берілген. Оқу құралы аталған мамандық иелеріне, тіл үйренушілерге, студенттерге, магистранттарға, оқытушыларға арналады.</t>
  </si>
  <si>
    <t>00010886</t>
  </si>
  <si>
    <t>Калижанова А.У. Картбаев Т.С. Тогжанова К.О.</t>
  </si>
  <si>
    <t>Системный анализ</t>
  </si>
  <si>
    <t>Информационные системы</t>
  </si>
  <si>
    <t>В представленном учебном пособии обобщены разделы дисциплины системный анализ. Рассматриваются основные понятия системного анализа, приводится классификация методов моделирования систем, а также применение моделей при анализе систем. Авторы ставили перед собой цель, чтобы изложение материала дисциплины было понятным для магистрантов, имеющих знания по высшей математике в пределах курсов, преподаваемых в технических вузах. Учебное пособие предназначено для магистрантов специальности 6М070300- «Информационные системы».</t>
  </si>
  <si>
    <t>00010887</t>
  </si>
  <si>
    <t>978-601-330-809-8</t>
  </si>
  <si>
    <t>Ахметова Т.Ә / Ахметова Т.А</t>
  </si>
  <si>
    <t>Қазақ тілі. «Орман шаруашылығы» мамандығында оқитын студенттерге арналған</t>
  </si>
  <si>
    <t>Земельные ресурсы, Лесное хозяйство, Филология</t>
  </si>
  <si>
    <t>Бұл оқу құралы орыс бөлімінің «Орман шаруашылығы» мамандығында оқитын 1 курс студенттеріне арналған. құралға енген практикалық сабақтар, СӨЖ, СОӨЖ тапсырмалары кредиттік технология бойынша Қазақстан Республикасы Білім және ғылым министрлігінің 2005жылғы 23 желтоқсанындағы № 779 бұйрығымен бекітіліп, іске қосылған МЖББ және әлеуметтік-гуманитарлық пәндерінің циклы бойынша бекітілген, (ҚР БжҒМ 10.07.2002ж. № 541 бұйрық. Астана 2002.) барлық мамандықтар мен дайындау бағыттарына арналған типтік оқу бағдарламасы мен оқу-жұмыс бағдарламасына сәйкес құрастырылған. ОӘК студенттердің кәсіби қазақ тілін дамытып, ой-өрісін кеңейтуге, аударма дағдысын қалыптастыруға мүмкіндік береді.</t>
  </si>
  <si>
    <t>00010888</t>
  </si>
  <si>
    <t>Yeskatova G.K / Ескатова Г.К.</t>
  </si>
  <si>
    <t>English for lawyers. Texts for reading with exercises. Part II. Английский язык для юристов. Тексты для чтения с упражнениями. Часть II</t>
  </si>
  <si>
    <t>The textbook contains texts in English with exercises on the problems of law, the activities of the courts, penitentiaries in the UK and the USA. All texts are authentic - taken from original sources (works of English and American authors) and hardly adapted. It is intended for students of departmental educational institutions of the Ministry of Internal Affairs, as well as for students of law faculties of universities. The content of the manual allows you to use it when teaching the discipline "English for specific purpose" and "English. Professional".В учебном пособии представлены тексты на английском языке с упражнениями по проблемам права, деятельности органов судов, пенитенциарных учреждений Великобритании и США. Все тексты аутентичны – взяты из оригинальных источников (работ английских и американских авторов) и почти не адаптированы. Предназначено для слушателей ведомственных учебных заведений МВД, а также для студентов юридических факультетов вузов. Содержание пособия позволяет использовать его при преподавании дисциплины «Профессионально-ориентированный английский язык» и «Английский язык. Профессиональный».</t>
  </si>
  <si>
    <t>00010889</t>
  </si>
  <si>
    <t>978-601-330-148-8</t>
  </si>
  <si>
    <t>Баймухамедова Г.С, Лучанинова А.А</t>
  </si>
  <si>
    <t>Экономика отрасли (дорожное строительство)</t>
  </si>
  <si>
    <t>Экономический,дорожное строительство</t>
  </si>
  <si>
    <t>В учебнике раскрываются основы экономики строительства, рассматриваются капитальные вложения в автомобильные дороги, сметная стоимость строительных и ремонтно-строительных работ, договорная цена в строительстве, экономическая эффективность, производительность труда, себестоимость, прибыль, рентабельность, основные фонды и эффективность их использования, оборотные средства, инвестиций, особенности деятельности строительных организаций в современных условиях.
 Современному специалисту и руководителю эти знания необходимы для того, чтобы правильно ориентироваться в сложном переплетении факторов и технико-экономических взаимосвязей современного производства, иметь возможность оценивать с экономических позиций эффективность технических решений.</t>
  </si>
  <si>
    <t>00010890</t>
  </si>
  <si>
    <t>Омарқожаұлы Н., Омарқожаева Ә., Қожебаев Б., Исмайлова А</t>
  </si>
  <si>
    <t>Мал азықтандыруын құнарландыру</t>
  </si>
  <si>
    <t>Оқу құралында азық құрамы мен қоректілігі, дайындау технологиясы мен биохимиясы, азықтандыруға жұмсау реті мен тәртібі, азықтандыру гигиенасы мен биогеохимиялық аспектері берілген. Азық қоректілігі мен сапасын арттырудың арқасында малдың қоректік мұқтаждығын жан жақты қамтамасыз ететін азықтандыру рациондарының құнарлылығын арттыру жолдары келтірілген. Мал азығы мен азықтандыру биохимиясы, гигиенасы және қоректілігі жөніндегі бұл трактатта мөлшерлеп азықтандырудың биогеохимиялық қырлары толықтыра қарастырылған оқу құралы магистранттар мен докторанттарға, сала ғылыми қызметкерлері мен мамандарына, біліктілігін арттырушыларға ұсынылады.</t>
  </si>
  <si>
    <t>00010891</t>
  </si>
  <si>
    <t>978-601-13-0975-2</t>
  </si>
  <si>
    <t>Омаркожаулы Н., Амантай С., Арын Б.</t>
  </si>
  <si>
    <t>Оценка питательности и качества кормов</t>
  </si>
  <si>
    <t>В учебно-методическом пособии освещены вопросы прведения исследований химического состава кормов и оценки их питательности кормов. Дана классификация кормовых средств, технологии их заготовки и оценки качества. Приведены иллюстрации кормов, их химического состава и питательности.</t>
  </si>
  <si>
    <t>00010892</t>
  </si>
  <si>
    <t>Манкибаев А.Т.</t>
  </si>
  <si>
    <t>Гигиена выращивания телят черно - пестрой породы</t>
  </si>
  <si>
    <t>Ветеринария,биотехнология</t>
  </si>
  <si>
    <t>В монографии анализируются результаты многолетней научно-практической работы автора в области гигиены содержания и выращивания телят черно-пестрой породы скота, дана характеристика породы, рассмотрено влияние различных способов выращивания на здоровье телят в зависимости от природно-климатических, хозяйственных условий Республики Казахстан.
 Работа представляет интерес для студентов, магистрантов, докторантов, преподавателей по специальностям «Ветеринария» и «Биотехнология» аграрных университетов, научных работников и специалистов, занимающихся скотоводством, а также широкого круга работников сельского хозяйства, животноводов и фермеров.</t>
  </si>
  <si>
    <t>00010893</t>
  </si>
  <si>
    <t>Шоқыбаев Ж.Ә. Мустапаева Г.Т. Каражанова Д.А. Қорғанбаева Ж.Қ.</t>
  </si>
  <si>
    <t>Химия оқу құралы арнайы білім беретін колледж студенттеріне арналған. Оқу құралында әртүрлі мамандықтар даярлайтын колледж бағдарламасына сәйкес химия материалдары берілген. Арнайы білім беретін колледждерде мектеп химия материалдарымен және жаңартпа бағдарламаларды еске ала отырып, арнайы білім беретін кәсіби колледждерге арналған «Химия» оқу құралын ұсынып отырмыз. Оқу құралында химия материалдары технологиялық кәсіби мамандар даярлайтын колледждердің студенттеріне арналған. Сонымен қатар бұл оқу құралын басқада кәсіби білім беретін колледждер студенттері де оқу үрдісі кезінде пайдалануға болады.</t>
  </si>
  <si>
    <t>00010894</t>
  </si>
  <si>
    <t>Бабалиев С.У., Манкибаев А.Т.</t>
  </si>
  <si>
    <t>Ветеринарлық кәсіпкерлік 1 том</t>
  </si>
  <si>
    <t>Ветеринарная санитария</t>
  </si>
  <si>
    <t>"Ветеринарлық кәсіпкерлік" пәнін оқыту бойынша оқулық 6В09101 –"Ветеринарлық медицина" және 6В09102– "Ветеринарлық санитария" білім беру бағдарламасы бойынша жоғары оқу орындарының студенттеріне, ветеринарлық кәсіпкерлерге және жалпы кәсіпкерлерге арналады."Ветеринарлық кәсіпкерлік" пәнін оқыту бойынша оқулық білім беру бағдарламасы негізінде әзірленген және жоғары мектеп талаптарына жауап береді.</t>
  </si>
  <si>
    <t>00010895</t>
  </si>
  <si>
    <t>Ветеринарлық кәсіпкерлік 2 том</t>
  </si>
  <si>
    <t>00010898</t>
  </si>
  <si>
    <t>Мендыбаев С.А., Ускенбаев Д.Е.,</t>
  </si>
  <si>
    <t>Основы силовой электроники</t>
  </si>
  <si>
    <t>В учебнике рассмотрены особенности принципа действия, харатеристики и парамеры силовых полупроводниковых приборов. Излагаются принципы преобразования электрической энер¬гии: выпрямления, инвертирования, преобразования частоты и др. Описаны основные схемы преобразовательных устройств, способы управления ими и регулирования основных парамет¬ров, показаны области рационального использования различ¬ных типов преобразователей. Для студентов энергетических и теханических сциальностей вузов, колледжей и может быть полезной инженерно - техническим работникам в их практической деятельности.</t>
  </si>
  <si>
    <t>00010899</t>
  </si>
  <si>
    <t>978-601-330-461-8</t>
  </si>
  <si>
    <t>Күштік электроникасының негіздері</t>
  </si>
  <si>
    <t>Оқулықта жартылай өткізгіш құрылғылардың жұмыс принципінің ерекшеліктері, сипаттамалары мен параметрлері қарастырылған. Электр энергиясын түрлендіру принциптері артта қалады: түзету, инвертирование, жиілікті түрлендіру және т.б. Түрлендіргіш құрылғылардың негізгі схемалары, оларды басқару және негізгі параметрлерді реттеу әдістері сипатталған, түрлендіргіштердің әртүрлі түрлерін ұтымды пайдалану бағыттары көрсетілген.Жоғары оқу орындары мен колледждердің энергетикалық және техникалық мамандықтарының студенттері үшін.</t>
  </si>
  <si>
    <t>00010900</t>
  </si>
  <si>
    <t>Проектная деятельность в условиях университетского образования</t>
  </si>
  <si>
    <t>Для всех специальностей,технический,информационные технологии</t>
  </si>
  <si>
    <t>В методическом пособии раскрываются концептуальные основы проектной деятельности в условиях университетского образования, как один из активных методов и форм обучения, рекомендуемых в профессиональной подготовке специалистов, а также методов и форм проведения практических занятий и СРСП.Проектная деятельность относится к разряду инновационной, так как предполагает преобразование реальности, строится на базе соответствующей технологии, которую можно унифицировать, освоить и усовершенствовать. Актуальность овладения основами проектирования обусловлена, во-первых, тем, что данная технология имеет широкую область применения на всех уровнях организации системы образования. Во-вторых, владение логикой и технологией социокультурного проектирования позволит более эффективно осуществлять аналитические, организационно-управленческие функции. В-третьих, проектные технологии обеспечивают конкурентоспособность специалиста.Методическое пособие предназначено для преподавателей, студентов всех образовательных программ. Представленные в методическом пособие материалы основаны на изучении отечественной и зарубежной литературы, а также обобщений собственного опыта в качестве методических методов использования проектной деятельности на лекциях, практических занятий и СРСП.</t>
  </si>
  <si>
    <t>00010901</t>
  </si>
  <si>
    <t>978-601-13-0211-1</t>
  </si>
  <si>
    <t>Танирбергенова А.А.</t>
  </si>
  <si>
    <t>Статикалық үлгілеу негізінде серпімді жүйелер сенімділігін есептеу тәсілдерін жетілдіру</t>
  </si>
  <si>
    <t>Инженерно,Статическое моделирование</t>
  </si>
  <si>
    <t>Ғылыми жұмыс статикалық үлгілеу негізінде кездейсоқ параметрлі серпімді жүйелердің сенімділігін есептеу әдістерін дамытуға арналған. Үлгіні таңдауда жүйе параметрлері кездейсоқ болғанымен, уақыт бойынша өзгермейді немесе аз өзгереді деп қабылданған. Жұмыс негізін шектік күйлер бойынша серпімді жүйелердің сенімділігін зерттеу құрайды. Оның нәтижелері бойынша есептік және шектік кернеулердің таралу заңдылықтарының әр түрлі үйлесімдерінде сенімділікті бағалау теңдеулері алынып, олар зерттеудің келесі сатысында әр түрлі механикалық жүйелердің сенімділігін бағалауға қолданылды. Жұмыстың практикалық маңызы серпімді жүйенің таралу параметрлерін ескерумен шектік жағдай бойынша қор коэффициентін негізді таңдау әдістемесінде, ANSYS бағдарламалық комплексін қолданып жобалаудағы күрделі нысанадағы кернеудің ықтималдық сипаттамасын есептеу нұсқаулары мен алгоритмі жасалды. Жұмыста тәуелді істен шығуы мүмкін көпэлементті жүйелерді есептеу және кездейсоқ параметрлі механикалық жүйелерді жобалау мен сенімділігін есептеудің инженерлік әдістемелері ұсынылды.</t>
  </si>
  <si>
    <t>00010902</t>
  </si>
  <si>
    <t>Арыстанбаев Қ.Е., Амангелді Т.Т., Джаналиев Б.М.</t>
  </si>
  <si>
    <t>Электроника</t>
  </si>
  <si>
    <t>автоматизация и управление</t>
  </si>
  <si>
    <t>Оқу құралы оқу жоспары мен «Электроника» пәнінің типтік бағдарламасының талаптарына сәйкес құрылған және курстың зертханалық жұмыстарының тақырыптарын орындау үшін қажетті барлық мәліметтерді қамтиды. Оқу құралы 6В07110 – «Автоматтандыру және басқару» білім беру бағдарламасы бойынша білім алушыларға арналған.Оқу құралы аналогтық және цифрлық электроника негіздері тұрғысында білім алушыға керекті мағлұматтарды қамтиды, олардың құрылымдарын және жұмыс орындау принциптерімен таныстырады.</t>
  </si>
  <si>
    <t>00010903</t>
  </si>
  <si>
    <t>Жантасов Қ.Т., Айбалаева Қ.Д., 
Молдабеков Ш.М., Наукенова А.С., Сарыпбекова Н.К., Жантасова Д.М., Сенкебаева А.А.</t>
  </si>
  <si>
    <t>Улы химикаттар мен өсімдіктер дамыту ынталандырғыштары технологиялары
 1том</t>
  </si>
  <si>
    <t>Химия,Химические технологии</t>
  </si>
  <si>
    <t>Оқулықта өндірістің қазіргі жағдайы және улы химикаттар мен өсімдіктердің өсуіне стимуляторларды қолдану салалары, олардың атаулары, шикізаттық ресурстары, дайын өнім мен препарат алуда қолданылатын негізгі және қосалқы материалдардың сипаттамалары туралы ақпарат беріледі.Табиғи және техногендік шикізат негізінде алынған әртүрлі пестицидтер, гербицидтер, фунгицидтер және дефолианттар туралы ақпарат ұсынылады. Шетелде әртүрлі улы химикаттарды, өсімдіктерді өсіруге және қорғау стимуляторларын алу мен қолдану әдістері, технологиялары, олардың технологиялық және жүйелік параметрлері сипатталады. Өсімдіктерді өсіру және қорғау құралдарымен жұмыс жасау кезіндегі тіршілік қауіпсіздігі мәселелері, өзін-өзі бақылау мәселелері қарастырылады.
 Оқулық химия – технологиялық мамандықтардың (білім беру бағдарламаларының) докторанттарына, магистранттарына және бакалавриат студенттеріне, «Бейорганикалық заттардың химиялық технологиясы» ББ, улы химикаттар мен өсімдіктердің өсуіне стимуляторлар алу технологиясы мәселелерімен айналысатын ұйымдар мен кәсіпорындардың ғылыми қызметкерлері мен мамандарына арналған.</t>
  </si>
  <si>
    <t>00010904</t>
  </si>
  <si>
    <t>Улы химикаттар мен өсімдіктер дамыту ынталандырғыштары технологиялары
 2 том</t>
  </si>
  <si>
    <t>Оқулықта өндірістің қазіргі жағдайы және улы химикаттар мен өсімдіктердің өсуіне стимуляторларды қолдану салалары, олардың атаулары, шикізаттық ресурстары, дайын өнім мен препарат алуда қолданылатын негізгі және қосалқы материалдардың сипаттамалары туралы ақпарат беріледі.Табиғи және техногендік шикізат негізінде алынған әртүрлі пестицидтер, гербицидтер, фунгицидтер және дефолианттар туралы ақпарат ұсынылады. Шетелде әртүрлі улы химикаттарды, өсімдіктерді өсіруге және қорғау стимуляторларын алу мен қолдану әдістері, технологиялары, олардың технологиялық және жүйелік параметрлері сипатталады. Өсімдіктерді өсіру және қорғау құралдарымен жұмыс жасау кезіндегі тіршілік қауіпсіздігі мәселелері, өзін-өзі бақылау мәселелері қарастырылады.Оқулық химия – технологиялық мамандықтардың (білім беру бағдарламаларының) докторанттарына, магистранттарына және бакалавриат студенттеріне, «Бейорганикалық заттардың химиялық технологиясы» ББ, улы химикаттар мен өсімдіктердің өсуіне стимуляторлар алу технологиясы мәселелерімен айналысатын ұйымдар мен кәсіпорындардың ғылыми қызметкерлері мен мамандарына арналған.</t>
  </si>
  <si>
    <t>00010905</t>
  </si>
  <si>
    <t>Жантасов К.Т., Айбалаева Қ.Д., Молдабеков Ш.М., Наукенова А.С., Кедельбаев Б.Ш., Сарыпбекова Н.К., Жантасова Д.М.</t>
  </si>
  <si>
    <t>Технология ядохимикатов и стимуляторов роста растений 1 том</t>
  </si>
  <si>
    <t>В учебнике изложены сведения о современном состоянии производства и областях применения ядохимикатов и стимуляторов роста растений, их наименования, сырьевые ресурсы, характеристики основных и вспомогательных материалов, применяемых при получении готовой продукции и препаратов. Представлены сведения о различных пестицидах, гербицидах, фунгицидах и дефолиантов, получаемых на основе природного и техногенного сырья. Описаны методы и технологии получения и применения за рубежом различных ядохимикатов, стимуляторов роста и защиты растений, их технологические и режимные параметры процессов. Вопросы безопасности жизнедеятельности при работе с средствами роста и защиты растений, а также вопросы самоконтроля.Учебник предназначен для докторантов, магистрантов и студентов бакалавриата химико – технологических специальностей (образовательных программ), в частности ОП «Химическая технология неорганических веществ», широкому кругу научных работников и специалистов организаций и предприятий, занимающихся вопросами технологии получения ядохимикатов и стимуляторов роста растений.</t>
  </si>
  <si>
    <t>00010906</t>
  </si>
  <si>
    <t>Технология ядохимикатов и стимуляторов роста растений 2 том</t>
  </si>
  <si>
    <t>В учебнике изложены сведения о современном состоянии производства и областях применения ядохимикатов и стимуляторов роста растений, их наименования, сырьевые ресурсы, характеристики основных и вспомогательных материалов, применяемых при получении готовой продукции и препаратов.Представлены сведения о различных пестицидах, гербицидах, фунгицидах и дефолиантов, получаемых на основе природного и техногенного сырья. Описаны методы и технологии получения и применения за рубежом различных ядохимикатов, стимуляторов роста и защиты растений, их технологические и режимные параметры процессов. Вопросы безопасности жизнедеятельности при работе с средствами роста и защиты растений, а также вопросы самоконтроля.Учебник предназначен для докторантов, магистрантов и студентов бакалавриата химико – технологических специальностей (образовательных программ), в частности ОП «Химическая технология неорганических веществ», широкому кругу научных работников и специалистов организаций и предприятий, занимающихся вопросами технологии получения ядохимикатов и стимуляторов роста растений.</t>
  </si>
  <si>
    <t>00010907</t>
  </si>
  <si>
    <t>Джалилов К.А.</t>
  </si>
  <si>
    <t>Аналитикалық жэне физикалық химияның теориялық негіздері мен зертханалық практикумы-1 том</t>
  </si>
  <si>
    <t>Оқу құралында Аналитикалық жэне физикалық химияның теориялық негіздері мен зертханалық практикумы жалпы курсы студентердін таным белсенділігін артыру мақсатында тірек -сізба жыиындығы ретінде беріп, талданған Аналитикалық жэне физикалық химияның теориялық негіздері және зертханалық практикумы қарастырылған. Студенттердің материялды жақсы меңгеруіне және оларды пән бойынша есте қалған білімдерін тексеруге дайындау мақсатында әрбір бөлімдерден кейін тестер келтірілген.</t>
  </si>
  <si>
    <t>00010908</t>
  </si>
  <si>
    <t>Аналитикалық жэне физикалық химияның теориялық негіздері мен зертханалық практикумы-2 том</t>
  </si>
  <si>
    <t>00010909</t>
  </si>
  <si>
    <t>Мамирова К.Н., Шакенова Т.К.</t>
  </si>
  <si>
    <t>География мировых природных ресурсов</t>
  </si>
  <si>
    <t>Учебное пособие по дисциплине «География мировых природных ресурсов» предназначено для магистрантов специальностей 6М060900-География и 7М01506 География. В пособии конкретизированы понятия и представления о природных ресурсах, даны сведения о научных подходах к классификации природных ресурсов, охарактеризованы основные виды природных ресурсов и их территориальное распределение по странам и континентам. Важное место в пособии отведено теоретическим концепциям географического ресурсоведения и природопользования. Предлагаемое учебное пособие также будет полезно для бакалавров, докторантов, преподавателей высших учебных заведений и учителей общеобразовательных школ.</t>
  </si>
  <si>
    <t>00010910</t>
  </si>
  <si>
    <t>Мамирова К.Н</t>
  </si>
  <si>
    <t>Краеведение</t>
  </si>
  <si>
    <t>В учебном пособии рассматриваются научно-дидактические и методические принципы организации краеведческой работы и вопросы изучения родного края в школе. Учебное пособие составлено в соответствии с курсом «Краеведение» - элективной дисциплиной по специальности 5В011600-География. Содержание пособия обеспечит формирование знаний и компетенций будущих учителей на основе использования краеведческих материалов.Учебное пособие будет полезным не только студентам бакалавриата, но и магистрантам, преподавателям, авторам учебников, научным сотрудникам и учителям общеобразовательных школ.</t>
  </si>
  <si>
    <t>00010911</t>
  </si>
  <si>
    <t>978-601-330-350-5</t>
  </si>
  <si>
    <t>Ландшафттану</t>
  </si>
  <si>
    <t>«Ландшафттану» пәні (5В011600- География мамандығы бойынша) мемлекеттік стандарт және элективті пәндер бағдарламасына сәйкес құрастырылған. Оқу құралында ландшафттардың морфологиялық құрылымы, ландшафттық дифференциация, ландшафттардың динамикасы және олардағы зат айналым процесстері қарастырылған. Сонымен қатар, ландшафттардың жіктелуі мен типологиясы берілген.Оқу құралы студенттер, магистранттар, оқытушылар мен мектеп мұғалімдеріне арналған.</t>
  </si>
  <si>
    <t>00010912</t>
  </si>
  <si>
    <t>978-601-330-551-6</t>
  </si>
  <si>
    <t>Геоэкология и охрана природы</t>
  </si>
  <si>
    <t>География, экология</t>
  </si>
  <si>
    <t>В учебном пособии рассматриваются пространственно-временные закономерности экологического состояния окружающей среды Казахстана, вопросы геоэкологического районирования Казахстана и устойчивости ландшафтов. Анализируются последствия антропогенной деятельности человека,также пути оптимизации и преобразования природных геосистем.Учебное пособие предназначено для студентов, может быть полезным магистрантам, докторантам, научным сотрудникам и учителям средней школы.</t>
  </si>
  <si>
    <t>00010913</t>
  </si>
  <si>
    <t>978-601-352-560-0</t>
  </si>
  <si>
    <t>Географиялық сөздік</t>
  </si>
  <si>
    <t>Географиялық сөздік оқу бағдарламасындағы «Географиялық ұғымдар мен терминдер» пәніне сәйкес құрастырылған. Географиялық ұғымдар мен терминдер үш тілде берілген.Бұл еңбек студенттердің таным қызметің және белсенділіктерін арттыруға бағытталған.</t>
  </si>
  <si>
    <t>00010914</t>
  </si>
  <si>
    <t>Ауесбаев Е.Т., Исаенко Э.П., Омаров А.Д.</t>
  </si>
  <si>
    <t>Конструкции транспортных сооружений. Железнодорожный путь</t>
  </si>
  <si>
    <t>Транспортное строительство ж/д</t>
  </si>
  <si>
    <t>В работе приведены основные сведения о конструкции транспортных сооружений, железнодорожном пути, верхнем и нижнем строении пути. Новые методы расчета и конструирования железнодорожного пути рассмотрены на примерах решения задач, возникших в транспортном строительстве в последние годы. Предложена методика компьютерного моделирования конструкций, которая сокращает время проектирования и позволяет получить большее число нужных, но ранее не определявшихся характеристик конструкций транспортных сооружений (распределение напряжений и деформаций элементов железнодорожного пути, собственные частоты и формы колебаний, деформированный вид пути и др.). Ранее авторами разработаны методические указания по расчетам железнодорожного пути численными методами и обоснованы предложения по созданию стабильного железнодорожного пути, даны предложения по модернизации конструкции пути железных дорог Казахстана. Данная монография предназначена для выполнения диссертаций и дипломных работ магистрантов и бакалавров образовательных программ в области строительства и транспорта.</t>
  </si>
  <si>
    <t>00010915</t>
  </si>
  <si>
    <t>978-601-330-567-7</t>
  </si>
  <si>
    <t>Абдиров. М.Ж. Актамбердиева. З.С.</t>
  </si>
  <si>
    <t>Семиреченское казачье войско (из истории военно-казачьей колонизации Жетысу.1867-1917гг.)</t>
  </si>
  <si>
    <t>В книге повествуется основанные на архивных данных история Семиреченского казачьего войска, от его возникновения в 1867 г., в период наивысшего расцвета военного могущества и территориальной экспансии сверхдержавы того времени - Российской империи, до юридического упразднения летом 1918 г., поражения в годы гражданской войны 1918-1920 гг.</t>
  </si>
  <si>
    <t>00010916</t>
  </si>
  <si>
    <t>Сайрамбаев Т., Сағындықұлы Б.</t>
  </si>
  <si>
    <t>Құрмалас сөйлемдер жүйесі</t>
  </si>
  <si>
    <t>Филология,журналистика</t>
  </si>
  <si>
    <t>Оқу құралында құрмалас сөйлем түрлерінің зерттелу жайы жан-жақты қарастырылған. Салалас және сабақтас құрмалас сөйлемдердің ерекшеліктері мен жасалу жолдары ғылыми түрде жинақталған. Қос құрамды құрмалас сөйлемнің мағыналық топталуы нақты деректермен тиянақталған. Мұндай талдаулар көп құрамды құрмалас сөйлемдерді танытуда да сақталған. Бұл сөйлем түрлерінің тән ерекшелік пен айырым белгілері барынша сараланған.Оқу құралы жоғары оқу орындарындағы филология және журналистика мамандықтарының студенттері мен магистранттарына арналады. Сонымен қатар тіл білімі бағытындағы ізденушілердің сұранысын қанағаттандырады.</t>
  </si>
  <si>
    <t>00010917</t>
  </si>
  <si>
    <t>Сағындықұлы.Б.(Сагындыкулы. Б.)</t>
  </si>
  <si>
    <t>Қазіргі қазақ тіліндегі синтаксистік ұғымдар</t>
  </si>
  <si>
    <t>Оқу құралы синтаксис саласындағы негізгі заңдылықтарды түгендейді. Тілдік қолданыстағы «байланыс, қатынас, мағына» сынды ұғымдар тарихи тұрғыдан сараланып, олардың синтаксис қабаттарындағы қызметі сипатталады. Синтаксистік ұғымдардың ішкі бөліктері нақты ғылыми пайымдаулар нәтижесінде талданып, қолданыстық мәні ашылады. Сонымен қатар синтаксистік ұғымдар мысалдық деректер арқылы жүзелік тұрғыдан бекітіледі. Оқу құралын жоғары оқу орындарының гуманитарлық бағыттағы студентеріне көмекші оқу құралы ретінде пайдалану ұсынылады. Сондай-ақ, еңбектегі теориялық қағидалар жас ізденушілерге бағыт-бағдар беріп, ғылыми ізденістерін шыңдауға көмегі тиеді.</t>
  </si>
  <si>
    <t>00010918</t>
  </si>
  <si>
    <t>Қожантаева.Ж.Ж, Ануарова. Л.Е, Саурамбаев. Б.Н</t>
  </si>
  <si>
    <t>Ботаникадан дала практикасы</t>
  </si>
  <si>
    <t>Биология, экология</t>
  </si>
  <si>
    <t>Бұл оқу құралы жыл сайын дала-оқу практикасын өткізіп жүрген Қазақ мемлекеттік қыздар педагогикалық университеті оқытушыларының тәжірибесіне негізделген. «Ботаникадан дала практикасы» биология, экология мамандықтары студенттерге және магистранттарға, докторанттарға арналған. Соған байланысты оқу құралында өсімдіктер морфологиясы әдістемелік нұсқау фитоценоздардың құрамы, структурасы, экологиясы, өнімділігі, динамикасы, өсімдіктер жабынының аймақтылығы мәселелері, өсімдіктердің арнайы топтары толық қамтылған. Түрлердің атауы қазақша, латынша, орыс тілдерінде көрсетілген.</t>
  </si>
  <si>
    <t>00010919</t>
  </si>
  <si>
    <t>Байымбетова .Ж.А.</t>
  </si>
  <si>
    <t>Қазіргі қазақ тілінің морфологиясының теориясы мен практикалық курсы</t>
  </si>
  <si>
    <t>Оқу құралы синтаксис саласындағы негізгі заңдылықтарды түгендейді. Тілдік қолданыстағы «байланыс, қатынас, мағына» сынды ұғымдар тарихи тұрғыдан сараланып, олардың синтаксис қабаттарындағы қызметі сипатталады. Синтаксистік ұғымдардың ішкі бөліктері нақты ғылыми пайымдаулар нәтижесінде талданып, қолданыстық мәні ашылады. Сонымен қатар синтаксистік ұғымдар мысалдық деректер арқылы жүзелік тұрғыдан бекітіледі.Оқу құралын жоғары оқу орындарының гуманитарлық бағыттағы студентеріне көмекші оқу құралы ретінде пайдалану ұсынылады. Сондай-ақ, еңбектегі теориялық қағидалар жас ізденушілерге бағыт-бағдар беріп, ғылыми ізденістерін шыңдауға көмегі тиеді.</t>
  </si>
  <si>
    <t>0001092</t>
  </si>
  <si>
    <t>Байжуманов А.А., Ибрагимов О.М.</t>
  </si>
  <si>
    <t>Дискреттік математика және математикалық логика.</t>
  </si>
  <si>
    <t>Ұсынылып отырған оқулық 5В060200 – «Информатика» мамандығының студенттеріне және де пән бойынша білімін жетілдірем деуші оқырманға арналған.</t>
  </si>
  <si>
    <t>00010920</t>
  </si>
  <si>
    <t>Тіл білімінің теориялық және практикалық курсы</t>
  </si>
  <si>
    <t>Филология, Журналистика</t>
  </si>
  <si>
    <t>00010921</t>
  </si>
  <si>
    <t>Шукманова А.А.</t>
  </si>
  <si>
    <t>Основы нефтегазового дела</t>
  </si>
  <si>
    <t>Учебно пособие</t>
  </si>
  <si>
    <t>Нефтегазовое дело</t>
  </si>
  <si>
    <t>Учебно пособие содержится информацию основам нефтяного и газового дела, научному пониманию основных технологических процессов и работы на нефтегазодобывающих предприятиях.Задачей дисциплины является обучение студентов основам геологии нефти и газа, бурения нефтяных и газовых скважин, разработки и эксплуатации нефтяных и газовых месторождений, транспорта, хранения и переработки нефти и газа.Полученные знания применяются при прохождении ознакомительной практики и изучении специальных дисциплин на последующих курсах.Допущено Ученым советом Каспийского общественного университета в качестве учебного пособия для студентов ОП «Нефтяная инженерия» (по направлению подготовки «Нефтегазовое дело»). Протокол №9 от 27 -апреля 2022г.</t>
  </si>
  <si>
    <t>00010922</t>
  </si>
  <si>
    <t>Мамирова К.Н.</t>
  </si>
  <si>
    <t>Проблемы учебника географии</t>
  </si>
  <si>
    <t>В учебном пособии рассматриваются научно-дидактические и методические принципы отбора и структурирования содержания школьных учебников географии, ориентированных на компетентностное обучение и ожидаемые результаты образования. Анализируются функции,структура и содержание учебника географии, его особенности и требования, предбявляемые к нему как комплексному средству обучения.Предназначено студентам,магистрантам, докторантам,авторам школьных учебников,научным сотрудникам,преподавателям и учителямобщеобразовательных школ.Будет полезна широкому кругу педагогической общественности,интересующейся проблемами школьного учебника.</t>
  </si>
  <si>
    <t>00010923</t>
  </si>
  <si>
    <t>Каражанова М.К., Есболай Г.К.</t>
  </si>
  <si>
    <t>Жерасты гидромеханикасы</t>
  </si>
  <si>
    <t>Оқу құралында мұнай, газ және судың сүзілуінің негізгі ұғымдары мен заңдары, мұнайгаз қабаттарындағы флюидтердің изотермиялық сүзілуінің дифференциалдық теңдеулері, кеуекті ортадағы сұйықтық пен газдың бір өлшемді  қалыптасқан ағындары қарастырылған. кеуекті ортада газдың қалыптасқан және қалыптаспаған фильтрациясы, серпімді (деформацияланатын) кеуекті ортада серпімді сұйықтықтың қалыптаспаған қозғалысы келтірілген. Жарықшақты және жарықшақты - кеуекті орталардағы сұйықтар мен газдардың қозғалысы берілген. Оқу құралы мұнайгаз ісі мамандығы бойынша оқитын студенттерге арналған.</t>
  </si>
  <si>
    <t>00010924</t>
  </si>
  <si>
    <t>Бараев Х. А.</t>
  </si>
  <si>
    <t>Психология в современном боксе</t>
  </si>
  <si>
    <t>В учебно-методическом пособии анализируется практические работы лучших тренеров, различные теории тренировки, данные физиологии и психологии спорта предсоревновательной подготовке боксеров высшего класса, с учетом особенностей их физических и психических качеств, обусловленных спецификой боксеров. 
 Учебно-методическое пособие предназначено для тренеров, преподавателей и специалистов по боксу.</t>
  </si>
  <si>
    <t>00010927</t>
  </si>
  <si>
    <t>Серікбаева Қ.Қ, Гамарник М.Я., Байгунова Д.М., Арипбаева Л.Ш.</t>
  </si>
  <si>
    <t>Арнайы музыкалық аспап-синтезатор</t>
  </si>
  <si>
    <t>Исскуство, Музыка</t>
  </si>
  <si>
    <t>Электронды музыкалық аспап- синтезаторда ойнап үйрену қазіргі кезде заман сұранысы. «Арнайы музыкалық аспап-синтезатор» атты оқу- құралында синтезатордың басты функциялары «қызметтерімен» таныстырып, қажетті орындаушылық дағдыларды игеруді үйретеді. Фортепиано аспабында ойнаудың негізін меңгерген болашақ музыканттарға синтезатор мүмкіншіліктері арқылы азғана уақыт аралығында түрлі жанрлардағы күрделі музыкалық шығармаларды орындай алуына мүмкіндік туады. Музыкалық мысал үлгілері ретінде мектеп әндері түсінікті, жеңіл түрде қарастырылған. Оқу құралы 611124-«Мәдени тынығу қызметі және эстрадалық ән салу» 
 білім бағдарламасының білім алушыларына арналған.</t>
  </si>
  <si>
    <t>00010928</t>
  </si>
  <si>
    <t>Арипбаева Л .Ш, Жайлымысова Г.А.</t>
  </si>
  <si>
    <t>Музыка пəнін жаңаша мазмұнда оқыту əдістемесі</t>
  </si>
  <si>
    <t>Оқу құралында студенттерге Музыка пəнін жаңаша мазмұнда оқыту əдіс-тəсілдерін үйрету жəне болашақ музыка мұғалімдерін мектеп оқушыларына музыкалық тəрбие беру жұмысына дайындау мəселелері қарастырылады. Оқу құралы студенттерге, музыка мұғалімдерге арналған. Мəліметтердің мазмұны бакалавриат «6В01420-Музыкалық білім» мамандығына мемлекеттік білім стандартына сəйкес.«Музыка пәнін жаңаша мазмұнда оқыту әдістемесі» пәні – болашақ музыка мұғалімінің мектептегі музыка пәнін оқытудағы әдістемелік дайындығын қалыптастырудың және жетілдірудің қажетті құралы болып табылады.Бұл пән музыка өнерi арқылы балаларға музыкалық тәрбие, білім беруге болатындығы жайында түсiнiк бередi.«Музыка пәнін жаңаша мазмұнда оқыту әдістемесі» пәнi мектептiң оқу бағдарламасына ендірілуі арқылы музыкалық өнердiң тәрбиелiк мәнi, тәрбиелеу, бiлiм беру объектi-қазiргi заман мектеп оқушысының музыкалық қабiлеттерi қандай дәрежеде болуы тиiс т.с.с. сұрақтарға нақты жауап бередi.Студенттерді жалпы білім беретін мекемелерде музыка мұғалімі ретінде болашақ музыкалық-педагогикалық қызметке даярлау,қазіргі заманғы білім беру технологияларын білу,оқушыларды оқыту мен тәрбиелеу әдіс-тәсілдерін игерту.</t>
  </si>
  <si>
    <t>00010932</t>
  </si>
  <si>
    <t>Нуранбаева Б.М.</t>
  </si>
  <si>
    <t>Мұнай мен газ химиясы және өңдеудің технологиялық процесстері</t>
  </si>
  <si>
    <t>Ұсынылып отырған оқу құралында кен орынның мұнай мен газдың негізгі компоненттері, мұнайдың шығу тегінің гипотезалары, жеке көмірсутектердің физика-химиялық қасиеттері мен құрылысы, табиғи газдар және басқа да көмірсутек шикізаттарының түрлері, көп компонентті мұнай жүйесіне талдау, бөлу және тазалау әдістері, мұнай мен газды өңдеудің негізгі химиялық үрдістері, сонымен қатар мұнайды өңдеудің негізгі өнімдері, олардың құрамы және пайдалану қасиеттері қарастырылған кең ауқымды оқу құралы болып есептіленеді. Бұл оқу құралы мұнай-газ саласындағы жоғарғы оқу орындарындағы студенттер, магистранттарға, сонымен қатар кең ауқымдағы инженерлі-техникалық мұнай өнеркәсібіндегі қызметкерлерге арналған.</t>
  </si>
  <si>
    <t>00010933</t>
  </si>
  <si>
    <t>Мацюк Д. А.</t>
  </si>
  <si>
    <t>Этика ненасилия в глобальном мире и жизни казахстанского общества</t>
  </si>
  <si>
    <t>Представленная книга являет собой комплексное исследование ненасилия как социальной ценности. Работа условно разделена на три раздела. В первом разделе выявляются истоки явления ненасилия как социокультурного феномена, анализируется его историческая эволюция в контексте развития мировой цивилизации. Сопоставляются различные подходы изучения ненасилия в теориях и концепциях разнообразных исследователей, определяется место ненасилия в системе социальных ценностей. Во втором разделе определяется характер влияния идей ненасилия на процесс развития социальных стратегий в рамках функционирования политических и культурных институтов. Вместе с тем анализируются трудности и успехи применения принципов ненасилия в качестве метода разрешения социальных конфликтов. В третьем разделе рассматривается специфика формирования и развития гуманистических тенденций в рамках казахской традиционной культуры. Вместе с этим изучены вопросы реализации принципа ненасилия в контексте социальных программ, а также выявляются и анализируются миротворческие тенденции внешней политики Республики Казахстан. Книга адресована широкому кругу читателей, интересующихся вопросами этики, социальной философии, истории, геополитики и в целом философскими проблемами.</t>
  </si>
  <si>
    <t>00010934</t>
  </si>
  <si>
    <t>Алексеева Н.В., Уразбаева К.А.</t>
  </si>
  <si>
    <t>Современные технологии пищевых производств</t>
  </si>
  <si>
    <t>Учебное пособие предназначено для студентов образовательных программ: 6В07250 - Технология перерабатывающих производств; 6В07252 - Технология сахаристых веществ и сахарных кондитерских изделий и составлено в соответствии с учебной программой дисциплины «Специальные технологии перерабаты-вающих производств» Южно-Казахстанского университета имени М. Ауэзова. Методическая целенаправленность пособия - привить студентам необходимые фундаментальные теоретические знания в области современных(т.е. действующих в Казахстане) технологий зерноперерабатывающих, хлебопекарного, макаронного, кондитерского, сахара, крахмалопаточного, бродильного производств.</t>
  </si>
  <si>
    <t>00010935</t>
  </si>
  <si>
    <t>Тоқсамбаева А.О. / Токсамбаева А.О.</t>
  </si>
  <si>
    <t>Қазақ хандығы дәуіріндегі әдебиет</t>
  </si>
  <si>
    <t>филология</t>
  </si>
  <si>
    <t>Бұл кітап – XV-XVIII ғасырлардағы қазақ әдебиеті тарихының іргелі мәселелері мен сол дәуірде өмір сүрген ақын, жыраулар шығармашылығы және жазба жәдігерліктер туралы зерттеулерден тұрады. Еңбек ғылыми қызметкерлерге, жоғары оқу орындарының оқытушыларына, 6В02303 филология, 6В01701қазақ тілі мен әдебиеті, 6В01702 басқа ұлт мектептеріндегі қазақ тілі мен әдебиеті мамандығы студенттеріне, қазақ әдебиеті тарихын білгісі келетін көпшілік оқырманға арналған.</t>
  </si>
  <si>
    <t>00010937</t>
  </si>
  <si>
    <t>Әуезов және әдебиеттану мәселелері</t>
  </si>
  <si>
    <t>«Әуезов және әдебиеттану мәселелері» атты оқу құралында қазақтың ұлы жазушысы, қоғам қайраткері, ғұлама ғалым, Қазақстан ғылым академиясының академигі, филология ғылымдарының докторы, профессор Мұхтар Омарханұлы Әуезовтің сан-салалы ғылыми шығармашылығын зерделеуге арналған еңбектер жинақталған.Бұл оқу құралы филолог мамандарға,ғылыми қызметкерлерге, магистранттарға, М.Әуезовтің шығармашылығын білгісі келетін көпшілік оқырманға арналған.</t>
  </si>
  <si>
    <t>00010938</t>
  </si>
  <si>
    <t>Алиясова В.Н.</t>
  </si>
  <si>
    <t>Музеи Казахстана как центры сохранения и популяризации палеонтологических коллекций</t>
  </si>
  <si>
    <t>История, Культорология</t>
  </si>
  <si>
    <t>В монографии представлены результаты исследований комплексного изучения палеонтологических коллекций в музеях Северного и Восточного Казахстана. Рассмотрены этапы становления музейного дела в регионах, история формирования палеонтологических коллекций в краеведческих и ведомственных музеях, освещены подходы в презентации палеонтологических экспонатов. Проблема рассмотрена с широких позиций, с использованием исторических, географических, биологических и геологических данных. Монография дает возможность использования представленных в работе данных для изучения истории музейного дела и культуры, палеонтологии, преподавания курсов музееведения, краеведения, культурологии</t>
  </si>
  <si>
    <t>00010939</t>
  </si>
  <si>
    <t>Aliyassova V. (Алиясова В.Н.)</t>
  </si>
  <si>
    <t>The museums of kazakhstan as centers of preservation and promotion of the paleontological collections</t>
  </si>
  <si>
    <t>The monograph presents the results of studies of complex study of paleontological collections in museums of Northern and Eastern Kazakhstan. Considered the stages of formation of museums in the regions, the history of the formation of the paleontological collections in local history and departmental museums, approaches in the presentation of the paleontological exhibits. The problem considered from a wide position, using historical, geographical, biological and geological data.The monograph gives the possibility of using presented in the paper data for studying the history of museology and culture, paleontology, teaching courses in museology, Ethnography, and cultural studies В монографии представлены результаты исследований по комплексному изучению палеонтологических коллекций в музеях Северного и Восточного Казахстана. Рассмотрены этапы становления музеев в регионах, история формирования палеонтологических коллекций в краеведческих и ведомственных музеях, подходы в представлении палеонтологических экспонатов. Проблема рассмотрена с широкой позиции, с использованием исторических, географических, биологических и геологических данных..Монография дает возможность использовать представленные в статье данные для изучения истории музееведения и культуры, палеонтологии, преподавания курсов музееведения, этнографии и культурологии</t>
  </si>
  <si>
    <t>00010940</t>
  </si>
  <si>
    <t>Машан Т.Т.</t>
  </si>
  <si>
    <t>Кристалдар химиясының негіздері. Есептер жинағы</t>
  </si>
  <si>
    <t>Химия, физика</t>
  </si>
  <si>
    <t>Оқу құралында кристаллография мен кристалдар химиясының негізгі бөлімдері: кристалдар мен молекулалар симметриясы, симметрия элементтері, симметрияның нүктелік және кеңістіктік топтары, кристалл құрылымдарының негізгі типтері бойынша таңдамалы есептер жинағы келтірілген. Оқу құралы 5В060600 – Химия, 6В05302– Бейорганикалық химия және 7M05306 - Физикалық химия білім беру бағдарламалары бойынша білім алатын студенттер, магистранттар қауымына, сонымен қатар кристалдар химиясы, кристаллографиямен және қатты денелер химиясы және физикасымен айналысатын мамандарға арналған.</t>
  </si>
  <si>
    <t>00010941</t>
  </si>
  <si>
    <t>Anessova.A.Zh (Анесова А.Ж.)</t>
  </si>
  <si>
    <t>Professional-oriented foreign language (English language )</t>
  </si>
  <si>
    <t>The study guide can be used as a self-study reference grammar and practice book or as supplementary material in classes preparing. This book includes practical materials of Business English initially designed for students of pedagogical specialties. Учебное пособие может быть использовано в качестве справочного пособия по грамматике и практике для самостоятельного изучения или в качестве дополнительного материала при подготовке к занятиям. Эта книга включает в себя практические материалы делового английского языка, изначально предназначенные для студентов педагогических специальностей</t>
  </si>
  <si>
    <t>00010942</t>
  </si>
  <si>
    <t>978-601-330-324-6</t>
  </si>
  <si>
    <t>Анесова А.Ж.</t>
  </si>
  <si>
    <t>Ж. Аймауытовтың шығармашылығының рухани мұраларын пайдаланудың теориялық негізі</t>
  </si>
  <si>
    <t>Психология, Педагогика</t>
  </si>
  <si>
    <t>Бұл монографияда Ж. Аймауытовтың еңбектеріндегі мұғалімдерді даярлауда психологиялық-педагогикалық негіздері сараланған. Оқушылардың танымдық-гносеологиялық ойлау қызметін арттырудың Ж. Аймауытовша тұжырымдарын, моделін ұсынған. Мұнымен бірге, сонау ХХ ғасырдың 20-шы жылдарында компьютердің құрылымын «ой сандығы», ал оның «жұлма жады» мен «пәлсапалық жадының» жүйе құрылымын анықтаған</t>
  </si>
  <si>
    <t>00010943</t>
  </si>
  <si>
    <t>Кусаинов Г.М., Танирбергенова А.Ш., Дуйсебекова А.Е.</t>
  </si>
  <si>
    <t>Обновление содержания начального образования: Руководство к действию.</t>
  </si>
  <si>
    <t>В учебном пособии рассматриваются современные тренды в начальном образовании, основные особенности обновленного содержания, специфика предметного обучения, раскрываются вопросы планирования уроков и системы оценивания в начальных классах.Пособие адресовано обучающимся педагогических вузов и колледжей, учителям начальных классов</t>
  </si>
  <si>
    <t>00010944</t>
  </si>
  <si>
    <t>Дьяченко В.К., Кусаинов Г.М., Васильева Е.Н., Абыканова Б.Т.</t>
  </si>
  <si>
    <t>Оқытудың ұжымдық (интербелсенді) тәсілінің педагогикалық технологиясы</t>
  </si>
  <si>
    <t>оқу-әдістемелік кұралы</t>
  </si>
  <si>
    <t>Оқу-әдістемелік құралында педагогикалық технология ұғымының мәні, оны жаратылыстану-тарихи тәсілдеме арқылы жіктелуі қарастырылған, жаңа және ең жаңа педагогикалық технологияға көшу кезінде қолданылатын әдістемелер мен амалдар көрсетілген.Құрал педагогикалық жоғары оқу орындары мен колледждердің студенттеріне, білім және ғылым саласындағы қызметкерлерге арналған</t>
  </si>
  <si>
    <t>00010945</t>
  </si>
  <si>
    <t>Дьяченко В.К.,Кусаинов Г.М., Васильева Е.Н., Абыканова Б.Т.</t>
  </si>
  <si>
    <t>Педагогическая технология коллективного (интерактивного) способа обучения</t>
  </si>
  <si>
    <t>В учебно-методическом пособии рассматриваются вопросы сущности понятия педагогическая технология, естественно-исторического подхода к ее классификации, раскрываются приемы и методики, используемые в условиях перехода к новой и новейшей педагогической технологии.Пособие адресуется обучающимся педагогических вузов и колледжей, работникам сферы образования и науки.</t>
  </si>
  <si>
    <t>00010946</t>
  </si>
  <si>
    <t>Кусаинов Г.М., Абыканова Б.Т., Салыкбаева Ж.К., Садирбекова Д.К</t>
  </si>
  <si>
    <t>Педагогическое образование в колледже: инновационные подходы</t>
  </si>
  <si>
    <t>В учебном пособии рассматриваются вопросы профессионально-педагогической подготовки учителей в организациях послесреднего образования, раскрываются инновационные подходы к содержанию и организации учебного процесса в условиях прикладного бакалавриата.Пособие адресуется обучающимся высших педагогических колледжей и вузов, работникам сферы образования и науки.</t>
  </si>
  <si>
    <t>00010947</t>
  </si>
  <si>
    <t>Васильева Е.Н., Кусаинов Г.М., Абыканова Б.Т.</t>
  </si>
  <si>
    <t>Теория и технология интерактивного обучения</t>
  </si>
  <si>
    <t>В пособии рассматриваются вопросы сущности активного и интерактивного обучения, их различие и классификации, раскрываются различные приемы и методики применения в практической деятельности, основанные на опыте одного из ведущих в Российской Федерации Ачинского колледжа Красноярского края и в школах и вузах Республики Казахстан.Пособие адресуется обучающимся педагогических вузов и колледжей, работникам сферы образования и науки</t>
  </si>
  <si>
    <t>00010948</t>
  </si>
  <si>
    <t>Кусаинов Г.М., Абыканова Б.Т., Салықбаева Ж.К., Садирбекова Д.К.</t>
  </si>
  <si>
    <t>Жоғары колледжде педагогикалық білім беру: инновациялық тәсілдемелер</t>
  </si>
  <si>
    <t>Оқу құралында орта білімнен кейінгі білім беру ұйымдарында мұғалімдердің кәсіби-педагогикалық даярлау мәселелері қарастырылады, қолданбалы бакалавриатта оқу процесінің мазмұны мен ұйымдастырылуына инновациялық тәсілдемелері анықталады.Құрал жоғары педагогикалық колледждер мен жоғары оқу орындарының білім алушыларына, білім және ғылым саласындағы қызметкерлеріне арналған</t>
  </si>
  <si>
    <t>00010950</t>
  </si>
  <si>
    <t>Кусаинов Г.М., Танирбергенова А.Ш., Дүйсебекова А.Е.</t>
  </si>
  <si>
    <t>Бастауыш білім беру мазмұнын жаңарту: Іс-әрекетке нұсқаулық</t>
  </si>
  <si>
    <t>Оқу құралында бастауыш білім берудің заманауи трендтері, жаңартылған білім беру мазмұнының басты ерекшеліктеріне сәйкес пәндік мазмұнды меңгерту, сабақтарды жоспарлау мен оқушылардың білімін бағалау жүйесі қарастырылады. Оқу құралы жоғары оқу орны мен колледж білім алушыларына, бастауыш сынып мұғалімдеріне арналады</t>
  </si>
  <si>
    <t>00010951</t>
  </si>
  <si>
    <t>Рахимова С.А., Смагулова З.К.</t>
  </si>
  <si>
    <t>Инновационная экономика</t>
  </si>
  <si>
    <t>Учебное пособие «Инновационная экономика» содержит теоретические основы, необходимые для полного изучения и освоения курса дисциплины компонента по выбору.Учебное пособие рассчитано для студентов специальности «Экономика», а также для специалистов, интересующихся вопросами современного развития экономики.Пособие подготовлено в соответствии с учебным планом и рабочей учебной программы дисциплины</t>
  </si>
  <si>
    <t>00010952</t>
  </si>
  <si>
    <t>Рахимова С.А.</t>
  </si>
  <si>
    <t>Стратегия устойчивого развития</t>
  </si>
  <si>
    <t>В учебном пособии представлен материал, необходимый для полного освоения учебного курса дисциплины "Стратегия устойчивого развития".Учебное пособие рассчитано для магистрантов экономических специальностей, а также специалистов, интересующихся социо-эколого-экономическими вопросами, составляющими основу устойчивого развития, вопросами современного инновационного развития</t>
  </si>
  <si>
    <t>00010953</t>
  </si>
  <si>
    <t>978-601-330-484-7</t>
  </si>
  <si>
    <t>Кусаинов Г.М., Васильева Е.Н.</t>
  </si>
  <si>
    <t>Антология коллективного обучения. Выпуск 1. Часть 1.</t>
  </si>
  <si>
    <t>Сборник статей</t>
  </si>
  <si>
    <t>В первом выпуске сборника, состоящем из двух частей, предлагаются статьи, представляющие собой этапы зарождения, становления и развития коллективного обучения, начиная с 20-х гг. ХХ века и заканчивая настоящим временем. Статьи размещены в хронологическом порядке и дают возможность ознакомиться и понять саму идею коллективной учебной работы, проблемы и трудности в освоении диалогических сочетаний за сто лет их существования.Адресуется работникам сферы образования и науки, обучающимся гуманитарных колледжей, педагогических вузов и университетов</t>
  </si>
  <si>
    <t>00010954</t>
  </si>
  <si>
    <t>978-601-330-482-3</t>
  </si>
  <si>
    <t>Антология коллективного обучения. Выпуск 1. Часть 2.</t>
  </si>
  <si>
    <t>00010955</t>
  </si>
  <si>
    <t>Омарова Е.О., Арыстанова Г.Б.</t>
  </si>
  <si>
    <t>Әйелдер киімдерін құрастыру және модельдеу</t>
  </si>
  <si>
    <t>Дизайн, текстиль</t>
  </si>
  <si>
    <t>Оқу құралы колледж және жоғарғы оқу орындарының студенттеріне арналған. Оқу құралында киім жайлы жалпы ұғым, оның жіктелуі мен қызметі, адам анатомиясы мен тұлғаның өлшемдері жайлы ақпараттар жазылған. Адам тұлғасынан алынған ақпараттар бойынша әйел адамдарға иық және бел бұйымдарының құрастырылуы мен модельденуі берілген. Құрастыру кезінде конструктивтік қосымшалардың дұрыс таңдалуы мен олардың орындалатын қызметі негізделген. Сонымен қатар, базалық конструкция негізінде модельдік ерекшеліктер жасау жолдары мен тәсілдері де көрсетілген. Оқу құралында әртүрлі стильдегі әйелдер бұйымдарының нобайлары ұсынылып, олардың ішінде кейбір бұйымдардың модельдену жолдары сызба түрінде көрсетілген. Жалпы, оқу құралының көмегімен студент өздігінен кез-келген иық және бел бұйымдарын еш қиындықсыз құрастыра алатын байқауға болады.</t>
  </si>
  <si>
    <t>00010956</t>
  </si>
  <si>
    <t>Гаврилова Т.В., Гельдымамедова Э.А., Тулиндинова Г.К., Баймурзина Б.Ж.</t>
  </si>
  <si>
    <t>Репетитор по биологии</t>
  </si>
  <si>
    <t>Биология, Педагогика</t>
  </si>
  <si>
    <t>Учебное пособие является оригинальным учебно-методическим материалом, предназначенным для учителей и учеников школ, которые хотят углубить свои знания в биологии. Весь материал изложен по темам в той последовательности, в которой он изучается в школьном курсе биологии. Каждый раздел разбит авторами на две части: информирующую и контролирующую. Справочно-информационный материал организован в виде таблиц и схем, что позволяет дать большое количество необходимой информации при относительной краткости и сжатости ее изложения. По каждому разделу предусмотрено 30 тестовых заданий, которые также являются оригинальными и составлены лично авторами.</t>
  </si>
  <si>
    <t>00010957</t>
  </si>
  <si>
    <t>Онгарбаева Н., Аскарбеков Э.Б., Мұрадов С.А.</t>
  </si>
  <si>
    <t>Обработка и хранение продукции растениеводства</t>
  </si>
  <si>
    <t>Технология перерабатывающих производств, растениеводство</t>
  </si>
  <si>
    <t>В лабораторном практикуме представлены методические указания для выполнения лабораторных и практических занятий по дисциплине «Обработка и хранение продукции растениеводства» и предназначены для студентов вузов, обучающихся по специальности 5В072800 – Технология перерабатывающих производств. Практикум включает примеры того, как определить эффективность технологических процессов обработки и хранения растениеводческой продукции, изучение физико-химические процессы, происходящие в обрабатываемой зерновой массы, и примеры расчета компонентов конкретной готовой продукции. Настоящий практикум по дисциплине «Обработка и хранение продукции растениеводства» предполагает углубление и расширение знаний, получение навыков обучающихся в области технологий обработки, анализа процессов хранения растениеводческой продукции.</t>
  </si>
  <si>
    <t>00010958</t>
  </si>
  <si>
    <t>Дарибаев Ю. А., Дарибаев Н. Ю., Исаева Д</t>
  </si>
  <si>
    <t>Мұнай және газ химиясы</t>
  </si>
  <si>
    <t>Нефтегазовое, нефтехимия</t>
  </si>
  <si>
    <t>"Мұнай және газ химиясы" пәні 6В07216-«Мұнай-газ инженериясы», 6В07217-«Мұнай және газды тасымалдау», 6В07218- «Мұнай, мұнай өнімдерін және газды өткізу», 6В07213-«Мұнай және газ ұңғымаларын бұрғылау» білім беру бағдарламасы бойынша білім алатын студенттерге арналған. Бағдарламада –мұнай, мұнай өнімдері және газдың пайда болуы, физикалық және химиялық құрамы, жіктелуі қаныққан, қанықпаған, ароматты, циклоалканды, циклоалкенді және аралас құрылымды көмірсутектер, гетероатомды қосылыстар, және минералды мұнай компоненттері –олардың номенклатурасы, изомериясы, физикалық және химиялық қасиеттері, құрамы, қолданылуы туралы мәліметтер келтірілген</t>
  </si>
  <si>
    <t>00010959</t>
  </si>
  <si>
    <t>Исабаев А.С.</t>
  </si>
  <si>
    <t>Почвоведение</t>
  </si>
  <si>
    <t>агрономия, география, природопользование</t>
  </si>
  <si>
    <t>В учебном пособии изложены основы почвоведения, вопросы генезиса и эволюции почвы, ее роль и функции в биосфере Земли. Дана характеристика физических, химических, биологических свойств главных типов почв. Раскрыты основы учения о факторах почвообразования, зонах природы; показана роль круговорота веществ в почвообразовании. Пособие позволяет установить причинно-следственные связи явлений в системе «почва-растение-почва», понимать роль биологического разнообразия как ведущего фактора устойчивости живых систем и биосферы в целом.</t>
  </si>
  <si>
    <t>00010960</t>
  </si>
  <si>
    <t>Землеустройство</t>
  </si>
  <si>
    <t>управление земельными рисурсами</t>
  </si>
  <si>
    <t>Изложены основы землеустройства, вопросы и схемы землеустройства территорий, использования и охраны земель, карты (планов) объекта землеустройства, проекты внутрихозяйственного землеустройства. Землеустройство включает в себя мероприятия по изучению состояния земель, планированию и организации рационального использования земель и их охраны, описанию местоположения и (или) установлению на местности границ объектов землеустройства, организации рационального использования гражданами и юридическими лицами земельных участков для осуществления сельскохозяйственного производства. По результатам проведения землеустройства формируется землеустроительная документация</t>
  </si>
  <si>
    <t>00010961</t>
  </si>
  <si>
    <t>Оценка земли и земельный кадастр</t>
  </si>
  <si>
    <t>Учебное пособие "Оценка земли и земельный кадастр" написано в соответствии с требованиями образовательного стандарта профессионального высшего образования. Дается понятие земельного кадастра, показаны особенности развития способы, методы и порядок создания и ведения государственного земельного кадастра. Приводится механизм регистрации сделок с землей, а также создания и ведения кадастра земель в населенных пунктах. Учебный материал излагается доступным языком, четко и последовательно в соответствующем объеме. Некоторые из разделов включают в себя теоретический материал, таблицы, контрольные вопросы.Предлагаемое пособие предназначено для студентов очного и заочного обучения.</t>
  </si>
  <si>
    <t>00010962</t>
  </si>
  <si>
    <t>Социальная экология и устойчивое развитие</t>
  </si>
  <si>
    <t>биологии и биотехнологии</t>
  </si>
  <si>
    <t>В учебном пособии даны основы социальной экологии, проведен анализ ключевых социально-экологических проблем. Материал, представленный в учебном пособии, способствует развитию широкого взгляда на различные социальные процессы и явления, умению анализировать и оценивать их применительно как ко всему обществу и отдельным группам людей, так и к каждому отдельному человеку.Учебное пособие может быть использовано как студентами специальности «Экология», так и полезно всем, кто интересуется современными социально-экологическими проблемами.</t>
  </si>
  <si>
    <t>00010963</t>
  </si>
  <si>
    <t>Исабаева Г.М.</t>
  </si>
  <si>
    <t>Контроль и оценка качества сырья и продовольственных продуктов</t>
  </si>
  <si>
    <t>В учебном пособии раскрывается контроль и оценка качества сырья и продовольственных продуктов. Даются общие понятия контроля, оценки качества, пищевая ценность продуктов питания и их химический состав. Во второй главе подробно изложены на конкретных продовольственных подуктах стандартные методы анализа органолептических, хмических и физико-химических методов определения качества.Учебное посбие предназначено для бакалавров образовательной программы «Технология продовольственных продутов» и «Стандартизация, сертификаця и метрология»</t>
  </si>
  <si>
    <t>00010964</t>
  </si>
  <si>
    <t>Ulyeva G.A., Yakovleva D.A. / Ульева Г.А.</t>
  </si>
  <si>
    <t>Metal science and heat treatment</t>
  </si>
  <si>
    <t>The methodological manual contains developments in the most important sections of metal science and heat treatment. This manual is a sequential presentation of the basics of materials science, heat treatment, alloying of metallic materials.The manual can be recommended as a reference material for students of higher educational institutions in the study of disciplines "Metallurgy and heat treatment" for students of the specialty "Metal forming technology", "Materials science", "Physical materials science", "Materials science and technology of structural materials", "Construction materials and heat treatment", students in the specialties "Materials science and technology of new materials", "Transport, transport equipment and technologies", "Heat power engineering", "Mechanical engineering", "Thermomechanical treatment", and also for students of secondary specialized educational institutions studying related disciplines. /Методическое пособие содержит разработки по важнейшим разделам металловедения и термической обработки. Настоящее пособие представляет собой последовательное изложение основ материаловедения, термической обработки, легирования металлических материалов.Учебное пособие может быть рекомендовано в качестве справочного материала для студентов высших учебных заведений при изучении дисциплин «Металлургия и термическая обработка» для студентов специальностей «Технология обработки металлов давлением», «Материаловедение», «Физическое материаловедение», «Материаловедение». наука и технология конструкционных материалов», «Конструкционные материалы и термообработка», студенты специальностей «Материаловедение и технология новых материалов», «Транспорт, транспортная техника и технологии», «Теплоэнергетика», «Машиностроение», «Термомеханическая обработка», а также для студентов средних специальных учебных заведений, изучающих смежные дисциплины.</t>
  </si>
  <si>
    <t>00010965</t>
  </si>
  <si>
    <t>978-601-13-0661-4</t>
  </si>
  <si>
    <t>Tatiуevа M.M. , Gelmanova Z.S. , Silaeva O.V., Bayassilova K.A. / Татиева М.М.</t>
  </si>
  <si>
    <t>Digitalization of the economy of the Republic of Kazakhstan as a stabilization measure in modern conditions</t>
  </si>
  <si>
    <t>Экономический</t>
  </si>
  <si>
    <t>This monograph presents the results of research, reflecting both the trends and prospects for the development of the digital economy, and the issues of digital transformation of the economy and industry.
 The monograph reflects the formation of the digital economy in the context of the COVID-19 pandemic, the features of the digital transformation of industry, the problems of developing the regional and sectoral economy of the Republic of Kazakhstan.The foreign and domestic experience of digitalization of the regional economy is considered.A significant place is given to the development of recommendations for assessing the effectiveness of the use of information technologies in the state, the development of a model for preventing and managing risks in the digital transformation of an enterprise, as well as recommendations for modernizing an enterprise based on the information system developed by KazMunayGas.The textbook is intended for specialists involved in the digital economy, researchers, as well as students studying economic specialties while studying the Digital Economy courses./В данной монографии представлены результаты исследований, отражающие как тенденции и перспективы развития цифровой экономики, так и вопросы цифровой трансформации экономики и промышленности.В монографии отражено формирование цифровой экономики в условиях пандемии COVID-19, особенности цифровой трансформации промышленности, проблемы развития региональной и отраслевой экономики Республики Казахстан.Рассмотрен зарубежный и отечественный опыт цифровизации региональной экономики.Значительное место уделено разработке рекомендаций по оценке эффективности использования информационных технологий в государстве, разработке модели предотвращения и управления рисками при цифровой трансформации предприятия, а также рекомендаций по модернизации предприятия. на базе информационной системы, разработанной КазМунайГаз.Учебник предназначен для специалистов, занимающихся цифровой экономикой, исследователей, а также студентов, обучающихся экономическим специальностям при изучении курсов «Цифровая экономика».</t>
  </si>
  <si>
    <t>00010966</t>
  </si>
  <si>
    <t>Алдабердіқызы Айдын</t>
  </si>
  <si>
    <t>Читательская грамотность и социальная стратификация</t>
  </si>
  <si>
    <t>В монографии даются разъяснения понятий грамотность, читательская грамотность, на многочисленных примерах рассматриваются характеристики и виды корреляций читательской грамотности и социально-экономического статуса, анализируются возможные причинно-следственные связи между уровнем читательской грамотности и социальной стратификацией казахстанского общества.Книга адресуется бакалаврам, магистрантам и докторантам PhD, изучающим курсы по социолингвистике, методологии лингвистических исследований, планированию и организации исследовательской работы, а также всем, кто интересуется проблемой грамотности, в целом, и читательской грамотности, в частности.</t>
  </si>
  <si>
    <t>00010967</t>
  </si>
  <si>
    <t>Садвакасова С.Р.</t>
  </si>
  <si>
    <t>Өзен гидрометриясы</t>
  </si>
  <si>
    <t>Гидрология, география</t>
  </si>
  <si>
    <t>Гидрометриялық бақылаулар, өлшеулер және су ағынының гидрометриялық сипаттамалары үшін есептеу әдістері туралы түсінік берілген. Су тұтынуды нормалау және су объектілерінде суды бөлу қағидаттары туралы жалпы мәліметтер келтірілген. Су ресурстарын басқару және мониторинг мәселелері қаралды. Гидрометриялық және гидрологиялық бейіндегі пәндерді оқу кезінде «Гидрология» мамандығы бойынша оқитын студенттерге арналған.</t>
  </si>
  <si>
    <t>00010968</t>
  </si>
  <si>
    <t>Гидрология и гидрометрия: практикум</t>
  </si>
  <si>
    <t>Учебно-методическое пособие «Гидрология и гидрометрия: практикум» предназначенное для студентов высших учебных завдений, обучающихся по специальности «6В05210 – Гидрология». За основу данного учебно-методического пособия были взяты материалы методических указаний к.г.н., доцента Мазур Л.П., носит комплексный характер и был разработан с учетом результатов и достижений научно-педагогической деятельности автора, которые рассматривают основные вопросы и применение возможностей практической гидрологии на начальных этапах изучения.</t>
  </si>
  <si>
    <t>00010969</t>
  </si>
  <si>
    <t>Тлеубергенов А.А., Байбулов А.К., Иваницкая Н.В., Казагачев В.Н.</t>
  </si>
  <si>
    <t>Жылутехника және техникалық термодинамика</t>
  </si>
  <si>
    <t>Инженерно-технический</t>
  </si>
  <si>
    <t>Оқу құралы техникалық жоғары оқу орындарының оқу бағдарламасына сәйкес жазылып, курстың негізгі бөлімдерін қамтыған. Оқу құралында дәрістер, практикалық сабақтарға және студенттердің өзіндік жұмыстарға арналған әдістемелік нұсқаулар, студенттердің білімін тексеруге арналған тесттермен есептер берілген.</t>
  </si>
  <si>
    <t>00010970</t>
  </si>
  <si>
    <t>Тоқпанов Е.А., Абулғазиев А.У., Сергеева А.М., Әбдіманапов Б.Ш.</t>
  </si>
  <si>
    <t>Географияны оқыту әдістемесі 1 том</t>
  </si>
  <si>
    <t>Оқулық 6В01506-«География», 6В01511-«География-тарих» білім беру бағдарламаларының үлгілік оқу бағдарламасына сәйкес жазылған. Оқулықта жоғары оқу орындарында географияны оқыту әдістемесінің негіздері: географиялық білім берудің мақсаттары, географиялық білім берудің құрылымы мен мазмұнындағы өзгерістер, пәнді оқыту әдістері, т.б. мәселелері қарастырылады. Мектеп географиясы курсы аясында жоғары мәдениетті азаматты тәрбиелеуге қажетті педагогикалық технологиялар ұсынылған. Болашақ география пәнінің мұғалімі мен оқытушылар оқулықтан тиімді оқытудың әдістерін таба алады.</t>
  </si>
  <si>
    <t>00010971</t>
  </si>
  <si>
    <t>Географияны оқыту әдістемесі 2 том</t>
  </si>
  <si>
    <t>00010972</t>
  </si>
  <si>
    <t>Пиримжаров М. Х., Капанова А.Т. , Казагачев В.Н.</t>
  </si>
  <si>
    <t>Smart home жүйесіндегі нысандарын жобалау.</t>
  </si>
  <si>
    <t>Архитектура и дизайн</t>
  </si>
  <si>
    <t>Оқу құралы жоғары оқу орындары 5В042100 - «Дизайн» мамандығы студенттері мен оқытушыларына және болашақ дизайнер сәулетшілердің графикалық білімін дамытуға арналған. Оқу құралы сәулеттік дизайн мамандығының студенттеріне, докторанттарға және жоғары мектеп пен орта кәсіптік білім мекемелері педагок қызметкерлеріне арналған.</t>
  </si>
  <si>
    <t>00010973</t>
  </si>
  <si>
    <t>Аймаганбетова З.К.</t>
  </si>
  <si>
    <t>Электр және магнетизм</t>
  </si>
  <si>
    <t>Жоғары оқу орындарында физик мамандарды даярлауда «Электр және магнетизм» курсы негізгі пәндердің бірі болып саналады. Бұл өз кезегінде осы сала бойынша электрлік және магниттік құбылыстарды тереңінен зерттеуді, физикалық құбылыстардың тек теориялық жағынан ғана емес, экспериментте де дәлелденуін қажет етеді. Осы тұрғыдан алғанда оқу құралы 6В05301 - Физика мамандығының студенттеріне «Электр және магнетизм» пәні бойынша зертханалық жұмыстарға арналған құрал болып табылады. Оқу құралының мазмұны «Электр және магнетизм» пәнінің жұмыс оқу бағдарламасына сәйкес келеді. Бұл пән тек осы мамандыққа ғана емес, басқа да техникалық мамандықтарға оқытылатындықтан осы оқу құралын басқа да білім бағдарламаларының студенттері мен магистранттар қолдана алады.</t>
  </si>
  <si>
    <t>00010974</t>
  </si>
  <si>
    <t>Сихимбаева С.М.</t>
  </si>
  <si>
    <t>Белсенді оқыту әдістері</t>
  </si>
  <si>
    <t>Оқу құралы 6В01310– «Бастауыш оқыту педагогикасы мен әдістемесі» мамандығының БББ мазмұнына сай құрастырылған. Оқу құралда жаңа білім беру жүйесінің талап етіп отырған инновациялық оқыту әдістері, оның ішінде педагог пен білімалушылардың белсенді іс әрекетін тудыратын әдістердің құрылымы мен мазмұны және қолдану әдістемесі ұсынылады. Басым түрде білімалушылармен оқытушының бірлесе мақсатқа жетудің белсенді тәсілдері, берілген. Білімалушылардың өзін-өзі тексеруге арналған тест тапсырмалары және білімалушыларға арналған тапсырмалар топтамасы ұсынылған.</t>
  </si>
  <si>
    <t>00010976</t>
  </si>
  <si>
    <t>Zaripov R., Yessaulkov V. / Зарипов Р.Ю., Есаулков В.С.</t>
  </si>
  <si>
    <t>Construction of railway cars</t>
  </si>
  <si>
    <t>транспорт, транспортная техника</t>
  </si>
  <si>
    <t>The textbook contains information about the design of modern freight and passenger cars operated on the railways of Kazakhstan. The designs of wheel sets, axle boxes, trolleys and shock-traction devices, which have the greatest impact on traffic safety, are considered in detail.The manual is intended for students of higher educational institutions, specialties "Transport, transport equipment and technologies" and Organization of transportation, movement and operation of transport, as well as students of technical schools and colleges of railway transport./Учебник содержит сведения о конструкции современных грузовых и пассажирских вагонов, эксплуатируемых на железных дорогах Казахстана. Подробно рассмотрены конструкции колесных пар, букс, тележек и ударно-тяговых устройств, оказывающих наибольшее влияние на безопасность движения. Пособие предназначено для студентов высших учебных заведений, специальностей «Транспорт, транспортная техника и технологии». и организации перевозок, движения и эксплуатации транспорта, а также учащихся техникумов и колледжей железнодорожного транспорта.</t>
  </si>
  <si>
    <t>00010977</t>
  </si>
  <si>
    <t>978-601-330-832-6</t>
  </si>
  <si>
    <t>Яковенко Л.К.</t>
  </si>
  <si>
    <t>Основы профессиональной деятельности</t>
  </si>
  <si>
    <t>Русский язык и литература</t>
  </si>
  <si>
    <t>Настоящее учебное пособие предназначено для студентов 1 курса специальности «Русский язык и литература». Основная цель пособия – раскрыть двусторонний характер профессиональной подготовки будущего учителя русского языка и литературы, призванного учить школьника своим предметам, и формировать профессионально-языковую личность студента. Пособие содержит теоретический материал по 15 темам курса, контрольные вопросы к каждой из них и задания.</t>
  </si>
  <si>
    <t>00010978</t>
  </si>
  <si>
    <t>Жеткізгенова Ә. Т.</t>
  </si>
  <si>
    <t>Кәсіби қазақ тілі. (5В11300-Биология мамандығында оқитын білім алушыларға арналған)</t>
  </si>
  <si>
    <t>Язык казах, Биология</t>
  </si>
  <si>
    <t>Оқy құрaлы қaзaқ тiлiн биология мамандығында оқитын білім алушыларға кәсіби дeңгeйдe oқытyғa aрнaлғaн. Типтік бaғдaрлaмa мазмұнына орай және мамандық ерекшелігіне лайықтап таңдалған тақырыптар білім алушылардың сөйлey біліктілігін дaмытyғa ықпaл жacaйды.Oқy құрaлы cтyдeнттeр мeн мaгиcтрaнттaрғa, мeктeп, кoллeдж oқyшылaрынa қocымшa көмeкшiлiк қызмeт aтқaрaды.</t>
  </si>
  <si>
    <t>00010979</t>
  </si>
  <si>
    <t>Кәсіби қазақ тілі.(5В030100 - Құқықтану мамандығында оқитын білім алушыларға арналған)</t>
  </si>
  <si>
    <t>Язык казах,  Право</t>
  </si>
  <si>
    <t>Оқy құрaлы қaзaқ тiлiн құқықтану мамандығында оқитын білім алушыларға кәсіби дeңгeйдe oқытyғa aрнaлғaн. Типтік бaғдaрлaмa мазмұнына орай және мамандық ерекшелігіне лайықтап таңдалған тақырыптар білім алушылардың сөйлey біліктілігін дaмытyғa ықпaл жacaйды.Oқy құрaлы cтyдeнттeр мeн мaгиcтрaнттaрғa, мeктeп, кoллeдж oқyшылaрынa қocымшa көмeкшiлiк қызмeт aтқaрaды.</t>
  </si>
  <si>
    <t>0001098</t>
  </si>
  <si>
    <t>Байкенов М.И., Халикова З.С., Халикова А.И., Минайева Е.В.(Baikenov M.I., Khalikova Z.S., Khalitova A.I., Minayeva Ye.V.)</t>
  </si>
  <si>
    <t>Chemistry of oil and gas</t>
  </si>
  <si>
    <t>В учебном пособии рассмотрены химический состав, физико-химические свойства нефти и газа, а также методы разделения компонентов нефти являются. Учебное пособие предназначено для студентов и магистрантов химического факультета, специализирующихся на переработке углеводородного сырья. In the tutorial the chemical composition, physico-chemical prop-erties of oil and gas as well as separation methods of oil components are considered. The tutorial is intended for students and master stu-dents of Chemistry department who are specialized in processing of hydrocarbon raw materials.</t>
  </si>
  <si>
    <t>00010980</t>
  </si>
  <si>
    <t>Кәсіби қазақ тілі.(5B010900-математика мамандығында оқитын білім алушыларға арналған)</t>
  </si>
  <si>
    <t>Язык казах, Математика</t>
  </si>
  <si>
    <t>Оқy құрaлы қaзaқ тiлiн математика мамандығында оқитын білім алушыларға кәсіби дeңгeйдe oқытyғa aрнaлғaн. Типтік бaғдaрлaмa мазмұнына орай және мамандық ерекшелігіне лайықтап таңдалған мaтeриaлдaр тiл үйрeнyшiлeрдiң сөйлey біліктілігін дaмытyғa ықпaл жacaйды. Oқy құрaлы cтyдeнттeр мeн мaгиcтрaнттaрғa, мeктeп, кoллeдж oқyшылaрынa қocымшa көмeкшiлiк қызмeт aтқaрaды.</t>
  </si>
  <si>
    <t>00010981</t>
  </si>
  <si>
    <t>Суримбаева К., Абишева Г.С., Батыр Э.Е.</t>
  </si>
  <si>
    <t>Өсімдік шаруашылығы</t>
  </si>
  <si>
    <t>Агрономия, Почвоведение и агрохимия</t>
  </si>
  <si>
    <t>«Өсімдік шаруашылығы» оқу құралында танаптық (екпе) дақылдардың тұқымтану мәселелері, ауыл шаруашылық дақылдарының өнімдерін бағдарламалаудың теориялық негіздері және іссаналық тәсілдері қарастырылған, дәнді астық, дәнді бұршақ, майлы және эфирмайлы дақылдардың, түйнек және тамыржемістілерді өсіру технологиясы ерекшеліктері жазылған. Оқу құралы оқу жоспарының бағдарламасына сай құрастырылған және курстың дәріс жұмыстарын орындауға қажетті барлық мәлімдемелері ендірілген. Бұл оқу құралы 6В08110-«Агрономия», 6В08120- және «Топырақтану және агрохимия»білім беру бағадарламасының білім алушыларына арналып жасалған.</t>
  </si>
  <si>
    <t>00010983</t>
  </si>
  <si>
    <t>Сындарова. Ж.А., Келесхан. А.Т.</t>
  </si>
  <si>
    <t>Материалдық мәдениет және дизайн тарихы</t>
  </si>
  <si>
    <t>История ,Дизайн</t>
  </si>
  <si>
    <t>Оқу әдістемелік ақпаратта «Материалдық мәдениет және дизайн тарихы» пәнінен алған теориялық білімдерін бекітуге нұсқаулық мәліметтер қамтылған. Мұнда болашақ дизайнерлерге дизайн тарихы және теориялық даму процесі жөнінде тереңірек білім алып, көркем шығарманы талдауға және ол туралы өз пікірін сауатты жеткізе білуге үйрету. Болашақ студент жастарымыз дизайнның даму тарихын біліп, тұтастай дизайнерлік мамандығы туралы түсінігі болуы тиіс.Оқулық. «Өнер тарихы», «Дизайн тарихы», «Материалдық мәдениет және дизайн тарихы» пәндерінде қолдануға болады. Оқулық - 5В042100, 6В02101 – «Дизайн» білім беру бағдарламасы бойынша студенттерге арналған.</t>
  </si>
  <si>
    <t>00010984</t>
  </si>
  <si>
    <t>Шойынбет Ж.А.</t>
  </si>
  <si>
    <t>Абай қарасөздерінің ерекшеліктері</t>
  </si>
  <si>
    <t>Абай қарасөздерін бүгінгі күн талабы деңгейінде талдап-зерттеу арқылы автор абайтанудың жаңа қырларын еңбегіне арқау еткен. Абайтанудың алда шешілуге тиіс мәселелерін сұхбатында жан-жақты қарастырады. Бұл зерттеу еңбек жоғары оқу орындарының білімгерлеріне, магистранттарға, докторанттарға оқу құралы ретінде ұсынылады.</t>
  </si>
  <si>
    <t>00010985</t>
  </si>
  <si>
    <t>Майлыбаева А.Д.</t>
  </si>
  <si>
    <t>Применение интервальной математики и метода анализа иерархий (маи) к задаче управления запасами</t>
  </si>
  <si>
    <t>В монографии приведены результаты, касающиеся математического моделирования систем управления запасами. Это математическая модель управления запасами с ограничением на объем склада и на управление. Полученные с применением интервальной математики и методов анализа иерархий научные результаты, такие как критерий управляемости и оптимальное решение предложенной модели управления запасами, являются актуальными. В результате проведенных исследований в работе разработана математическая модель управления запасами, описываемая обыкновенными дифференциальными уравнениями и учитывающая ряд ограничений, актуальных с точки зрения практического применения. Монография предназначена для научных сотрудников, студентов, магистрантов и докторантов, занимающихся проблемами моделирования и методами интервального анализа и а анализа иерархий для решения задач управления запасами.</t>
  </si>
  <si>
    <t>00010986</t>
  </si>
  <si>
    <t>Алжанов Е.А.</t>
  </si>
  <si>
    <t>Плодоводство</t>
  </si>
  <si>
    <t>Сборник лекций</t>
  </si>
  <si>
    <t>Сборник лекций составлен в соответствии с требованиями учебного плана и программой дисциплины «Плодоводство» и включает все необходимые сведения по освоению тем лекционных занятий курса.В сборнике лекций рассмотрены теоретические вопросы об изучении производственно-биологических особенностей, закономерностей роста, развития, плодоношения плодовых растений, задач организации питомников, закладки плодового сада, ухода и формирования крон плодовых деревьев и ягодников, их взаимоотношений с внешней средой.Сборник лекций по дисциплине «Плодоводство» предназначен для студентов специальности 6В08110 - «Агрономия».</t>
  </si>
  <si>
    <t>00010987</t>
  </si>
  <si>
    <t>Көкөніс шаруашылығы</t>
  </si>
  <si>
    <t>Ұсынылып отырған дәрістер жинағында көкөніс өсімдіктерінің биологиялық және морфологиялық ерекшеліктері, Қазақстан республикасынын, әр турлі климаттық жағдайларында ашық және корғалған топырактағы көкөніс дақылдарын өндірудің алдыңғы технологияларымен танысу қарастырылған. Бұл дәрістер жинағы «Көкөніс шаруашылығы» пәнінен алған білімді тереңдетеді және студенттердің келешек агроном мамандығы бойынша маман дайындайды. 6В08110-«Агрономия» мамандығы үшін</t>
  </si>
  <si>
    <t>00010988</t>
  </si>
  <si>
    <t>978-601-330-485-4</t>
  </si>
  <si>
    <t>Кубденова Г.Б.</t>
  </si>
  <si>
    <t>Қазақ тілінің тарихи лексикографиясы:құрылымы мен ұстанымдары</t>
  </si>
  <si>
    <t>Монографияда қазақ тілінің тарихи бағыттағы этимологиялық, диалектологиялық және тарихи сөздіктер концепциясының құрылымы мен ұстанымдық негіздері, теориясы мен тәжірибесі қарастырылып, сонымен қатар түркітану мен жалпы тілі біліміндегі сөздіктердің жасалу негіздері ғылыми түрде зерделенеді. Сөздіктің лингвистикалық, қоғамдық мұра екендігі дәйектеледі.</t>
  </si>
  <si>
    <t>00010989</t>
  </si>
  <si>
    <t>Ибраймова.Л.А.</t>
  </si>
  <si>
    <t>Лингвомәдениеттану негіздері</t>
  </si>
  <si>
    <t>Лингвомәдениеттану негіздерінің зерттеу нысаны, міндеттері жайлы мағлұмат беріп, лингвомәдениеттануға тән категориялар жөнінде түсініктерін қалыптастырады. Білім алушылардың тіл мен мәдениет сабақтастығын ұғынып, оның ең басты міндеті – тілдік жаһанданудан қорғайтын негізгі қалқан ретінде түсінік қалыптастырады. Ұлттық құндылықтарды түсіне отырып, тілді меңгертуге дағдыланады. Оқу құралы жоғары оқу орындарының филология факультеттерінің тілші мамандарына, магистранттары мен студенттеріне арналған.</t>
  </si>
  <si>
    <t>00010990</t>
  </si>
  <si>
    <t>Сейтбекова.А.А.</t>
  </si>
  <si>
    <t>Ескі қазақ жазба ескерткіштер тіліндегі араб және парсы сөздері</t>
  </si>
  <si>
    <t>Бұл еңбекте көне қыпшақ тілінің соңғы үлгілерінің бірі – XVI–XVII ғасырлардағы Қадырғалидің «Жамиғат тауарих» пен Әбілғазы баһадүр ханның «Түркі шежіресі» жазба ескерткіштері мәтіндеріне лингвотекстологиялық талдаулар жасалып, өзге ортағасыр жазба ескерткіштерінен айырмашылықтары сөз болады. Авторлардың араб, парсы сөздерін қолданудағы түпнұсқаның әсері сараланады. Араб, парсы сөздерінің статистикасы беріліп, семантикалық ерекшеліктері талданады. Соңында жазба ескерткіштер тіліндегі араб, парсы сөздерінің сөздігі беріледі. Аталмыш монография түркітанушыларға, тіл тарихымен айналысатын зерттеушілерге, жоғары оқу орындары филология факультеттерінің студенттеріне және көпшілік қауымға арналады.</t>
  </si>
  <si>
    <t>00010991</t>
  </si>
  <si>
    <t>Мамыт А.А.</t>
  </si>
  <si>
    <t>Қазақ әдебиетіндегі дәстүр мен жаңашылдық</t>
  </si>
  <si>
    <t>Оқу құралында қазақ әдебиетіндегі дәстүр мен жаңашылдық мәселесі зерделенеді. Дәстүр мен жаңашылдық термині жан-жақты талданып, оның ұлттық сөз өнеріндегі көрінісі, зерттелуі ғылыми тұрғыдан сарапталған. Фольклор мен әдеби дәстүр, ежелгі дәуір әдебиетіндегі түркілік таным мен көркемдік, орта ғасырдағы ислам мәдениеті мен шығыс әдебиетінің сарыны, жыраулық поэзияның өзіндік болмысы, Абай жаңашылдығы мен ақындық дәстүрі, Алаш қайраткерлеріндегі ұлттық рух, көркем прозадағы Әуезов жаңашылдығы мен дәстүрі, көркемдік дәстүр және әдеби процесс, қазақ прозасындағы модернизм арнайы тақырыптар аясында қарастырылады. Кітап жоғары оқу орындары филология факультетінің студенттері мен ізденушілеріне, магистранттар мен докторанттарға, жалпы қазақ әдебиетіне қызығушы қалың көпшілікке арналады.</t>
  </si>
  <si>
    <t>00010992</t>
  </si>
  <si>
    <t>978-601-330-475-5</t>
  </si>
  <si>
    <t>Нурпеисов Н.Ж.</t>
  </si>
  <si>
    <t>Әдеби сын тарихын зерттеудің өзекті мәселелері</t>
  </si>
  <si>
    <t>«Әдеби сын тарихын зерттеудің өзекті мәселелері» деп аталатын оқу-әдістемелік құралы 6В01701 - қазақ тілі мен әдебиеті мұғалімін даярлау, 6В02302- филология мамандықтарының күндізгі және қашықтықтан білім беру бөлімінің студенттеріне арналған. Оқу-әдістемелік құралы ретінде дайындалған кітапта қазақ әдебиетінің сын тарихы пәні бойынша қажетті дерек көздері ғылыми тұрғыдан жан-жақты зерттеліп, қазақ әдеби сынының жай-күйі, оның өзекті мәселелері жан-жақты қарастырылған. Сонымен қатар көп уақыттан бері қазақ әдебиетінің тарихы, теориясы, сыны жайында, әдебиеттану ғылымына еңбегі сіңген тұлғалар жайында жазылған еңбектер де топтастырылып берілді. Бұл оқу-әдістемелік құралы жоғары оқу орындары филология факультетінің студенттері мен ізденушілеріне, магистранттар мен докторанттарға, жалпы төл әдебиетіміздің тарихы мен сынын біле түскісі келетін әдебиет сүйер қалың оқырман қауымға арналған.</t>
  </si>
  <si>
    <t>00010994</t>
  </si>
  <si>
    <t>Жеңіс Ж.Ж.</t>
  </si>
  <si>
    <t>Ежелгі және ортағасырлардағы Тұран мен Иран</t>
  </si>
  <si>
    <t>ХІ-ХІІІ ғасырларда Иран мен Алдыңғы Азияны жаулап алып, бұл жерлерде өз мемлекеттерiн құрған түркiлер, қол астындағы жерлерде өзiндiк мәдениеттерiнiң элементтерiн батыл енгiзе отырып, дүние жүзiлiк ислам өркениетiнiң дамып, гүлденуiне қомақты үлес қосты. Түркiлер билiгi кезiнде ислам сәулетiне көшпендiлер мәдениетiнен жаңа сәулет үлгiлерi мен түрлерi қосылды. Ислам өркениетi түркiлiк сарынмен толығып, кемелдене түстi. Олар қол астындағы елдердi бiр орталыққа бiрiктiрiп, тәртiп орнатып қана қоймай, осы елдердiң мәдениетiнiң қалыптасып, дамуын қадағалап, мұрындық болды. Бұл жерде баса назар салып айта кететiн нәрсе, түркiлердiң ислам әлемiндегi жасаған мәдениетi кездейсоқтық, немесе сол жерде ғана кенеттен пайда болған мәдениет емес, бұл мәдениет өз бастауын сонау түркi Қағанатынан алған көне дәстүрлерге ие мәдениеттiң жалғасы болды. Ислам өркениетiнен сәулет, ғылым-бiлiм салаларымен қатар тiл, өнер салаларында да дала көшпелiлерiнiң қолтаңбасы айқын сезiледi. Осы қолтаңбаларды терең зерттеу тақырыптың тарихнамадағы олқы тұстарын толтырып қана қоймай, халқымыздың төл мәдениетiндегi өзiндiк бет-бейнесi мен беймәлiм қырларын ашады.</t>
  </si>
  <si>
    <t>00010995</t>
  </si>
  <si>
    <t>Кадеева М.И., Омар Б.Қ.</t>
  </si>
  <si>
    <t>Қазіргі орыс тілінің сөзжасамы мен морфологиясы</t>
  </si>
  <si>
    <t>Осы оқу құралы Оңтүстік Қазақстан мемлекеттік педагогикалық институты тіл білімі кафедрасыШымкент қаласы) мен Л.Н. Гумилев атындағы Еуразия ұлттық университеті (Астана қаласы) теория және қолданбалы лингвистика кафедрасының ықпалдастығымен келісімшарт негізінде басылды. Оқу құралында қазіргі орыс тілінің морфемикасы, сөзжасамы мен морфологиясына қатысты өзекті мәселелер сөз болады. Студенттердің оқуын жеңілдету және оның тиімділігін арттыру мақсатында материалдарды жүйелеуде мынадай ұстанымдар ескерілді: а) теориялық материал барынша қысқартылып, түсінікті түрде берілді; б) бүкіл материал жекелеген шағын тақырыптарға (параграфтарға) бөлінді; в) әрбір параграф тақырыпқа қойылған сұрақтардан басталады және сұрақтардың әрқайсысына нөмірлеріне сәйкес жауап берілген (баяндаудың мұндай сұрақ-жауап ұстанымы студенттерге мақсатқа сай жұмыс істеуге мүмкіндік береді); г) әрбір тақырып сызба түрінде аяқталып, талдау үлгілері көрсетіліп, соңында студенттердің практикалық жұмысын жеңілдетуге мүмкіндік беретін қажетті әдебиеттер тізімі ұсынылады..Анықтамалық оқу құралы «Филология: орыс/қазақ тілі», «Аударма ісі», «Қазақ тілінде оқытатын мектептердегі орыс тілі мен әдебиеті» мамандықтары бойынша білім алатын Қазақстан Республикасы педагогикалық ЖОО мен университеттердің студенттеріне арналған. Анықтамалық оқу құралы қазіргі орыс тілін үйретушінің (репетитор) көмегінсіз оқып үйренуге мүмкіндік</t>
  </si>
  <si>
    <t>00010996</t>
  </si>
  <si>
    <t>Саяпил Ә., Құдайбергенова А., Куралбаева Р.Е.</t>
  </si>
  <si>
    <t>Экономика қағидалары</t>
  </si>
  <si>
    <t>Қазіргі кезде нарықтық экономиканың кең етек алуымен байланысты экономика қағидалары жайлы кез-келген студенттің білімі болуы міндетті. Бұл оқу құралында экономика қағидалары бойынша барлық тақырыптардың қысқаша мазмұны құрылымдық логикалық сызбалар түрінде ұсынылған және әр тақырыпта кездесетін негізгі категориялардың анықтамасы глоссарии түрінде келтірілген.</t>
  </si>
  <si>
    <t>00010997</t>
  </si>
  <si>
    <t>Аяшев О.А., Ибашова А.Б.</t>
  </si>
  <si>
    <t>Формирование логического мышления младших школьников</t>
  </si>
  <si>
    <t>В учебном пособии раскрываются основные особенности обучения логике учеников начальных классов, о роле математики в развитии логического мышления. В пособии показаны эффективные способы решения нестандартных логических задач, которые помогут привить интерес ребенка к изучению «классической» математики.Разработанное учебное пособие позволит будущим и настоящим педагогам творчески-критично выстраивать методологию и практику обучения науке математике в современной педагогической действительности.</t>
  </si>
  <si>
    <t>00010998</t>
  </si>
  <si>
    <t>Методические основы обучения информатике в начальных классах</t>
  </si>
  <si>
    <t>Учебное пособие А.Б.Ибашовой посвящена созданию методической основы обучения информатике учеников начальных классов.Актуальность настоящего исследования заключается в разработанной методической системе обучения пропедевтического курса информатики в начальных классах.В пособии приведены теоретическое обоснование необходимости пропедевтического курса информатики. Определены цель и содержание, а также разработана методика обучения пропедевтического курса информатики в начальных классах.В учебном пособии анализируются основные подходы в методике преподавания информатики, выявлены и раскрыты основные принципы, пути и условия включения в систему обучения предмета информатики в начальных классах. Важным является рассмотрение понятий и основных составляющих преподавания информатики в начальных классах, рекомендации по применению методической системы обучения и методы активизации познавательного процесса.Большое внимание в пособии уделено методам активизации образовательного процесса: дана характеристика системе развития логического и алгоритмического мышления учеников начальных классов, исследован вопрос формирования положительного отношения учеников начальных классов к занятиям информатики в процессе учебной деятельности, кроме того, рассмотрены отдельные частные вопросы педагогической работы. В частности, проведен научно-методический анализ понятия «образовательной программы» в педагогике и дидактике, рассмотрены цели, задач обучения, психолого-педагогические и методические аспекты преподавания пропедевтического курса информатики, выявлены и раскрыты требования к отбору содержания обучения информатике, разработаны формы и методы обучения.Представленное учебное пособие является во многом уникальной как по широте и проработанности представленного материала. Книга очень полезна для широкого круга исследователей и специалистов, занимающихся проблемами обучения учеников начальных классов, работникам научно-методических служб и учреждений повышения квалификации, преподавателям и студентам педагогических учебных заведений.</t>
  </si>
  <si>
    <t>00010999</t>
  </si>
  <si>
    <t>Сембаева.А.Г.</t>
  </si>
  <si>
    <t>Нейролингвистика</t>
  </si>
  <si>
    <t>Нейролингвистика— неврология мен тіл білімінің түйіскен жерінде пайда болған, мимен байланысты тіл жүйесін зерттейтін ғылым саласы. Қазіргі заманғы лингистикадағы нейролингвистика сияқты жаңа бағыт – антропоцентристік парадигманың жемісі. Аталмыш оқу құралын жоғары оқу орындарының филология, қазақ тілі мен әдебиеті мамандығының магистранттары, сондай-ақ дефектология, медицина мамандығының студенттері де пайдалана алады. Ұсынылып отырған оқу құралы оқулықтарға қойылатын талаптарға сай жазылған. Оқу құралы нейролингвистикалық, нейролингвистикалық бағдарламалау және нейрографикалық зерттеулер жүргізуде және тіл біліміндегі жаңа бағыттарға қатысты практикалық мақсаттарды шешуде септігін тигізеді.</t>
  </si>
  <si>
    <t>0001100</t>
  </si>
  <si>
    <t>Баймагамбетова С.З.</t>
  </si>
  <si>
    <t>История культуры Казахстана в ХХ-нач. ХХIвеков.</t>
  </si>
  <si>
    <t>В учебном пособии, с учетом всех явлений и событий, исследуемого периода, анализируются исторические аспекты становления и развития культуры Казахстана в ХХ и нач.ХХI веков. При этом основное внимание уделяется анализу развития самых массовых форм распространения культуры среди населения – культурно-просветительным учреждениям. В работе также дается исторический анализ становления и развития культурообразующихся систем: образования, науки, средств массовой информации, других учреждений культуры и искусства и т.д.
 Пособие предназначена для научных работников, студентов вузов, а также работников государственных органов и учреждений сфере культуры</t>
  </si>
  <si>
    <t>00011000</t>
  </si>
  <si>
    <t>Қаршығаева А.А. (Каршигаева А.А.)</t>
  </si>
  <si>
    <t>Кәсіби бағытталған қазақ тілі экономика факультінің студенттеріне арналған оқу құралы</t>
  </si>
  <si>
    <t>Филология,Экономика</t>
  </si>
  <si>
    <t>Оқу құралы жоғары оқу орындарында ¬¬Экономика факультеті студенттеріне кәсіби қазақ тілін жете меңгертуге бағытталған.
 Студенттерді ауызша және жазбаша тілін дамтыуға, еркін сөйлеуге және сауатты жазуға бағытталған. Мәтіндердің мазмұнына сәйкес сұрақтар мен түрлі жаттығулар берілген.</t>
  </si>
  <si>
    <t>00011002</t>
  </si>
  <si>
    <t>Жанбиров Ж.Ғ., Битилеуова З.К., Мусин Б.Х., Жүнисқанқызы К</t>
  </si>
  <si>
    <t>Автокөлік логистикасы –жол қозғалысының қауіпсіздігі (интеграцияланған тәсіл) 3 том</t>
  </si>
  <si>
    <t>Логистика</t>
  </si>
  <si>
    <t>Бұл оқулықтың мақсаты заманауи дамыған мемлекеттердің нақты іс-тәжірибелері негізінде болашақ мамандардың жол қозғалысы қауіпсіздігі мен ұйымдастыру мәселелерін жүргізетін мекемелерде табысты жұмыс істеу үшін қажетті жағдайлар жасау болып табылады. Оқулық 5В09100-"Қозғалыс тасымалдарын ұйымдастыру және көлікті пайдалану", 5В090900 -Логистика (салалар бойынша) мамандығының бакалаврларына және 6М090100- "Қозғалыс тасымалдарын ұйымдастыру және көлікті пайдалану", 6М090900 Логистика (салалар бойынша), сондай-ақ, жоғары оқу орындарының магистранттарына арналған.</t>
  </si>
  <si>
    <t>00011003</t>
  </si>
  <si>
    <t>Жанбиров Ж.Ғ, ІзтелеуоваМ.С., Мусалиева Р.Д.</t>
  </si>
  <si>
    <t>Жаһандық логистика</t>
  </si>
  <si>
    <t>«Жаһандық логистика» пәні бойынша оқу құралы жоғары білім беретін оқу орындарының Логистика мамандығы бойынша оқитын студенттеріне арналған.Оқу құралында – жаһандық логистика туралы негізгі тұжырымдамалармен пайдаланудың теориялық негіздері және халықаралық нормативтік-құқықтық актілерді сақтай отырып, логистикалық жүйелердің жаһандануы жағдайында сыртқы сауда жүктерін жеткізудің көліктік процестерін басқару амалдарын меңгеруге негізделген материалдар берілген.</t>
  </si>
  <si>
    <t>00011004</t>
  </si>
  <si>
    <t>Жанбиров Ж.Г., Бадамбаева С.Е.,</t>
  </si>
  <si>
    <t>Транспортно-логистические центры и терминальные технологии 1 том</t>
  </si>
  <si>
    <t>В учебнике содержатся результаты исследования и сведения, необходимые для осуществления совершенствования организаций и транспортно-логистических систем и центров. В нем обобщен значительный материал по названным направлениям. Подробно изложены существующие проблемы и варианты организаций и управления.</t>
  </si>
  <si>
    <t>00011005</t>
  </si>
  <si>
    <t>Транспортно-логистические центры и терминальные технологии 2 том</t>
  </si>
  <si>
    <t>00011006</t>
  </si>
  <si>
    <t>Камарова С.Н., Жабалова Г.Г., Онищенко О.Н., Леликова О.Н.</t>
  </si>
  <si>
    <t>Котельные установки и парогенераторы</t>
  </si>
  <si>
    <t>В учебном пособии представлены характеристики энергетических котлов систем теплоснабжения паропроизводительностью от 2,5 до 75 т/ч и водогрейных котлов теплопроизводительностью 4 до 180 МВт. Приведена классификация котельных агрегатов, рассмотрены основные элементы паровых котлов (топки для сжигания твердых, жидких и газообразных топлив, каркасы и обмуровки котлов, барабаны, пароперегреватели, водяные экономайзеры и воздушные подогреватели).Учебное пособие представляет теоретический интерес для студентов высших учебных заведений и колледжей, содержит полезные материалы, таблицы, иллюстрации. Приведенные сведения могут быть использованы при выполнении курсовых и дипломных проектов.Рекомендовано для студентов и магистрантов, обучающихся по направлению «Теплоэнергетика».</t>
  </si>
  <si>
    <t>00011007</t>
  </si>
  <si>
    <t>978-601-330-589-9</t>
  </si>
  <si>
    <t>Куда идет человечество І том</t>
  </si>
  <si>
    <t>философия</t>
  </si>
  <si>
    <t>Показано, что в настоящее время начинается новый этап в жизни человечества, названный национально-патриотическим, который будет служить переходным периодом к наступающему уже в ближайшие десятилетия веку дефицита полезных ископаемых, когда все люди вынуждены будут строить мировое социалистическое общество, главным лозунгом которого будет «свобода, равенство, братство». Это положение основывается на сформулированном автором новом законе самоорганизации живого мира на земле и материалистически-гуманистической концепции эволюции человеческого общества. Показана решающая роль полезных ископаемых в эволюции человечества. Для России сформулирована национальная идея «Россия уютнее всего», подобная же рекомендована также для каждой страны мира. Показано, что три христианские добродетели - вера, надежда и любовь в их нерелигиозном понимании являются важнейшим двигателем человеческой истории. Представлено экспериментальное и теоретическое обоснование открытой автором неизвестной науке фундаментальной физической силы – силы разуплотнения поверхностного слоя веществ (СРПС), которая играет большую роль в стратегии выживания человечества.Книга представляет интерес для широкого круга специалистов в областях естественных, технических, политических и гуманитарных наук, а также для тех, кто просто хочет знать о перспективах будущей жизни человечества на планете Земля.</t>
  </si>
  <si>
    <t>00011008</t>
  </si>
  <si>
    <t>978-601-330-587-5</t>
  </si>
  <si>
    <t>Куда идет человечество ІІ том</t>
  </si>
  <si>
    <t>00011009</t>
  </si>
  <si>
    <t>Советханұлы Д., Ескалиев М.З., Ботагариев Т.А.,
 Ерменова Б.О., Жуманбаев А.Ж.</t>
  </si>
  <si>
    <t>Технология формирования здорового образа жизни студентов университета на основе применения активных методов обучения</t>
  </si>
  <si>
    <t>В учебном пособии раскрываются понятие «здоровый образ жизни студентов»; критерии и модель здорового образа жизни студентов; факторы и принципы, определяющие здоровый образ жизни студентов. Охаратеризованы организационно-педагогические условия формирования здорового образа жизни студентов. Мотивационно-ценностное отношение к формированию здорового образа жизни студентов. Представлены методы анкетного опроса по определению мотивации к ведению здорового образа жизни; контрольных испытаний; моделирования процесса здорового образа жизни. Рассматриваются активные методы обучения: круговой тренировки; кейс стади; технология сотрудничества в группе;информационные технологии обучения. Обоснована модель технологии формирования здорового образа жизни студентов на основе применения активных методов обучения. Взгляды зарубежных специалистов на проблему здорового образа жизни.Учебное пособие предназначено для студентов, магистрантов, докторантов и преподавателей специальности «физическая культура и спорт».</t>
  </si>
  <si>
    <t>0001101</t>
  </si>
  <si>
    <t>Баймаганбетов Т.Ш.</t>
  </si>
  <si>
    <t>Проектирование технологической оснастки</t>
  </si>
  <si>
    <t>В учебнике рассмотрены конструкции типовых, стандартных базирующих, зажимных и других элементов приспособлений, используемых в механосборочном производстве машиностроительных заводов. Изложены методика проектирования приспособлений, расчеты на точность и сил зажима.
 Учебник предназначен для студентов, обучающихся по специальности «Машиностроение» при изучении дисциплин «Проектирование технологической оснастки», «Технологическая оснастка»</t>
  </si>
  <si>
    <t>00011011</t>
  </si>
  <si>
    <t>Генезис агатов, гидротермальных месторождений и гранитоидных магматических пород как результат действия СРПС (силы разуплотнения поверхностного слоя веществ) ІІтом</t>
  </si>
  <si>
    <t>Исследованы признаки сходства и различия агатов, гидротермальных месторождений и гранитоидных магматических пород по важнейшим генетическим параметрам - магмоподобной высококонцентрированной природе генерирующего их флюида, наличию пустот, предшествовавших их формированию, времени формирования относительно вмещающих их пород, многостадийности образования, концентрической зональности их тел, развитию ассоциирующего с ними метасоматоза, путях проникновения образующих их компонентов, Р-Т условиям и т.д. Показано весьма существенное сходство между ними по этим параметрам, а имеющиеся различия между ними в основном имеет не качественный, а только количественный характер.Предложен единый механизм их образования – механизм диффузионного флюидозамещения. В его основе лежит открытое автором неизвестное ранее явление – сила разуплотнения поверхностного слоя веществ (СРПС), которая способствует созданию этого механизма.Разработка автором представления об СРПС и ряда новых положений позволила предложить автометасоматически-мобилизационную модель постмагматического рудообразования и новую концепцию рудо-и магмообразования, названную молекулярно-кинетической, а в теории глобальной геодинамики – новую парадигму, названную геосинклинально-плитотектонической.
 Книга может представлять интерес для широкого круга геологов а также специалистов в областях других естественных и технических наук, занимающихся изучением явлений, связанных с поверхностью веществ и исследованием наноструктур.</t>
  </si>
  <si>
    <t>00011012</t>
  </si>
  <si>
    <t>Ближайшее будущее человечества – век дефицита полезных 
 ископаемых</t>
  </si>
  <si>
    <t>Показано, что в связи с началом пика добычи ископаемого сырья в ближайшие десятилетия в мире наступит новый век в истории человечества – век дефицита полезных ископаемых, когда все люди, чтобы выжить в этих условиях, будут вынуждены строить социалистическое общество, главным лозунгом которого будет «свобода, равенство братство». Это положение основывается на сформулированных автором новом законе самоорганизации живого мира на Земле и материалистически-гуманистической концепции эволюции человеческого общества. Предложена формулировка лозунга, которому человечество должно следовать в своей стратегии выживания на планете: – «Жить в согласии с природой, используя возобновляемые ресурсы и максимально экономя невозобновляемые». Для России сформулирована национальная идея - «Россия уютнее всего». Представлена краткая информация об открытом автором новом роде фундаментальных физических сил – СРПС - и ее роли в стратегии выживания человечества.Книга представляет интерес для широкого круга специалистов в области естественных, технических и гуманитарных наук, а также для тех, кто просто хочет знать о перспективах будущей жизни человечества на планете Земля.</t>
  </si>
  <si>
    <t>00011013</t>
  </si>
  <si>
    <t>Введение в молекулярную физику поверхности</t>
  </si>
  <si>
    <t>В этой, уже десятой книге, посвященной поверхностным явлениям, автор суммирует результаты своих исследований по молекулярной физике поверхности. Главной целью исследований является разработка идеи о существовании в природе неизвестной науке силы, названной сила разуплотнения поверхностного слоя (CРПС) жидких, твердых и газообразных веществ, являющейся фундаментальным явлением природы.Книга предназначена для широкого круга специалистов в областях естественных и технических наук, работы которых связаны с процессами на поверхности веществ.</t>
  </si>
  <si>
    <t>00011014</t>
  </si>
  <si>
    <t>Система самоорганизации природы</t>
  </si>
  <si>
    <t>На основании новых научных идей, разработанных автором, изложена система самоорганизации природы. Она включает пять основных положений: контактно-соударительный закон, принцип устойчивости-энергоподвижности, микропородиффузионный катали-тический эффект (МДК-эффект), механизм диффузионного флюидозамещения и молекулярно-кинетический механизм формирования поверхностного слоя жидкости. Цель книги — привлечь внимание ученых разных специальностей (геологов, физиков, химиков, биологов, математиков, социологов) и объединить их усилия в решении проблемы саморазвития природы, как неорганической, так и органической, т.е. неживой и живой. Показано, что на основе этого может быть разработана новая концепция магмо- и рудообразования, формирования земной коры и предпринята разработка новых подходов к защите человечества от таких бедствий как катастрофические землетрясения и неизлечимые пока болезни типа рака и др.Книга может представлять интерес для широкого круга специалистов и студентов, интересующихся саморазвитием природы как единого организма в целом, включая и человеческое общество.</t>
  </si>
  <si>
    <t>00011015</t>
  </si>
  <si>
    <t>Саморазвитие природы</t>
  </si>
  <si>
    <t>По существу, это второе издание книги «Как саморазвивается живая и неживая природа» (1999). Но она существенно переработана и дополнена, в первую очередь представлениями о взаимодействии частиц материи на ядерном уровне, кратко представлены новые идеи автора о саморазвитии природы и возможности их практического использования, которые более детально были изложены в семи ранее опубликованных книгах.Книга предназначена для студентов и научных работников, специализирующихся в областях естественных и технических наук, а также для всех, кто интересуется познанием окружающего нас мира.</t>
  </si>
  <si>
    <t>00011016</t>
  </si>
  <si>
    <t>рус каз</t>
  </si>
  <si>
    <t>Калелова И.М., Рахметкалиева М.Т., Кайролдина А.К.</t>
  </si>
  <si>
    <t>Практикум по грамматике английского языка. Ағылшын тілі грамматикасының практикумы</t>
  </si>
  <si>
    <t>Данное учебное пособие разработано на основе Типовой учебной программы общеобразовательной дисциплины «Иностранный язык» для организации высшего образования от 2018г. Пособие предназначено для студентов бакалавров всех специальностей уровняА1(минимально-достаточный). Учебное пособие содержит практические задания для организации самостоятельной работы студентов под руководством преподавателя, а также систематической самостоятельной работы студентов с целью формирования навыков англоязычного общения на уровне базовой стандартности А1 общеевропейской шкалы компетенций.</t>
  </si>
  <si>
    <t>00011017</t>
  </si>
  <si>
    <t>Алонцева Д.Л., Русакова А.В.</t>
  </si>
  <si>
    <t>Современные методы исследования материалов</t>
  </si>
  <si>
    <t>физика, материаловедение</t>
  </si>
  <si>
    <t>В учебном пособии изложены физические основы современных методов испытаний конструкционных материалов. Теоретическая часть содержит достаточно подробное изложение основ соответствующего раздела курса, необходимых для сознательного и успешного выполнения лабораторных и практических работ, а также для успешного решения тестов. В конце каждого раздела вниманию обучащихся предлагается ряд теоретических вопросов. Предназначено докторантов, магистрантов и студентов соответствующих специальностей. Будет полезно для научных и инженерно-технических работников, занимающихся проблемами аналитического контроля структуры и свойств материалов на промышленных предприятиях.</t>
  </si>
  <si>
    <t>00011018</t>
  </si>
  <si>
    <t>Алонцева Д.Л., Красавин А.Л., Құсайын-Мұрат Ә.Т., Кадыролдина А.Т.</t>
  </si>
  <si>
    <t>Теория линейных систем автоматического управления. Часть I</t>
  </si>
  <si>
    <t>Автоматизация и управление</t>
  </si>
  <si>
    <t>В данном учебном пособии изложены основы курса «Линейные системы автоматического управления» в виде конспекта лекций и методических указаний по выполнению практических работ по данной дисциплине. Теоретическая часть содержит достаточно подробное изложение основ соответствующего раздела курса, необходимых для сознательного и успешного выполнения практических работ. В конце каждой лекции вниманию обучащихся предлагается ряд теоретических вопросов для самоконтроля. Методические указания по выполнению практических работ содержат 10 работ, которые включают в себя цель работы, необходимый теоретический материал и рекомендации по выполнению практических заданий, а также необходимую справочную литературу. Предназначены для студентов специальности 5В070200 «Автоматизация и управление», а также могут быть рекомендованы студентам других специальностей, в учебную программу которых входят дисциплины, связанные с теорией автоматического регулирования, теорией автоматического управления, автоматикой и автоматизацией в целом. Учебное пособие написано на основе курса «Линейные системы автоматического управления», преподаваемого авторами на протяжении нескольких лет, может быть полезным для студентов магистратуры и докторантуры, для повторения основных разделов курса «Линейные системы автоматического управления».</t>
  </si>
  <si>
    <t>00011019</t>
  </si>
  <si>
    <t>978-601-13-0272-2</t>
  </si>
  <si>
    <t>Теория линейных систем автоматического управления. Часть II</t>
  </si>
  <si>
    <t>В данном учебном пособии изложены основы курса «Линейные системы автоматического управления» (раздел 1), дополненные методическими указаниями по выполнению лабораторных работ и курсового проекта по данной дисциплине. Методические указания по выполнению лабораторных работ содержат шесть лабораторных работ, которые включают в себя цель работы, варианты задания, необходимый теоретический материал и рекомендации по выполнению лабораторной работы, контрольные вопросы, а также необходимую справочную литературу. Методические указания по выполнению лабораторных работ приведены в разделе 2. Выполнение курсового проекта предлагается по теме: «Расчет системы автоматического регулирования с типовым регулятором», Методические указания по выполнению курсового проекта, по применению программ и оформлению пояснительной записки приведены в разделе 3. Учебное пособие написано на основе курса «Линейные системы автоматического управления», преподаваемого авторами на протяжении нескольких лет, может быть полезным для студентов магистратуры и докторантуры, для повторения основных разделов курса «Линейные системы автоматического управления».</t>
  </si>
  <si>
    <t>0001102</t>
  </si>
  <si>
    <t>Технологиялық құрал – саймандарды жобалау</t>
  </si>
  <si>
    <t>Тhe book includes reproductions of paintings by masters ivestnyh garde Republic of Kazakhstan as well as all the pictures are accompanied by a brief description and analysis of the author.</t>
  </si>
  <si>
    <t>00011020</t>
  </si>
  <si>
    <t>Асанов Д.А., Запасный В.В.</t>
  </si>
  <si>
    <t>Анализ качества атмосферного воздуха в промышленных городах и природоохранная политика предприятий</t>
  </si>
  <si>
    <t>В монографии выполнен глубокий анализ качества атмосферного воздуха в ряде годов Республики Казахстан. Представлена информация по нормативам выбросов наиболее крупных предприятий металлургии и теплоэнергетики, их природоохранная политика. Отмечен прирост нормативов выбросов в атмосферу на некоторых предприятиях в среднем на 25 % без их компенсации в перспективе. Реализуемые на них экологические программы не эффективны и в основном расходуются на поддержание технологического оборудования в рабочем состоянии. Сокращение выбросов в основном предусматривается на уровне 0,5 %, а ежегодное их увеличение по республике составляет 7 %. Монография выполнена в рамках грантовой темы МОН РК № АР08053440 «Исследование крупных источников выбросов вредных веществ в атмосферный воздух г. Усть-Каменогорска с выявлением причин повышенного содержания сероводорода». Работа предназначена для работников в сфере охраны окружающей среды, а также студентов и магистрантов.</t>
  </si>
  <si>
    <t>00011021</t>
  </si>
  <si>
    <t>каз англ рус</t>
  </si>
  <si>
    <t>Шильдебаева Л.К./ Shildebayeva L.K.</t>
  </si>
  <si>
    <t>Қазақтың ұлттық костюм негізіндегі қазіргі заман киімдері. Modern clothes manufacturing based on kazakn national dress. Современная одежда на основе казахского традиционного костюма</t>
  </si>
  <si>
    <t>Оқу құралы.
 Train aid</t>
  </si>
  <si>
    <t>Дизайн одежды</t>
  </si>
  <si>
    <t>В учебном пособии изложены результаты исследований по изучению и изготовлению казахской национальной одежды, рассматриваются особенности изготовления современной одежды на основе традиционного казахского костюма путем изучения истории одежды казахов с древних времен до сегодняшнего состояния Республики, рассказывается о проделанной работе преподавателей и студентов одного из вузов Казахстана в этой области. Представляет теоретический и практический материал для студентов высших учебных заведений, обучающихся по специальностям 5В012000 - Профобучение, 5В042104- Дизайн костюма, 5В072600 -Технология и конструирование изделий легкой промышленности, содержит полезные иллюстрации, эскизы.</t>
  </si>
  <si>
    <t>00011022</t>
  </si>
  <si>
    <t>Жанабаева К.К., Онгарбаева Н.</t>
  </si>
  <si>
    <t>Научное обеспечение формирования показателей качества кондитерской муки в процессе переработки зерна тритикале</t>
  </si>
  <si>
    <t>технология перерабатывающих производств,растениеводство</t>
  </si>
  <si>
    <t>В данной научной работе приводится анализ технологических свойств зерна тритикале казахстанской селекции озимой формы.Представлены принципы формирования показателей качества кондитерской муки в процессе переработки зерна тритикале. Даны оптимальные режимы холодного кондиционирования и извлечения круподунстовых продуктов драного процесса. Описаны принципы построения технологической схемы получения кондитерской муки с учетом процесса обогащения, обеспечивающий сбалансированный состав муки как сырье для производства мучных кондитерских изделий.Книга рассчитана для преподавателей и студентов высших учебных заведений, а также для работников научно- исследовательских учреждений и специалистов мукомольного производства</t>
  </si>
  <si>
    <t>00011023</t>
  </si>
  <si>
    <t>Онгарбаева Н., Аскарбеков Э.Б.</t>
  </si>
  <si>
    <t>Методы оценки качества и безопасности продукции растениеводства</t>
  </si>
  <si>
    <t>Лабораторный практикум включает краткие теоретические сведения и методические указания к практическим работам по дисциплине «Методы оценки и качества и безопасности продукции растениеводства». В пособии приведены примеры анализа отдельных показателей и вопросы для контроля знаний магистрантов.Практикум предназначен для магистров, обучающихся в направлении подготовки по специальности 7M07202 «Технология перерабатывающих производств». Целью практикума является подготовка магистрантов к практическому и научному опыту в области оценки качества сырья и продукции растениеводства. В процессе выполнения практических работ, полученные магистрантами навыки и умения необходимы для подготовки и написания магистерского диссертационного исследования</t>
  </si>
  <si>
    <t>00011024</t>
  </si>
  <si>
    <t>Экология и устойчивое развитие</t>
  </si>
  <si>
    <t>В учебном пособии изложены основные законы экологии, научные основы охраны среды, учение о биосфере, принципы рационального природопользования, социально-экологические последствия антропогенной деятельности, а также представления о концепциях, стратегиях и практических задачах устойчивого развития в различных странах и в Казахстане.Учебное пособие предназначено для студентов вузов, преподавателей и всех интересующихся проблемами сложных взаимоотношений человеческого общества и природы.</t>
  </si>
  <si>
    <t>00011025</t>
  </si>
  <si>
    <t>Баяхметова Б.Б., Сабитова А.Н., Кливенко А.Н.</t>
  </si>
  <si>
    <t>Коллоидная химия</t>
  </si>
  <si>
    <t>Учебное пособие «Коллоидная химия» содержит следующие главы: теоретические основы коллоидной химии, агрегативная устойчивость коллоидных систем, электрокинетические свойства коллоидных систем, поверхностные явления, оптические свойства дисперсных систем, вязкость. реологические свойства дисперсных систем, молекулярно-кинетические свойстваколлоидных систем, определение молекулярного веса полимеров, полуколлоидные системы. Каждая глава состоит из разделов, охватывающих отдельные темы. Для закрепления теоретического материала приводится задачи и упражнения, тестовые вопросы и рекомендуемая литература. Учебное пособие предназначено для студентов химических и химико-технологических специальностей.</t>
  </si>
  <si>
    <t>00011026</t>
  </si>
  <si>
    <t>Оразжанова Л.К., Сабитова А.Н.</t>
  </si>
  <si>
    <t>Органическая химия</t>
  </si>
  <si>
    <t>Учебное пособие «Органическая химия» (краткий курс лекций) содержит следующие главы: теоретические основы органической химии, алифатические и ароматические углеводороды, функциональные производные углеводородов, биологический активные соединения. Каждая глава состоит из разделов, охватывающих отдельные темы. Для закрепления теоретического материала приводится задачи и упражнения, тестовые вопросы и рекомендуемая литература. Учебное пособие предназначено для студентов химических и химико-технологических специальностей.</t>
  </si>
  <si>
    <t>00011027</t>
  </si>
  <si>
    <t>978-601-330-140-2</t>
  </si>
  <si>
    <t>Сила разуплотнения поверхностного слоя жидких, твердых и газообразных веществ</t>
  </si>
  <si>
    <t>Это уже четвертая книга автора, в которой он последовательно разрабатывает и углубляет представления о существовании неизвестной ранее фундаментальной силы природы-молекулярно-кинетической "силы разуплотнения поверхностного слоя" жидких, твердых и газообразных веществ, сокращенно СРСП. Сущность ее заключается в том, что когда масса молекул этих веществ вследствие растекания жижкости, увелечения объема сосуда, в которомзаключен газ, или возникновения трещин в твердом теле, оказывается в поверхностном слое, она разуплотняется, увеличиваясь в объеме, с силой,равной силе температурного расширения для этих веществ (температурная составляющая).Эта сила способствует созданию обмена веществ в водосодержающих микропористых средах и лежит, по существу, в основе жизни на Земле и главнейших геологических процессов в земной коре.</t>
  </si>
  <si>
    <t>00011028</t>
  </si>
  <si>
    <t>Тиеу-түсіру машиналары</t>
  </si>
  <si>
    <t>00011029</t>
  </si>
  <si>
    <t>Дарибаев Ю.А., Дарибаев Н.Ю, Кабдушев А.А.</t>
  </si>
  <si>
    <t>Химия нефти и газа</t>
  </si>
  <si>
    <t>Учебное пособие «Химия нефти и газа» рекомендуется для подготовки бакалавров, обучающихся по образовательной программе 6В07216 «Нефтегазовая инженерия», 6В07217 «Транспортировка нефти и газа», 6В07218 «Реализация нефти, нефтепрдуктов и газа», 6В07213 «Бурение нефтяных и газовых скважин». В учебном пособии приводится материалы по классификацию нефтей, химический состав сырых нефтей, взаимосвязь между компонентным составом нефтей и их физико-химические характеристики, сведения по органической химии и явлений, происходящих с нефтью, нефтепродуктами и газом.</t>
  </si>
  <si>
    <t>0001103</t>
  </si>
  <si>
    <t>нем</t>
  </si>
  <si>
    <t>Байманова Л.С., Цупкина Ю.А.</t>
  </si>
  <si>
    <t>Второй иностранный язык (Ур.В1)(немецкий язык)</t>
  </si>
  <si>
    <t>Язык немецкий</t>
  </si>
  <si>
    <t>Данное учебное пособие предназначено для студентов, изучающих немецкий язык как второй иностранный. Пособие состоит из двух разделов и охватывает следующие темы: человек и окружающая среда, здоровье и экология, литература, искусство, кино, музыка, выбор профессии, высшие учебные заведения в Казахстане и в Германии. Все разделы снабжены грамматическими упражнениями и иллюстративным материалом. Цель предлагаемого учебного пособия – снятие лексических и грамматических трудностей работы с аутентичными материалами на немецком языке по специальной тематике, что соответствует актуальным требованиям Типовой Учебной программы специальности</t>
  </si>
  <si>
    <t>00011030</t>
  </si>
  <si>
    <t>Қыдырбаева К. (Кыдырбаева К.)</t>
  </si>
  <si>
    <t>Хор партитурасын оқу</t>
  </si>
  <si>
    <t>Музыка, искусство</t>
  </si>
  <si>
    <t>Оқу-әдістемелік құралында хор партитураларымен жұмыс жасаудағы орындаушылық өнерді, аспапта хор партитурасын ойнаудың қажетті техникалық және орындаушылық дағдыларын дамыту қарастырылады Оқу-әдістемелік құралы музыкалық оқу орындарында (музыка мектептер, музыкалық колледж, жоғары оқу орындарындағы музыкалық бөлімдер) оқитын, сонымен бірге музыкант-практиканттар және музыкалық қызмет жөніндегі сұрақтар қызықтыратындардың барлығы үшін де өте құнды болып саналады. Жоғары және орта білім беретін оқу орындарындағы студенттер мен оқушыларға арналған хор партитуралары туралы түсініктері, хор партитураларын транспозиция жасаудың негізгі ұстанымдарын білуге баулу, музыкалық шығармаларын орындау ерекшеліктерімен, біліммен, дағдымен таныстыру және оларды тәжірибе жүзінде қолдану тәсілдері беріледі.</t>
  </si>
  <si>
    <t>00011031</t>
  </si>
  <si>
    <t>Максатов Н.Р., Акимбекова С.А., Алимов О.Т.</t>
  </si>
  <si>
    <t>Процессуальные документы по гражданским делам. Практикум часть 1(образцы исков,ходатайств и заявлений)</t>
  </si>
  <si>
    <t>Практикум «Процессуальные документы по гражданским делам» является факультативным учебным курсом, направленным на формирование прикладных компетенций в сфере гражданского судопроизводства. В частности, данный учебный курс дополняет знания, полученные студентами в ходе изучения обязательной дисциплины «Гражданское процессуальное право» навыками по составлению основных судебных документов. Кроме того, практикум «Процессуальные документы по гражданским делам» призван ознакомить студентов с основными подходами судебной практики к роли и содержанию тех или иных документов, сделать взаимодействие с судебными органами предсказуемым и понятным. В силу специфики практикума основное значение для успешного освоения курса имеет своевременное выполнение студентами письменных заданий</t>
  </si>
  <si>
    <t>00011032</t>
  </si>
  <si>
    <t>Бисембаева К.Т.</t>
  </si>
  <si>
    <t>Исследование процесса разработки месторождения при воздействии на пласт в осложненных условиях</t>
  </si>
  <si>
    <t>Данная монография посвящена исследованию фильтрационных процессов углеводородов в многослойных неоднородных пластах нефтяных месторождений при проявлении осложняющих факторов. В работе приведен анализ проблем повышения эффективности технологических процессов нефтедобычи. Приводятся результаты исследования состояния призабойной зоны пласта при осложнениях, сопровождающих процесс разработки месторождения. Приведены результаты анализа эффективности технологий гидравлического разрыва пласта и исследования изменений его гидродинамических параметров. Также проведено моделирование гидромеханических параметров призабойной зоны пласта многопластовой залежи.Книга предназначена для инженерно-технических работников нефтегазовой промышленности магистрантов и докторантов специальности «Нефтегазовое дело».</t>
  </si>
  <si>
    <t>00011033</t>
  </si>
  <si>
    <t>978-601-330-478-6</t>
  </si>
  <si>
    <t>НуржановаА.С.</t>
  </si>
  <si>
    <t>Шарлотта Бронте Джейн Эйр кітабынан ағылшын тілін үйренушілерге арналған аударма</t>
  </si>
  <si>
    <t>Язык ангдийский</t>
  </si>
  <si>
    <t>Ағылшын тілін үйренуге арналған оқу құралы. Қазақ тілді оқырмандар назарына көркем шығарманы түпнұскамен салыстыра оқу арқылы ағылшын тілінің бастапқы деңгейін меңгертуге ұсынылады. Көркем шығарманы екі тілде қатар оқу әдісі мектеп, колледж оқушылары мен университеттің тілдік емес мамандықтарына арналады.</t>
  </si>
  <si>
    <t>00011034</t>
  </si>
  <si>
    <t>Шалдарбекова А.Б.</t>
  </si>
  <si>
    <t>Анадолының алғашқы жазба деректері бойынша Кіші Азиядағы көне өркениеттер</t>
  </si>
  <si>
    <t>Бұл еңбекте Кіші Азияның көне тарихы зерттеліп, Ежелгі тас дәуіріндегі археологиялық мәдениеттерден бастап Анадолы жерінде құрылған алғашқы мемлекет Хетт патшалығының тарихына дейінгі кезең қарастырылған. Мұнда Сына жазулы деректер кеңінен қолдана отырып, Кіші Азия түбегінде пайда болған алғаш өркениеттер сипатталады. Монография Ежелгі Шығыс елдерінің тарихын зерттеушілерге, сонымен бірге білім алушы мен оқытушыларға, Кіші Азияның көне тарихына қызығушылық танытушыларға ұсынылады.</t>
  </si>
  <si>
    <t>00011035</t>
  </si>
  <si>
    <t>Притула Р.А., Притула Е.Е.</t>
  </si>
  <si>
    <t>Современный менеджмент</t>
  </si>
  <si>
    <t>Менеджмент</t>
  </si>
  <si>
    <t>Учебно-методическое пособие подготовлено для обучающихся в магистратуре для лучшего усвоения теоретического материала курса «Современый менеджмент». Используя данное пособие при подготовке к сдаче экзамена, обучающиеся смогут в сжатые сроки систематизировать и конкретизировать знания, приобретенные в процессе изучения этой дисциплины; сформулировать примерный план ответов на возможные экзаменационные вопросы и тестовые задания.</t>
  </si>
  <si>
    <t>00011036</t>
  </si>
  <si>
    <t>Тайм-менеджмент</t>
  </si>
  <si>
    <t>Менеджмен</t>
  </si>
  <si>
    <t>Учебно-методическое пособие подготовлено для обучающихся на бакалавриате и в магистратуре для лучшего усвоения теоретического материала курса «Тайм-менеджмент».Используя данное пособие при подготовке к сдаче экзамена, обучающиеся смогут в сжатые сроки систематизировать и конкретизировать знания, приобретенные в процессе изучения этой дисциплины; сформулировать примерный план ответов на возможные экзаменационные вопросы и тестовые задания.</t>
  </si>
  <si>
    <t>00011037</t>
  </si>
  <si>
    <t>Yerulanova A.E., Ibrayeva A.M. / Еруланова А.</t>
  </si>
  <si>
    <t>Automatic control theory</t>
  </si>
  <si>
    <t>Приборостроение, Автоматика и управление</t>
  </si>
  <si>
    <t>Study guide provides brief theoretical information, examples of problem solving, as well as tasks for students' independent work.Study guide is intended for students of the specialty "Instrument Engineering", "Automation and control" can be recommended to students of other specialties whose curriculum includes disciplines related to automation and automation. 
 Учебное пособие содержит краткую теоретическую информацию, примеры решения задач, а также задания для самостоятельной работы студентов.Учебное пособие предназначено для студентов специальности «Приборостроение», «Автоматика и управление» может быть рекомендовано студентам других специальностей, в учебный план которых включены дисциплины, связанные с автоматикой и автоматизацией.</t>
  </si>
  <si>
    <t>00011038</t>
  </si>
  <si>
    <t>Мамедов С.</t>
  </si>
  <si>
    <t>Архитектурное проектирование многофункциональных жилых комплексов</t>
  </si>
  <si>
    <t>Архитектура Дизайн, Строительство</t>
  </si>
  <si>
    <t>Учебное пособие «Архитектурное проектирование многофункциональных жилых комплексов» подготовлено в соответствии с программой курсов «Архитектурное проектирование IX» и «Преддипломный проект» и предназначено для докторантов, магистрантов и студентов, обучающихся по специальности «Архитектура» и «дизайн», а также для архитекторов и соискателей, работающих в области архитектуры и градостроительства. В пособии отражены основные исторические периоды формирования жилой структуры. Раскрыты факторы, определяющие развитие жилой среды и выявлены принципы, повышающие уровень комфорта в жилых комплексах.</t>
  </si>
  <si>
    <t>00011039</t>
  </si>
  <si>
    <t>978-601-330-358-1</t>
  </si>
  <si>
    <t>Бейсенова Г.С., Сугурбаева Л.К</t>
  </si>
  <si>
    <t>Мейірбике ісіндегі менеджмент</t>
  </si>
  <si>
    <t>Сестринское дело</t>
  </si>
  <si>
    <t>Жұмыс менеджменттің теориялық және әдістемелік негіздерін ашатын оқу құралы түрінде ұсынылған. Менеджментті оқыту мейірбике ісін ұйымдастырушы мейірбикелерді даярлау жүйесінде маңызды. Жұмыс мейірбике ісінің қазіргі жағдайын талдай алатын, оның болашағын болжай және анықтай алатын болашақ мамандардың көшбасшылық қасиеттерін дамытуға бағытталған.Оқу құралының материалы оқу сабақтарына, курстық және бітіру емтихандарына дайындық кезінде студенттердің өзіндік жұмысына арналған. Анықтамалық материал ретінде медициналық жоғары оқу орындарында, колледждерде «Денсаулық сақтаудағы менеджмент» курсынан сабақ беретін педагогикалық құрал ретінде пайдаланылуы мүмкін.Оқу құралы жоғары білімі бар Мейірбике ісі мамандарын даярлау бағдарламасына сәйкес дайындалған, жаңа деректермен қайта өңделген және толықтырылған (2001 ж. бірінші басылымы).</t>
  </si>
  <si>
    <t>0001104</t>
  </si>
  <si>
    <t>Баймаханбетова М.А., Рысбаева Г.А./ Baimakhanbetova M.A.,Rysbaeva G.A./</t>
  </si>
  <si>
    <t>«Physiological growth of pupils»
 for students of specialty
 5B010200 – “Pedagogy and methodology of primary education”</t>
  </si>
  <si>
    <t>Textbook on discipline “Physiological growth of pupils” consists in supplying to future teacher with the modern information on anatomic-physiological features of an organism of children and teenagers, its relationship with the environment, to equip with knowledge of the laws which are the cornerstone of preservation and promotion of health of pupils, maintenance of their high performance at different types of learning activity as well as the formation at the studying common cultural and professional competences needed to: improving the quality of training of future teachers, deep understanding of the age characteristics of children and teenagers, adapting to new situations, including - in the professional activity, studying the basic laws of growth and development of children and teenagers, readiness for innovative behavior.
 Учебное пособие по дисциплине «Физиологический рост учащихся» состоит в том, чтобы обеспечить будущего учителя современной информацией об анатомо-физиологических особенностях организма детей и подростков, его взаимосвязи с окружающей средой, вооружить их знаниями законов, лежащих в основе сохранение и укрепление здоровья учащихся, поддержание их высокой успеваемости при различных видах учебной деятельности, а также формирование при изучении общекультурных и профессиональных компетенций, необходимых для: повышения качества подготовки будущих учителей, глубокого понимания возрастных особенностей детей и подростков, адаптируясь к новым ситуациям, в том числе - в профессиональной деятельности, изучая основные закономерности роста и развития детей и подростков, готовность к инновационному поведению.</t>
  </si>
  <si>
    <t>00011040</t>
  </si>
  <si>
    <t>Тажиева З.Д., Абуова А.Қ</t>
  </si>
  <si>
    <t>Сәндік-қолданбалы өнер түрі. Жіппен бейнелеу</t>
  </si>
  <si>
    <t>Дизайн, вышивка</t>
  </si>
  <si>
    <t>Оқу әдістемелік құралда сәндік-қолданбалы өнер элементтері негізіндегі көркемдік қолөнер технологиясы жасалып, оның ішінде кесте түрлері, олардың орындалу ерекшеліктері қарастырылған. Сонымен қатар, сәндік өнердің бір түрі ретінде «жіппен бейнелеу» өнерінің тарихы, қолдану ерекшеліктері, жасалу жолдары жіппен бейнелеу техникасын жасаудың дидактикалық әдістемесі мен «Көркем кестелеу» бағдарламасы көрсетілген.</t>
  </si>
  <si>
    <t>00011041</t>
  </si>
  <si>
    <t>Мейірбекова Г.Б.</t>
  </si>
  <si>
    <t>Қазақстан Республикасының Азаматтық құқығы (Жалпы бөлім)</t>
  </si>
  <si>
    <t>Оқу -әдістемелік құралы</t>
  </si>
  <si>
    <t>Қазақстан Республикасының Азаматтық құқығы (Жалпы бөлім): Тәжірибелік сабақтар бойынша жоғары және орта арнаулы оқу орындарының студенттеріне арналған оқу-әдістемелік құралы Қазақстан Республикасының Азаматтық құқығының жалпы бөлімінің типтік бағдарламасына сәйкес барлық материалдары, яғни азаматтық құқығының ұғымынан бастап, азаматтық құқықтың субъектілері, объектілері, мәміле, өкілдік,сенімхат және меншік институттары, міндеттеме мен шарт ұғымдары туралы түсініктерді қамти отырып, анықтама, глоссарий-түсініктер, тест және басқа да тапсырмалар арқылы беріледі. Бұл әдістемелік оқу құралы тәжірибелік сабақтар бойынша интер-белсенді әдістерді қолданудың және топпен жұмыс жасаудың әдістерімен таныстырады, сондай-ақ, студенттердің өзіндік жұмыстарында қолдануға бағыт бағдар береді. Оқу-әдістемелік құралы Азаматтық құқық пәнін оқытатын жоғары және орта арнаулы оқу орындарының студенттеріне, сондай-ақ, осы салада жүрген оқытушылармен бірге практикада жүрген мамандарға да арналған.</t>
  </si>
  <si>
    <t>00011042</t>
  </si>
  <si>
    <t>Жайлымысова Г.А., Әділова Ш.С., Арипбаева Л.Ш.</t>
  </si>
  <si>
    <t>Қазақ музыкасының тарихы. 6В01420-Музыкалық білім» білім беру бағдарламасының білім алушыларына арналған</t>
  </si>
  <si>
    <t>Оқу құралында «6В01420-Музыкалық білім» білім беру бағдарламасы бойынша білім алушылар үшін «Қазақ музыка тарихы» пәнінен оқу құралының негізгі мақсаты – халық шығармашылығының тәрбиелік әлеуетін жүзеге асыруды музыкалық фольклор рөлін айқындау. Мәдени мұра, тарихи рухани құндылық, халықтық салт-дәстүрлер,этнопедагогика, фольклор, дәстүрлі халық музыкасы және тағы басқа түсініктермен тығыз байланыста болғандықтан, оның ерекшеліктер мен табиғатын ғылымның философия, педагогика, психология, этнография, фольклористика, өнертану және музыкатану секілді сан алуан салаларының зерттелу мәселерін оқыту əдіс-тəсілдерін үйрету жəне болашақ музыка мұғалімдерін мектеп оқушыларына музыкалық тəрбие беру жұмысына дайындауда қажет. Оқу құралын оқу жоспарының және «Қазақ музыка тарихы» пән бағдарламасының талаптарына сай барлық мәліметтерді қамтиды.«Қазақ музыка тарихы» пәнінен топтық сабаққа арналған оқу құралы арқылы студенттерді қазақ халықтарының музыкалық өнерлері әншілік, аспапттық орындаушылық бай мұраларымен таныстырады.</t>
  </si>
  <si>
    <t>00011043</t>
  </si>
  <si>
    <t>Имашев Б.Е., Сарықұлов Қ.Р., Абутаева С.Б.</t>
  </si>
  <si>
    <t>Қазақстан Республикасының Қылмыстық құқығы (жалпы бөлік) бойынша сызбалар альбомы</t>
  </si>
  <si>
    <t>«Қазақстан Республикасының Қылмыстық құқығы (жалпы бөлік) пәнінен сызбалар альбомы» оқу-әдістемелік құрал «6В04210-Құқықтану», «6В04230-Кеден ісі», «6В04220-Халықаралық құқық» Білім беру бағдарламалары бойынша білім алушыларына арналған. Оқу-әдістемелік құралда 01.01.2022 жылға дейінгі ҚР Қылмыстық кодексіне енгізілген өзгерістер мен толықтырулар ескеріле отырып, Қазақстан Республикасының Қылмыстық құқығы (Жалпы бөлік) курсы бойынша материалдар сызба түрінде дайындалған.</t>
  </si>
  <si>
    <t>00011044</t>
  </si>
  <si>
    <t>Қожахметова Б. Р., Зейнулина А. Ф.</t>
  </si>
  <si>
    <t>Шешендік сөз өнері технологиясы</t>
  </si>
  <si>
    <t>Оқулық филологиялық-гуманитарлық бағыттағы және журналистика мамандығы бойынша оқитын студенттер, магистранттар және докторанттарға арналған. Шeшeндiк даy, шeшeндiк тoлғаy, арнаy сөздeрiнiң әдiс-тәсiлдeрiн, eркшeлiктeрiн зeрдeлey, шeшeндiк сөздeрдi мазмұнына қарай жiктeп, oның көркeмдiк eрeкшeлiктeрiн анықтаy, шeшeндiк өнeрдi сипатына қарай ажыратып, заманаyи қoлданысын айқындаy амал – тәсілдері ұсынылады. Оқулық матeриалдарын «Қазақ тілі», «Сөйлеу мәдениеті», «Шешендік өнер» пәндеріне қосымша әдебиет ретінде, сoндай-ақ шeшeндiк өнeргe байланысты арнайы кyрстар мeн сeминарларда, ғылыми-зeрттey жұмыстарда көмeкшi құрал рeтiндe пайдаланyға бoлады.</t>
  </si>
  <si>
    <t>00011045</t>
  </si>
  <si>
    <t>Батяшова И. В., Кривец О. А., Оралтаев Е. Р.</t>
  </si>
  <si>
    <t>Спорттық дайындықтың физиологиялық негіздері</t>
  </si>
  <si>
    <t>Оқу құралында дене шынықтыру және спорттың физиологиялық негіздері көрсетілген. Оқу құралында баяндалған материалды дене шынықтыру сабақтарында және «Дене шынықтыру және спорт» мамандығының мұғалімдері, жаттықтырушылары және студенттері сияқты өзіндік сабақтарда пайдалануға болады.</t>
  </si>
  <si>
    <t>00011046</t>
  </si>
  <si>
    <t>978-601-330-497-7</t>
  </si>
  <si>
    <t>Зейнулина А.Ф., Ташекова А.Т.</t>
  </si>
  <si>
    <t>Қазіргі заман әдебиетінің руханияттық көркемдігі</t>
  </si>
  <si>
    <t>Оқулық филологиялық-гуманитарлық бағыттағы және журналистика мамандығы бойынша оқитын студенттер, магистранттар және докторанттарға арналған. Қазіргі қазақ романдары – қазақ сөз өнері мұраларының бұрынғы және кейінгі көркемдік дәстүрінің жалғасы, сонымен бірге әлем өркениетіндегі әдеби үдерісінің маңызды тармағы. Осы ретте қазақ романын қалыптастырудағы қаламгерлердің шығармашылық лабораториясы зерттелініп қарастырылады.Білім алушылардың қазіргі заман әдебиеті бойынша теория мен практиканы ұштастыра отырып, заманауи әдебиет бойынша алған білімін қорытындылау барысында қолданыла алады. Болашақ филологтар мен журналистердің қазақ әдебиетінен терең білім алып,қазіргі заман әдебиеті бойынша білімді жетілдіру, әдеби – мәдени рухани танымдылық мақсатында пайдаланyға бoлады.</t>
  </si>
  <si>
    <t>00011047</t>
  </si>
  <si>
    <t>Sembiyeva G.M., Uisinbayeva Y.B., Biltekenova G.B. / Сембиева</t>
  </si>
  <si>
    <t>English for students of pedagogical specialty</t>
  </si>
  <si>
    <t>Язык английский, педагогика</t>
  </si>
  <si>
    <t>The textbook «English for pedagogical specialties» is designed for students and undergraduates studying in pedagogical specialties based on the discipline "professionally oriented foreign language". In the textbook, most of the pedagogical texts are based on original English and American sources. They are not only of a cognitive nature, but also of educational significance, aimed at bridging the gap between the intellectual development of students and their language competence, contribute to the formation of the personality of the future teacher.The textbook consists of texts with various exercises, additional tasks, pedagogy quotes-goodreads, quiz questions, and a glossary. Учебник «Английский язык для педагогических специальностей» предназначен для студентов и магистрантов, обучающихся по педагогическим специальностям на базе дисциплины «Профессионально ориентированный иностранный язык». В учебнике большая часть педагогических текстов основана на оригинальных английских и американских источниках. Они носят не только познавательный характер, но и воспитательное значение, направлены на преодоление разрыва между интеллектуальным развитием учащихся и их языковой компетенцией, способствуют формированию личности будущего учителя. Учебник состоит из текстов с различными упражнениями, дополнительными заданиями, педагогическими цитатами-учебниками, вопросами-викторинами и словарем.</t>
  </si>
  <si>
    <t>00011048</t>
  </si>
  <si>
    <t>Лукпанова Ж.О.</t>
  </si>
  <si>
    <t>Теория финансов</t>
  </si>
  <si>
    <t>Экономика, финансы</t>
  </si>
  <si>
    <t>Учебное пособие составлено в соответствии с типовой программой дисциплины и представляет собой систематизированное изложение теории финансов. В учебном пособии раскрыты сущность, функции и роль финансов в системе экономических наук, дана характеристика современных концептуальных основ сущности финансов, представлена структура и содержание финансовой системы. В пособии рассмотрены организационно-правовые аспекты финансовых отношений, а также теоретические аспекты государственных финансов, финансов хозяйствующих субъектов и домашних хозяйств. Учебное пособие предназначено для магистрантов специальности «Финансы» КЭУК, в качестве основной литературы при изучении курса «Теория финансов». Также пособие может быть использовано как дополнительная литература по финансовым дисциплинам.</t>
  </si>
  <si>
    <t>00011049</t>
  </si>
  <si>
    <t>Инвестиционное проектирование</t>
  </si>
  <si>
    <t>Учебное пособие посвящено активно развивающемуся направлению деятельности казахстанских компаний и банков в части реализации инвестиционных проектов на принципах эффективного финансирования. В учебном пособии раскрыты принципы, методы, модели и этапы инвестиционного проектирования, выделены участники инвестиционного проекта и их функции. В пособии рассмотрены все аспекты работы с инвестиционным проектом: от инициации проекта и проектного анализа, структурирования схемы инвестиционного проекта, мониторинга реализации проекта и управления проектом до выхода из проекта. Учебное пособие основано на зарубежном опыте оценки, анализа инвестиционных проектов и проектного финансирования. Данное издание будет полезно студентам и преподавателям экономических и финансовых высших учебных заведений, магистрантам, финансовым аналитикам, специалистам коммерческих банков и предприятий.</t>
  </si>
  <si>
    <t>0001105</t>
  </si>
  <si>
    <t>Байменова Б.С.</t>
  </si>
  <si>
    <t>XX ғасырдың бас кезіндегі қазақ зиялыларының педагогикалық ой-пікірлері</t>
  </si>
  <si>
    <t>Оқу құралы бүгінгі таңдағы педагогика мәселелерін және оның даму тенденцияларын, көрнекті педагогтар мен ағартушылардың педагогикалық идеяларын зерттеуге бағытталған бірегей еңбек болып табылады</t>
  </si>
  <si>
    <t>00011050</t>
  </si>
  <si>
    <t>Кумисбекова Ж.Н.</t>
  </si>
  <si>
    <t>Бастауыш мектепте тәрбие жұмысының теориясы мен әдістемесі пәнінен шығармашылық тапсырмалар</t>
  </si>
  <si>
    <t>Педагогика, начальная школа</t>
  </si>
  <si>
    <t>«Бастауыш мектепте тәрбие жұмысының теориясы мен әдістемесі пәнінен шығармашылық тапсырмалар» оқу-әдістемелік құралында «Бастауыш мектепте тәрбие жұмысының теориясы мен әдістемесі» пәнінен практикалық сабақтары педагогикалық мамандық бойынша мемлекеттік жалпыға міндетті білім стандартына негізделіп, оқу бағдарламасына сәйкес жинақталған. Оқу-әдістемелік құралы педагогикалық жоғары оқу орнының 6В01301-«Бастауыш оқытудың педагогикасы мен әдістемесі» мамандығының білім алып жатқан студенттерге арналады.</t>
  </si>
  <si>
    <t>00011051</t>
  </si>
  <si>
    <t>Мұнай мен газды өндіру кезіндегі коррозиялық қиыншылықтар (2-ое идание)</t>
  </si>
  <si>
    <t>Типтік оқу бағдарламасы және Қазақстан Республикасының Білім және ғылым министрлігімен бекітілген, мамандық бойынша мемлекеттік стандарт, педагогика-психологиялық негізгі ұйымдар мен тәжірибе сабағын жүргізу бойынша оқу әдістемесі құрастырылған. Берілген оқу құралында қазіргі кездегі мұнай-газды өндірудегі қиыншылықтардың себептерінің бірі – ол мұнай-газ құрылғыларының коррозияға ұшырауы, соның нәтижесіндегі жағдайы туралы нақты материалдар берілген. Мұнда коррозиялық процестер мен оның бұзылыс түрлерінің топтастырылуы кеңінен көрсетілген, олардың химиялық және электрохимиялық коррозия үрдістерінің теориясының негізі, пайда болуы мен жүру механизмі көрсетілген. Мұнай-газ кәсіпорындарында барлық белгілі металл коррозиясына қарсы амалдар қолданыс тапты, мысалы, электрохимиялық қорғаныс тәсілі: катодтық қорғау, протекторлық қорғау және анодтық қорғау, сонымен қатар өндірістік құрылғыларды ішкі коррозиядан сақтайтын ингибирлеу тәсілі. Өндірістік құрылғылардың коррозияға ұшырауы туралы жалпы мәліметтер және компрессорлы-сорапты құбыр мен басқа да мұнай және газконденсатты ұңғыдағы, жерасты және жерүсті құрылғыларының коррозияға ұшырауының негізгі себептері көрсетілген. Бұл оқу құралы мұнай-газ саласындағы жоғарғы оқу орындарындағы студенттер мен колледж оқушыларына, сонымен қатар кең ауқымдағы инженерлі-техникалық мұнай өнеркәсібіндегі қызметкерлерге арналған.</t>
  </si>
  <si>
    <t>00011052</t>
  </si>
  <si>
    <t>Дарибаева Н.Г., Нуранбаева Б.М., Омарова М.О.</t>
  </si>
  <si>
    <t>Химия нефти и газа (2-ое идание)</t>
  </si>
  <si>
    <t>Данное учебное пособие предназначено для самостоятельной работы студентов, обучающихся по специальности 5В070800 –нефтегазовое дело при изучении дисциплины «Химия нефти и газа» с целью формирования зна-ний о составе и свойствах нефтяных систем различного происхождения и возможностях их дальнейшей переработки. Представленный материал охватывает вопросы строения и различия физико-химических свойств ин-дивидуальных углеводородов как основных компонентов нефтей, природных газов, их фракционный, компонентный и элементный состав, а также хи-мические основы процессов переработки нефти и газа.</t>
  </si>
  <si>
    <t>00011053</t>
  </si>
  <si>
    <t>Есенова Н.Б.</t>
  </si>
  <si>
    <t>Сөзжасамдық тарамның белсенділігі</t>
  </si>
  <si>
    <t>Монографияда көп жылдық ғылыми-зерттеу жұмыстарының нәтижесі келтірілген. Сөзжасамдық тарамның белсенділігі анықталынған. Зерттеу нысандарындағы бір буында етістіктердің өнімділігі негізделген. Сондықтан монография жоғары оқу орындарында, яғни 5В020500-«Филология:казахский язык», 6М020500-«Филология» мамандықтарына теориялық білімдерін жетілдіруге толық мүмкіндік ала алады. Сонымен қатар педагогикалық мамандықтарға да қосымша мәліметтер жинақтағанға көмекші құрал бола алады.</t>
  </si>
  <si>
    <t>00011054</t>
  </si>
  <si>
    <t>Мектепке дейінгі мекемеде бала тілін дамыту жолдары</t>
  </si>
  <si>
    <t>Педагогика, дошкольное образование</t>
  </si>
  <si>
    <t>Бұл оқу құралында мектепке дейінгі мекемеде бала тілін дамыту жолдары жан-жақсы қарастырылады. Құралдың мақсаты – студенттерге ана тілін оқыту әдістемесі негізделетін теориялық негіздерді меңгеруге, білімдерін жүйелеуге, бүгінгі күні мектепке дейінгі мекемелерде жүзеге асырылып жатқан жаңа идеялар туралы түсінік алуға көмектесу болып табылады. Тіл дамыту әдістемесіне қатысты әртүрлі көзқарастармен танысу арқылы алуан түрлі әдістемелік идеяларға деген өзіндік пікірлері қалыптасады, яғни шығармашылық белсенділіктері артады. Назарларыңызға ұсынылып отырған оқу құралында балалардың тілдік құзыреттілігін қалыптастыру жолдарына баса назар аударылған. Қосымшаларда ұсынылған тілдік, артикуляциялық және т.б. жаттығуларды, саусақ ойындарын жүйелі қолдану балалардың тілін дамытуға көмегін тигізері анық. Оқу құралы 0101000-Мектепке дейінгі тәрбие және оқыту, 6В01201 – Мектепке дейінгі оқыту және тәрбиелеу мамандық студенттеріне, 7М01201 – Мектепке дейінгі оқыту және тәрбиелеу мамандық магистранттарына, сондай-ақ мектепке дейінгі мекеменің тәрбиешілеріне арналған.</t>
  </si>
  <si>
    <t>00011055</t>
  </si>
  <si>
    <t>Кембаев А.Р.</t>
  </si>
  <si>
    <t>Табиғи мұнай мен газды өңдеудегі жабдықтарды жөндеу</t>
  </si>
  <si>
    <t>Оқу құралы өзектендірілген білім беру бағдарламаларына сəйкес әзірленген. Оқу құралында мұнай газды өңдеу технологиясында жөнделетін жабдықтың, машиналардың, аппараттардың, сорғылар мен компрессорлардың құрылымдық ерекшеліктері, жабдықты, машиналарды, аппараттарды, сорғылар мен компрессорларды орнату дұрыстығына сынау мен реттеу әдістері қарастырылған. Оқу құралында жөндеуден кейін жабдықты сыртынан тексеру, қамтылатын және қамтушы шамалардағы саңылаулар мен тартылыстарды реттеу, ЭЛОУ блогының және АТ блогының материалдық балансын анықтау сынау, колоннаның негізгі өлшемдерін анықтау, мазутты өңдеу кезіндегі жылуалмасу аппаратының есебі, гидрокрекинг реакторының өлшемдерін анықтау, каталитикалық риформинг қондырғысының материалдық балансы, сыйымдылық аппаратын жөндеу және құрастыру, сораптарды, компрессорларды, газ үрлегіштерді, және желдеткіштерді жөндеу құрастыру, мұнай өндеу зауытының материалдық есептеу үшін бастапқы деректер кезінде анықталған ақауларды жою жұмыстары көрсетілген.Оқу құралы мұнай, газ өңдеу және химия саласы мамандығы бойынша жоғары оқу орындарымен колледж студенттеріне арналған</t>
  </si>
  <si>
    <t>00011056</t>
  </si>
  <si>
    <t>Усенова А.К.</t>
  </si>
  <si>
    <t>Музыкально-стилевой подход: теория и практика</t>
  </si>
  <si>
    <t>Музыка, искусство,</t>
  </si>
  <si>
    <t>В учебном пособии излагаются вопросы теории и методики музыкально-стилевого подхода, раскрываются задачи и содержание применения музыкально-стилевого подхода в концертмейстерском классе, формы и методы теоретико-методической подготовки будущих специалистов педагогов-музыкантов. В содержание данного учебного пособия включена программа элективного курса «Музыкальный стиль в художественном пространстве культуры», в которой музыкально-стилевой подход рассматривается как учебный предмет раскрывающий сущность данной области педагогики музыкального образования. Все разделы программы представлены в совокупности с учебными заданиями и перечнем рекомендуемой литературы для будущих специалистов с целью развития у них профессионального мышления, формирования личностной позиции, творческого отношения к изучаемой проблеме.Учебное пособие адресовано магистрантам, учителям музыки, педагогам-музыкантам в системе дополнительного образования, преподавателям высших и средних профессиональных учебных заведений музыкально-педагогической направленности, всем, кто интересуется проблемами музыкального образования</t>
  </si>
  <si>
    <t>00011058</t>
  </si>
  <si>
    <t>Әмірханов М.Б./Амирканов М.Б.</t>
  </si>
  <si>
    <t>Қазақстан тарихынан: тест тапсырмалар жинағы</t>
  </si>
  <si>
    <t>Қазақстан тарихынан тест тапсырмалар жинағы мектеп бітірушілер мен талапкерлердің жоғарғы оқу орындарының сынағына дайындауға арналған. Тест тапсырмалар жинағы Қазақстан тарихының көне заманнан бүгінгі күнге дейінгі уақыт аралығын қамтиды. Талапкерлердің ҰБТ мен кешенді тестілеу дайындығына арналған тест тапсырмалар жинағында Қазақстан тарихы пәні бойынша барлық тақырыптар толық қамтылған. Тест тапсырмалар жинағы талапкерлерге әр тақырып бойынша өз білімдерін бекітуге, сондай-ақ есте сақтауға мүмкіндік береді. Тест тапсырмалар жинағын талапкерлермен қатар дайындық факультеттерінің және жалпы білім беретін орта мектептің тарих пәнінің мұғалімдері қосымша оқу құралы ретінде пайдалана алады.</t>
  </si>
  <si>
    <t>00011059</t>
  </si>
  <si>
    <t>Арипбаева Л.Ш , Серікбаева Қ.Қ., Байгунова Д.М.</t>
  </si>
  <si>
    <t>Классикалық гармония</t>
  </si>
  <si>
    <t>Музыкадағы гармония - бұл күрделі ғылымдардың бірі, сондықтан оны игеруде білім алушыда музыкалық сауаты мен сольфеджио пәндерінен дағдылары болғаны абзал. Ұсынылып отырған оқу құралы И.Дубовскийдің Гармония оқулығы және С.Құттымұраттың қазақ тіліндегі Гармония оқу құралын негізге алып жасалынды. Қарапайым аккордтардан басталып, бірінші дәрежелі модуляция тақырыбына дейін қамтылған.Оқу құралы 611124-«Мәдени тынығу қызметі және эстрадалық ән салу» білім беру бағдарламасының білім алушыларына арналған.</t>
  </si>
  <si>
    <t>0001106</t>
  </si>
  <si>
    <t>Развитие инклюзивного образования в Казахстане и за рубежом</t>
  </si>
  <si>
    <t>В учебном пособии раскрываются исторические тенденции развития инклюзивного образования в Казахстане и за рубежом. Сделан сравнительный анализ моделей, концепций, подходов к организации инклюзивного образования в развитых странах мира.Учебное пособие призвано помочь преподавателям, студентам, магистрантам, докторантам, учителям ознакомиться с историческими тенденциями развития инклюзивного образования в мире и Казахстане</t>
  </si>
  <si>
    <t>00011060</t>
  </si>
  <si>
    <t>Қазақстан тарихы мен мәдениеті</t>
  </si>
  <si>
    <t>Бұл оқу құралы Қазақстан тарихының көне заманнан бүгінгі күнге дейінгі кезеңін қамтиды. Оқу құралында Қазақстан тарихы пәні бойынша барлық тақырыптар толық қамтылған. Онда Қазақстандағы тарихи кезеңдердің даму барысындағы негізгі жаңа мәліметтер келті¬рілген. Оқу құралын жоғары оқу орнына дейінгі білім беру факультеті тыңдау¬шы¬лары мен тарих пәнінің оқытушылары қосымша оқу құралы ретінде пайдалана алады.</t>
  </si>
  <si>
    <t>00011061</t>
  </si>
  <si>
    <t>Жарбосынова Б.Б. (Джарбусынова Б.Б.), Құдиярова Ғ.М.</t>
  </si>
  <si>
    <t>Сот психиатриясы</t>
  </si>
  <si>
    <t>Психиатрия</t>
  </si>
  <si>
    <t>Егеменді Қазақстанда алғаш рет басылып отырған «Сот психиатриясы»оқу құралын ең бір күрделі сот-психиатриялық сараптамасын жүргізуде мол тәжірибесі бар профессор жарыққа шығарып отыр. Мұнда сот психиатриясы заң тұрғысынан ғана емес, клиникалық аспекті жағынан да қажетінше толық бейнеленеді. Заманауи ғылыми деңгейде медицина және заң ғылымдарына ортақ жауаптылыққа қабілетсіздік және іс-әрекетке қабілетсіздік сияқты күрделі мәселелер баяндалып, солардың негізінде сот-психиатриялық сараптама тағайындалып және жүргізілетін құқықтық норма түрлері айқындалады.Сарапшы-психиатрдың диагностикалық жұмыс әдісі, психиатриялық симптоматика және синдромология), жеке психиатрия егжей-тегжейлі баяндалады.</t>
  </si>
  <si>
    <t>00011062</t>
  </si>
  <si>
    <t>978-601-13-0463-4</t>
  </si>
  <si>
    <t>Джарбусынова Б.Б.</t>
  </si>
  <si>
    <t>Мотивационная терапия зависимых от психоактивных веществ</t>
  </si>
  <si>
    <t>Наркология</t>
  </si>
  <si>
    <t>Пособие предназначено для самоподготовки специалистов наркологического профиля, интересующихся возможностями повышения мотивации зависимых от ПАВ на достижение приемлемых результатов лечения и реабилитации.</t>
  </si>
  <si>
    <t>00011063</t>
  </si>
  <si>
    <t>рус / каз /анг</t>
  </si>
  <si>
    <t>978-601-13-0196-1</t>
  </si>
  <si>
    <t>Глоссарий психиатрических терминов для интернов и резидентов медицинских ВУЗов на трех языках (русский, казахский, английский)</t>
  </si>
  <si>
    <t>глоссарий</t>
  </si>
  <si>
    <t>Глоссарий предназначен дляинтернов и резидентов медицинских ВУЗов. В соответствии с программой полиязычия, внедряемой в вузе, глоссарий составлен на трех языках, что окажет несомненную помощь не только в изучении медицинских терминов, но и в языковой подготовке.</t>
  </si>
  <si>
    <t>00011064</t>
  </si>
  <si>
    <t>Медициналық психология</t>
  </si>
  <si>
    <t>Оқулықта медициналық психология негіздері, медициналық психология пәнінің міндеттері мен мақсаттары патологиялық процестермен, медицина психологиясының негізгі мәселелерімен (психосоматика, психопрофилактика, психотерапия, психогигиена) тығыз байланыстырыла отырып қарастырылған.
 Сонымен қатар оқулықты жазудағы негізгі мақсат – медицина қызметкері мен әртүрлі аурулар кезіндегі науқас арасындағы байланыстағы қызметкер біліктіліг, кәсіби қарым-қатынас ерекшеліктері, медициналық-деонтологиялық ұстанымдар айрықша қарастырылып, қамтылған.Оқулық медицина оқу орындарының студенттері мен медицина қызметкерлеріне арналады.</t>
  </si>
  <si>
    <t>00011065</t>
  </si>
  <si>
    <t>Ақашев Б.Т. /Акашев Б.Т.</t>
  </si>
  <si>
    <t>Мұнай және газ өндірудің техникасы мен технологиясы 1 бөлім</t>
  </si>
  <si>
    <t>Оқулықта мұнай және газ кен орындары туралы негізгі геологиялық мәліметтер, мұнай, газ, қабат сулары құрамы және қасиеті туралы негізгі мәліметтер келтірілген. Кен орындарды игерудің нақты шартын ескере отырып, мұнай-газ өндірудің негізгі технологиялық процестер, ұңғымалардың өнімділігін арттыру әдістері. Ұңғымаларды пайдалану тәсілдері, газдарды сепарациялау және қабат суды тазалау сұрақтары қарастырылған. Кәсіптік құрал-жабдықтардың осы саладағы соңғы жетістіктері ескерілген және принципиалды технологиялық схемасы келтірілген, сонымен қатар кен орындардағы құрал-жабдықтарды қолдану мысалдары тәжрибелік және зертханалық жұмыстарда келтірілген. Керекті формулалар және есептеулер, материалдарды меңгеруді тексеру, бақылау және өзіндік бақылау үшін тестілік сұрақтары, глоссарий берілген. Оқулық ЖОО мұнай және газ саласы мамандығы магистранттары мен студенттеріне және колледж оқушыларына арналған.</t>
  </si>
  <si>
    <t>00011066</t>
  </si>
  <si>
    <t>Мұнай және газ өндірудің техникасы мен технологиясы 2 бөлім</t>
  </si>
  <si>
    <t>00011067</t>
  </si>
  <si>
    <t>Мурзабаева Г.И.</t>
  </si>
  <si>
    <t>Балаларға арналған қазақтың сахналық билері</t>
  </si>
  <si>
    <t>Искусство, Хореография</t>
  </si>
  <si>
    <t>Оқу-әдістемелік құрал педагог-хореографтарға, мектеп оқытушыларына және өнер мектебінің оқушыларына, студенттерге арналады. Оқу-әдістемелік құралдың ерекшелігі – қазақ биін оқытудың үш негізгі жақтарын: шолу, әдістемелік және практикалық тұрғыдан қамтуында.</t>
  </si>
  <si>
    <t>00011068</t>
  </si>
  <si>
    <t>978-601-330-343-7</t>
  </si>
  <si>
    <t>Методические рекомендации лекционных занятий по дисциплине «Искусство балетмейстера»</t>
  </si>
  <si>
    <t>Предлагается учебное пособие, в котором даются разработки лекции по дисциплине «Искусство балетмейстера».Предназначен для высших учебных заведений культуры по специальности «5В040900- Хореография», составлено на основе государственного стандарта и типовой программы подготовленным Кызылординским государственным университетом.</t>
  </si>
  <si>
    <t>00011069</t>
  </si>
  <si>
    <t>978-601-330-344-4</t>
  </si>
  <si>
    <t>Классикалық биді оқыту әдістемесі</t>
  </si>
  <si>
    <t>Мемлекеттік тілде би өнері жайлы оқулықтардың жетіспеуі айқын, сондықтан хореограф-мамандарына арналады.Оқу-әдістемелік құрал педагог-хореографтарға, мектеп оқытушыларына және өнер мектебінің оқушыларына, студенттерге арналады. Оқу-әдістемелік құралдың ерекшелігі – классикалық биіді оқытудың екі негізгі жақтарын: әдістемелік және практикалық тұрғыдан қамтуында.</t>
  </si>
  <si>
    <t>00011070</t>
  </si>
  <si>
    <t>Ерофеева Р. Ж.</t>
  </si>
  <si>
    <t>Физическая культура с учетом гендерных особенностей обучающихся</t>
  </si>
  <si>
    <t>Данное пособие посвящено преподаванию физической культуры с учетом гендерных особенностей обучающихся на трех уровнях: в детском саду, школе и вузе. В учебно-методическом пособии раскрывается теоретическое, практическое содержание и различные научные интерпретации инновационного внедрения гендерного подхода, анатомо-физиологические и гендерные различия мальчиков и девочек и как работать с этими особенностями во благо гармонично-развитой личности.Учебно-методическое пособие рекомендуется студентам специальности «Физическая культура и спорт», а также учителям, преподавателям и специалистам в области физической культуры и спорта.</t>
  </si>
  <si>
    <t>00011072</t>
  </si>
  <si>
    <t>Kaliyev I.A., Altybasarova M.A. / Калиев И.А., Алтыбасарова М. А.</t>
  </si>
  <si>
    <t>Public administration</t>
  </si>
  <si>
    <t>The manual discusses the concept, main characteristics, functions, methods, features of public administration, as well as modern problems of public administration. The analysis of the main modern technologies of public administration is presented.The manual also presents modern basic scientific, theoretical and applied aspects of public administration, its goals, principles, legal foundations, resource provision and mechanisms of functioning, taking into account the peculiarities of modern Kazakhstan and international practice. The list of tasks for seminars and independent work of students is given, tasks are presented in a test form.The training material is intended for students and undergraduates in the fields of "Political Science", "State and Local Government", as well as for anyone interested in problems of public administration.The manual is recommended to university teachers, consultants of educational and research centers working in the field of state and local government, as well as practical workers for use in professional activities.It is of interest to teachers, civil servants, as well as a wide range of readers./В пособии рассматриваются понятие, основные характеристики, функции, методы, особенности государственного управления, а также современные проблемы государственного управления. Представлен анализ основных современных технологий государственного управления. В пособии также представлены современные базовые научные, теоретические и прикладные аспекты государственного управления, его цели, принципы, правовые основы, ресурсное обеспечение и механизмы функционирования с учетом особенностей современный Казахстан и международная практика. Приведен перечень заданий для семинарских занятий и самостоятельной работы студентов, задания представлены в тестовой форме. Учебный материал предназначен для студентов и магистрантов по направлениям «Политология», «Государственное и местное управление», а также для всех, интересующихся проблемами государственного управления. Пособие рекомендовано преподавателям вузов, консультантам образовательных и научных центров, работающих в сфере государственного и местного управления, а также практическим работникам для использования в профессиональной деятельности. Представляет интерес для преподавателей , государственные служащие, а также широкий круг читателей.</t>
  </si>
  <si>
    <t>00011073</t>
  </si>
  <si>
    <t>Ибраев Е.Е.</t>
  </si>
  <si>
    <t>Кинематограф Казахстана: историческая ретроспектива</t>
  </si>
  <si>
    <t>Искусство, кино</t>
  </si>
  <si>
    <t>В монографии исследуются художественные образы Казахстана и казахстанцев в отечественном игровом кино советского и современного периодов. Изучаются отражающиеся на экране особенности эпохи и менталитет людей. Параллельно описывается процесс зарождения, становления и развития кинематографа Казахстана как вида национального искусства. Уделяется внимание развитию документального и анимационного кино страны. Монография представляет теоретический и практический интерес, содержит полезные материалы и иллюстрации. В исследовании используется метод изучения кинолент как исторических источников.</t>
  </si>
  <si>
    <t>00011074</t>
  </si>
  <si>
    <t>978-601-330-321-5</t>
  </si>
  <si>
    <t>Максимов В.А.</t>
  </si>
  <si>
    <t>Кадастровая оценка недвижимости</t>
  </si>
  <si>
    <t>В монографии представлены результаты исследований, выполненных под руководством автора по проблеме оценки городских земель и недвижимости для целей налогообложения и продажи. Работа выполнена в виде методического пособия с примерами и комментариями для практикующих оценщиков и студентов экономических специальностей.</t>
  </si>
  <si>
    <t>00011075</t>
  </si>
  <si>
    <t>Васильева Н.В., Максимов В.А.</t>
  </si>
  <si>
    <t>Жылжымайтын мүліктi бағалау және есеп</t>
  </si>
  <si>
    <t>Экономика, педагогика</t>
  </si>
  <si>
    <t>Оқу құралында жылжымайтын мүліктің есебі мен бағалаудың теориялық және тәжірибелік аспектілері келтірілген. Бағалау құны мен нысанның есебі ретінде жылжымайтын мүліктің ерекшеліктері ашылған, жылжымайтын мүліктің негізгі элементі ретінде жердің рөлі көрсетілген. Жер телімінің есебі мен бағалануына негізгі көңіл бөлінген: нарықты құнды анықтаудың әдістері қарастырылған, Қазақстан мен Ресейдегі жердің кадастрлық бағалануының ерекшеліктері ашылған. Мемлекеттік жылжымайтын мүлік кадастрін құрастыру сұрақтарына жеке бөлім арналған. Оқу үрдісі мен ғылыми-тәжірибелік жұмыста қолдануға студенттерге, магистранттарға, аспиранттарға, доктаранттарға, оқытушылар мен табиғаты пайдалану экономикасы саласындағы мамандарға арналған. Оқу құралы Қазақстан Республикасының білім және ғылым Министрлігінің «Қазақстанның алдынғы қатарлы ЖОО-на шетелдік ғалымдар мен кеңесшілерді тарту» бағдарламасы бойынша шығарылған</t>
  </si>
  <si>
    <t>00011076</t>
  </si>
  <si>
    <t>Оценка и учет недвижимости</t>
  </si>
  <si>
    <t>В учебном пособии изложены теоретические и практические аспекты оценки и учета недвижимости. Раскрыты особенности недвижимости как объекта учета и оценки стоимости, показана роль земли как базового элемента недвижимого имущества. Основное внимание уделено оценке и учету земельных участков: раскрыты методы определения их рыночной стоимости, особенности кадастровой оценки земель в России и Казахстане. Отдельная глава посвящена вопросам формирования государственного кадастра недвижимости. Предназначено для использования в учебном процессе и научно- практической работе студентов, магистрантов, аспирантов, докторантов, преподавателей и практикующих оценщиков. Книга издана по программе Министерства образования и науки Республики Казахстан «Привлечение зарубежных ученых и консультантов в ведущие вузы Казахстана»</t>
  </si>
  <si>
    <t>00011077</t>
  </si>
  <si>
    <t>Smailova Zh. / Смаилова</t>
  </si>
  <si>
    <t>Nutrition physiology</t>
  </si>
  <si>
    <t>The textbook provides up - to-date data on the physiology of nutrition. It offers control questions that can be used as individual tasks in the course of independent work of students, and a list of recommended literature. It is intended for University students studying in the bachelor's degree programs " technology of public catering products "and" Professional training", as well as for teachers and anyone interested in the problems of healthy nutrition. В учебнике представлены современные данные по физиологии питания. Предлагаются контрольные вопросы, которые можно использовать в качестве индивидуальных заданий в ходе самостоятельной работы студентов, и список рекомендуемой литературы. Предназначено для студентов вузов, обучающихся по программам бакалавриата «Технология продуктов общественного питания» и «Профессиональное обучение», а также для преподавателей и всех, кто интересуется проблемами здорового питания.</t>
  </si>
  <si>
    <t>00011078</t>
  </si>
  <si>
    <t>Смаилова Ж.Ж.</t>
  </si>
  <si>
    <t>Арнайы пәндерді оқыту әдістемесі</t>
  </si>
  <si>
    <t>Педагогикалық емес жоғары оқу орындарының оқытушыларына бағытталған оқу құралында қазіргі жоғары оқу орнында оқытудың негізгі формаларының даму әлеуеті және студенттердің танымдық қызметін белсендіру әдістері талданады. Авторлық әзірлемелер сипатталып, сабақтардың конспектілері ұсынылды.</t>
  </si>
  <si>
    <t>00011079</t>
  </si>
  <si>
    <t>Аймаганбетова З.К., Серікбаева Г.Д.</t>
  </si>
  <si>
    <t>Бұл оқу-әдістемелік құрал «Механика» пәні бойынша «6В05301 – Физика» білім бағдарламасының студенттеріне, сонымен қатар басқа да ББ студенттеріне практикалық сабақтарда есептер шығару кезінде, сондай-ақ оларға дайындық кезінде көмек көрсетуге арналған, механика бойынша есептер шығару әдістемесін қамтиды. Оқу-әдістемелік құралда шешуі бар есептердің көптеген мысалдары келтірілген. Студенттердің өз бетімен шығаруына арналған тапсырмалар кинематика, динамика, статика, сұйықтар мен газдар механикасы, тербелістер мен толқындар механикасымен байланысты. Механика бөлімдері бойынша есептермен қатар, теориялық білімнің қысқаша сипаттамасы, «Механика» курсының негізгі физикалық шамалары және олардың халықаралық жүйедегі өлшем бірліктері, бөлімдер бойынша теориялық білімді пысықтауға арналған бақылау сұрақтары, физикалық диктант, тест тапсырмалары және есеп шығару барысында қажет болатын мәліметтері бар қосымшалар мен әдебиеттер тізімі келтірілген. Оқу-әдістемелік құрал жоғары оқу орындарының студенттеріне арналған.</t>
  </si>
  <si>
    <t>00011080</t>
  </si>
  <si>
    <t>Нұрланқызы Г., Хромов В.А.</t>
  </si>
  <si>
    <t>Семей қаласының құстарының анықтағышы</t>
  </si>
  <si>
    <t>оқу әдістемелік құрал</t>
  </si>
  <si>
    <t>биология, ветеринария</t>
  </si>
  <si>
    <t>Семей қаласының құстарына арналған иллюстрациялық нұсқаулық Семей қаласының әртүрлі биотоптарының фаунасын өзіміздің көпжылдық зерттеулеріміздің негізінде құрастырылған. Бұл жұмыста қалада кездесетінжыл құстары, отырықшы, көшпенді, қоныс аударатын құстардың 76 түрі сипатталған.Семей қаласының құстарының анықтағышы мектеп оқушылары, студенттер, мектеп және биологиялық жоғары оқу орындарының оқытушылары, сондай-ақ құс әуесқойлары фаунаның әртүрлілігін анықтауда ғылыми-әдістемелік көмекші құрал ретінде пайдалана алады.</t>
  </si>
  <si>
    <t>00011081</t>
  </si>
  <si>
    <t>Проектирование разработки нефтяных месторождений системой горизонтальных скважин</t>
  </si>
  <si>
    <t>В учебного пособии содержится информация по, основам технологии горизонтального вскрытия нефтенасыщенных пластов, преимуществам, недостаткам, областям применения ГС, примеры использования ГС, методики расчета технологических показателей работы горизонтальных скважин, методы расчета гидравлических сопротивлений при работе ГС, методики расчета рядных систем разработки горизонтальных скважин ,принципиальные моменты по моделированию разработки нефтяной залежи системой горизонтальных скважин.</t>
  </si>
  <si>
    <t>00011082</t>
  </si>
  <si>
    <t>978-601-330-418-2</t>
  </si>
  <si>
    <t>Сайын Ж.</t>
  </si>
  <si>
    <t>Лингвокультурные взаимосвязи турок ахыска Республики Казахстан</t>
  </si>
  <si>
    <t>международные отношения, тюркология</t>
  </si>
  <si>
    <t>В монографии освещены лингвокультурные взаимосвязи турок ахыска Казахстана. В центре исследования - взаимосвязь языка и культуры турок ахыска с языком и культурой казахов, русских и других этносов Республики Казахстан. Рассматриваются проблемы заимствования как результата межэтнических контактов. Важным в работе является анализ истории этнического формирования и расселения турок-ахыска на Кавказе и в Казахстане.Монография будет полезна всем тем, кто интересуется проблемами культурно-языковых контактов этносов Казахстана, историей .</t>
  </si>
  <si>
    <t>00011083</t>
  </si>
  <si>
    <t>978-601-330-827-2</t>
  </si>
  <si>
    <t>Қажғалиев Н., Жікішев Е., Әрін Б.</t>
  </si>
  <si>
    <t>Ара шаруашылығы практикумы</t>
  </si>
  <si>
    <t>Пчеловодства,ветеринария</t>
  </si>
  <si>
    <t>Практикум бал: ара ұясының биологиялық ерекшелігі, араның сыртқы және ішкі дене құрылысы, араның көбею ерекшелігі, ара шаруашылығының селекциялық жұмысы, араның қыстауы, ара қорегі, ара өнімділігі, ара шаруашылығында қолданылатын құрал-жабдықтар және ара аурулары. Практикум жоғарғы оқу орындарының «Мал шаруашылығы» мамандығының студенттеріне арналған.</t>
  </si>
  <si>
    <t>00011084</t>
  </si>
  <si>
    <t>Шукаев Д.Н.</t>
  </si>
  <si>
    <t>Компьютермен модельдеу</t>
  </si>
  <si>
    <t>информационные системы</t>
  </si>
  <si>
    <t>Ұсынылып отырған оқулық әртүрлі күрделі жүйелердегі процестерді компьютермен модельдеу және талдаудың негіздері мен әдістерін, математикалық аппаратын, типтік математикалық сұлбаларын оқып үйренуге және компьютермен модельдеу мен талдау нәтижелерін әртүрлі кызмет салаларында қолдану тәсілдерін игеруге арналған.Оқулық “Ақпараттық – коммуникациялық технологиялары” бағыты мамандықтарының, ақпараттық технологияларды қолдану және әртүрлі процестерді компьютермен басқару салаларында мамандық алатын басқа да студенттер, магистранттар және докторанттарға бағытталған. Сонымен қатар, бұл кітап компьютермен модельдеуді өз жұмысында қолданатын инженерлерге және басқа мамандарға біраз жаңа ақпарат бере алады.2017 жылы BookPrint баспасында жарық көрген осы оқулықтың орыс тіліндегі басылымы Москвада өткен “Білім беру технологиялары және қызметтері” атаулы Халықаралық көрменің дипломымен марапатталды.</t>
  </si>
  <si>
    <t>00011085</t>
  </si>
  <si>
    <t>978-601-13-0072-8</t>
  </si>
  <si>
    <t>Глущенко Т.И., Сакенов Б.К.</t>
  </si>
  <si>
    <t>Электротехниканың теориялық негіздері 2. Электр тізбектеріндегі өтпелі процестер І бөлім</t>
  </si>
  <si>
    <t>Оқулықта тұрақты және ауыспалы токтардың электр тізбектеріндегі өтпелі процестерді есептеудің классикалық және операторлық әдістері, есептер шығару мысалдары, студенттердің өзіндік жұмысына арналған тесттер мен тапсырмалар берілген. Электр тізбектеріндегі өтпелі процестерді есептеудің мамандандырылған бағдарламаларын пайдалануға ерекше назар аударылады. Жұмыста электр тізбектерін есептеу мен талдаудың кең спектрі берілген. Электр энергетикасы мамандықтарының студенттеріне арналған; оны электротехниканың теориялық негіздері бойынша сабақтар өткізген кезде жоғары оқу орындарының оқытушыларына ұсынуға болады.</t>
  </si>
  <si>
    <t>00011086</t>
  </si>
  <si>
    <t>Омаров М.С., Омарова К.М., Есеева Г.К</t>
  </si>
  <si>
    <t>Алкоголь және алкогольсіз өнімдерін өндіру технологиясы</t>
  </si>
  <si>
    <t>Осы оқу құралы алкоголь және алкогольсіз өнімдердің анықтамалары мен жіктелімдері беріледі, олардың механикалық және басқа қасиеттері сипатталады, бұл олардың өндірісінің ерекшелігін, сондай-ақ оларды өндіру технологиясын анықтайды.Кәсіпорындарда алкоголь және алкогольсіз өнімдердің әр түрлі түрлерін өндірудің технологиялық схемалары келтірілген, оны оңтайлы ұйымдастыру бойынша ұсыныстар берілген.Оқу құралы курстық және дипломдық жобаларды орындау кезінде, диплом алдындағы практикадан өту кезінде оқу процесіне әдістемелік көмек көрсете алады, сонымен қатар ұқсас, техникалық және байланысты мамандықтардың студенттеріне, оқытушыларға, тағамдық технологиялық қолданатын кәсіпорындар, ұйымдар мен мекемелердің мамандарына пайдалы болуы мүмкін.Алкоголь және алкогольсіз өнеркәсіп қызметкерлеріне және тиісті білім беру бағытындағы колледж оқушыларына ұсынылуы мүмкін.</t>
  </si>
  <si>
    <t>00011087</t>
  </si>
  <si>
    <t>Қант және ұн кондитерлік өндірісі үшін шағын кәсіпорындар</t>
  </si>
  <si>
    <t>Осы оқу құралы кондитерлік өнімдердің анықтамалары мен жіктелімдері беріледі, олардың механикалық, реологиялық және басқа қасиеттері сипатталады, бұл олардың өндірісінің ерекшелігін, сондай-ақ оларды өндіру технологиясын анықтайды.Шағын кәсіпорындарда қант пен ұннан жасалған кондитерлік өнімдердің әр түрлі түрлерін өндірудің технологиялық схемалары келтірілген, оны оңтайлы ұйымдастыру бойынша ұсыныстар берілген.Шағын кәсіпорындарда қолдануға болатын нарықтағы қажетті технологиялық жабдықтар сипатталған.Оқу құралы жоғары оқу орындарының тағамдық технологиялық мамандықтарының студенттеріне арналған.Кондитерлік өнеркәсіп қызметкерлеріне және тиісті білім беру бағытындағы колледж оқушыларына ұсынылуы мүмкін.</t>
  </si>
  <si>
    <t>00011088</t>
  </si>
  <si>
    <t>Ауелгазина Т.К.</t>
  </si>
  <si>
    <t>Жеке тұлғаның саяси әлеуметтенуінің өзекті мәселелері</t>
  </si>
  <si>
    <t>Оқулық саясаттану ғылымының күрделі проблемасы – жеке тұлғаның саяси әлеуметтенуінің өзекті мәселелерін жан-жақты зерттеуге арналған. Бұл еңбекте жеке тұлғаның саяси әлеуметтенуінің идеялық-теориялық негізіне, жеке тұлғаның саяси әлеуметтенуінің мәніне, кезеңдері мен құрылымына, Қазақстан Республикасындағы жеке тұлғаның саяси әлеуметтенуінің даму деңгейі мен ерекшелігіне кешенді талдау жасалынған.Бұл оқулық студенттерге, магистрлерге, докторанттарға, ізденушілер мен оқытушыларға, сонымен қатар саяси әлеуметтену мәселесіне қызығушылық танытатын көпшілік оқырман қауымға арналған.</t>
  </si>
  <si>
    <t>00011089</t>
  </si>
  <si>
    <t>Саяси билік: теория және тәжірибе</t>
  </si>
  <si>
    <t>Оқу құралы Қазақстан Республикасының Мемлекеттік Жалпыға міндетті білім беру стандартына сәйкес дайындалған. Оқу құралы саясаттану ғылымының күрделі мәселесі – билік феноменін жан-жақты зерттеуге арналған. Бұл басылымда билік пен басқару қатынастарына, оның негізгі ұғымдары мен әдістер жүйесіне, Қазақстан Республикасындағы билік түрлері мен оның жүзеге асырылу ерекшеліктеріне теориялық талдау жасалынған. Бұл оқу құралы студенттерге, магистрлерге, ізденушілер мен оқытушыларға, сонымен қатар билік мәселесіне қызығушылық танытатын көпшілік оқырман қауымға арналған.</t>
  </si>
  <si>
    <t>0001109</t>
  </si>
  <si>
    <t>Баймиров М. Е.</t>
  </si>
  <si>
    <t>Комбинированные автономные возобновляемые энергосистемы</t>
  </si>
  <si>
    <t>Учебное пособие сборн.зад.</t>
  </si>
  <si>
    <t>00011090</t>
  </si>
  <si>
    <t>Қасенов С. / Касенов С.К.</t>
  </si>
  <si>
    <t>Жалпы жертану</t>
  </si>
  <si>
    <t>Жалпы жертану – педагогикалық жоғарғы оқу орындарында география білім беру бағдарламасы бойынша білім алатын студенттердің жеке оқу жоспары бойынша оқитын негізгі базалық оқу пәндерінің бірі болып табылады.Курстың мақсаты – болашақ жас мамандардың кәсіби құзыреттіліктерін қалыптастыру мақсатында, Жер шары табиғатына тән басты заңдылықтар мен олардың өз ара байланысын, физикалық география саласындағы заманауи ғылыми-теориялық және практикалық білімді меңгерту болып табылады.</t>
  </si>
  <si>
    <t>00011091</t>
  </si>
  <si>
    <t>Жуманов К.Т.</t>
  </si>
  <si>
    <t>Агрономиялық микробиология</t>
  </si>
  <si>
    <t>Оқу құралы «Агрономия», «Өсімдік қорғау және карантин», «Топырақтану және агрохимия», «Жеміс-көкөніс шаруашылығы» мамандығы бойынша білім алып жатқан білімгерлерге арналған. Оқу құралында микроорганизмдердің классификациясы, морфологиясы, физиологиясы, оларға сыртқы орта факторларының әсері, экологиясы, микроорганизмдердің табиғаттағы заттар айналымына (көміртегі, азот, фосфор, күкірт, темір) қатынасуы және оның өсімдер үшін маңызы, топырақ микробиологиясы және оған әсер етуші факторлар, эпифитті және ризосфералық микроорганизмдер, биологиялық тыңайтқыштар, өсімдіктердің инфекциялық аурулары мен қоздырушылары туралы түсінікті тілмен баяндалған.</t>
  </si>
  <si>
    <t>00011092</t>
  </si>
  <si>
    <t>Маемерова А.Р., Жиембаева Г.Т.</t>
  </si>
  <si>
    <t>Қазіргі түрік тілінің лексикологиясы</t>
  </si>
  <si>
    <t>Язык турецкий</t>
  </si>
  <si>
    <t>Оқу құралында қазіргі түрік тілінің лексикология саласында оқытылатын түрік тілінің сөздік құрамы мен негізгі сөздік қоры, семасиология, лексикография бөлімдері қарастырылады. Аталған оқу құралы дәріс мәтіндерінен, глоссарий, терминдер, пән бойынша тест тапсырмаларынан, қорытынды бақылау сұрақтарынан, пайдаланылған әдебиеттер тізімінен тұрады. Оқу құралы «Шетел филологиясы: түрік тілі» және «Түркітану» оқу бағдарламалары бойынша маманданатын студенттерге, магистранттарға және түрік тілінің лексикологиясына қызығушылық танытқан оқырмандарға арналады.</t>
  </si>
  <si>
    <t>00011094</t>
  </si>
  <si>
    <t>Елфимов В.И., Мясоедов Е.М., Бабкина С.С.</t>
  </si>
  <si>
    <t>Краткий курс химии с примерами решения задач и заданиями для самостоятельной работы.Издание второе исправленное и дополненное</t>
  </si>
  <si>
    <t>В учебном пособии в краткой форме изложены теоретические основы химии, включающие стехиометрические расчеты, строение атома и Периодический закон, химическую связь и строение молекул, химическую термодинамику, кинетику, равновесие, растворы, окислительно-восстановительные процессы, основы электрохимии, начала органической химии и понятие о высокомолекулярных соединениях. В каждом разделе приведены примеры задач с подробными решениями и контрольные задания для самостоятельной работы с ответами на количественные расчеты. Предназначено для студентов инженерно-технических направлений вузов. Ключевые слова:основы химии; стехиометрические расчеты; строение атома; Периодический закон; химическая связь; строение молекул; химическая термодинамика; химическая кинетика; водные растворы; окислительно-восстановительные реакции; электрохимия; примеры решения задач.</t>
  </si>
  <si>
    <t>00011095</t>
  </si>
  <si>
    <t>Леньков Ю. А., Барукин А. С.</t>
  </si>
  <si>
    <t>Автоматика электроэнергетических систем</t>
  </si>
  <si>
    <t>В учебном пособии рассмотрены принципы действия устройств АПВ, АВР, АЧР, противоаварийной автоматики и устройств автоматического регулирования возбуждения и частоты вращения синхронных генераторов и включения их на параллельную работу применяемых на электрических станциях и подстанциях. Учебное пособие предназначено для студентов электроэнергетических специальностей и может быть использовано специалистами в области электроэнергетики.</t>
  </si>
  <si>
    <t>00011096</t>
  </si>
  <si>
    <t>Ошанов Н.З., Алланиязов Т.К.</t>
  </si>
  <si>
    <t>Қазақстанның әскери ісі: тарих және тағылым</t>
  </si>
  <si>
    <t>История, военная кафедра</t>
  </si>
  <si>
    <t>Бұл монографияда Қазақстанның әскери ісінің дамуы, рулық қоғам, көшпенділердің мемлекеттік құрылымының ерекшелігі, қару - жарақтың алыс және жақын шайқастарда қолданылатын түрлері, әскери арбаны пайдалану, жылқы шаруашылығы және аңшылық номадизмнің негізі көрсетілген. Сонымен қатар, жауынгерлердің жекпе-жек шайқастарына дайындығы, батырлар мен билердің атқарған міндеті, алаш әскері және қазіргі Қазақстан Республикасының қарулы күштері жайлы тың дүниелер жазылған. Монография тарихшыларға студенттерге, магистранттарға, докторанттарға арналған.</t>
  </si>
  <si>
    <t>00011097</t>
  </si>
  <si>
    <t>Джакубакынов.Б.Б., Ауесбаев.М.С., Төлегенұлы. Н.</t>
  </si>
  <si>
    <t>Әскери оқыту мен тәрбиелеудің идеологиялық, педагогикалық-психологиялық негіздері</t>
  </si>
  <si>
    <t>Военная кафедра</t>
  </si>
  <si>
    <t>Оқу-әдістемелік құралдың басты мақсаты – бейбіт заманда болашақ әскери қызметшілерді дайындау тәжірибесінің педагогикалық, психологиялық мазмұнын ашып, оқу-тәрбие жұмысының ұйымдастырылуы мен әдістемесін қарастыру. Оқу-әдістемелік құрал «Бастапқы әскери дайындық», «Әскери іс пен қауіпсіздік» білім бағыттары (мамандықтары) бойынша жоғары кәсіби білім беретін оқу орындарында білімгерлерге құзіреттілік талаптарына сәйкес тәлім-тәрбие беру үшін әзірленген және құрастырылған. «Әскери педагогика және психология» пәнін оқытуда толықтырушы және көмекші құрал болып табылады.Оқу-әдістемелік құралда баяндалған материалдар әскери кафедралардың тыңдаушыларын, әскери-техникалық мектептер мен әскери оқу орындарының курсанттарын даярлау үшін, сондай-ақ командирлік даярлық жүйесінде пайдаланылуы мүмкін.</t>
  </si>
  <si>
    <t>00011098</t>
  </si>
  <si>
    <t>Нәби Л. (Навий Л.), Сулейменова З.Е</t>
  </si>
  <si>
    <t>ЖОО-да студенттердің этнопедагогикалық құзыреттілігін қалыптастыру</t>
  </si>
  <si>
    <t>Монографияда этнопедагогика пәнін оқыту арқылы болашақ мұғалімдерді ұлттық тәрбие беруге даярлаудың теориялық және әдістемелік негіздері ұсынылды</t>
  </si>
  <si>
    <t>00011099</t>
  </si>
  <si>
    <t>Бурнашева В.Р.</t>
  </si>
  <si>
    <t>Фискальное регулирование экономики в Казахстане</t>
  </si>
  <si>
    <t>В монографии подробно исследован механизм фискального регулирования экономики, приведена аналитическая оценка процессов фискального регулирования, предложены тенденции оптимизации на основе разработанной модели социально ориентированного фискального регулирования экономики Казахстана. Монография имеет практическую значимость, результаты подтверждены авторским свидетельством и актом применения научных исследований, может быть использована студентами и магистрантами по направлению подготовки кадров «Бизнес и управление», преподавателями и работниками фискальных органов в рамках их профессиональной деятельности</t>
  </si>
  <si>
    <t>0001110</t>
  </si>
  <si>
    <t>Мәшина бөлшектері және мәшине құрылымын құру негіздері пәнінен лекция курсы</t>
  </si>
  <si>
    <t>00011100</t>
  </si>
  <si>
    <t>Турханова А.Ж.</t>
  </si>
  <si>
    <t>Қазақстан Республикасының саяси рәміздері</t>
  </si>
  <si>
    <t>Политология, международные отношения</t>
  </si>
  <si>
    <t>Монография саяси және басқа гуманитарлық салаларда зерттеу жұмысты қамтитын зерттеушілерге арналған. «Халықаралық қатынастар», «Саясаттану» мамандықтарда оқитын білім алушыларға, сонымен бірге мадениеттанушыларға, түріктанушыларға, әлеуметтанушыларға да т.б. қызықты болады. Монография өзекті мәселені қозғайды, өйткені саяси рәміздер саяси білім сферасының аз зерттелген саласы болып табылады. Монографияның мазмұнында автор назарын тек Қазақстанның қазіргі саяси рәміздерді ғана зерттеуге емес, саяси рәміздердің генезисі мен саяси рәміздердің тарихы, оның сыныптамасын анықтайтын сұрақтармен қатар, саяси рәміздер саласындағы терминологиялық сөздікпен толықтырылған.</t>
  </si>
  <si>
    <t>00011101</t>
  </si>
  <si>
    <t>978-601-13-0018-6</t>
  </si>
  <si>
    <t>Мырзаханова М.Н.</t>
  </si>
  <si>
    <t>Судебная экспертиза</t>
  </si>
  <si>
    <t>Учебное пособие написана в области теории и практики судебной экспертизы. Рассматриваются общие (процессуальные, тактические, психологические) и специальные (классы, виды, роды) вопросы судебной экспертизы. Раскрыты понятие и формы специальных знаний. Личность судебного эксперта, виды экспертной деятельности, взаимоотношение эксперта и юриста, структура заключения эксперта и его оценка, подробно освещаются правовые акты регулирующие проблемы судебной экспертизы. В работе даются практические рекомендации, предлагаются формулировки вопросов по конкретным видам судебных экспертиз. Для студентов, магистрантов и преподавателей высших учебных заведений.</t>
  </si>
  <si>
    <t>00011102</t>
  </si>
  <si>
    <t>978-601-330-322-2</t>
  </si>
  <si>
    <t>Сот сараптамасы</t>
  </si>
  <si>
    <t>Сот сараптамасының теориясы мен практикасы саласында жазылған оқу құралы. Сот сараптамасының жалпы (процессуалдық, тактикалық, психологиялық) және арнайы (сыныптары, түрлері, тектері) мәселелері қарастырылады. Арнайы білімнің түсінігі мен формалары ашылады. Сот сарапшысының жеке басы, сараптама қызметінің түрлері, сарапшы мен заңгердің өзара қарым-қатынасы, сарапшы қорытындысының құрылымы мен оны бағалау, сот сараптамасының мәселелерін реттейтін құқықтық актілер жан-жақты қамтылған. Жұмыста практикалық ұсыныстар берілген, сот сараптамасының нақты түрлері бойынша сұрақтардың тұжырымы ұсынылған. Жоғары оқу орындарының студенттеріне, магистранттарына және оқытушыларына арналған.</t>
  </si>
  <si>
    <t>00011103</t>
  </si>
  <si>
    <t>Баялы Ә.Т.</t>
  </si>
  <si>
    <t>Компьютерлік жүйелерді ұйымдастыру және архитектурасы</t>
  </si>
  <si>
    <t>«Компьютерлік жүйелерді ұйымдастыру және архитектурасы» оқу құралында дербес компьютерлер мен серверлердің түрлері және сәулеті топтастырылған; компьютерлер мен серверлердің құрылғылары, негізгі блоктар, функциялары мен техникалық сипаттамалары; перифериялық құрылғылардың түрлері мен мәні, қосу интерфейсі мен пайдалану ережелері; операциялық жүйенің негізгі компоненттері мен шеткері жабдықтардың драйверлерін орнату және баптау принциптері; аппараттық қамтамасыз етуді жетілдіру әдістемесі; дербес компьютермен, шеткері жабдықтармен және компьютерлік ұйымдастыру техникаларымен жұмыс істеу кезінде орнату әдістері ұсынылған.</t>
  </si>
  <si>
    <t>00011104</t>
  </si>
  <si>
    <t>Ащеулова Н.А., Маукенова А.А., Гуляева С.П., Отарбаева А.Б.</t>
  </si>
  <si>
    <t>Экономическая теория</t>
  </si>
  <si>
    <t>Предлагаемое учебное пособие способствует формированию у студентов экономического мышления на основе глубокого понимания явлений и процессов в экономической системе общества, более эффективному усвоению основных разделов курса «Экономическая теория». В данном учебном пособии излагаются основы экономической теории, представлено последовательное и структурированное изложение курса.Предназначено для студентов экономических специальностей</t>
  </si>
  <si>
    <t>00011106</t>
  </si>
  <si>
    <t>Тарасовская Н.Е., Гаврилова Т.В., Тулиндинова Г.К., Клименко М.Ю</t>
  </si>
  <si>
    <t>Прикладное изучение культурных растений в курсе общей биологии</t>
  </si>
  <si>
    <t>Биология, аграномия</t>
  </si>
  <si>
    <t>Учебно-методическое пособие задумано как углубленное приложение к основному курсу генетики и эволюционного учения по разделам, которые являются междисциплинарными темами общей биологии (доместикация и одичание, искусственный отбор, направления и достижения современной селекции). Подробные сведения о культурных растениях региона и мира расширят кругозор студентов и сформируют прикладное мышление, необходимое для рационального природопользования.Цветные фото-экскурсии, посвященные культурным растениям, гибридным и одичавшим формам, позволят получить наглядное представление о соотношении естественного и искусственного отбора в формировании растений, близко сосуществующим с человеком. При этом упор делается на изучение местных культурных растений и эргазиофитов, чтобы будущие специалисты биономических и сельскохозяйственных профессий имели представление об окультуренной и дикой флоре северо-казахстанского региона. Задания для самостоятельной работы, конкурсы и тематические викторины служат для закрепления и самоконтроля полученных знаний.Книга предназначена для учителей, учащихся, студентов и преподавателей биологических и аграрных специальностей, а также для широкого круга читателей, кому небезразлична природа региона</t>
  </si>
  <si>
    <t>00011107</t>
  </si>
  <si>
    <t>Темирова А.Б., Нурмухаметов Н.Н., Мухамбетова З.С., Кунафина Г.Т.</t>
  </si>
  <si>
    <t>Кәсіпкерлік</t>
  </si>
  <si>
    <t>Аталмыш оқулықта қазіргі кәсіпкерлік қызмет пен кәсіпорын экономикасының қызметі кешенді түрде қарастырылған. Кәсіпкерлік қызметтің әртүрлі белгілері бойынша жіктелуі, түрлері, ұйымдық-құқықтық формаларына назар аударылады. Мұнда кәсіпкермен атқарылатын функциялар: нарықты кешенді зерттеу, пайдаға әсер ететін факторларды анықтауды, экономикалық ресурстарды рационалды пайдалану жолдарын анықтау, кәсіпорын қызметін тиімді ұйымдастыру, бизнес жоспарлау және талдау, кәсіпкерлікті қаржыландыру көздері мен инновацияны енгізу, шығын көлемін төмендету жолдары қарастырылған. Оқулық курстың жұмыс оқу бағдарламасына сәйкес тақырыптардан, материалдар мен өзін-өзі тексеру сұрақтарынан тұрады.Оқулық экономикалық емес мамандықта оқитын студенттер мен практикалық жұмысшыларға, кәсіпкерлер мен бизнесмендерге және экономикаға қызығушылық білдіретін жалпы оқырман қауымға арналған.</t>
  </si>
  <si>
    <t>00011108</t>
  </si>
  <si>
    <t>Shulenbayeva F., Temirova A. / Темирова А</t>
  </si>
  <si>
    <t>Agrarian Marketing</t>
  </si>
  <si>
    <t>The essence, features, basic concepts, principles and functions of agrarian marketing has been examined in this study guide. The mechanisms of its interaction in the market, the terms and methods of marketing research are presented, the objective necessity of using marketing in the economy of agricultural production is grounded. The theoretical part is presented in three chapters, each topic of which ends with control questions to consolidate students' knowledge. The fourth chapter presents marketing tools for grain production in Kazakhstan. The fifth chapter sets out the basic methods of state regulation of the agricultural sector in the midst of transition to a market economy. A particular attention is paid to practical tasks on marketing in the production of the agricultural sector, the use of the situation analysis method to study specific situations in the agricultural sector, test tasks have been introduced to control knowledge. This book is intended for teachers and students of higher educational institutions, technical and vocational education, studying by the specialty 050600 «Economics». В данном учебном пособии рассмотрены сущность, особенности, основные понятия, принципы и функции аграрного маркетинга. Представлены механизмы его взаимодействия на рынке, термины и методы маркетинговых исследований, обоснована объективная необходимость использования маркетинга в экономике сельскохозяйственного производства. Теоретическая часть представлена ​​тремя главами, каждая тема которых завершается контрольными вопросами для закрепления знаний учащихся. В четвертой главе представлены маркетинговые инструменты для производства зерна в Казахстане. В пятой главе изложены основные методы государственного регулирования аграрного сектора в условиях перехода к рыночной экономике. Особое внимание уделено практическим заданиям по маркетингу в производстве агропромышленного комплекса, использованию метода ситуационного анализа для изучения конкретных ситуаций в агропромышленном комплексе, для контроля знаний введены тестовые задания. Книга предназначена для преподавателей и студентов высших учебных заведений технического и профессионального образования, обучающихся по специальности 050600 «Экономика».</t>
  </si>
  <si>
    <t>00011109</t>
  </si>
  <si>
    <t>Жабалова Г.Г., Онищенко О.Н., Камарова С.Н., Леликова О.Н.</t>
  </si>
  <si>
    <t>Нагрев и нагревательные устройства</t>
  </si>
  <si>
    <t>В конспекта лекций, рассмотрены основные положения тепловой работы печей и их классификация. Приведены конструкции и описание работы топливных печей черной и цветной металлургии, машиностроительной промышленности. Освещены вопросы режимов нагрева. Рассмотрены электрические виды нагрева металла и нагрев в электрических печах. Особое внимание уделено расчету параметров нагрева. Рассмотрены также вопросы утилизации тепла отходящих дымовых газов.
 Конспект лекций представляет теоретический и практический интерес для студентов высших учебных заведений и учащихся колледжей, содержит полезные материалы, иллюстрации, таблицы. 
 .</t>
  </si>
  <si>
    <t>0001111</t>
  </si>
  <si>
    <t>Баймиров М.Е.</t>
  </si>
  <si>
    <t>Расчетно-проектировочные работы по сопротивлению материалов</t>
  </si>
  <si>
    <t>00011111</t>
  </si>
  <si>
    <t>Аралбекова М.А.</t>
  </si>
  <si>
    <t>Геология және гидрогеология</t>
  </si>
  <si>
    <t>Оқулық "Гидрогеология" оқу пәні бойынша профилі геологиялық емес университеттер мен өзге де жоғары оқу орындары үшін автордың өзі дайындап, атаулы оқу курсының типтік бағдарламасына сәйкес құрастырылған. Ол гидрогеология пәні негізгі оқу пәндерінің бірі болып табылатын жоғары оқу орындарының, олардың ішінде гидрология бағытындағы мамандар, мұғалімдер мен студенттеріне арналған. Гидрогеология ғылымы геологияның бір саласы болғандықтан оқулықта геологияның негізгі түсініктері мен қағидаларын, Жер планетасының құрылысы мен эволюциясы, құрамы және оның геологиялық даму заңдылықтары мен мобилизм теориясы, геологиялық уақыт шкаласы, ашып көрсете отырып жерасты суларының біздің өмірімізде алатын маңызы, халық шаруашылығының көптеген салаларындағы пайдасы, ғылым ретінде гидрогеологияның теориялық (жер гидросферасының қалыптасуымен байланысты) және тәжірибелік (оның қағидаларының адам еңбегінің алуан түрлі саласында қолданылуындағы) мәні жайлы оқырмандарға терең де жүйелі білім беру мақсатын көздейді.Оқулықта қабылданған терминология сақталып, терминдердің, түсініктердің қазақ тіліндегі тиісті баламалары берілген.</t>
  </si>
  <si>
    <t>00011112</t>
  </si>
  <si>
    <t>Тұрсынбаев Ж.Қ, Жанкабаева Ж.К, Казагачев В.Н.</t>
  </si>
  <si>
    <t>Образовательная робототехника на Qbit</t>
  </si>
  <si>
    <t>Робототехника</t>
  </si>
  <si>
    <t>Пособие предназначено для изучения робототехники на основе микроконтроллера Qbit, повышение самостоятельности в ходе учебно-познавательной деятельности, стимулирование мотивов учения и самообразования.Оказать помощь студенту (будущему учителю) или начинающему учителю в освоении данной предметной области. Работа с учебным пособием будет способствовать поддержке профессионального самообразования и личностного роста студентов Учебное пособие предназначено для школьников, студентов педвуза (будущих учителей).</t>
  </si>
  <si>
    <t>00011113</t>
  </si>
  <si>
    <t>Бегім А.Б.</t>
  </si>
  <si>
    <t>Қазақстан Республикасының әскери қауіпсіздігі</t>
  </si>
  <si>
    <t>Оқу құралында Қазақстан Республикасының әскери қауіпсіздігі қызметінің мәні мен мазмұны қарастырылған, Тәуелсіздік алғаннан бүгінгі күнге дейін мемлекеттік саясат негізгі бағыттарын талдайды және қамтамасыз етеді. Қазақстанның әскери доктринасы талаптардың іс жүзінде орындалуын практикалық талдауға көп көңіл бөлінеді, өйткені бес доктринаның әрқайсысы қабылданған мемлекетіміздің дамуының белгілі бір кезеңінде шұғыл шешу әскери қауіпсіздік саласындағы проблемалар. Оқу құралы «6В03120-Саясаттану» білім беру бағдарламасы бойынша білім алушыларға арналған.</t>
  </si>
  <si>
    <t>00011115</t>
  </si>
  <si>
    <t>Талипова М.Ж., Дүйсеғалиева Ә.Д., Урдабаева Г.Ж.</t>
  </si>
  <si>
    <t>Мәліметтер қорын интернетте жариялау</t>
  </si>
  <si>
    <t>Ұсынылып отырған оқу құралы жоғары оқу орындарында ақпараттық-коммуникациялық технологиялар бағытындағы 6В06102-Ақпараттық жүйелер, 6В06103-Есептеу техникасы және бағдарламалық қамтамасыз ету білім бағдарламаларының білім алушыларына арналған. Оқу құралында теориялық материалдар, практикалық және зертханалық жұмыстар, бақылау сұрақтары, тест тапсырмалары берілген. Бақылау сұрақтары мен тест тапсырмалары материалдарды дұрыс қабылдауға жəне студенттердің білімін бекітуге мүмкіндік береді. Осы оқу құралы РНР тілін меңгеруге, MySQL мәліметтер қорын басқару жүйесінде мәліметтер қорымен жұмыс жасауға арналған негізгі операторлардың қызметін білуге септігін тигізеді деген сенімдеміз.</t>
  </si>
  <si>
    <t>00011116</t>
  </si>
  <si>
    <t>Исмаилов Х.Б.</t>
  </si>
  <si>
    <t>Деректер қорын басқару жүйесі</t>
  </si>
  <si>
    <t>Математика и компьютнрное моделирование</t>
  </si>
  <si>
    <t>«Деректер қорын басқару жүйесі» атты оқу құралында деректер қоры саласының заманауи жағдайы, теориялық негіздері, олардың негізгі объекттерінің сипаттамалары келтірілген. Деректер қорын басқару жүйесінің архитектурасы, негізгі компоненттері баяндалған. Деректерге қойылатын сұраныстарды құруға арналған SQL тілінің негіздері, деректер қорының өмірлік циклі және жобалау кезеңдері келтірілген. Деректер модельдерінің топтары, оларды өңдеу теориялары туралы мағлұматтар берілген. Соңғы тарауларда деректер қорын басқарудың заманауи проблемалары және даму перспективалары баяндалған. Сонымен бірге, деректер қорын жобалау, құру, және басқаруға арналған практикалық мысалдар келтірілген. Оқу құралы жоғары оқу орындарының 6В06120 - «Ақпараттық жүйелер» және 6В06140 - «Математикалық және компьютерлік модельдеу» білім беру бағдарламаларының білім алушылары және пән оқытушыларына арналған.</t>
  </si>
  <si>
    <t>00011117</t>
  </si>
  <si>
    <t>Есимова А.М.</t>
  </si>
  <si>
    <t>Ақуыз дәрумен концентратының микробиологиялық синтез өндірісі</t>
  </si>
  <si>
    <t>6В05120-«Биотехнология» Білім беру бағдарламасы бойынша студенттеріне арналған «Микроорганизмдер биотехнологиясының қолданбалы аспектілері» пәнінен «Ақуыз дәрумен концентратының микробиологиялық синтез өндірісі» атты оқулық бойынша ақуыз заттарды, витамин концентратын алу өндірісінің негізгі процестері қарастырылған. Қазақстан Республикасының мемлекеттік жалпы білім беру стандартына сәйкес бағдарламасын қамтиды.</t>
  </si>
  <si>
    <t>00011118</t>
  </si>
  <si>
    <t>Антибиотиктерді алу технологиясы</t>
  </si>
  <si>
    <t>Оқулық жоғарғы оқу орындарының студенттері мен магистранттарына, биотехнолог мамандарына арналған.
 Оқулықта антибиотиктер алу технологиясының технологиялық процестері қарастырылған.</t>
  </si>
  <si>
    <t>00011119</t>
  </si>
  <si>
    <t>978-601-330-314-7</t>
  </si>
  <si>
    <t>Воробьев А.Е., Ходжаев Р.Р., Воробьев К.А., Аманжолов Ж.К.</t>
  </si>
  <si>
    <t>Техносфералық қауіпсіздік: жер геосфераларындағы аномалды құбылыстарды басқару 1 бөлім</t>
  </si>
  <si>
    <t>Оқулық екі томнан тұрады, онда 680 бет машинкамен басылған мәтін, 222 сурет, 30 кесте және 324 дереккөзден алынған әдебиеттер тізімі бар. «Тіршілік қауіпсіздігі» курсы – бұл жеке тұлғаның кәсіби қызметте алған білім, білік және дағдылар жиынтығын кәсіби қызметте пайдалануға дайындығы мен қабілеттілігі ретінде түсінілетін, қауіпсіздіктің кәсіби мәдениетін қалыптастыруға бағытталған ғылыми-практикалық пән, кәсіби қызмет саласындағы қауіпсіздік мәселелері басымдық ретінде қарастырылатын ойлау сипаты мен құндылық бағдарлары.Зерттеудің негізгі объектілері табиғи, техногендік, биологиялық және әлеуметтік апаттар мен аномальды құбылыстардың пайда болу процестері мен барысы, оларды болжау және алдын алу әдістері болып табылады.Әңгіме дауыл, цунами, сел және қар көшкіндері, жер сілкінісі, газ-динамикалық құбылыстар мен жерасты шахталарындағы жарылыстар және тағы басқа құбылыстар туралы болып отыр.Бұл оқулықта жоғарыда аталған құбылыстардың барлық мүмкін себептері мен сценарийлері дерлік берілген. Сонымен қатар, қауіпті және төтенше жағдайларды ертерек болжау, оларды алдын алудың барлық белгілі тәсілдері мен әдістері келтірілген.Табиғи және техногендік апаттар мен апаттарды болжау құралдары мен тәсілдері, алдын алу әдістері адамға осы құбылыстардың барлығының табиғатын зерттегенде, оқиғалардың мән-жайын терең жан-жақты талдау кезінде ғана қолжетімді болады.Мұндай жағдайлардың пайда болуы мен дамуын болдырмау үшін қазіргі әлем сияқты күрделі динамикалық жүйеде, бұл құбылыстарды болжау және алдын алу мәселелеріне кешенді көзқарас қажет. Жергілікті мәселелерді шешумен шектелуге ұмтылу жалпы адамзаттың жұмыс істеу қауіпсіздігін сипаттайтын басқа да маңызды параметрлер тұрғысындағы жүйеде әртүрлі асқынуларға әкелуі мүмкін.Олай болса, оқу құралының басты мақсаты – жас ғалымдарды апаттар мен құбылыстардың түпкі себептерін зерттеудің өзекті мәселелерімен, жағдайларды дамытудың ықтимал нұсқаларымен, ғылыми негізделген олардың алдын алу құралдары, тәсілдер мен әдістерді әзірлеумен баурап, қызығушылықтарын арттыруға тырысу.</t>
  </si>
  <si>
    <t>00012179</t>
  </si>
  <si>
    <t>978-601-330-174-7</t>
  </si>
  <si>
    <t xml:space="preserve">Техносфералық қауіпсіздік: жер геосфераларындағы аномалды құбылыстарды басқару 2 бөлім </t>
  </si>
  <si>
    <t>00012180</t>
  </si>
  <si>
    <t>978-601-330-924-8</t>
  </si>
  <si>
    <t xml:space="preserve">Техносфералық қауіпсіздік: жер геосфераларындағы аномалды құбылыстарды басқару 3 бөлім </t>
  </si>
  <si>
    <t>0001112</t>
  </si>
  <si>
    <t>Сертификация видов обслуживания и продукции на основе стандартизации и метрологии</t>
  </si>
  <si>
    <t>00011121</t>
  </si>
  <si>
    <t>Дильман Т.Б., Дильманова А.Т.</t>
  </si>
  <si>
    <t>Методы оптимизации 1 том</t>
  </si>
  <si>
    <t>Эта книга для студентов и магистрантов посвящена изучению минимизации функции одной и многих переменных, задач линейного и нелинейного про-граммирования различными методами.</t>
  </si>
  <si>
    <t>00011122</t>
  </si>
  <si>
    <t>Методы оптимизации 2 том</t>
  </si>
  <si>
    <t>00011123</t>
  </si>
  <si>
    <t>Численные методы 1 том</t>
  </si>
  <si>
    <t>Вычислительная техика, программное обеспечение</t>
  </si>
  <si>
    <t>Эта книга для студентов и магистрантов посвящена изучению минимиза-ции функции одной и многих переменных, задач линейного и нелинейного про-граммирования различными методами.</t>
  </si>
  <si>
    <t>00011124</t>
  </si>
  <si>
    <t>Численные методы 2 том</t>
  </si>
  <si>
    <t>00011125</t>
  </si>
  <si>
    <t>Мирза Н.В., Маженова Р.Б., Каратаева И.П.</t>
  </si>
  <si>
    <t>Мектепке дейінгі балалардың қарапайым математикалық түсініктерін қалыптастыру 1 бөлім</t>
  </si>
  <si>
    <t>Оқу құралында мектепке дейінгі балалардың қарапайым математикалық түсініктерін қалыптастыру әдістемесі қарастырылған. Мектепке дейінгі балалардың қарапайым математикалық түсініктерін қалыптастыру курсының мақсаты мектеп жасына дейінгі балалардың қарапайым математикалық түсініктерін қалыптастырудың әдістемесін, барлық жас ерекшеліктерін есепке ала отырып, студенттер терең меңгеруін қамтамасыз ету; студенттерді мектепке дейінгі жас ерекшелік топтарындағы балалармен жұмысты ұйымдастыру біліктілігімен, іскерлігімен және дағдыларымен қаруландыру.Oқу құpалы бiлiм беpу бағытындағы мамандаpға, педагoгика мамандығы бoйынша бiлiм алатын cтуденттеpге, магиcтpанттаp мен дoктopанттаpға, мектепке дейінгі ұйымдаpдың тәрбиешілері мен әдicкеpлеpлеріне apнaлғaн.</t>
  </si>
  <si>
    <t>00011126</t>
  </si>
  <si>
    <t>Мектепке дейінгі балалардың қарапайым математикалық түсініктерін қалыптастыру 2 бөлім</t>
  </si>
  <si>
    <t>00011127</t>
  </si>
  <si>
    <t>Острецова И.Б., Исаенко О.П.</t>
  </si>
  <si>
    <t>Социальная экология</t>
  </si>
  <si>
    <t>В учебном пособии освещаются основные этапы становления и развития социальной экологии как науки. Обсуждаются принципы и законы данной дисциплины. Отдельные главы посвящены вопросам экологического образования, а также проблемам современной экологии. Учебное пособие включает теоретические вопросы курса, контрольные и тестовые вопросы для подготовки к экзамену, глоссарий и рекомендуемую литературу.Предназначено для студентов, магистрантов, докторантов обучающихся по направлению подготовки «Окружающая среда», а также для широкого круга читателей, интересующихся данной проблематикой</t>
  </si>
  <si>
    <t>00011128</t>
  </si>
  <si>
    <t>Острецова И.Б., Тазитдинова Р.М.</t>
  </si>
  <si>
    <t>Экология микроорганизмов</t>
  </si>
  <si>
    <t>Данное пособие содержит все необходимые материалы, определяющие цели, содержание и технологию изучения дисциплины «Экология микроорганизмов». Курс «Экология микроорганизмов» является следующим логическим этапом изучения после курса общей экологии. Это одно из направлений современной микробиологии и экологии о роли микроорганизмов в функционировании микробных сообществ, возможности использования микроорганизмов для создания экологически благоприятных технологий и восстановления биопродуктивности территорий, загрязненных в процессе хозяйственной деятельности человека. Для студентов экологических специальностей университетов это компонент по выбору. В сфере производства различных продуктов и выращивания растений экологическая микробиология приобретает все большее значение и вес. Данная дисциплина занимает профилирующее место в процессе подготовки будущего специалиста эколога</t>
  </si>
  <si>
    <t>00011129</t>
  </si>
  <si>
    <t>978-601-330-702-2</t>
  </si>
  <si>
    <t>Жұмабеков Ә.Т., Қаныбеков А /Каныбеков А.</t>
  </si>
  <si>
    <t>Трансфузиология</t>
  </si>
  <si>
    <t>Құрастырылып отырған оқу-әдістемелік құрал қан топтары, резус фак-тор, оларды анықтау әдістері, қанның компоненттері мен препараттарын, плазмаалмастырғыштар, қан құю мен қарсы көрсеткіштері, трансфузиядан кейін дамитын асқынулар, алдын алу және емдеу әдістері туралы түсінік-темелер берілген.Сонымен қатар жағдайлық тапсырмалар мен тест сұрақтары, оның жауаптары көрсетілген.Оқу-әдістемелік құрал бакалаврларға, дәрігер-интерндерге және меди-цина колледждерінің студенттеріне арналған</t>
  </si>
  <si>
    <t>0001113</t>
  </si>
  <si>
    <t>Байөміров М.Е. (Баймиров М.Е.), Тимбаев А.Б., Салықбаева Ж.Қ.</t>
  </si>
  <si>
    <t>Стандарттау және метрология негізінде өнімдер мен қызмет түрлерін сертификаттау</t>
  </si>
  <si>
    <t>Оқу құралы, өнімдер мен қызмет түрлерін сертификаттауды және сапа жүйесін құқықтық және ұйымдастыру әдістемелік негізінде түсінікті түрде баяндайды. Оқу құралы жоғары оқу және колледж студенттеріне арналған. Материалды танып білу, сертификаттаудың қазіргі заманғы мәселелері мен әдістері жөнінде таным береді және болашақ маманға арнайы әдебиеттер мен әдістемелік материалдарды еркін пайдалануға мүмкіндік береді</t>
  </si>
  <si>
    <t>00011130</t>
  </si>
  <si>
    <t>Қаныбеков А. /Каныбеков А./, Құрмашев Е.Е., Жораев Т.С</t>
  </si>
  <si>
    <t>Жедел іш ауруларының эндохирургиясы</t>
  </si>
  <si>
    <t>Хирургия, реанимотологи</t>
  </si>
  <si>
    <t>Бұл оқулықта шұғыл хируриялық патология кезіндегі диагностикалық және емдеу тәжірибелері жинақталған. Қазіргі шығарылып отырған ғылми еңбекте авторлар ургенттік хирургиялық патологияларымен түскен науқастарға қолданылған эндохируриялық емнің негіздерін көрсеткен. Пневмоперитонеум кезіндегі жансыз-дандырулық жәрдемінің ерекшеліктері жеке бөлімге бөлінген. Бұл жарияланып отырған оқулықта операцияға керекті жабдықтар, аспаптар және іш қуысының ағзаларының шұғыл түрде емді қажет ететін негізгі емдік–диагностикалық алгоритмдер жарияланған.Оқулық тәулік бойы жедел түрде іш ағзаларының патологияларымен түсетін науқастарға шүғыл түрде медициналық көмек көрсететін хирургтарға, реаниматологтарға және де басқа медицина қызметкерлеріне арналған.</t>
  </si>
  <si>
    <t>00011131</t>
  </si>
  <si>
    <t>978-601-330-334-5</t>
  </si>
  <si>
    <t>Жұмабеков Ә.Т., Қаныбеков А. /Каныбеков А./</t>
  </si>
  <si>
    <t>Жедел медициналық жәрдем</t>
  </si>
  <si>
    <t>Общая медицина, сестринское дело, Хирургия</t>
  </si>
  <si>
    <t>Оқу әдістемелік құрал жедел медициналық іс-шаралардың орындалу ережелері мен алгоритмдері «Хирургия және терапия» пәндеріне байланысты «Жалпы медицина» және «Мейірбике ісі» мамандықтарын игеріп жүрген келешек бакалавриаттардың оқу бағдарламасына сәйкестендірілген. Сонымен бірге, оқулықты орта буынды медицина қызметкерлерінің күнделікті жұмыстарында және шұғыл қызмет көрсету уақытында пайдалануларына болады</t>
  </si>
  <si>
    <t>00011132</t>
  </si>
  <si>
    <t>978-601-330-795-4</t>
  </si>
  <si>
    <t>Қаныбеков А. /Каныбеков А./, Жораев Т.С., Құрмашев Е.Е., Қаныбекова А.А</t>
  </si>
  <si>
    <t>Хирургиялық іріңді жұқпалар және қант диабеті</t>
  </si>
  <si>
    <t>Эндокринология, Хирургия</t>
  </si>
  <si>
    <t>Оқу құралында жара үрдісінің дамуы мен қант диабетіндегі іріңді жараларды емдеу туралы қазіргі көзқарастар, жұмсақ тіндер мен диабеттік аяқтардың іріңді-өліеттенулік үрдістерін диагностикалау мен емдеудің жалпы негіздері көрсетілген. Оқу құралы бакалавриаттарға, іріңді хирургиямен шұғылданып жүрген дәрігерлерге және эндокринологтарға арналған</t>
  </si>
  <si>
    <t>00011133</t>
  </si>
  <si>
    <t>978-601-330-570-7</t>
  </si>
  <si>
    <t>Мирза Н.В.</t>
  </si>
  <si>
    <t>Организация и проведение кружковой работы на педагогических специальностях</t>
  </si>
  <si>
    <t>В пособии описана методика организации и проведения кружковой рабо-ты на педагогических специальностях, предложен материал, раскрывающий содержание представленных в плане работы тем, даны диагностические мето-дики исследования профессиональной деятельности педагогов, а так же пред-ложены тренинги, задания и упражнения, которые способствуют развитию у педагогов коммуникативных умений, навыков и специальных способностей. 
 Методическое пособие можно использовать для проведения кружковой работы на педагогических специальностях, использовать материал при проведении практических занятий со студентами, на курсах переподготовки и повышения квалификации педагогов, а так же для индивидуальной работы.</t>
  </si>
  <si>
    <t>00011134</t>
  </si>
  <si>
    <t>Онищенко О.Н., Камарова С.Н., Жабалова Г.Г., Леликова О.Н.</t>
  </si>
  <si>
    <t>Теплотехнические измерения и приборы контроля</t>
  </si>
  <si>
    <t>курс лекций</t>
  </si>
  <si>
    <t>Курс лекций по дисциплине «Теплотехнические измерения и приборы контроля» содержит краткие теоретические сведения по методам и средствам измерения таких теплотехнических величин как температура, давление, уровень, расход, состав газов.В курсе лекций изложены основные сведения о методах измерения и приборах, предназначенных для контроля основных технологических параметров, используемых при контроле и управлении объектов энергетики и коммунального хозяйства.Курс лекций представляет теоретический и практический интерес для студентов высших учебных заведений и учащихся колледжей, содержит полезные материалы, иллюстрации, таблицы.</t>
  </si>
  <si>
    <t>00011135</t>
  </si>
  <si>
    <t>Орынбасарова К.К., Ибрагимов Т.С., Ибрагимова З.Е.</t>
  </si>
  <si>
    <t>Дәрілік өсімдік шикізатының атласы</t>
  </si>
  <si>
    <t>Фармацевтика</t>
  </si>
  <si>
    <t>Ұсынылып отырған оқулық осы пән бойынша бекітілген білім беру бағдарламасына сәйкес жазылған және медициналық жоғарғы оқу орындарының фармация факультетінің студенттеріне, магистранттарға, медициналық колледж білім алушыларына арналған оқу құралы ретінде ұсынылады. Оқу құралы дәрілік шикізаттың ұсақталу дәрежесін және морфологиялық топтарын ескере отырып, оның микроскопиялық талдау техникасын қамтиды. Жапырақтардың, гүлдердің, шөптердің, жемістердің, тұқымдардың, қабықтардың және жер асты мүшелерінің микроскопиялық сипаттамаларын құру алгоритмдері келтірілген, оларды басшылыққа ала отырып, кез-келген микроскопиялық сипаттаманы жасау оңай бағдарлануға мүмкіндік береді.</t>
  </si>
  <si>
    <t>00011136</t>
  </si>
  <si>
    <t>Орынбасарова К.К., Рахманова Г.С.</t>
  </si>
  <si>
    <t>Табиғи дәрілік қосылыстардың химиясы пәнінің зертханалық сабақтарына арналған қолданба</t>
  </si>
  <si>
    <t>Оқу құралы осы пән бойынша бекітілген білім беру бағдарламасына сәйкес жазылған және «Фармацевттік өндірістің технологиясы» мамандығының студенттеріне оқу үдерісінде қолдануға ұсынылады. Дәрілік өсімдік шикізатын тауарлық талдаудан өткізу барысында, оның шынайылығын және жарамдылығын дәлелдейтін әдістерді меңгереді. Оқу құралында дәрілік өсімдік шикізатының құрамындағы табиғи қосылыстардың барлық негізгі кластары, жіктелуі, физика-химиялық қасиеті, экстрактивті заттарды алу және олардың сандық мөлшерін анықтау жолдары, табиғи көздері, сақтау шаралары көрсетілген. Табиғи дәрілік өсімдік шикізатынан биологиялық белсенді заттарды бөліп алу жолдары қарастырылған.</t>
  </si>
  <si>
    <t>00011137</t>
  </si>
  <si>
    <t>978-601-330-141-9</t>
  </si>
  <si>
    <t>Молдашева Р.Ж.</t>
  </si>
  <si>
    <t>Финансовый менеджмент</t>
  </si>
  <si>
    <t>Финансовый менеджмент — управление финансовыми операциями, денежными потоками, призванное обеспечить привлечение, поступление денежных средств и их рациональное расходование в соответствии с программами, планами, реальными нуждами, а также совокупность приемов, методов и средств, используемых предприятиями для повышения доходности и минимизации риска неплатежеспособности. Основная цель финансового менеджмента — получить наибольшую выгоду от деятельности предприятия в интересах его собственников. Целью изучения дисциплины «Финансовый менеджмент» является получение фундаментальных знаний в сфере управления финансами, овладение основными приемами и методами финансового менеджмента на предприятии. Учебное пособие охватывает основные проблемы управления фи­нансами.Особое внимание уделено соотнесению современной за­падной теории финансового менеджмента. Финансовый менеджмент — одна из наиболее молодых и перспективных финансово-экономических дисциплин. Цель этого учебного пособия — максимально просто и доступно из­ложить основы финансового менеджмента. Следует понимать, что овладеть финансовым менеджментом можно, только исполь­зуя все три основных инструмента, применяемых его создателя­ми, а именно: экономическую теорию, бухгалтерский учет и ма­тематику.</t>
  </si>
  <si>
    <t>00011138</t>
  </si>
  <si>
    <t>978-601-330-142-6</t>
  </si>
  <si>
    <t>Страховое дело</t>
  </si>
  <si>
    <t>Страхование - одна из древнейших экономических категорий, которая существовала в разных экономических формациях, но полнее всего реализуется в условиях рынка. Страхование должно удовлетворять насущную, фундаментальную потребность человека в безопасности, защите от разнообразных рисков. Страхование повышает инвестиционный потенциал государства. Страховой рынок обладает своей спецификой, для него могут быть отмечены закономерности и тенденции развития, которые определяют сущность методов организации и управления данным бизнесом, задают содержание дисциплины “Страховое дело”.Цель преподавания дисциплины – изучение студентами основ теории и практики страхового дела, углубление знаний, приобретенных в процессе изучения дисциплины «Страхование».
 Задачами изучения дисциплины «Страховое дело» являются: овладение теоретическими основами страхового дела; ознакомление с нормативной базой по страхованию;приобретение практических навыков в сфере страхования. Специальность: 0516000 «Финансы» ;- квалификация: «Экономист по финансовой работе»</t>
  </si>
  <si>
    <t>00011139</t>
  </si>
  <si>
    <t>Мырзаева Ұ.А., Есжанова Ж.Ж.</t>
  </si>
  <si>
    <t>Статистика</t>
  </si>
  <si>
    <t>Оқу құралында статистиканың жалпы теориясының мазмұны, әлеуметтік-экономикалық статистиканың көрсеткіштер жүйесі, студенттердің білімін тексеруге арналған сұрақтар және тест сұрақтары, аралық бақылау сұрақтары глоссарий қамтылған. Оқу құралы экономика мамандарын даярлайтын жоғары оқу орындарының студенттері мен оқытушыларына арналған.Жоғары оқу орындарының экономикалық мамандықтары бойынша Халықаралық Бизнес университетінің ОӘК ұсынған.Бұл еңбекті немесе оның бөліктерін автордың келісімінсіз таратуға және авторлық құқық жөніндегі нормаларға қайшы келетін басқа да әрекеттерге тыйым салынады, әрі заң бойынша жазаланады.</t>
  </si>
  <si>
    <t>0001114</t>
  </si>
  <si>
    <t>Баймолданова Л. С.</t>
  </si>
  <si>
    <t>Физика тарихы</t>
  </si>
  <si>
    <t>Оқу құралы физика мамандықтарының оқу бағдарламасына сәйкес жазылды. Құралда физиканың алдыңғы тарихынан қазіргі заман физикасына дейінгі аралықтағы физиканың даму сатылары, даму процесіне жалпы шолу жасалған. Физиканың дамуын тарихи тұрғыдан сатылап көрсететін деректер жинақталып, физиканың ғылым ретінде дамуына үлес қосқан атақты оқымыстылардың өмірбаяндары жазылған және тарихи мазмұнды есептер мысалдары, өзін-өзі бақылауға арналған тестік тапсырмалар берілген.  Жоғарғы оқу орындарының "Физика", "Физика және математика", "Физика және информатика" мамандықтарының студенттеріне ұсынылады.</t>
  </si>
  <si>
    <t>00011140</t>
  </si>
  <si>
    <t>Байқоңырова М. А./Байконырова М.А./, Буркит А.К., Беркутова А. Қ., Сахы Н., Мұсабекова Б.</t>
  </si>
  <si>
    <t>«Робот техникасы» пәнінен өнертапқыштардың техникалық шығармашылық қабілеттерін арттыру әдістемесіне арналған авторлық бағдарлама</t>
  </si>
  <si>
    <t>Бұл оқу-әдістемелік құралда «IT-технология және робот техникасы» пәнінен жас өнертапқыштардың техникалық шығармашылық белсенділіктерін арттыру әдістемесіне арналған авторлық бағдарлама жайлы құнды еңбектер жазылған.</t>
  </si>
  <si>
    <t>00011141</t>
  </si>
  <si>
    <t>Аман К., Нурмуханбетова Г.К., Каратаев Н.С., Омаров Е.Т., Бүркіт Ә.Қ</t>
  </si>
  <si>
    <t>Робот техникасын оқыту әдістемесі</t>
  </si>
  <si>
    <t>Бұл әдістемелік құралында робот техникасын оқыту әдістемесі жайлы құнды мәліметтер келтірілген. (Озық педагогикалық тәжірибені зерттеу, тарату және енгізу) ЖОО, жалпы орта мектептің робот техникасы пәндерінің мұғалімдеріне арналған әдістемелік құралы</t>
  </si>
  <si>
    <t>00011142</t>
  </si>
  <si>
    <t>Әубәкіров Е.А., Ташмухамбетова Ж.Х., Жәкірова Н.Қ</t>
  </si>
  <si>
    <t>Мұнай қалдықтары және битум қасиеттерін зерттеу әдістері</t>
  </si>
  <si>
    <t>Зертханалық жұмыстарға арналған әдістемелік нұсқау мұнай қалдықтары мен битумның физика-химиялық және эксплуатациялық қасиеттері жөнінде негізгі мәліметтерден тұрады. Теориялық бөлімде ауыр мұнай қалдықтары мен битумның қасиеттерін стандартты зерттеу әдістеріне шолу жасалады. Тотыққан, компаундирленген және қалдық битумдарды зертханада алудың, битум қасиеттерін зерттеудің диэлектрлік өткізгіштік, дисперсті фаза бөлшектерінің өлшемдерін анықтау әдістері, тұрақтылық факторларын, адгезиялық қасиеттерін және т.б. ерекшеліктерін бағалау әдістері мен сандық анықтау әдістемелері келтірілген.Оқу-әдістемелік құрал «5В070021 – Органикалық заттардың химиялық технологиясы» мамандығы бойынша білім алатын студенттерге оқу-зерттеу жұмыстарын жасауға арналған.
 Илл. 56, кесте. 18, библиогр. атау 32</t>
  </si>
  <si>
    <t>00011143</t>
  </si>
  <si>
    <t>Бекетова Г.С., Ахметов Б.С</t>
  </si>
  <si>
    <t>Модели и методы интеллектуального распознавания киберугроз в критически важных компьютерных системах</t>
  </si>
  <si>
    <t>Монография посвящена разработке моделей и методов защиты критически важных компьютерных систем на основе интеллектуального распознавания киберугроз в условиях постоянного увеличения количества дестабилизирующих воздействий на конфиденциальность, целостность и доступность информации. Предложена модель поиска угроз, аномалий и кибератак в критически важных компьютерных системах, базирующаяся на построении покрытий классов и элементарных классификаторах. Показано, что конструирование множества элементарных классификаторов для рассмотренных классов угроз сводится к нахождению до¬пустимых или максимальных конъюнкций для функции, описывающей анализируемый класс объектов. Разработана методика составления решающего правила для логических процедур распознавания угроз, которое позволяет выполнять распознавания угрозы, в рамках определенного класса, с минимальным числом ошибок. 
 Монография рассчитана на широкий круг специалистов в области кибербезопасности.</t>
  </si>
  <si>
    <t>00011144</t>
  </si>
  <si>
    <t>Шеримова Н.Ш.</t>
  </si>
  <si>
    <t>Таможенное право Республики Казахстан (в схемах)</t>
  </si>
  <si>
    <t>Обретение Казахстаном государственной независимости и переход страны к рыночной экономике создало предпосылки и одновременно обусловили необходимость формирования национальной системы права.Составной частью этого процесса является становление новой отрасли таможенного права Республики Казахстан.Предлагаемые в пособии схемы расположены в соответствии со структурой Кодекса «О таможенном регулировании в Республике Казахстан». Пособие адресуется преподавателям, магистрантам, студентам юридических факультетов, а также практикам.</t>
  </si>
  <si>
    <t>00011145</t>
  </si>
  <si>
    <t>Инженерные основы технологии биохимических и бродильных производств</t>
  </si>
  <si>
    <t>Толковый словарь</t>
  </si>
  <si>
    <t>Соответствует государственному стандарту образования по направлению подготовки специалистов Биотехнология (бакалавр) по профилю (специализации) «Биотехнология», и включает толкование основных инженерных терминов для проверочного расчёта технологического оборудования биохимических и бродильных предприятий – массовых и энергетических потоков и необходимых элементов конструкций. Предназначен в качестве пособия к выполнению расчётных задач по дисциплине «Технологическое оборудование предприятий биотехнологии», а также при выполнении курсовых проектов и ВКР по этой дисциплине. По усмотрению преподавателей может быть использован в изучении других дисциплин и специальностей. Разработка полезна для аспирантов, инженерно-технических и научных работников учреждений и предприятий при оценке и выборе соответствующего оборудования.</t>
  </si>
  <si>
    <t>00011146</t>
  </si>
  <si>
    <t>Жайдақбаева Л.Қ, Бейсенова Г.И., Есенкулова З.З.</t>
  </si>
  <si>
    <t>3D модельдеу негіздері
 арналған</t>
  </si>
  <si>
    <t>Оқу құралы 3DS MAX ортасында жұмыс істеп үйренуге арналған. 3ds max бағдарламасы - қазіргі танда күн санап дамып келе жатқан ең үздік бағдарламаның бірі. Бұл бағдарламаның атқаратын қызметтері шексіз, ал мүмкіндіктері өте ауқымды деп айтуға болады. 3ds max үш өлшемді компьютерлік графика бағдарламаларының тобына кіреді, немесе оны 3d-графика (3 dimensional-үш өлшемді) деп те атайды. Сонымен қатар, осы бағдарламаның көмегімен жекелеген суретті синтездеуге және нақты немесе ойдан шығарылған өмірдегі суреттік қойылымдарды ықшамдап көрсетіп, осындай суреттік кадрлар тізбегін анимация деп аталатын объекттің қозғалысы түрінде байқауға болады Оқу құралында 3DS MAX ортасында жұмыс істеп үйрену бағдарламамен танысуды, оның жекеленген кескіндер мен анимацияны жасауға арналған мүмкіндіктерін қарастырылған, барлық пайдаланушыларға және студенттерге де үлкен үлесін қосады. Оқу құралы 5В060200-«Информатика», 5B011100-«Информатика» мамандықтарының студенттеріне арналған.</t>
  </si>
  <si>
    <t>00011147</t>
  </si>
  <si>
    <t>Меркулов В.В., Алмазов А.И., Меркулова М.В.</t>
  </si>
  <si>
    <t>Теоретические основы фармацевтической технологии. Промышленная технология лекарств</t>
  </si>
  <si>
    <t>фарм</t>
  </si>
  <si>
    <t>Учебное пособие для студентов повышенного уровня обучения специальности 6В07204 Технология фармацевтического производства7М07206/7М07207 Технология фармацевтического производства«Теоретические основы фармацевтической технологии» разработано в развитие программы учебной дисциплины «Химическая технология органических веществ» базового уровня обучения.Изучение дисциплины «Теоретические основы фармацевтической технологии» предусматривается на базе опорных знаний по химизму основных технологических процессов в фармацевтическом синтезе, принципам действия и устройству технологических установок. Вопросы получения лекарственных средств рассматриваются в аспектах развития технологии получения лекарственных средств на ближайший период, а также снижения остроты экологических проблем.
 В курсе лекций рассматриваются основные технологические подходы получения лекарственных препаратов исто, пути повышения эффективности и направления совершенствования важнейших процессов фармацевтического производства. Для удобства изучения дисциплины «Теоретические основы фармацевтической технологии» в курсе лекций представлены лишь принципиальные технологические схемы промышленных процессов.</t>
  </si>
  <si>
    <t>00011148</t>
  </si>
  <si>
    <t>Жамбайбеков К.Ж.</t>
  </si>
  <si>
    <t>Теориялық физика курсы 1 том</t>
  </si>
  <si>
    <t>Ұсынылып отырған оқу құралында теориялық физиканың алғашқы бөлімдері – классикалық механика мен электродинамика сұрақтары айтылады. Осы бөлімдерге қатысты негізгі түсініктер мен заңдылықтар сегіз тарауда қарастырылып, олардың қазіргі физиканың басқа да бөлімдерімен байланысына көңіл бөлінген. Көп сұрақтар мысалдармен толықтырылып, ал тараулардың соңында жаттығулар мен тест сұрақтары берілген.Оқулық педагогикалық бағытта физика мамандығына арналған оқу бағдарламасына сәйкес дайындалған.Оқулық жоғарғы оқу орындарында физика мамандығы бойынша оқитын білімгерлерге, магистранттарға және теориялық физика сұрақтары қызықтыратын оқырмандарға арналады.</t>
  </si>
  <si>
    <t>00011149</t>
  </si>
  <si>
    <t>Теориялық физика курсы 2 том</t>
  </si>
  <si>
    <t>00011150</t>
  </si>
  <si>
    <t>Еңбек жағдайын талдау және аттестаттау</t>
  </si>
  <si>
    <t>БДЖ</t>
  </si>
  <si>
    <t>«Еңбек жағдайларын талдау және аттестаттау» оқулығында өндіріс салаларының жұмыс орындарында еңбекті ұйымдастырудың құқықтық-ұйымдастырушылық негіздері, өндірістік жағдайлардың туындау факторлары мен механизмдері, өндірістік зиянды және қауіпті факторлардың жіктелуі, бұл факторлар орын алған жағдайлардың алдын алу және салдарын жою әдістері, физикалық, химиялық, биологиялық, экологиялық және өндіріс орындарындағы жұмыс жағдайлары мен олардың зиянды және қауіпті факторлары туралы мәліметтермен қатар олардың әсеріндегі жұмысшыларға арналған профилактикалық - медициналық көмек көрсету әдістері мен білім алушылардың өзін-өзі тексеруге арналған бақылау сұрақтары қарастырылған.
 Оқулық жоғарғы оқу орындарының «Тіршілік қауіпсіздігі және қоршаған ортаны қорғау» мамандығы бойынша оқитын студенттерге, магистранттарға, докторанттарға, жалпы білім беру ұйымдарының оқытушыларына, өндірістік қауіпсіздік саласындағы қызметкерлерге және де қауіпсіздік мәселелері қызықтыратын оқырмандарға арналған.</t>
  </si>
  <si>
    <t>00011151</t>
  </si>
  <si>
    <t>978-601-13-0045-2</t>
  </si>
  <si>
    <t>Жуманазарова Ғ.М.</t>
  </si>
  <si>
    <t>Дәрілік заттар технологиясы және биофармация</t>
  </si>
  <si>
    <t>Берілген әдістемелік құрал студенттерге дәрілік заттардың түрлеріне, негізгі айнымалылардың (фармацевтикалық факторлардың ) әсерін анықтау бойынша «in vitro» және «in vivo» әдістерімен танысуға, дәрілік заттардың фармакологиялық әсеріне және дәрілік заттардан босап шығу дәрежесі формалары, олардың қанға сіңу жылдамдығы, биологиялық қол жетімділігіне мүмкіндік береді.Қорытынды семинарлық сабақ теориялық сұрақтардан, жаңа ситуациялық есептер және тест тапсырмаларынан тұрады.Автор осы әдістемелік құралдарды жетілдіруге бағытталған барлық ұсыныстар мен ескертулерді ризашылықпен қабылдайды.Берілген оқу құралы «Фармацевтикалық өндіріс технологиясы» оқу бағдарламасының тәлім алушыларына қолданысқа ұсынылады.</t>
  </si>
  <si>
    <t>00011153</t>
  </si>
  <si>
    <t>Рябова В.Ф., Долматова И.А., Зайцева Т.Н., Ребезов М.Б.</t>
  </si>
  <si>
    <t>Сервисная деятельность предприятий питания</t>
  </si>
  <si>
    <t>пищевая инжен</t>
  </si>
  <si>
    <t>Учебное пособие знакомит с особенностями сервисной деятельности в сфере индустрии питания. Теоретический курс рассматривает ряд важных аспектов сервисной деятельности: социально-философский, организационно-управленческий, социально-культурный и социально-психологический. Особое внимание уделено специально-сервисному аспекту индустрии питания (организация обслуживания, качество работы заведений питания, специфичность труда и особенности профессиональной подготовки и личных качеств специалистов сферы сервиса). 
 Предложенное компактное изложение теоретических основ курса дает преподавателям свободу интерпретации, дополнения и углубления отдельных разделов и тем в соответствии с их собственным пониманием проблемы.Каждая глава учебного пособия сопровождается программированным (тестовым опросом), который может проводиться аудиторно или самостоятельно. Выполнение тестов позволит проконтролировать степень усвоения учебного материала и обратить дополнительное внимание на вопросы, вызвавшие затруднения. 
 Сервисная деятельность требует не только теоретических знаний, но и практических навыков. С этой целью предлагается выполнение практических заданий. Предлагаемое учебное пособие адресовано обучающимся, менеджерам предприятий общественного питания и широкому кругу читателей, интересующихся разработкой и оптимизацией меню предприятий питания. Учебное пособие необходимо для реализации программ повышения квалификации и профессиональной переподготовки.</t>
  </si>
  <si>
    <t>00011155</t>
  </si>
  <si>
    <t>Скрипникова Л.В.</t>
  </si>
  <si>
    <t>Техническое регулирование промышленной безопасности</t>
  </si>
  <si>
    <t>В издание включены разделы «Обеспечение промышленной безопасности», «Техническое регулирование», «Требования безопасной эксплуатации технологических систем», имеющие практическое значение для повышения качества товара, его конкурентоспособности, оценке соответствия и напрямую влияющие на снижение технических барьеров, возникающих при продвижении отечественной продукции на терри-тории Республики Казахстан и за ее пределами.Представлены предмет, цели и задачи курса, определения основных понятий в области технического регулирования, зарубежный и отечественный опыт технического ре-гулирования, общие понятия об объектах и субъектах технического регулирования, виды технических регламентов, особенности их разработки, принятия и отмены, правовые, экономические и социальные основы обеспечения промышленной безопасности, с комментариями отдельных статей закона «О гражданской защите», «О техническом регулировании», «О стандартизации».Описана система государственного регулирования промышленной безопасности, государственный контроль и надзор в области технического регулирования, структура и содержание технических регламентов, принципы, модели и механизмы технического регулирования, единство и обязательность требований технических регламентов, структура национальной системы и методы стандартизации, виды национальных стандартов, гармонизация требований международных, региональных стандартов и документов иностранных государств на территории РК.Рассмотрены требования к формированию инфраструктуры подтверждения соот-ветствия в сфере технического регулирования, правила обеспечения промышленной безопасности при эксплуатации подъемно-транспортных средств, сосудов, работающих под давлением.Использованы материалы законодательно-правовой и нормативно-технической базы, государственных актов и технических правил, действующих в Республике Казахстан.Учебное пособие предназначено для студентов, магистрантов, преподавателей, специалистов и широкого круга читателей, с целью формирования основополагающих знаний, отражающих динамику современных преобразований в области технического регулирования промышленной безопасности и стандартизации.</t>
  </si>
  <si>
    <t>00011156</t>
  </si>
  <si>
    <t>Әбдіқадырова Х.Р. /Абдикадырова Х.Р.</t>
  </si>
  <si>
    <t>Гормондардың әсер ету механизмдерінің заманауи аспектілері</t>
  </si>
  <si>
    <t>Оқу құралында гормондар және олардың әсер ету механизмі көрсетілген. Гормондар барлық өмірлік үдерістерді - метаболизм мен қызметтерді, матрицалық синтездерді және геноммен анықталған басқа жасушалық үдерістерді реттейді. Гормондардың көпшілігінде жаңа әсерлер бар, олардың әсері плеиотропты болып келеді. Ал, қандайда бір этиологиялық факторлардың әсерінен, осы өмірлік маңыздылығы бар биологиялық зат – гормондардың биохимиялық, физиологиялық ауытқуының салдарынан ағзада патологиялық үдеріс дамып, кері әсерін тигізіп аурушаңдылық туындатады.</t>
  </si>
  <si>
    <t>00011157</t>
  </si>
  <si>
    <t>Сарсенбаев Б.О., Бухарбаев М.А, Казагачев В.Н.</t>
  </si>
  <si>
    <t>Цифровая схемотехника</t>
  </si>
  <si>
    <t>В учебном пособии излагаются принципы построения и функционирования логических элементов, дешифраторов, мультиплексоров, сумматоров, цифровых компараторов, триггеров, счетчиков, регистров, микросхем памяти. Рассмотрены примеры синтеза цифровых устройств комбинационного типа и цифровых автоматов. Учебное пособие предназначено для студентов и преподавателей инженерных и естественно-научных специальностей вузов, школьников старших классов и учителям информатики.</t>
  </si>
  <si>
    <t>00011158</t>
  </si>
  <si>
    <t>Бухарбаев М.А., Казагачев В.Н.</t>
  </si>
  <si>
    <t>Современные педагогические технологии</t>
  </si>
  <si>
    <t>В пособии представлены теоретические аспекты исследования феноменологии понятия «педагогическая технология», основные характерные особенности и специфика современных технологий обучения и воспитания. Основной целью пособия является формирование у студентов-бакалавров целостного представления о сущности современного процесса обучения и воспитания как социального явления, об оптимальных способах достижения новых образовательных результатов, подходах к педагогической диагностике уровня обученности; усвоение специфики современных педагогических технологий, готовность к реализации этих технологий в профессиональной педагогической деятельности. Для студентов педагогических специальностей.</t>
  </si>
  <si>
    <t>00011159</t>
  </si>
  <si>
    <t>Модернизация технологий традиционной системы обучения 1 том</t>
  </si>
  <si>
    <t>В учебном пособии сформулирована проблема педагогических технологий в исторической ретроспективе, дана теоретическая характеристика и изложена сущность современных технологий обучения. Освещена методика оценки их эффективности. 
 Для студентов педагогических специальностей.</t>
  </si>
  <si>
    <t>0001116</t>
  </si>
  <si>
    <t>Баймолданова Л.С., Баяндинова М.Б.</t>
  </si>
  <si>
    <t>Физикалық демонстрациялық эксперименттер</t>
  </si>
  <si>
    <t>Оқу құралы физика мамандықтарының оқу бағдарламасына сәйкес жазылды.
 Құралда демонстрациялық эксперименттің маңызы, техникасы, қауіпсіздік техникасының ережелері, сондай-ақ эксперименттердің жақсы қабылдануы мен тиімділіктерін арттыру жолдары көрсетілген. Мектептегі физика кабинетінің аспаптармен жабдықталуы, оның ішінде электр және магнетизм бөлімі бойынша құралдардың құрылысы айтылып, оларға сипаттама жасалған. Электр және магнетизм бөлімі бойынша демонстрациялық эксперименттер орындалу ретімен берілген. Жоғарғы оқу орындарының 5В011000-«Физика», 5В060400-«Физика» мамандықтарының студенттеріне және мектеп пән мұғалімдеріне ұсынылады.</t>
  </si>
  <si>
    <t>00011160</t>
  </si>
  <si>
    <t>Модернизация технологий традиционной системы обучения 2 том</t>
  </si>
  <si>
    <t>00011162</t>
  </si>
  <si>
    <t>Волобуева Н.А., Досмурзина Е.Б., Дузелбаева С.Д.</t>
  </si>
  <si>
    <t>Органическая химия 1</t>
  </si>
  <si>
    <t>Химия органическая</t>
  </si>
  <si>
    <t>Данная работа является учебно-методическое пособие дисциплин для самостоятельный подготовки студентов образовательной программы 6В05302-Химия к итоговому контролью по Органической химии 1.</t>
  </si>
  <si>
    <t>00011163</t>
  </si>
  <si>
    <t>Волобуева Н.А., Досмурзина Е.Б., Апендина А.К.</t>
  </si>
  <si>
    <t>Данная работа является учебно-методическое пособие дисциплин для самостоятельный подготовки студентов образовательной программы 6В05302-Химия к итоговому контролью по Химии функциональных производных органических молекул.</t>
  </si>
  <si>
    <t>00011165</t>
  </si>
  <si>
    <t>Теория и методика воспитательной работы в организациях образования</t>
  </si>
  <si>
    <t>В учебном пособии в теоретической части раскрываются основные положения теории и методики воспитательной работы. Практическая часть представляет сборник заданий для самостоятельной работы студентов и тестовый материал для контроля усвоенных знаний. Для студентов педагогических специальностей.</t>
  </si>
  <si>
    <t>00011166</t>
  </si>
  <si>
    <t>Бухарбаев М.А.,Казагачев В.Н.</t>
  </si>
  <si>
    <t>Основы автоматики и автоматизация технологических процессов.
 I. Технические средства автоматизации</t>
  </si>
  <si>
    <t>Автоматизация</t>
  </si>
  <si>
    <t>В учебном пособии рассмотрены технические средства систем автоматизации и управления техническими объектами и технологическими процессами такие, как управляемые преобразователи напряжения, автоматизированные электроприводы постоянного и переменного токов, контрольно-измерительные средства, исполни-тельные устройства. Пособие предназначено для студентов систем управления, но может быть полезно и для студентов других специальностей.</t>
  </si>
  <si>
    <t>00011167</t>
  </si>
  <si>
    <t>Основы автоматики и автоматизация
 технологических процессов.
 II. SCADA-системы.</t>
  </si>
  <si>
    <t>В учебном пособии рассмотрены уровни автоматизации предприятия, основные понятия, история возникновения SCADA-систем, функциональные характеристики SCADA-систем, механизм OLE for Process Control (OPC) как основной способ взаимодействия SCADA-системы с внешним миром, SCADA-ПАКЕТ GENESIS64. Пособие предназначено для студентов систем управления, но может быть полезно и для студентов других специальностей.</t>
  </si>
  <si>
    <t>00011168</t>
  </si>
  <si>
    <t>Нурмукашева С.К.</t>
  </si>
  <si>
    <t>Психологиялық-педагогикалық зертхана кәсіби білімді жетілдірудің құралы</t>
  </si>
  <si>
    <t>Педагогика, Психология</t>
  </si>
  <si>
    <t>«Психологиялық‑педагогикалық зертхана кәсіби білімді жетілдірудің құралы» атты оқу-әдістемелік еңбекте Х.Досмұхамедов атындағы университеттің «Психология және арнайы білім беру» кафедрасы жанында 2014-2021 жылдар аралығында «Психология», «Педагогика‑ психология», «Дефектология» бағыттары бойынша студенттердің кәсіби білімін көтеруде теорияны практикамен байланыстырып, психологиялық‑педагогикалық зертхана жүргізген жұмыстардың іс‑тәжірибелері туралы ақпараттар мен фото материалдар жинақталған.Зертхана жұмысының негізгі мақсаты бакалавр бағытында білім алып жатқан студенттердің білім бағдарламаларына сай кәсіби потенциалын көтеру және теориялық білімді практикамен ұштастыру</t>
  </si>
  <si>
    <t>00011169</t>
  </si>
  <si>
    <t>Острецова И.Б., Лоскутова Г.А., Сергазина С.М</t>
  </si>
  <si>
    <t>Технология производства кормовых дрожжей</t>
  </si>
  <si>
    <t>Пищевая инженерия, биотехнологии</t>
  </si>
  <si>
    <t>В пособии представлен теоретический и практический материал по курсу технологии производства дрожжей, изложены основы бродильных производств. В тезисах лекций указаны все аспекты, раскрывающие полное содержание тем. После каждой темы приведены вопросы для самоконтроля, тестовые вопросы содержат полный объем дисциплины технология производства дрожжей. Пособие предназначено для студентов высших учебных заведений экологических, сельскохозяйственных, технических и биологических специальностей.</t>
  </si>
  <si>
    <t>0001117</t>
  </si>
  <si>
    <t>Баймолдина С. М.</t>
  </si>
  <si>
    <t>Уголовно-правовая защита авторских и смежных прав в РК</t>
  </si>
  <si>
    <t>00011170</t>
  </si>
  <si>
    <t>Корогод Н.П., Тулиндинова Г.К., Баймурзина Б.Ж., Сапарбекова Б.С.</t>
  </si>
  <si>
    <t>Биология. Жауаптары бар тест, есептер мен тапсырмалар жинағы</t>
  </si>
  <si>
    <t>Оқу құралы: «Биология. Жауаптары бар тест, есептер мен тапсырмалар жинағы» оқушыларды саралап сауалнамаға, олардың өздігінен дайында-луына және өзін-өзі бақылауға арналған. Пәнді тереңдетіп оқыту, әртүрлі деңгейдегі биологиялық олимпиадаларға дайындау, сондай-ақ түсу емтихандарына дайындалу үшін пайдаланылуы мүмкін.Оқу құралы оқушыларға, мұғалімдерге, талапкерлерге, студенттерге және биологияға қызығушылық танытатын барлық оқушыларға арналған.</t>
  </si>
  <si>
    <t>00011171</t>
  </si>
  <si>
    <t>Молдабаева М.Н., Жубандыкова Ж.У.</t>
  </si>
  <si>
    <t>«Электротехниканың теориялық негіздері» пәні бойынша практикалық және зертханалық жұмыстарды орындауға арналған әдістемелік нұсқау</t>
  </si>
  <si>
    <t>«Электротехниканың теориялық негіздері» пәні бойынша практикалық және зертханалық жұмыстарды орындауға арналған әдістемелік нұсқау студенттерге электротехникалық есептерді шешу әдістерін меңгеруге көмектеседі және «Электротехниканың теориялық негіздері» пәнін оқитын барлық мамандықтарға және өз бетімен оқуға, есеп шығаруға арналған.</t>
  </si>
  <si>
    <t>00011172</t>
  </si>
  <si>
    <t>Эфендиев И.М., Баешева Д.А., Смаилов Е.С.</t>
  </si>
  <si>
    <t>Балалардағы күл ауруы</t>
  </si>
  <si>
    <t>Педиатрия</t>
  </si>
  <si>
    <t>Бұл оқу-әдістемелік құрал педиатрларға, инфекционистерге, жалпы тәжірибелік және жедел жәрдем дәрігерлеріне, студенттерге, медициналық оқу орындарының интерндері мен резиденттеріне арналған.</t>
  </si>
  <si>
    <t>00011173</t>
  </si>
  <si>
    <t>978-601-330-354-3</t>
  </si>
  <si>
    <t>Пивина Л.М., Дюсупов А.А., Месова А.М., Батенова Г.Б., Байбусинова Ж.Т., Уразалина Ж.М.</t>
  </si>
  <si>
    <t>Алгоритмы оказания медицинской помощи при неотложных состояниях</t>
  </si>
  <si>
    <t>Настоящий учебник содержит алгоритмы диагностики и лечения неотложных состояний на уровне отделения неотложной медицины и на этапе оказания догоспитальной помощи. Данный учебник, написанный на основе международного опыта последних лет, рекомендован студентам медицинских вузов, врачам-резидентам, врачам отделения неотложной медицины, парамедикам, врачам скорой медицинской помощи.</t>
  </si>
  <si>
    <t>00011174</t>
  </si>
  <si>
    <t>978-601-330-902-6</t>
  </si>
  <si>
    <t>Пивина Л.М.</t>
  </si>
  <si>
    <t>Немедикаментозная профилактика артериальной гипертонии у лиц, подвергшихся радиационному воздействию</t>
  </si>
  <si>
    <t>Методическое пособие предназначено для специалистов первичного звена здравоохранения, кардиологов, специалистов в области радиационной медицины, студентов медицинских вузов, а также широких слоев населения. Представлены эпидемиологические аспекты заболеваний системы кровообращения, в первую очередь, артериальной гипертонии, радиационные и нерадиационные факторы риска их развития, патогенетические механизмы, современные методы первичной немедикаментозной профилактики с позиций доказательной медицины. В пособии систематизированы и обобщены данные из различных литературных источников, включая современные клинические руководства, что поможет более качественно оказывать медицинскую помощь для населения, проживающего на экологически неблагоприятных территориях.</t>
  </si>
  <si>
    <t>00011175</t>
  </si>
  <si>
    <t>978-601-330-388-8</t>
  </si>
  <si>
    <t>Пивина Л.М., Месова А.М., Батенова Г.Б., Дюсупов А.А.,Уразалина Ж.М., Байбусинова Ж.Т.</t>
  </si>
  <si>
    <t>Синдромальный подход в диагностике и лечении неотложных состояний</t>
  </si>
  <si>
    <t>Настоящий учебник содержит основные синдромы, алгоритмы диагностики и лечения часто встречающих в отделении неотложной медицины состояний, а также на этапе оказания догоспитальной помощи. Данный учебник рекомендован студентам медицинских вузов, врачам-резидентам, врачам отделения неотложной медицины, парамедикам, врачам скорой медицинской помощи, так как синдромальный подход остается базовым инструментом диагностики и позволяет врачу поставить клинический диагноз.</t>
  </si>
  <si>
    <t>00011177</t>
  </si>
  <si>
    <t>978-601-13-0201-2</t>
  </si>
  <si>
    <t>Мусабекова С.А.</t>
  </si>
  <si>
    <t>Сот медицинасы</t>
  </si>
  <si>
    <t>Сот медицинасы бойынша дәрістер курсында сот медицинасы саласындағы заманауи ғылыми деректер бар. Алдыңғы оқулықтарда қамтылмаған виртуалды аутопсия мәселелеріне және ДНҚ зерттеулеріне ерекше назар аударылады. Оқулықта құқық қорғау органдарына қылмыстарды тергеуде көмек көрсету үшін әр дәрігерге қажет сот медицинасының негіздері бар. Кітап сот сараптамасының теориясы мен тәжірибесіне қызығушылық танытатын мамандарға, медициналық және заң университеттерінің студенттеріне арналған. Оқулықты құқық қорғау органдарының қызметкерлері, сот-медициналық сарапшылар, сот медицинасы саласындағы мамандар, заңгерлер, құқық қорғаушылар анықтамалық құрал ретінде, сондай-ақ азаматтар өздерінің құқықтары мен заңды мүдделерін қорғау және қалпына келтіру кезінде қолдана алады.</t>
  </si>
  <si>
    <t>00011178</t>
  </si>
  <si>
    <t>978-601-352-544-0</t>
  </si>
  <si>
    <t>Власова Л.М., Сотченко Р.К.</t>
  </si>
  <si>
    <t>Медицинская химия</t>
  </si>
  <si>
    <t>Учебно-методическое пособие предназначено для обучающихся организаций высшего и послевузовского образования по группам образовательных программ направления подготовки Здравоохранение. Изучение отдельных вопросов Медицинской химии необходимо для обучения и подготовки квалифицированных работников медицинских и фармацевтических специальностей.</t>
  </si>
  <si>
    <t>00011180</t>
  </si>
  <si>
    <t>Мантеева Ф.С., Сейсенбаева А.Т., Тулегенова К.Т.</t>
  </si>
  <si>
    <t>Сборник тестов по дисциплине «Русский язык и литература»</t>
  </si>
  <si>
    <t>Сборник тестов</t>
  </si>
  <si>
    <t>Язык русс, литература</t>
  </si>
  <si>
    <t>Пособие предназначено для проверки теоретических знаний, правописных и практических навыков студентов, для самостоятельной подготовки к экзаменам по данному предмету.</t>
  </si>
  <si>
    <t>00011185</t>
  </si>
  <si>
    <t>Ибраев Е.Е., Легкий Д.М.</t>
  </si>
  <si>
    <t>Малоизученные вопросы периода Великой Отечественной войны в современной историографии. Сборник статей Международной научно-практической конференции</t>
  </si>
  <si>
    <t>Великая Отечественная война 1941-1945 гг., 75-летие со дня окончания которой отмечается в этом году, является одним из самых драматических и героических периодов отечественной и мировой истории, изменивших ход дальнейшего развития многих народов и государств, в том числе Казахстана. Историческая наука и сегодня нуждается в освещении малоизученных или ранее засекреченных вопросов этого события. В сборнике представлены научные статьи преподавателей, работников архивов, краеведов, докторантов, магистрантов, студентов.</t>
  </si>
  <si>
    <t>00011186</t>
  </si>
  <si>
    <t>Саидов А.М., Жангабылова Н.Д., Балгужинова Ж.Е.</t>
  </si>
  <si>
    <t>Нан пісіру өндірісінің технологиялық машиналары мен жабдықтары</t>
  </si>
  <si>
    <t>Оқу құралына қайта өңдеу өндірістерінің технологиялық жабдықтары енгізілген. Техникалық мамандықтар студенттеріне арналған; жоғары оқу орындарының оқытушыларына өндіріс жабдықтарын зерттеу бойынша оқу сабақтарын өткізу кезінде және студенттердің өзіндік жұмысын ұйымдастыру кезінде ұсынылуы мүмкін.</t>
  </si>
  <si>
    <t>00011187</t>
  </si>
  <si>
    <t>Саидов А.М. , Альсеитов К.С., Аманжол Б.</t>
  </si>
  <si>
    <t>Тамақ өндірісінің процестері мен аппараттары</t>
  </si>
  <si>
    <t>Оқу құралына тамақ өнімдерін өндірудің технологиялық процестері енгізілген. Тамақ өндірісінің процестері мен аппараттары бойынша оқытушыларға оқу сабақтарын өткізу үшін және студенттердің өзіндік жұмысын ұйымдастыру үшін арналған</t>
  </si>
  <si>
    <t>0001119</t>
  </si>
  <si>
    <t>Баймолдина С.М.</t>
  </si>
  <si>
    <t>Актуальные проблемы борьбы с коррупцией и организованной преступностью</t>
  </si>
  <si>
    <t>(для магистрантов специальности 6М030100 «Юриспруденция»)</t>
  </si>
  <si>
    <t>00011190</t>
  </si>
  <si>
    <t>Бекешев А.З., Сарсенбаев Б.О, Казагачев В.Н.</t>
  </si>
  <si>
    <t>Робототехника негіздері</t>
  </si>
  <si>
    <t>Оқу құралы пән бағдарламасына сәйкес құрылған және студенттерге ақпараттық технологиялар бағыттарына арналған; теориялық материалдан, Зертханалық жұмыстардың қысқаша сипаттамасынан, құрылғыны өз бетінше зерделеуден, жұмыс принципінен, пайдалану ережесінен және модельдеу және робототехника құралдарымен жұмыс істеудің қажетті практикалық дағдыларын игеруден тұрады. 
 Студенттерде Arduino микроконтроллерлері негізінде роботталған жүйелерді жобалау және бағдарламалау технологиялары мен құралдарын меңгеру дағдыларын қалыптастыруға бағытталған.</t>
  </si>
  <si>
    <t>00011192</t>
  </si>
  <si>
    <t>Айткалиев Г.С., Бухарбаев М.А, Казагачев В.Н.</t>
  </si>
  <si>
    <t>Математика – 1 на Python</t>
  </si>
  <si>
    <t>В рамках дисциплины «Математика-1» изучается раздел «Математический анализ». Математический анализ составляет фундамент математического и естественно-научного образования. Основные положения данного предмета являются той частью классической математики, которая служит основой почти для любой математической дисциплины. В учебном пособии представлены задачи по высшей математике и их реализация на языке Python. Предназначено для студентов специальностей B07111 - Автоматизация и управление, 6В06112 - "Вычислительная техника и програмное обеспечение", 6В06111 -"Информационные системы, а также будет полезен всем студентам первых курсов, изучающих математический анализ и линейную алгебру, которые стремятся знать самые современные вычислительные технологии, а также тем, кто хочет научиться программировать на языке Python.</t>
  </si>
  <si>
    <t>00011193</t>
  </si>
  <si>
    <t>Математика – 1 Рython-да (каз)</t>
  </si>
  <si>
    <t>"Математика-1" пәні аясында "Математикалық анализ"бөлімі оқытылады. Математикалық және жаратылыстану білімінің негізін құрайды. Бұл пәннің негізгі ережелері кез-келген дерлік математикалық пәннің негізі болып табыла-тын классикалық математиканың бөлігі болып табылады. "Математика-1" кәсіпорнын зерттеу объектілері әр түрлі сипаттағы өзгермелі шамалар болып табылады, бірақ, әрине, ең алдымен-функциялар. Оқу құралында жоғары мате-матикадан есептер және оларды Python тілінде жүзеге асыру ұсынылған. B07111 – «Автоматтандыру және басқару», 6В06112 – «Есептеу техникасы және бағдарламалық қамтамасыз ету», 6В06111 – «Ақпараттық жүйелер» мамандықтарының білім алушыларына арналған, сондай-ақ, ең заманауи есептеу технологияларын білгісі келетін Математикалық талдау мен сызықтық алгебраны зерттейтін бірінші курстардың барлық студенттеріне, сондай-ақ Python тілінде бағдарламалауды үйренгісі келетіндерге пайдалы болады.</t>
  </si>
  <si>
    <t>00011194</t>
  </si>
  <si>
    <t>Информационно-измерительная техника</t>
  </si>
  <si>
    <t>В учебном пособии изложены сведения о теории измерений, основных принципах обработки данных, устройстве и принципе действия аналоговых и цифровых приборов, способах измерения электрических и неэлектрических величин, современных информационно-измерительных системах. Учебное пособие предназначено для студентов и преподавателей инженерных и естественно-научных специальностей вузов и учителям информатики, оно может быть полезно в качестве учебного пособия для смежных специальностей, где изучаются вопросы получения, преобразования и передачи измерительной информации.</t>
  </si>
  <si>
    <t>00011195</t>
  </si>
  <si>
    <t>Медицинская статистика</t>
  </si>
  <si>
    <t>В пособии представлены понятия и методы вычисления основных статистических величин. Наряду с изложением классических статистических методов, применяются новые методы, которые необходимы в практической деятельности. К каждой теме прилагаются методические указания, задачи, контрольные вопросы, тесты с ответами. Предназначено для студентов специальностей «IT – медицина», медицинских специальностей.</t>
  </si>
  <si>
    <t>00011196</t>
  </si>
  <si>
    <t>Бухарбаев М.А., Туржанова М.К., Иваницкая Н.В., Казагачев В.Н.</t>
  </si>
  <si>
    <t>Основы автоматики и автоматизация технологических процессов III. Диагностика оборудования автоматизированных технологических комплексов</t>
  </si>
  <si>
    <t>00011197</t>
  </si>
  <si>
    <t>Jartybayeva A.Sh. Dyussekeneva I.M. Akkaliyeva A.F. Jenbayeva K.B. / Джартыбаева А.Ш., Дюсекенева И.М., Аккалиева А.Ф., Дженбаева К.Б.</t>
  </si>
  <si>
    <t>Mass media in human life</t>
  </si>
  <si>
    <t>Иностранный язык</t>
  </si>
  <si>
    <t>Целью пособия является формирование навыков и умений спонтанной речи по лексическим темам масс медиа. Пособие предназначено для развития общих, коммуникативных и профессиональных компетенций у студентов, изучающих английский язык, для практического использования в таких областях как пресса, радио, телевидение, реклама, интернет. Пособие включает тексты, ссылки на аудиозаписи, а также упражнения, направленные на проверку понимания прочитанных текстов и прослушанных аудиозаписей, активизацию лексики, развитие разговорных навыков в рамках тематики масс медиа.Пособие рекомендовано студентам бакалаврам второго года обучения по образовательной программе «Иностранный язык: два иностранных языка».</t>
  </si>
  <si>
    <t>00011200</t>
  </si>
  <si>
    <t>Кенжебаев Ж.А., Еримбетов Т.А., Урустамбеков А.А., Шаймерденов Б.А., Сексенбаев А.Н., Құрманәлі Қ.С.,Айдашев Ж.А., Алайдар Д.Б.</t>
  </si>
  <si>
    <t>Қондырғыдағы калибрі 30 мм-лі автоматты гранатаатқыш (АГС-17)</t>
  </si>
  <si>
    <t>Оқу-әдістемелік құралда қондырғыдағы калибрі 30 мм-лі автоматты гранатаатқыштың (АГС-17 ) арналуы, құрылысы, тактикалық-техникалық сипаттамалары және онымен әр түрлі жағдайда жұмыс істеу реттері көрсетілген. Оқу-әдістемелік құрал жоғары әскери оқу орындарының курсанттарына, жоғары оқу орны жанындағы әскери кафедралар студенттеріне, Қазақстан Республикасы Қарулы Күштері, басқа да әскерлері мен әскери құралымдарының офицерлеріне, сержанттарына және сарбаздарына арналған.</t>
  </si>
  <si>
    <t>00011201</t>
  </si>
  <si>
    <t>Қазақ халқының тарихы: ежелгі, ортағасыр, жаңа заман</t>
  </si>
  <si>
    <t>Оқу-әдістемелік құралда қазақ халқының тарихы: ежелгі, ортағасыр, жаңа заман кезеңдері ұсынылған. Қазақстан Республикасы Ұлттық ұланының әскери бөлімі мен бөлімшелері үшін мемлекеттік-құқықтық дайындық бойынша жеке құраммен сабақ өткізуге және қазақ халқының тарихына қызығушылық танытқан оқырмандарға арналған.</t>
  </si>
  <si>
    <t>00011202</t>
  </si>
  <si>
    <t>История казахского народа: Древность, Средневековье, Новое время</t>
  </si>
  <si>
    <t>В учебно-методическом пособии представлена история казахского народа: ее Древний, Средневековый периоды и период Нового времени. Работа предназначена для проведения занятий с личным составом по государственно-правовой подготовке в воинских частях и подразделениях Национальной гвардии Республики Казахстан и всех тех, кто интересуется историей казахского народа.</t>
  </si>
  <si>
    <t>00011203</t>
  </si>
  <si>
    <t>Beisenova L. Z., Karybayev A. A.-K., Zhakhmetova A. K., Serikova M. A. / Серикова М.А.</t>
  </si>
  <si>
    <t>Performance audit</t>
  </si>
  <si>
    <t>экономический, государственный аудит</t>
  </si>
  <si>
    <t>The textbook contains systematic presentation of the discipline "Performance audit" within the framework of the educational program "State audit", taking into account the latest changes in the state audit system.The textbook reflects the specifics of conducting a performance audit as one of the types of state audit, which provides for assessment and analyzing the activities of the state audit object for economy, efficiency and effectiveness.All chapters of the textbook are accompanied by control questions and test tasks. It is recommended to students of higher education institutions, students of advanced training and retraining courses in the state audit system, as well as financial officers. Учебное пособие содержит систематизированное изложение дисциплины "Аудит эффективности" в рамках образовательной программы "Государственный аудит" с учетом последних изменений в системе государственного аудита.В учебном пособии отражена специфика проведения аудита эффективности как одного из видов государственного аудита, который предусматривает оценку и анализ деятельности объекта государственного аудита на предмет экономичности, эффективности и результативности.Все главы учебника сопровождаются контрольными вопросами и тестовыми заданиями. Рекомендуется студентам высших учебных заведений, слушателям курсов повышения квалификации и переподготовки кадров в системе государственного аудита, а также финансовым работникам.</t>
  </si>
  <si>
    <t>00011204</t>
  </si>
  <si>
    <t>Маханов М., Исабеков Ж.</t>
  </si>
  <si>
    <t>Гидравлика және гидропневможетек 1 бөлім</t>
  </si>
  <si>
    <t>инженерное дело</t>
  </si>
  <si>
    <t>Оқулықта сұйықтар мен газ механикасы, гидропневможетектердің негізгі түсініктемелері мен анықтамалары, физикалық қасиеттері, сұйықтар мен газдардың қозғалысының теориялық негіздері, жұмыстық сұйықтықтары, құбырлар және оның ағынын шектейтін гидравликалық кедергілердің әсерлері, жұмыстық сұйықтықтардың гидрожетектің қалыпты жұмысына әсері, сұйықтар мен газдарды тасымалдайтын құбырларды, гидрожетектерді гидравликалық есептеу, жұмыстық сұйықтықтардың гидрожетектің қалыпты жұмысына әсері, көлемді және гидродинамикалық берілістердің жұмыс принципі мен қолдану ерекшеліктері туралы мәліметтер баяндалады. Гидравликалық машиналардың және гидромоторлардың, гидроаппараттардың негізгі типтері, конструкциялары келтірілген, айналмалы қозғалыс гидроқозғалтқыштарының конструкциялары сипатталған; бақылау-реттеу гидроаппаратурасы мен гидрожетектің қосалқы құрылғылары, сондай-ақ схемалардағы гидравликалық жетектер элементтерінің шартты графикалық белгілері қарастырылған. Оқулық "Инженерия және инженерлік іс" бағытындағы техникалық мамандықтардың бакалавриат студенттеріне арналған.</t>
  </si>
  <si>
    <t>00011205</t>
  </si>
  <si>
    <t>978-601-13-0286-9</t>
  </si>
  <si>
    <t>Гидравлика және гидропневможетек 2 бөлім</t>
  </si>
  <si>
    <t>00011206</t>
  </si>
  <si>
    <t>Хаймулдинова А.К.</t>
  </si>
  <si>
    <t>Пoвышeниe кoнкурeнтocпocoбнocти мoлoчнoй прoдукции нa ocнoвe мeждунaрoдных cтaндaртoв</t>
  </si>
  <si>
    <t>cтaндaртизaция и ceртификaция</t>
  </si>
  <si>
    <t>В нacтoящee врeмя для выхoдa нa зaрубeжныe рынки oбязaтeльным являeтcя нaличиe у прeдприятий пищeвoй прoмышлeннocти cиcтeмы HACCP. Интeгрaция в мирoвую экoнoмичecкую cиcтeму пoтрeбoвaли и oт нaших прeдприятий внeдрeния coврeмeнных пoдхoдoв к oбecпeчeнию бeзoпacнocти пищeвoй прoдукции при их прoизвoдcтвe и рeaлизaции. Вce бoльшee чиcлo прoизвoдитeлeй РК приcтупaeт ceгoдня к рaзрaбoткe cиcтeмы мeнeджмeнтa бeзoпacнocти пищeвых прoдуктoв нa ocнoвe cтaндaртa ИCO 22000:2005, oбecпeчивaющий бeзoпacнocть прoдукции и пoвышaющий ee кoнкурeнтocпocoбнocт Мoнoгрaфия прeднaзнaчeнa для oбучaющихcя пo cпeциaльнocти cтaндaртизaция и ceртификaция (пo oтрacлям) в рaмкaх изучeния пoдтвeрждeния cooтвeтcтвия и aккрeдитaции. Мoнoгрaфия мoжeт быть рeкoмeндoвaнo кaк мaтeриaл для пoдгoтoвки cтудeнтoв к прaктичecким зaнятиям, a тaкжe выпoлнeнию caмocтoятeльных зaдaний пo диcциплинe. Ocнoвнoe нaзнaчeниe мoнoгрaфия — прeдcтaвлeниe эффeктивнoй рaзрaбoтки, внeдрeния и функциoнирoвaния cиcтeмы мeнeджмeнтa бeзoпacнocти пищeвых прoдуктoв нa прeдприятиях пищeвoй прoмышлeннocти.</t>
  </si>
  <si>
    <t>00011207</t>
  </si>
  <si>
    <t>Динмухамедова А. С.</t>
  </si>
  <si>
    <t>Вирусологиядан тест тапсырмалар жиынтығы</t>
  </si>
  <si>
    <t>Оқу-әдістемелік құралы 500 тесттік тапсырманы қамтиды. Тест тапсырмалары келесі бөлімдерден құралған: «Вирусологияның пайда болуы және даму тарихы», «Вирусты культивирлеу», «Вириондардың құрылымы және химиялық құрамы», «Вирустар таксономиясы», «Вирустар генетикасы», «Вирусқа қарсы иммунитеттің ерекшелігі», «Вирустық инфекциялардың патогенезі», «Вирустық инфекция диагностикасы», «Вирустық инфекцияны емдеу және оның профилактикасы», «Респираторлық вирустық инфекциялар», «Гепатовирустар», «Әсіресе қауіпті вирустар», «Герпесвирустар», «Поксвирустар», «Рабдовирустар». Оқу-әдістемелік құралы биологиялық бағыттағы студенттерге арналған, медициналық және ауылшаруашылық мамандықтарының студенттеріне пайдалы болуы мүмкін. Оқу-әдістемелік құралы студенттерді оқыту және бақылауға арналған</t>
  </si>
  <si>
    <t>00011208</t>
  </si>
  <si>
    <t>Туякбаева А.У., Ахаева А.А.</t>
  </si>
  <si>
    <t>Экологическая биоклиматология</t>
  </si>
  <si>
    <t>учебное пособие.</t>
  </si>
  <si>
    <t>биология, экология</t>
  </si>
  <si>
    <t>Биоклиматология связывает климатологию с биологическими науками. Главными разделами биоклиматологии является медицинская климатология и агроклиматология, занимающиеся изучением воздействием климата на человека и на объекты его хозяйственной деятельности. В сельском хозяйстве особенно большое значение имеет биоклиматологии растений и животных. Настоящее учебное пособие предназначено для студентов высших учебных заведений, обучающихся по направлению биология-экология, специалистов в области природопользования, охраны окружающей среды.</t>
  </si>
  <si>
    <t>00011209</t>
  </si>
  <si>
    <t>Биогеохимия және экотоксикология</t>
  </si>
  <si>
    <t>Биосфераның биогеохимиялық элементтері мен химиялық элементтердің негізгі тасымалдану жолдары және осы процестегі тірі ағзалардың рөлі туралы көзқарасты. Ксенобионттар, олардың қоршаған ортаға түсуінің негізгі жолдары, тірі ағзалар, экотоксикологиялық зерттеулер жүргізу тәсілдері, сонымен қатар қоршаған орта мен биотаға әсер етуінің салдарын бағалау. Осы оқу құралы жоғары оқу орындарының биология-экология бағытында оқитын студенттерге, табиғатты пайдалану, қоршаған ортаны қорғау, биология және экология саласындағы мамандарға арналған.</t>
  </si>
  <si>
    <t>0001121</t>
  </si>
  <si>
    <t>Баймолдина Светлана Маликовна</t>
  </si>
  <si>
    <t>Уголовно-правовые и криминологические проблемы борьбы с нарушениями прав интеллектуальной собственности</t>
  </si>
  <si>
    <t>В данной монографии рассматриваются уголовно-правовые и криминологические проблемы борьбы с нарушениями прав интеллектуальной собственности, казахстанский и зарубежный опыт борьбы с нарушениями авторских и смежных прав, изобретений, полезных моделей, промышленных образцов, топологий интегральных микросхем, селекционных достижений и иных результатов творческой деятельности. 
 В приложении публикуются результаты социологических исследований сотрудников правоохранительных органов по основным вопросам защиты прав интеллектуальной собственности, схемы, отражающие уголовную ответственность за нарушения прав интеллектуальной собственности по уголовному законодательству Казахской ССР, по уголовному законодательству Республики Казахстан (УК РК от 1яваря 1998 г.), по уголовному законодательству Республики Казахстан (УК РК от 22 ноября 2005 г.) с последующими изменениями и дополнениями, статистические сведения по делам о правах интеллектуальной собственности. 
 Для ученых, научных и практических работников, преподавателей, студентов юридических вузов, а также для широкого круга читателей, интересующихся проблемами борьбы с нарушениями прав интеллектуальной собственности</t>
  </si>
  <si>
    <t>00011210</t>
  </si>
  <si>
    <t>Ахаева А.А.,Туякбаева А.У.</t>
  </si>
  <si>
    <t>Қоршаған орта ластануының биоиндикациясы</t>
  </si>
  <si>
    <t>Оқу құралында қоршаған ортаның биологиялық индикациясының теориялық негіздері қарастырылған. Туындыгерлер Қазақстан, ТМД және шет елдердің қоршаған орта мәселелерін шешудегі биоиндикация және биотестілеудің қазіргі әдістемелерін келтірген. Атмосфералық ауа, су және топырақ ластануының биоиндикациясы ретінде өсімдіктер, жануарлар және микроағзаларды қолдану сұрақтары қарастырылып сипаттама берілген. Осы оқу құралы жоғары оқу орындарының биология-экология бағытында оқитын студенттерге, табиғатты пайдалану, қоршаған ортаны қорғау, экология және биология саласындағы мамандарға арналған.</t>
  </si>
  <si>
    <t>00011211</t>
  </si>
  <si>
    <t>Тулеубаева С.А.</t>
  </si>
  <si>
    <t>Классическое и современное востоковедение</t>
  </si>
  <si>
    <t>Востоковедение, история</t>
  </si>
  <si>
    <t>Предлагаемое пособие позволяет заложить основы знаний по истории востоковедения в мире, дает представление об этапах становления и развития данной науки. Издание адресовано студентам и магистрантам востоковедческих и исторических специальностей, преподавателям, специалистам-востоковедам, а также широкой аудитории читателей</t>
  </si>
  <si>
    <t>00011212</t>
  </si>
  <si>
    <t>978-601-330-919-4</t>
  </si>
  <si>
    <t>Маханов М., Қаражанов А., Бектаев Б., Навийхан Б.</t>
  </si>
  <si>
    <t>Автомобильдің тартымдық есебі</t>
  </si>
  <si>
    <t>Оқу-әдітемелік құралы</t>
  </si>
  <si>
    <t>транспортная техника</t>
  </si>
  <si>
    <t>Оқу-әдістемелік құралында «Автомобиль қозғалысы және пайдалану қасиеттерінің теориясы», «Көлік техникасының динамикасы» және "Автомобиль теориясы" пәндері бойынша автомобильдің қозғалысы және пайдалану қасиеттерінің теориясы туралы жалпы мәліметтер, пайдалану қасиеттерінің негізгі түрлері және пайдалану жағдайлары, қозғалысына байланысты туындайтын факторларының пайдалану қасиеттерінің көрсеткіштеріне әсері туралы баяндалған. Оқу -әдістемелік құралында теориялық материалдар беріліп, іс жүзінде қолдануға арналған типтік есептерді шешу мысалдары келтірілген. Оқу-әдітемелік құралы «Көлік, көлік техникасы және технологиялары» білім беру бағдарламасы бойынша оқитын студенттердің оқу үдерісінде пайдалануына арналған</t>
  </si>
  <si>
    <t>00011213</t>
  </si>
  <si>
    <t>Чежимбаева К. С., Байкенов А.С., Гармашова Ю. М.</t>
  </si>
  <si>
    <t>Радиотехника және телекоммуникация негіздері. (2том)</t>
  </si>
  <si>
    <t>Радиотехника,электроника, телекоммуникации</t>
  </si>
  <si>
    <t>Оқулық «Радиотехника және телекоммуникация негіздері» курсының өзіндік жұмысына арналған. Оқулықта радиотехника мен телекоммуникацияның негізгі элементтеріне шолу жасалған. Оқулықтың өзіне деген қажеттілік радиотехника, сондай-ақ телекоммуникация саласында болып жатқан үрдістерді тереңірек түсіну қажеттілігінен туындайды. Телекоммуникацияның дамуы бір орында тұрған жоқ, телекоммуникация желілерін құрудың белгілі бір техникалық шешімдерін іске асырудың жаңа әдістері, ақпарат берудің жаңа стандарттары бар, сондықтан техникалық сұлбаларды құрудың негізгі қағидаларын сипаттаудан басқа, нұсқаулықта сілтемелер бар сол немесе басқа тақырыпты оқуда қолдануға болатын әдебиеттер. Телекоммуникация саласында болып жатқан үрдістерді түсінуге қажетті негізгі құрылымдық-сызбанұсқалар келтірілген.Оқулық «Радиотехника, электроника және телекоммуникациялар» мамандығының студенттеріне арналған</t>
  </si>
  <si>
    <t>00011214</t>
  </si>
  <si>
    <t>Ракишева Г.М., Сабитова Д.С., Нәби Л.,Оразбаева Г.О.</t>
  </si>
  <si>
    <t>Білім беру үдерісіндегі субъектілердің психологиялық денсаулықтарын зерттеу: теория мен тәжірибе</t>
  </si>
  <si>
    <t>Монографияда «денсаулық», «психологиялық денсаулық», «психикалық денсаулық» «психологиялық мәдениет» ұғымдарына ғалымдардың еңбектеріне сүйене отырып талдау жасалып, ұғымдардың теориялық негіздеріне жан -жақты сипаттама берілген. Сонымен қатар психологиялық денсаулықты сақтау, салауатты өмір салтын құрудың маңыздылығы, салауатты білім беру ортасын құрудың өзекті мәселелері, мектеп оқушылары мен мұғалімдер, ата-аналар арасындағы психологиялық денсаулық, психологиялық мәдениет белгілерін дамытудың ғылыми-әдістемелік аспектілері қарастырылған.</t>
  </si>
  <si>
    <t>00011217</t>
  </si>
  <si>
    <t>Омарова Е.О., Каинбаева А.Б., Ермаханбетова А.М.</t>
  </si>
  <si>
    <t>Әйелдер киімдерінің технологиясы</t>
  </si>
  <si>
    <t>Оқу құралы колледж және жоғарғы оқу орындарының студенттеріне арналған. Оқу құралында әйелдерге арналған тігін бұйымдарының технологиялық өңдеулері жайлы ақпараттар жазылған. Киім өндірісінің қарапайым түйінен бастап, күрделі түйіндерге дейінгі бірізділікті қамтитын оқу құралы десе де болады. Қарапайым қол және машина тігістері арқылы, жеңіл және сыртқы бұйымдардың түйіндерін өңдеу жолдары мен бұйымның монтаждық өңдеулері жайлы толық ақпарат берілген. Әр бұйымның технологиялық өңдеу бірізділігі толық және түсінікті мәтінмен жазылып, студенттердің өздігінен жобалаған бұйымдарын матадан орындап шығуға өз көмегін беретін ақпараттармен қамтылған оқу құралы ретінде орындалды</t>
  </si>
  <si>
    <t>00011218</t>
  </si>
  <si>
    <t>Омарова Е. О.</t>
  </si>
  <si>
    <t>Әйелдер киімдерін құрастыру және өңдеу технологиясы</t>
  </si>
  <si>
    <t>Оқу құралы колледж және жоғарғы оқу орындарының қазақ топтарында оқитын студенттеріне арналған. Оқу құралында киім жайлы жалпы ұғым, оның жіктелуі мен қызметі, адам анатомиясы мен тұлғаның өлшемдері және әйелдерге арналған тігін бұйымдарының технологиялық өңдеулері жайлы ақпараттар жазылған. адам тұлғасынан алынған ақпараттар бойынша әйел адамдарға иық және бел бұйымдарының құрастырылуы мен модельденуі берілген. Құрастыру кезінде конструктивтік қосымшалардың дұрыс таңдалуы мен олардың орындалатын қызметі негізделген. Сонымен қатар, базалық конструкция негізінде модельдік ерекшеліктер жасау жолдары мен тәсілдері де көрсетілген. Оқу құралында әртүрлі стильдегі әйелдер бұйымдарының нобайлары ұсынылып, олардың ішінде кейбір бұйымдардың модельдену жолдары сызба түрінде көрсетілген. Жалпы, оқу құралының көмегімен студент өздігінен кез-келген иық және бел бұйымдарын еш қиындықсыз құрастыра алатын байқауға болады. Киім өндірісінің қарапайым түйінен бастап, күрделі түйіндерге дейінгі бірізділікті қамтитын оқу құралы десе де болады. Қарапайым қол және машина тігістері арқылы, жеңіл және сыртқы бұйымдардың түйіндерін өңдеу жолдары мен бұйымның монтаждық өңдеулері жайлы толық ақпарат берілген. Әр бұйымның технологиялық өңдеу бірізділігі толық және түсінікті мәтінмен жазылып, студенттердің өздігінен жобалаған бұйымдарын матадан орындап шығуға өз көмегін беретін ақпараттармен қамтылған оқу құралы ретінде орындалды</t>
  </si>
  <si>
    <t>00011219</t>
  </si>
  <si>
    <t>Тарасовская Н.Е., Тулиндинова Г.К., Клименко М.Ю., Корогод Н.П.</t>
  </si>
  <si>
    <t>Генетика: вопросы, ответы, методическое творчество 1 часть</t>
  </si>
  <si>
    <t>Учебное пособие содержит комплекс авторских заданий по генетике с рекомендациями по их выполнению. В числе таких заданий – серийные тематические задачи в форме сценариев, комбинированные задачи по генетике человека на знание наследственных болезней и хромосомных аберраций, ситуативные задания с использованием кейс-метода. Среди методов нетрадиционного закрепления и контроля знаний описаны методика танцевальной вечеринки, использование в качестве методического объекта домашней кошки, рекомендации по выполнению исследовательских и лабораторных работ по генетике с использованием региональных природных объектов. Рассматривается проблема приобщения студентов педагогических вузов к методическому творчеству, в том числе составлению авторских задач. Тестовые задания для самостоятельной работы и текущего контроля знаний содержат задания междисциплинарного характера. Книга предназначена для студентов и преподавателей профильных вузов, учителей биологии и заинтересованных учащихся.</t>
  </si>
  <si>
    <t>0001122</t>
  </si>
  <si>
    <t>Баймуканов А., Баймуканов Д., Алиханов О.</t>
  </si>
  <si>
    <t>Мировой перечень генетических ресурсов основных пород крупного рогатого скота</t>
  </si>
  <si>
    <t>00011220</t>
  </si>
  <si>
    <t>978-601-330-937-8</t>
  </si>
  <si>
    <t>Генетика: вопросы, ответы, методическое творчество 2 часть</t>
  </si>
  <si>
    <t>00011221</t>
  </si>
  <si>
    <t>Дьяченко В.К., Кусаинов Г.М., Васильева Е.Н.</t>
  </si>
  <si>
    <t>Избранные дидактические произведения. IV-том. Книга-1</t>
  </si>
  <si>
    <t>Научно-методическое издание</t>
  </si>
  <si>
    <t>Четвертый том собрания произведений представлен двумя книгами академика В.К.Дьяченко: «Диалоги о школе XXI века» (1995) (в соавторстве с Г.М.Кусаиновым) и «Диалоги об обучении» (1995). В первой книге освещаются вопросы повышения квалификации учителей в контексте дидактики КСО. Во второй книге доказывается, что при существовании традиционной классно-урочной системы обучения современной школе не преодолеть того глубокого кризиса, в котором она находится. Выход из этого кризиса автор видит в создании демократической системы обучения по способностям, в применении новейшей педагогической технологии, что было опробовано им и его соратниками в экспериментальных классах школ №21 г.Красноярска, №12 г.Новокузнецка, №6 г.Лангепаса Тюменской области.Адресуется обучающимся педагогических вузов и колледжей, работникам сферы образования и науки.</t>
  </si>
  <si>
    <t>00011222</t>
  </si>
  <si>
    <t>Избранные дидактические произведения. IV-том. Книга-2</t>
  </si>
  <si>
    <t>00011226</t>
  </si>
  <si>
    <t>Избранные дидактические произведения. Том VII – Книга-1</t>
  </si>
  <si>
    <t>В седьмой том избранных произведений вошел фундаментальный труд В.К.Дьяченко «Наука об обучении и образование XXI века» (2004), в котором автор в присущей ему манере ведет беседы с собирательным образом представителя академической науки о необходимости придания дидактике статуса самостоятельной науки и основного вектора развития образования в 3-ем тысячелетии.Адресуется обучающимся педагогических вузов и колледжей, работникам сферы образования и науки</t>
  </si>
  <si>
    <t>00011227</t>
  </si>
  <si>
    <t>Избранные дидактические произведения. Том VII – Книга-2</t>
  </si>
  <si>
    <t>В седьмой том избранных произведений вошел фундаментальный труд В.К.Дьяченко «Наука об обучении и образование XXI века» (2004), в котором автор в присущей ему манере ведет беседы с собирательным образом представителя академической науки о необходимости придания дидактике статуса самостоятельной науки и основного вектора развития образования в 3-ем тысячелетии.Адресуется обучающимся педагогических вузов и колледжей, работникам сферы образования и науки.</t>
  </si>
  <si>
    <t>00011228</t>
  </si>
  <si>
    <t>978-601-330-437-3</t>
  </si>
  <si>
    <t>Кусаинов Г.М., Семенова А.Д.</t>
  </si>
  <si>
    <t>Этнодидактика Саха-Якутии</t>
  </si>
  <si>
    <t>В книге, состоящей из двух частей, впервые предлагается обобщение результатов этнодидактического исследования и уникального опыта якутских педагогов.В первой части раскрываются вопросы этнодидктики и этнопедагогизации учебно-воспитательного процесса, освоения педагогической технологии коллективного взаимообучения в школьной практике. Во второй части рассматриваются проблемы этнодидактической подготовки и переподготовки учителей.Адресуется работникам сферы образования и науки, обучающимся гуманитарных колледжей, педагогических вузов и университетов</t>
  </si>
  <si>
    <t>00011229</t>
  </si>
  <si>
    <t>978-601-13-0200-5</t>
  </si>
  <si>
    <t>Курашев А.Ғ., Курашева А.А.</t>
  </si>
  <si>
    <t>Бет-жақсүйек аймақтары ауруларын диагностикалау және ауру тарихын толтыру қағидалары</t>
  </si>
  <si>
    <t>Стоматология</t>
  </si>
  <si>
    <t>Оқулықта бет-жақсүйек аймақтарында жиі кездесетін аурулардың клиникалық белгілері сипатталған және диагностикалау қағидалары мен клиникалық зерттеу әдістері келтірілген. Бет-жақсүйек аймақтары ауруларымен сырқаттанған науқастарға ауру тарихын (сырқатнама) толтыру арқылы болшақ жас дәрігер мамандарына осы аймақтарда өтетін патологиялық процесстердің клиникалық ерекшеліктері мен асқынуларына айрықша көңіл бөлінген. Кәзіргі таңда бет-жақсүйек аймақтары ауруларымен сырқаттанған науқастарға ауру тарихын толтыру жөнінде ана тілінде жазылған әдістемелік нұсқаулар жоқтығы болшақ жас дәрігерлердің білікті маман ретінде қалыптасуларына қиындықтар бары сөзсіз және өкінішті. Осы олқылықтар ескеріле отырып, оқулықты жалпы студенттер қауымына және болашақта бет-жақсүйек хирургиясын игерем деген интерндерге, резиденттер мен жас дәрігер хирург мамандарына арналған.</t>
  </si>
  <si>
    <t>0001123</t>
  </si>
  <si>
    <t>Мировой перечень генетических ресурсов основных пород лошадей</t>
  </si>
  <si>
    <t>00011230</t>
  </si>
  <si>
    <t>Жұмабеков Ә.Т., Джувашев А.Б., Қаныбеков А., Нуспекова Д.Т.</t>
  </si>
  <si>
    <t>Проктология</t>
  </si>
  <si>
    <t>Хирургия-проктология</t>
  </si>
  <si>
    <t>Құрастырылып отырған оқу-әдістемелік құралда жиі кездесетін колопроктологиялық патологиялар, олардың жіктелулері, клиникасы, диагностикасы және емдік әдістері туралы түсініктемелер берілген. Оқу-әдістемелік құрал суреттер мен сызбалармен безендіріліп, сонымен қатар тест сұрақтарына сәйкес оның жауаптары көрсетілген. Оқу-әдістемелік құрал бакалаврларға, болашақ хирург - колопроктолог резиденттерге және медицина колледждерінің студенттеріне арналған</t>
  </si>
  <si>
    <t>00011231</t>
  </si>
  <si>
    <t>Жұмабеков Ә.Т., Қаныбеков А., Қаштаев Р.Е.</t>
  </si>
  <si>
    <t>Іш ауру синдромы</t>
  </si>
  <si>
    <t>Лечебное дело, внутренние болезни</t>
  </si>
  <si>
    <t>Оқу құралы "Емдеу ісі" мамандығы бойынша білім алушыларға арналған және "Ішкі аурулар пропедевтикасы" пәні бойынша оқу жоспарына сәйкес дайындалған. Оқу құралында "Ішкі аурулар пропедевтикасы"пәнін оқу кезінде білім алушыларға қажетті ас қорыту жүйесінің аурулары кезіндегі іштің ауырсыну синдромы туралы заманауи ұсыныстар берілген. Оқу құралы тест тапсырмаларымен және жауап эталондарымен білімді өзін-өзі бақылау үшін әр түрлі күрделілік деңгейіндегі жағдайлық тапсырма-лармен жабдықталған. Оқу құралы бакалаврлар мен резиденттерге, медициналық колледждің студенттеріне аудиториядан тыс өзіндік жұмысына арналған</t>
  </si>
  <si>
    <t>00011232</t>
  </si>
  <si>
    <t xml:space="preserve">Дәуренбеков Қ.Н., Дильдабекова Л.А., Рысымбетова Ж.Қ. 
 </t>
  </si>
  <si>
    <t>Аналитикалық химия</t>
  </si>
  <si>
    <t>Оқу құралы жоғары оқу орындарындағы «Фармация» және «Фармацевтикалық өндіріс технологиясы» білім бағдарламаларында білім алатын студенттерге арналады. Оқу құралында аналитикалық химияның теориялық негіздері: сапалық және сандық талдау әдістері қарастырылған, сонымен қатар зертханалық жұмыстарды орындау әдістері берілген. Білім алушыға әрбір тақырыптың соңында теориялық материалдары мен тәжірибелік дағдыларын қаншалықты меңгергенін бағалау мақсатында бақылау сұрақтары, есептер, жаттығулар және әрбір тақырып бойынша тест тапсырмалары ұсынылған. Оқу құралы орта кәсіптік білім беру деңгейіндегі фармация мамандығы бағытындағы және басқа мамандықтарда аналитикалық химия пәнін оқитын білім алушыларға да, сонымен қатар өзінің теориялық білімі мен тәжірибелік дағдыларын жетілдіремін дейтін магистранттар мен ізденушілерге де ұсынылады.</t>
  </si>
  <si>
    <t>00011233</t>
  </si>
  <si>
    <t>978-601-13-0999-8</t>
  </si>
  <si>
    <t>Дәуренбеков Қ.Н.</t>
  </si>
  <si>
    <t>Органикалық химия I том</t>
  </si>
  <si>
    <t>Оқулықтың I-ші томында органикалық қосылыстардың жіктелуі, номенклатурасы, химиялық байланыстардың түрлері, молекуладағы атомдардың өзара әсері, құрылымдық және кеңістіктік құрылысы, органикалық қосылыстардың қышқылдық-негіздік қасиеттері, құрылымын зерттеудің физикалық-химиялық зерттеу әдістері, реакциялардың түрлері мен реагенттер қарастырылған. Сонымен қатар, оқулықта органикалық қосылыстардың негізгі кластары: алифатты, алициклді, ароматты (моноядролық; конденсирленген, оқшауланған) көмірсутектердің жіктелуі, номенклатурасы, изомериясы, алыну жолдары, физикалық және химиялық қасиеттері, реакциялардың жүру механизмдері, идентификациялау әдістері және жекелеген өкілдерінің тәжірибедегі маңызы қарастырылған. Оқулық фармацевтикалық және медициналық жоғары және орта кісіптік білім беретін оқу орындарында білім алатын студенттерге арналады, сонымен қатар басқа жоғары және орта кәсіптік білім беретін оқу орындарында органикалық химия курсы оқу бағдарламасына енген химиялық, биологиялық, техникалық, ветеринарлық, ауылшаруашылық және басқа да мамандықтарда білім алатын студенттерге, магистранттарға және химия саласындағы ғылыми ізденушілерге ұсынылады.</t>
  </si>
  <si>
    <t>00011235</t>
  </si>
  <si>
    <t>978-601-13-1001-7</t>
  </si>
  <si>
    <t>Органикалық химия. III том</t>
  </si>
  <si>
    <t>Оқулықтың III-ші томында органикалық химияның негізгі кластары: гетероциклді қосылыстардың, алкалоидтардың, ақуыздардың, көмірсулардың, нуклеин қышқылдарының, липидтердің номенклатурасы, жіктелуі, алыну тәсілдері, физикалық және химиялық қасиеттері, механизмі, химиялық және инструменталды әдістермен идентификациялау әдістері, жеке өкілдерінің тірі ағзадағы биологиялық функциялары және тәжірибелік маңызы қарастырылған.Оқулық фармацевтикалық және медициналық жоғары және орта кісіптік білім беретін оқу орындарында білім алатын студенттерге арналады, сонымен қатар басқа жоғары және орта кәсіптік білім беретін оқу орындарында органикалық химия курсы оқу бағдарламасына енген химиялық, биологиялық, техникалық, ветеринарлық, ауылшаруашылық және басқа да мамандықтарда білім алатын студенттерге, магистранттарға және химия саласындағы ғылыми ізденушілерге ұсынылады.</t>
  </si>
  <si>
    <t>00011237</t>
  </si>
  <si>
    <t>Тұймебай Ж.Қ., Теңізбаев Е.Ж., Әбдуахит М.Қ., Орынбаева А.Б., Байғабылова Э.К.</t>
  </si>
  <si>
    <t>Операциялық жүйелері</t>
  </si>
  <si>
    <t>әдістемелік нұсқау</t>
  </si>
  <si>
    <t>Әдістемелік нұсқауда операциялық жүйелері пәні бойынша теориялық мәліметтер, есептерді шешуге арналған мысалдар, практикалық жұмысқа арналған тапсырмалар, өз бетінше оқуға арналған сұрақтар, сонымен қатар ұсынылатын әдебиеттер тізімі келтірілген. Әдістемелік нұсқау Қазақстан Республикасының Білім беру стандарттарына сәйкес «Ақпараттық технологиялар» бағыты бойынша бакалаврларды дайындау үшін операциялық жүйелері пәнін оқу процесінде, оның ішінде қашықтықтан білім беру технологияларын қолдана отырып оқытушылар мен студенттердің пайдалануына арналған.</t>
  </si>
  <si>
    <t>00011238</t>
  </si>
  <si>
    <t>Әбдуахит М.Қ., Тұймебай Ж.Қ., Жайлаубай А.М., Жолдыбаева Г.Т.</t>
  </si>
  <si>
    <t>«Кәсіби бағытталған шетел тілі» пәні бойынша Есептеу техникасы және бағдарламалық қамтамасыз ету мамандығына арналған</t>
  </si>
  <si>
    <t>Язык англ, информационные технолог</t>
  </si>
  <si>
    <t>Оқу құралы «Есептеу техникасы және бағдарламалық қамтамасыз ету» бағыты бойынша білім алушылардың ағылшын тілін меңгеруге арналған.Оқу құралында «Кәсіби бағытталған шетел тілі» пәні бойынша Theoretical information, грамматикалық жаттығуларды орындауға арналған мысалдар, практикалық жұмысқа арналған тапсырмалар, өз бетінше оқуға арналған сұрақтар, сонымен қатар ұсынылатын әдебиеттер тізімі келтірілген. Оқу құралында деңгейленген, тақырыпқа сай құрылған, студенттің біліктілігін арттыруға арналған жаттығулар, мәтіндер берілген. Оқу құралының мақсаты студенттерді күнделікті қарым-қатынас түрлеріне еркін араласып, өз мамандығы бойынша сұхбаттар жүргізе алуға үйрету. Мамандық саласына қарай жиі кездесетін лексиканы, ғылыми терминдерді, синтаксистік құрылымдарды қолдануға үйрету.</t>
  </si>
  <si>
    <t>00011239</t>
  </si>
  <si>
    <t>978-601-330-477-9</t>
  </si>
  <si>
    <t>Жолдыбаева Г.Т., Сабденов Қ.О., Жайлаубай А.М., Мамадиева К.Х., Әбдуахит М.Қ. Теңізбаев Е.Ж.</t>
  </si>
  <si>
    <t>Адамның өмір қауіпсіздігі</t>
  </si>
  <si>
    <t>Оқу-әдістемелік құралда</t>
  </si>
  <si>
    <t>ОБЖ</t>
  </si>
  <si>
    <t>Оқу-әдістемелік құралда қауіпсіздікті математикалық және физикалық мәселе деп түсінуге келтірілген. Мұнда қауіптер ең алдымен критикалық сандармен сипатталанады. Ол сандар әр бөлек жағдайда физикалық немесе статистикалық есептердің шешімі болып анықталады, сонда әр қауіпті жағдайды тек бар емес, осыдан әрі қосымша қаншаға қауіпті және сақтану үшін не істеу қажет екенін анықтауға жол ашады. Бұл қауіпсіздік мәселесін ғылыми жолға бағыттап, соны критикалық сандарды анықтаумен байланыстырады. Мұнда тұрмыстық жағдайдан және өндірістен көптеген мысалдар келтірілген, қауіптерді анықтау және бағалау әдістері талқылынады.Қауіпсіздік мәселесімен айналысатындарға және сол мамандыққа оқитын студенттерге және магистранттарға арналған.</t>
  </si>
  <si>
    <t>0001124</t>
  </si>
  <si>
    <t>Баймуканов А., Тоханов М., Баймуканов Д.А., Юлдашбаев Ю.А., Тоханов Б.М., Дошанов Д.А.</t>
  </si>
  <si>
    <t>Технология производства продукции верблюдоводства</t>
  </si>
  <si>
    <t>Монография посвящена актуальным вопросам технологии продукции верблюдоводства (молоко, мясо, шерсть и кожевенное сырье). Подробно описываются основные технологические процессы производства верблюжьего молока и молочных продуктов (шубат, биойогурт, балкаймак и шалап), верблюжатины, шерсти и кожевенного сырья высокого качества.Впервые представлены данные авторов по технологии производства шубата, балкаймака, шалапа, биойогурта по оригинальной рецептуре. Подробно описываются технологические требования к верблюжьему молоку при производстве шубата, а также технология производства сухого верблюжьего молока (шубата) и его таблетирования.Монография состоит из 25 глав, рассчитана на научных работников, студентов, преподавателей выших учебных заведений по агротехническим и биологическим специальностям</t>
  </si>
  <si>
    <t>00011240</t>
  </si>
  <si>
    <t>Жолдасова А.Ш., Демеубаева Ұ.О. Сабанбаева Р. Әбдуахит М.</t>
  </si>
  <si>
    <t>Заманауи дизайн</t>
  </si>
  <si>
    <t>Архитектура, Дизайн</t>
  </si>
  <si>
    <t>Бұл оқу құралында жалпы теориялық қалыптастыру аспектілерін сәулет және дизайнды ғылыми көзқараста зерделеп қарастыруды білдіреді, негізгі сәулет және дизайнның теориялық негіздерін, негізгі теориялық ережелерін, сәулет және дизайнның дамуымен байланысты кеңістіктік тоғысында тұрған түсініктерде жанрлық шекарасын бейнелеу. Заманауи дизайн — қоғамда болып жатқан жаңа технологиялар мен құрылғылар, процестерді белсенді түрде игеруге, өз қимылын үздіксіз болжауға, жобалауға мәжбүр заманауи әлемде өмір сүретін адам ойының образы келтірілген. Дизайн мамандықтар бойынша ЖОО студенттеріне арналған.</t>
  </si>
  <si>
    <t>00011241</t>
  </si>
  <si>
    <t>978-601-330-351-2</t>
  </si>
  <si>
    <t>Сабанбаева.Р.Ө, Демеубаева.Ұ.О, Жолдасаов.А.Ш, Әбдуахит М.Қ.</t>
  </si>
  <si>
    <t>Қаріп</t>
  </si>
  <si>
    <t>«Қаріп» оқулығында дизайн объектілерін безендіруде композицияны, пішінді, бояуды, шрифт стилін пайдаланудың жалпы түсінігі мен мәселелері берілген; дизайнның өнер түрі ретінде және дизайн түрі ретіндегі сипаттамасы беріледі; объектіні түсіру әдістері, жағдайды талдау, композициялық шешімнің конструкторлық бағдарламасын құру, жобалық құжаттаманы жобалаудың графикалық және макеттік әдістері.Оқу құралы «Дизайн» мамандығының студенттеріне арналған.</t>
  </si>
  <si>
    <t>00011242</t>
  </si>
  <si>
    <t>Әбдуахит М.Қ., Сабанбаева Р., Жолдасова А., Демеубаева Ұ.</t>
  </si>
  <si>
    <t>«Шетел тілі»– «Сән, интерьер дизайны және өнеркәсіптік дизайн» (6В02102 - Дизайн) мамандығына арналған 
  пәні бойынша</t>
  </si>
  <si>
    <t>Оқу құралы 6В02101 – «Сән, интерьер дизайны және өнеркәсіптік дизайн» (6В02102 - Дизайн) бағыты бойынша білім алушылардың ағылшын тілін меңгеруге арналған.Оқу құралында «Шетел тілі» пәні бойынша теориялық мәліметтер, грамматикалық жаттығуларды орындауға арналған мысалдар, практикалық жұмысқа арналған тапсырмалар, өз бетінше оқуға арналған сұрақтар, сонымен қатар ұсынылатын әдебиеттер тізімі келтірілген. Оқу құралында деңгейленген, тақырыпқа сай құрылған, студенттің біліктілігін арттыруға арналған жаттығулар, мәтіндер берілген. Оқу құралының мақсаты студенттерді күнделікті қарым-қатынас түрлеріне еркін араласып, өз мамандығы бойынша сұхбаттар жүргізе алуға үйрету. Мамандық саласына қарай жиі кездесетін лексиканы, ғылыми терминдерді, синтаксистік құрылымдарды қолдануға үйрету.</t>
  </si>
  <si>
    <t>00011243</t>
  </si>
  <si>
    <t>Жайлаубай А.М., Сахова С.О., Жолдыбаева Г.Т., Абдуахит М.Қ., Теңізбаев Е.Ж</t>
  </si>
  <si>
    <t>Бағдарламалаудың жаңа технологиялары</t>
  </si>
  <si>
    <t>Бұл оқу құралы кредиттік технология бойынша оқитын бакалаврларға арналған.Оқу құралының негізгі мақсаты - студенттерге бағдарламалаудың жаңа технологияларын үйрету. Бұл оқу құралы жалпы кәсіби пәнді оқуға арналған. Нұсқаулықта бағдарламаны тереңдететін және орыс тілінің практикалық стилистикасы бойынша дағдылар мен дағдыларды бекітуге мүмкіндік беретін көлемде теориялық және практикалық материалдар, сондай-ақ өзін-өзі тексеруге арналған сұрақтар, тест тапсырмалары және оларға дұрыс жауаптар кодтары бар.Күндізгі, қашықтықтан оқыту формаларының студенттеріне ұсынылады.</t>
  </si>
  <si>
    <t>00011244</t>
  </si>
  <si>
    <t>978-601-13-0453-5</t>
  </si>
  <si>
    <t>Турегалиева Г.С.</t>
  </si>
  <si>
    <t>Банковское право</t>
  </si>
  <si>
    <t>Экономика, Юридический</t>
  </si>
  <si>
    <t>Учебное пособие подготовлено на базе кафедры Экономики и правоведения. В учебном пособии дается характеристика банковской системы, раскрываются принципы и функции банковского планирования и их регулирования. Анализируется взаимоотношения Национального банка с банками второго уровня, проанализировано законодательство, регулирующее банковские правоотношения.Представлен курс лекций, контрольные вопросы для самопроверки, вопросы для подготовки к зачету.Для студенческой аудитории написано понятным языком.</t>
  </si>
  <si>
    <t>00011245</t>
  </si>
  <si>
    <t>978-601-13-0452-8</t>
  </si>
  <si>
    <t>Конституционное право</t>
  </si>
  <si>
    <t>Особенность предмета конституционного права состоит и в том, что конституционно-правовое регулирование общественных отношений в различных сферах жизни, охватываемых данной отраслью, неодинаково. В одних сферах жизни общества нормы конституционного права регулируют лишь основополагающие отношения, т.е. те, которые предопределяют содержание всех остальных отношений в соответствующей сфере. Во всем объеме их регулирование осуществляется другими отраслями права. Так, в сфере экономической жизни общества предметом конституционного права являются только те отношения, которые характеризуют основные начала и принципы экономики, формы собственности. Это прежде всего те отношения, которые связаны с устройством государства, организацией государственной власти, всей политической системы общества и служат основой формирования всех других общественных отношений.Таким образом, предметом конституционного права являются те отношения, которые можно назвать базовыми, основополагающими в каждой из областей жизни.Рекомендовано УМО в качестве учебного пособия для студентов учебных заведений, обучающихся по специальности Правоведение. Квалификация: «Юрист».</t>
  </si>
  <si>
    <t>00011246</t>
  </si>
  <si>
    <t>978-601-352-553-2</t>
  </si>
  <si>
    <t>Sadyrbaeva B.A., Rysbekyzy N., Abdirasilova G.K, Berkutbaeva M.Z. (Абдирасилова Г.К.)</t>
  </si>
  <si>
    <t>Practise your english</t>
  </si>
  <si>
    <t>Язык англ</t>
  </si>
  <si>
    <t>The proposed textbook is designed for A2, B1 levels in the subject of a foreign language of non-linguistic specialties.The manual is designed to develop students ' oral speech skills. The authors 'manual is designed for the 1st year students and is designed according to the curriculum, it consists of text, lexical and grammar exercises, to test the students' topics assimilation the test is presented.The purpose of the manual is to improve students ' skills of oral speech and written speech in English on the basis of specially selected materials. / Предлагаемый учебник рассчитан на уровни А2, В1 по предмету "Иностранный язык" неязыковых специальностей.Пособие предназначено для развития у студентов навыков устной речи. Авторское пособие предназначено для студентов 1 курса и разработано в соответствии с учебной программой, состоит из текста, лексических и грамматических упражнений, для проверки усвоения студентами тем представлен тест.Целью пособия является совершенствование навыков устной и письменной речи студентов на английском языке на основе специально подобранных материалов.</t>
  </si>
  <si>
    <t>00011247</t>
  </si>
  <si>
    <t>Sadyrbaeva B.A., Abdirasilova G.K, Berkutbaeva M.Z. (Абдирасилова Г.К.)</t>
  </si>
  <si>
    <t>Basic english for elementary and pre-intermediate learners</t>
  </si>
  <si>
    <t>Learning a language means learning the world. The purpose of the textbook is to develop students ' skills and abilities to speak English based on the provided materials. The manual is intended for university students and applicants who have started learning English at the level of A1, A2, and B1.Theoretical topics are widely presented and explained in the textbook. The processes of reading, visualization, understanding, and consolidating the theoretical knowledge are supplemented reasonably by different exercises. We believe that the tutorial will help students studying at universities and those learning English independently. / "Изучение языка означает познание мира. Цель учебника - развить у студентов навыки и умения говорить по-английски на основе предоставленных материалов. Пособие предназначено для студентов университетов и абитуриентов, которые начали изучать английский язык на уровне A1, A2 и B1.Теоретические темы широко представлены и объяснены в учебнике. Процессы чтения, визуализации, понимания и закрепления теоретических знаний разумно дополняются различными упражнениями. Мы считаем, что учебное пособие поможет студентам, обучающимся в университетах, и тем, кто изучает английский язык самостоятельно</t>
  </si>
  <si>
    <t>00011248</t>
  </si>
  <si>
    <t>Каратаев Ж.</t>
  </si>
  <si>
    <t>Векторлық талдау</t>
  </si>
  <si>
    <t>Оқу құралы жоғары оқу орындарында оқылатын «Векторлық талдау» пәнінің бағдарламасына сәйкес жазылған. Оқу құралының әрбір параграфында теориялық қағидалар келтіріліп және оны жақсы меңгеруге жәрдемдесетін мысалдар мен жаттығулар толық түсіндірмесімен шығарылған. Сонымен қатар әр тақырыптың соңында аудиторияда және өздігінше шығарылатын есептер топтамасы берілген. Студенттердің өз бетінше міндетті түрде орындалуына тиісті және олардың білімін тексеруге арналған әр қайсысы 30 нұсқадан тұратын жаттығулар мен есептер берілген.</t>
  </si>
  <si>
    <t>00011249</t>
  </si>
  <si>
    <t>Дифференциалдық теңдеулерді шешу</t>
  </si>
  <si>
    <t>Оқу құралында жай дифференциалдық теңдеулер қарастырылған. Оқу құралының әрбір параграфында теориялық қағидалар дәлелдемесімен келтіріліп және оны жақсы меңгеруге жәрдемдесетін мысалдар мен жаттығулар толық түсіндірмесімен шығарылған. Әрбір параграфтың соңында практикалық сабақ өткізу кезінде шағарылатан есептер мен жаттығулар топтамасы жауабымен келтірілген. Оқу құралының соңында студенттердің өзіндік жұмыстарына арналған тапсырмалар топтамасы (әр қайсысы 30 нұсқадан) берілген. Оқу құралы жоғары оқу орындарының студенттеріне және арнаулы орта оқу орындарының оқушыларына арналған.</t>
  </si>
  <si>
    <t>00011250</t>
  </si>
  <si>
    <t>Дүйсембаев С.Т, Серікова А.Т., Сулейменов Ш.К.</t>
  </si>
  <si>
    <t>Жануарлар тектес өнімдерді ветеринариялық – санитариялық сараптау</t>
  </si>
  <si>
    <t>Оқу құралында мал шаруашылығы өнімдерін ветеринариялық-санитариялық сараптаудың заманауи органолептикалық және зертханалық әдістері қарастырылған. «Ветеринариялық-санитариялық сараптама» курсы бойынша тест тапсырмалары берілген. Оқу құралы жоғары кәсіптік білім беру бағдарламаларына сәйкес жануарлар тектес өнімдер; өнімдерді ветеринариялық-санитариялық сараптау; азық-түлік қауіпсіздігі бойынша оқитын студенттерге арналған.</t>
  </si>
  <si>
    <t>00011251</t>
  </si>
  <si>
    <t>Өнербаева З.О, Ильясова Г.У.</t>
  </si>
  <si>
    <t>Химиядан есептер шығару әдістемесі</t>
  </si>
  <si>
    <t>Оқу – әдістемелік құралы</t>
  </si>
  <si>
    <t>Бұл әдістемелік оқу құралында химиядан есептер шығару әдістемесінен оқытылатын сан және сапа есептерінің маңызы, типтері, шығару әдіс – тәсілдері және олардың химиялық мазмұнын түсінуге мүмкіндік беретін теориялық негізі қарастырылды. Әдістемелік оқу құралы химия мұғалімдеріне, магистранттар мен студенттерге арналған.</t>
  </si>
  <si>
    <t>00011252</t>
  </si>
  <si>
    <t>Кожабекова А.Ж.</t>
  </si>
  <si>
    <t>Совершенствование технологии создания зеленых (древесных) зонтов на пастбищах аридной зоны юго-востока Казахстана</t>
  </si>
  <si>
    <t>Лесные ресурсы</t>
  </si>
  <si>
    <t>В монографии изложены актуальные вопросы и охраны и защиты животных от летнего зноя путем использования не только специальные насаждения, но и существующие защитные лесные полосы. Показана необходимость дифференцированной оценки лесорастительных условий в зависимости от засоленности сероземных почвы и от глубины залегания грунтовых вод. Предлагается ассортимент древесных пород для создания лесонасаждений- зонтов от защиты животных прямой солнечной радиации и высокой температуры почвы и воздуха на пастбищах засушливой зоны юго-востока Республики Казахстан.Приведены рекомендации по технологии создания лесонасаждений-зонтов на пастбищах засушливой зоны Республики.Рассчитана на научных и инженерно-технических работников в области сельского и лесного хозяйства, преподавателей и студентов аграрных вузов.</t>
  </si>
  <si>
    <t>00011253</t>
  </si>
  <si>
    <t>Саликжанов Р.С.</t>
  </si>
  <si>
    <t>Социология образования: прикладные аспекты.(дополненный, переизданный)</t>
  </si>
  <si>
    <t>Социология, политология</t>
  </si>
  <si>
    <t>В учебном пособии представлены результаты авторских прикладных исследований в рамках социологии образования. Также обобщен большой эмпирический материал коллег социологов весьма полезный в ходе планирования и управления социокультурными процессами в образовательной среде.Содержание учебного пособия учитывает особенности организации учебного процесса по кредитной системе обучения, представленные разделы рассчитаны для изучения в течении одного семестра.Данное учебное пособие подготовлено для студентов и магистрантов по специальности «Социология», «Политология», «Государственное и местное управление», для изучающих предмет «Социология», «Социология образования» в высших учебных заведениях, а также для всех, кто интересуется проблемами социологического познания.</t>
  </si>
  <si>
    <t>00011254</t>
  </si>
  <si>
    <t>Студент жастардың саяси мәдениеті.(2 басылым,толтырылған)</t>
  </si>
  <si>
    <t>Оқу құралы автордың студенттер саяси мәдениетін зерттеу тәжірибесі негізінде дайындалған. Студенттердің саяси мәдениетін зерттеудің теориялық-әдіснамалық негіздері талданып, жастардың саяси мәдениеті - қоғам әлеуметтік-саяси кеңістігінің маңызды бөлігі ретінде қарастырылған. Автор жастар ортасында әлеуметік-мәдени үрдістерді басқаруға көмектесетін көптеген эмпирикалық материалдар жинаған.Оқулықтың мазмұнында кредиттік оқыту жүйесі бойынша оқыту ерекшеліктері ескерілген, кітап бөлімдері семестр бойы оқытуға арналған.Оқу құралы «Әлеуметтану», «Саясаттану», «Мемлекеттік және жергілікті басқару», «Қоғаммен байланыс» білім беру бағдарламалары бойынша «Саяси әлеуметтану», «Қоғамдық пікір», «Саяси мәдениет және идеология» пәндерін және басқа да оқу курстарында қолдануға арналған.Сонымен қатар, әлеуметтанулық таным мәселелеріне қызығатын барша қауым оқулықтан өз керегін алады.</t>
  </si>
  <si>
    <t>00011255</t>
  </si>
  <si>
    <t>978-601-13-0936-3</t>
  </si>
  <si>
    <t>Наурызбаев К.Қ., Бүркіт Ә.Қ (Буркит А.К).</t>
  </si>
  <si>
    <t>Техникалық-конструкторлық шығармашылық негіздерінде кіріспе</t>
  </si>
  <si>
    <t>Робототехника,Информационные технологии</t>
  </si>
  <si>
    <t>Оқу қүралы университеттің техникалық мамандығының студенттері мен колледж және орта мектеп, гимназия, лицейдің өнертапқыш оқушыларына арналған.Оқу құралы техника салаларын оқып білуге және олардың жаңа түрлерін жобалау барысында машықтану үшін алдыменен олардың үлгілерін жасап шеберліктерін арттыруға арналған. Сонымен қатар конструкторлық жэне дизайнерлік жүмыстарға қабілеті бар оқырмандарға біліктілігін арттыруға жәрдемдесу мәселелері қарастырылған.</t>
  </si>
  <si>
    <t>00011256</t>
  </si>
  <si>
    <t>978-601-330-313-0</t>
  </si>
  <si>
    <t>Бүркіт Ә.Қ (Буркит А.К)</t>
  </si>
  <si>
    <t>«АРХИМЕД &amp; PERPETUUM MOBILE» -Техникалық үйірмесі</t>
  </si>
  <si>
    <t>Әдістемелік құрал</t>
  </si>
  <si>
    <t>Озық педагогикалық тәжірибені зерттеу, тарату және енгізу. Жалпы орта мектептің ғылыми жетекші-мұғалімдеріне, жоғары оқу орындарының педагогикалық мамандықтар бойынша оқитын студенттер мен магистранттарға арналған әдістемелік құралы. Бұл әдістемелік құралда әдіскер-мұғалім Бүркіт Әуесхан Қантөреұлының сыныптан тыс жұмыстарда зерек және дарынды оқушылармен жұмыс істеу әдістерін жетілдірудегі озық педагогикалық тәжірибелерін еліміздегі барлық білім беру ұйымдарына, яғни жалпы орта мектептерге тарату және енгізу жайлы құнды еңбектер жазылған.</t>
  </si>
  <si>
    <t>00011259</t>
  </si>
  <si>
    <t>Бүркіт Ә.Қ (Буркит А.К), Омаров Е.Т., Накишов Н.Н.</t>
  </si>
  <si>
    <t>Цифрлық қазақстан: Шөген федерациясының сайты және оның құқықтық қырлары</t>
  </si>
  <si>
    <t>Бұл монографияда рухани жаңғырған ежелгі «Шөгеннің» құқықтары мен міндеттері жайлы құнды мәліметтер келтірілген. Қазақстан жоғары мектебінің профессор-оқытушылары мен студенттерге, магистранттар мен докторанттарға арналған монография</t>
  </si>
  <si>
    <t>0001126</t>
  </si>
  <si>
    <t>Баймуканов Д.А., Баймуканов А</t>
  </si>
  <si>
    <t>Цитогенетика верблюдов (альбом): 3-е издание (с изменениями).</t>
  </si>
  <si>
    <t>00011260</t>
  </si>
  <si>
    <t>978-601-330-139-6</t>
  </si>
  <si>
    <t>Сүтжанов С.Н(Сутжанов С.Н), Құралқанова Б.Ш.</t>
  </si>
  <si>
    <t>Түркі халықтарының әдебиеті</t>
  </si>
  <si>
    <t>Тюркология, Казахская литература</t>
  </si>
  <si>
    <t>Бұл оқу құралында түркі халықтары әдебиетінің көне дәуірінен бастап бүгінгі күнге дейінгі даму бағыты, осы кезеңдегі ақын-жазушылардың шығармашылығы қарастырылған. Сондай-ақ түркі ұлыстарына ортақ мәдени мұра, ескерткіштер, әдеби жәдігерлер байыпталып, әзірбайжан, башқұрт, қарақалпақ, қырғыз, өзбек, ұйғыр, татар, түрік, түрікмен және басқа да түркі халықтарының әдебиеттері (Ноғай, Чуваш, Күрд және т.б.) туралы, көрнекті көркем сөз өкілдерінің шығармашылықтарындағы түрікшілдік, исламшылдық сарындастық мысал, мәтін және дәйек көздері арқылы дәлелденіп берілді.</t>
  </si>
  <si>
    <t>00011261</t>
  </si>
  <si>
    <t>Галай К.Н., Таттимбетова К.О.</t>
  </si>
  <si>
    <t>Зарубежная литература XIX века</t>
  </si>
  <si>
    <t>Рус литература, История</t>
  </si>
  <si>
    <t>Курс «Зарубежная литература XIX века» предназначен для ознакомления студентов с основными этапами развития зарубежной литературы XIX веков. Основной целью курса является приобретение студентами базовых знаний в этой области. Из всего многообразия культурологических, эстетико-философских и литературоведческих парадигм, из множества произведений художественной литературы выделяется наиболее значимый материал, освоение которого позволяет понимать и оценивать развитие литературного процесса в целом, определять особенности развития национальных литератур. Помимо информационно-когнитивной составляющей курса, важной его частью является решение практических задач: выработка у студентов навыков самостоятельного практического анализа литературного произведения в области типологического сходства.Задачами курса являются: • выявление особенностей развития зарубежной литературы XIX веков; • раскрытие специфики эстетических систем романтизма, реализма; • характеристика художественных направлений; • анализ этапов литературного развития и творчества крупнейших писателей века; • изучение закономерностей взаимодействия общих тенденций, национального и личного начал в литературном процессе; • усвоение теоретических знаний в рамках изучения вопросов формирования литературных жанров, эволюции художественной формы. Цели: - изучение культурной жизни в первой половины ХIХ века, прежде всего основных тенденций в изящной словесности, ее жанрового многообразия, тематики, проблематики, поэтики; - освоение научно-критических, биографических, других материалов в связи с рассмотрением наиболее значительных художественных произведений в прозе, поэзии в ретроспективном и перспективном плане; - раскрыть историко-типологические связи зарубежной словесности.</t>
  </si>
  <si>
    <t>00011262</t>
  </si>
  <si>
    <t>Мусалиева Р.Д.</t>
  </si>
  <si>
    <t>Логистика специализированных перевозок 1 том</t>
  </si>
  <si>
    <t>В учебнике рассмотрены вопросы организации перевозочного процесса специальных грузов, с применением логистического подхода. Перевозка специальных грузов предполагает создание особых условий транспортировки. Это весьма сложная процедура, требующая огромного практического опыта и широких теоретических знаний. В учебном издании описаны транспортировка опасных, тяжеловесных, крупногабаритных, скоропортящиеся грузов и живых животных, предметы искусства, ценных, музейных экспонатов.</t>
  </si>
  <si>
    <t>00011263</t>
  </si>
  <si>
    <t>Логистика специализированных перевозок 2 том</t>
  </si>
  <si>
    <t>00011264</t>
  </si>
  <si>
    <t>Бегман Ы.</t>
  </si>
  <si>
    <t>Тіл дамыту</t>
  </si>
  <si>
    <t>Дошкольное обучение и воспитание</t>
  </si>
  <si>
    <t>Бұл әдістемелік құрал мектепке дейінгі балалар мен дайындық сынып оқушыларына арналған бағдарлама негізінде дайындалды. Тіл неғұрлым ертерек меңгерілсе, ойлау үдерісі де солғұрлым ертерек дамитын болады. Керісінше ойы даму нәтижесінде тілі де байып, шұрайлана түседі деген сөз. Мұнан шықты, балабақша тәрбиешісі мен әрбір ата-ана баланың сөйлеу мәдениетін мен сөздік қорын дамытуға үлкен мән беруі тиіс. Бұл әдістемелік құралда балалардың тілін байытуға, күрделі ой үдерістерін қалыптастыруға ықпал ететін, тәрбиелік мәні бар жаттығулар ұсынылып отыр. Сонымен бірге, бала тілі мен ақыл-ойын жетілдірудің қазіргі заманғы педагогикалық технологиялары, тиімді әдіс-тәсілдері көрсетілген.Бұл еңбек балабақша тәрбиешілері, бастауыш сынып мұғалімдері мен ата-аналарға арналған.</t>
  </si>
  <si>
    <t>00011265</t>
  </si>
  <si>
    <t>Нақылдың құнары-ақылдың тұмары</t>
  </si>
  <si>
    <t>«Нақылдың құнары – ақылдың тұмары» кітабында көптеген түркі тілдерінде XV – XVII ғасырдарда жазылған мол мұралар күні бүгін өмір сүріп отырған бір сыпыры түркі халықтарына ортақ болып келетін болғандықтан, олардан алынған нақыл сөздерімен бірге қазақтың ақын-жазушыларының да қанатты сөздері жинақталған. Сонымен бірге Қытай халқының ұлы ойшылы Конфуцийдің, Испан халқының философ-жазушысы Бальтаср Гарсиа –и –Моралестің және Л.Н.Толстойдың афаризмдері ұсынылып отыр.Кітап данышпандық ойды сүйер барша жұртшлыққа арналады.</t>
  </si>
  <si>
    <t>00011266</t>
  </si>
  <si>
    <t>978-601-330-302-4</t>
  </si>
  <si>
    <t>Ертегілер</t>
  </si>
  <si>
    <t>Бұл ұсынылып отырылған халық ертегілерін ата-ана және балабақша тәрбиешілері балалардың шығармашылық қиялын, тілін байытып, ойын логикалық байланыста жеткізуге жаттықтырады. Еңбек ата-ана, балабақша тәрбиешілері және мектеп мұғалімдері мен оқушыларына ұсынылады</t>
  </si>
  <si>
    <t>00011267</t>
  </si>
  <si>
    <t>978-601-330-301-7</t>
  </si>
  <si>
    <t>Жаңылтпаштар</t>
  </si>
  <si>
    <t>Бұл ұсынып отырған дидактикалық материалдарды сабақ процесінде пайдалану арқылы ата-ана, балабақша тәрбиешісі балалардың тіл ұстарту, сөздің дыбыстауын нақышына келтіре дұрыс та шебер айта білуге жаттықтырады. Сөздердің лексикалық мағынасын терең түсінуге ықпал етеді.Еңбек бала тәрбиесімен айпалысатын ата-аналар мен бабабақша тәрбиешілеріне ұсынылады.</t>
  </si>
  <si>
    <t>00011268</t>
  </si>
  <si>
    <t>978-601-330-306-2</t>
  </si>
  <si>
    <t>Жұмбақтар</t>
  </si>
  <si>
    <t>Бұл ұсынылып отырылған дидактикалық материалдарды балабақшаларда пайдалана отырып тәрбиеші балалардың ақл-ойын, пікірін логикалық жүйеде түрде дұрыс бере білуге жаттықтырады: Нәтижеде тілі дамып, сөздік қоры молаяды. Қоршаған ортаны терең тануға жаттығады</t>
  </si>
  <si>
    <t>00011269</t>
  </si>
  <si>
    <t>978-601-330-305-5</t>
  </si>
  <si>
    <t>Мақал-мәтелдер</t>
  </si>
  <si>
    <t>Бұл ұсыныльш отырылған дидактикалық материалдарды мүғалім грамматика, емле, тіл дамыту сабақтарында пайдалану арқылы оқушылардың тілін шүрайлы ойын көркем етіп жеткізуге жаттьгқтырады. Еңбек мектеп мүғалімдері мен оқушыларына ұсынылады.</t>
  </si>
  <si>
    <t>0001127</t>
  </si>
  <si>
    <t>Баймуканов Д.А., Баймуканов А., Алиханов О., Дошанов Д.А.</t>
  </si>
  <si>
    <t>Основы селекции и профилактики болезней верблюдов</t>
  </si>
  <si>
    <t>00011270</t>
  </si>
  <si>
    <t>978-601-352-562-4</t>
  </si>
  <si>
    <t>Кестелі грамматика</t>
  </si>
  <si>
    <t>Ұсынылып отырған оқу құралында мектеп бағдарламасына сай және қазіргі қазақ тіліндегі фонетика, лексика және грамматика салаларын көрнекі түрде оқыту жүйеленген.Оқу құралы орта мектептің қазақ тілі пәні мұғалімдеріне арналған</t>
  </si>
  <si>
    <t>00011271</t>
  </si>
  <si>
    <t>Тіл дамытудың психолингвистикалық негіздері</t>
  </si>
  <si>
    <t>Бұл еңбекте тіл дамытудың ғылыми негіздері, оның мазмұны мен салалары қамтылған. Сондай-ақ, тілді қарым-қатынас құралы ретінде оның дамыту, танымдық процестерінің (қабылдау, ойлау, ес, қиял, т.б.) рөлі анық көрсетілген. Айталық, бастауыш сынып оқушы-ларының ауызша және жазбаша сөйлеу дағдыларын қалыптастырудың тиімді әдіс-тәсілдер жайында сөз етіледі.Бұл еңбек педагогика институтының студенттері мен мектеп мұғалімдеріне арналған.</t>
  </si>
  <si>
    <t>00011272</t>
  </si>
  <si>
    <t>Уажанова Р.У., Тунгышбаева У.О.</t>
  </si>
  <si>
    <t>Интегрированная система менеджмента на примере хлебопекарного производства</t>
  </si>
  <si>
    <t>Данная монография является результатом научно-исследовательской работы, посвященной совершенствованию системы управления качеством готовой продукции, содержит теоретические и практические аспекты менеджмента деятельностью предприятия, внедряющего систему качества на основе международных стандартов. Разработанный метод внедрения интегрированной системы безопасности и качества может быть использован на хлебопекарных производствах для более детального обеспечения качества и безопасности конечной продукции.Предназначена для студентов, магистрантов, докторантов и преподавателей технологических вузов, научных работников, а также для специалистов в области стандартизации, сертификации, управления качеством а также в области пищевой безопасности</t>
  </si>
  <si>
    <t>00011273</t>
  </si>
  <si>
    <t>978-601-330-315-4</t>
  </si>
  <si>
    <t>Жанбиров Ж.Ғ., Тоқтамысова А.Б.</t>
  </si>
  <si>
    <t>Логистиканың тұжырымдамалық негіздері. 1 том</t>
  </si>
  <si>
    <t>«Логистика» мамандығына кәсіби қайта дайындау бағдарламасына сәйкес дайындалған оқу құралдары. Оқу құралдарының материалдары тиісті тақырып бойынша («Логистика негіздері», «Микрологистика», «Макрологистика», «Коммерциялық логистика», «Көлік-технологиялық логистика», «Өнімді қайта өңдеу және сақтау жүйелерін басқару» және т.б.) бірқатар дәрістер курстарының негізін құрайды. Олар білім беру процесіне қажетті ақпараттың үлкен көлеміне және әртүрлі спектріне және экономикалық, математикалық және статистикалық сипаттағы пәндер жиынтығына негізделген.</t>
  </si>
  <si>
    <t>00011274</t>
  </si>
  <si>
    <t>978-601-330-316-1</t>
  </si>
  <si>
    <t>Логистиканың тұжырымдамалық негіздері. 2 том</t>
  </si>
  <si>
    <t>«Логистика» мамандығына кәсіби қайта дайындау бағдарламасына сәйкес арнаулы білімі бар мамандармен кәсіпкерлерге дайындалған оқу құралы. Оқу құралының материалдары тиісті тақырып бойынша («Логистика негіздері», «Микрологистика», «Макрологистика», «Коммерциялық логистика», «Көлік-технологиялық логистика», «Өнімді қайта өңдеу және сақтау жүйелерін басқару» және т.б.) бірқатар дәрістер курстарының негізін құрайды. Олар білім беру процесіне қажетті ақпараттың үлкен көлеміне және әртүрлі спектріне және экономикалық, математикалық және статистикалық сипаттағы пәндер жиынтығына негізделген.</t>
  </si>
  <si>
    <t>00011275</t>
  </si>
  <si>
    <t>978-601-330-317-8</t>
  </si>
  <si>
    <t>Логистиканың тұжырымдамалық негіздері. 3 том</t>
  </si>
  <si>
    <t>00011276</t>
  </si>
  <si>
    <t>Қадыкен.Р., Жүнісов.А., Баймәжі.Е.</t>
  </si>
  <si>
    <t>Етті жылқы шаруашылығындағы бағалау және іріктеу</t>
  </si>
  <si>
    <t>Ветеринария, Технология животноводства</t>
  </si>
  <si>
    <t>Аталмыш оқу құралы ауыл шаруашылығы саласы бойынша, жоғары оқу орындарының «Мал шаруашылығы өнімдерін өндіру технологиясы» білім беру бағдарламасының, студенттері мен магистранттарына арналған. Оқу құралында етті жылқы шаруашылығындағы бағалау және іріктеудің, зерттеу әдістері мен тәсілдерін сонымен бірге, кең көлемде пайдалану мен жетістіктері сөз етіледі. Сонымен бірге алған білімдерін тексеріп шыңдай түсу үшін, тараулар бойынша бақылау сұрақтары қарастырылған.</t>
  </si>
  <si>
    <t>00011277</t>
  </si>
  <si>
    <t>Тусупова С.А., Тусупов К.А., Ералина Э.М., Молдакалыкова Б.Ж.</t>
  </si>
  <si>
    <t>Жобаны басқару: MS Project бойынша практикум</t>
  </si>
  <si>
    <t>Бұл оқу құралында жобаны басқару мәселелері, жобаны әзірлеу әдістері мен құралдары қарастырылған. Оқу құралы кәсіби дайындықтың барлық деңгейлеріндегі студенттерге жобаға қатысушылардың мақсаттары мен қызығушылықтарын талдауға, міндеттерін, пәндік саласы мен құрылымын анықтауға, жоба кестесін есептеуге, жобаның бас жоспарының негізгі бөлімдерін құруға, жобалық тәуекелдерді анықтауға және MS Project бағдарламалық жасақтамасын пайдалануға мүмкіндік береді.</t>
  </si>
  <si>
    <t>00011278</t>
  </si>
  <si>
    <t>Шайкулова А.Ә, Аскарова Н.Т., Искакова А.Т., Молдакалыкова А.Ж.</t>
  </si>
  <si>
    <t>С# тілінен практикум</t>
  </si>
  <si>
    <t>Оқу құралында Visual Studio интеграцияланған әзірлеу ортасында С# программалау тілінің мүмкіндіктері қарастырылған. Оқу құралы С# программалау тілінің мүмкіндіктерін әр тақырып бойынша теориялық тұрғыдан түсіндіріп, білімді нақты мысалмен дамытуға бағытталған. Материал программа құрылымы және СИ# тілінің синтаксисі, мәліметтер типтері, программаның тармақталған құрылымы, циклдық операторлар, массивтер, кластар, құрылымдар, графика сияқты тақырыптарды қарастырады. Осы бағытта әр тақырып зертханалық жұмыс ретінде рәсімделген, сонымен қатар әр зертханалық жұмысқа бақылау сұрақтары, тест сұрақтары, тапсырмалар нұсқалары әзірленген. Оқу құралын 6В06101, 7М06101 – «Ақпараттық жүйелер», 6В06102 – «Есептеу техникасы және программалық қамтамасыз ету», 6В06103, 7М06103 – «Программалық инженерия»» мамандықтары бойынша оқитын жоғары оқу орындарының білім алушыларына арналған және оны көпшілік оқырман қауымы да пайдалана алады.</t>
  </si>
  <si>
    <t>00011279</t>
  </si>
  <si>
    <t>Segizbayeva A.S. (Сегизбаева А.С)</t>
  </si>
  <si>
    <t>Valeology</t>
  </si>
  <si>
    <t>The textbook discusses the issues of health preservation, as this is an urgent problem today. The basics of knowledge of the occurrence of diseases and recommendations for their prevention are given. At the end of the topics, self-monitoring tasks, tests, and questionnaires are included. The main task of the textbook is to orient students to a healthy lifestyle. This manual is intended to help students prepare for the subject of "Valeology" in the 1st year of secondary vocational education institutions.// В учебнике рассматриваются вопросы сохранения здоровья, так как это актуальная проблема на сегодняшний день. Даны основы знаний о возникновении заболеваний и рекомендации по их профилактике. В конце тем приведены задания для самоконтроля, тесты и вопросники. Основная задача учебника - сориентировать учащихся на здоровый образ жизни. Данное пособие предназначено для оказания помощи студентам в подготовке к предмету "Валеология" на 1 курсе учреждений среднего профессионального образования.</t>
  </si>
  <si>
    <t>0001128</t>
  </si>
  <si>
    <t>Баймуканов Д.А., Баймуканов А., Ахмет И., Алиханов О.</t>
  </si>
  <si>
    <t>Таза тұқымды түйе селекциясы мен бонитировкасы</t>
  </si>
  <si>
    <t>00011280</t>
  </si>
  <si>
    <t>978-601-330-429-8</t>
  </si>
  <si>
    <t>Қадыкен. Р., Баймәжі Е</t>
  </si>
  <si>
    <t>Қой жүнін өндіру және өңдеу технологиясы</t>
  </si>
  <si>
    <t>Қой жүнін өндіру және өңдеу технологиясы оқу құралы, жоғары оқу орындарының «Мал шаруашылығы өнімдерін өндіру технологиясы» білім беру бағдарламасының, студенттері мен магистранттарына арналған. Онда қой жүнін өндіру және өңдеу технологиясының қыр-сыры, зерттеу әдістері мен тәсілдері сонымен бірге нақты нәтижелері баяндалады. Сонымен қатар ізденушілердің алған білімдерін бекемдеуге арналған бақылау сұрақтары қарастырылған.</t>
  </si>
  <si>
    <t>00011281</t>
  </si>
  <si>
    <t>Қадыкен.Р., Жүнісов.А., Баймәжі.Е</t>
  </si>
  <si>
    <t>Жылқы шаруашылығы өнімдерін өндіру технологиясы</t>
  </si>
  <si>
    <t>Бұл оқу құралы жоғары оқу орындарының «Мал шаруашылығы өнімдерін өндіру технологиясы» білім беру бағдарламасының, студенттері мен магистранттарына арналған. Оқу құралында жылқы шаруашылығы өнімдерін өндіру технологиясын зерттеп зерделеудің әдіс-тәсілдерін, шынайы өндірісте пайдалану мен жетістіктері айтылады. Сонымен бірге білімгерлердің сапасын бағалауға арналған бақылау сұрақтары құрастырылған.</t>
  </si>
  <si>
    <t>00011282</t>
  </si>
  <si>
    <t>Қадыкен. Р., Құлатаев. Б., Баймәжі. Е</t>
  </si>
  <si>
    <t>Қой етін өндіру және өңдеу технологиясы</t>
  </si>
  <si>
    <t>Қой етін өндіру және өңдеу технологиясы оқу құралы, жоғары оқу орындарының «Мал шаруашылығы өнімдерін өндіру технологиясы» білім беру бағдарламасының, студенттері мен магистранттарына арналған. Онда қой етін өндіру және өңдеу технологиясының қыр-сыры, зерттеу әдістері мен тәсілдері сонымен бірге нақты нәтижелері баяндалады. Сол себепті бұ оқу құралы да, кезек күттірмейтін мәселелердің түйінін шешуге арналып отыр.</t>
  </si>
  <si>
    <t>00011283</t>
  </si>
  <si>
    <t>Қадыкен. Р., Жүнісов А., Баймәжі Е</t>
  </si>
  <si>
    <t>Ұрпақтарының фенотипі бойынша отандық жылқы тұқымдарын генотиптік бағалау</t>
  </si>
  <si>
    <t>Аталған оқу құралы жоғары оқу орындарының «Мал шаруашылығы өнімдерін өндіру технологиясы» білім беру бағдарламасының, студенттері мен магистранттарына және доктаранттарына арналған. Онда ұрпақтарының фенотипі бойынша отандық жылқы тұқымдарын генотиптік бағалау әдістері мен тәсілдері, сонымен бірге жетістіктері мен қолдану аялары туралы баяндалады. Сонымен бірге білім алушылардың білім деңгейлерін бағалауға арналған бақылау сұрақтары берілген.</t>
  </si>
  <si>
    <t>00011284</t>
  </si>
  <si>
    <t>Қадыкен. Р., Баймәжі Е.</t>
  </si>
  <si>
    <t>Мал шаруашылығы өнімдерін өндірудің инновациялық технологиясы</t>
  </si>
  <si>
    <t>Бұл оқу құралы ауыл шаруашылығы саласы бойынша, жоғары оқу орындарының «Мал шаруашылығы өнімдерін өндіру технологиясы» білім беру бағдарламасының, студенттері мен магистранттарына арналған. Онда мал шаруашылығы өнімдерін өндірудің инновациялық технологияларының зерттеу әдістері мен тәсілдері, қолдану аясы мен шынайы жетістіктері туралы жазылған. Сонымен қоса білімгерлердің білімін шыңдау мақсатында бақылау сұрақтары да қарастырылған.</t>
  </si>
  <si>
    <t>00011285</t>
  </si>
  <si>
    <t>Май қышқылының теңдестірілген құрамы бар майонез өнімдері</t>
  </si>
  <si>
    <t>Бұл монография Қазақстанда шығарылған шикізат базасын пайдалана отырып, теңдестірілген май-қышқыл құрамы бар майонез өнімдерін алу технологиясын жетілдіруге арналған ғылыми-зерттеу жұмысының нәтижесі болып табылады.Студенттерге, магистранттарға, докторанттарға және технологиялық жоғары оқу орындарының оқытушыларына, ғылыми қызметкерлерге, сондай-ақ май өнімдері жүйесінің мамандарына арналған</t>
  </si>
  <si>
    <t>00011286</t>
  </si>
  <si>
    <t>Қадыкен Р., Нұралиева А.Ұ., Тастан Ә.</t>
  </si>
  <si>
    <t>Ара шаруашылығы</t>
  </si>
  <si>
    <t>Оқу құралында ара шаруашылығы пәнінің бағдарламалық сұрақтары ойынша қарастырылған. Кітап ара шаруашылығы пәні оқытылатын «Мал шаруашылығы өнімдерін өндіру технологиясы», «Ветеринариялық медицина», «Ветеринариялық санитария», «Биотехнология», «Биология» және «Медицина» мамандығы студенттеріне және магистранттар мен ғылыми қызметкерлерге арналған.</t>
  </si>
  <si>
    <t>00011287</t>
  </si>
  <si>
    <t>Сарсенбаева А.А., Зейнуллина А.Ж. , Ахунова Д.З., Искакова М.С.</t>
  </si>
  <si>
    <t>Бухгалтерлік есеп негіздері: теория және тәжірибе</t>
  </si>
  <si>
    <t>Оқу құралында бухгалтерлік есеп негіздері бойынша дәріс сабақтар мен тәжірибелік сабақтардың тапсырмалары қарастырылған.Оқу құралы экономиканың әр түрлі салалары бойынша мамандар дайындайтын жоғарғы оқу орындары мен арнаулы білім беретін оқу орындарының білім алушыларына арналған бухгалтерлік есептің негізгі қағидалары мен түсініктері туралы ақпапарат береді.</t>
  </si>
  <si>
    <t>00011288</t>
  </si>
  <si>
    <t>Оразжанова Л.К., Баяхметова Б.Б., Абдрахманова А.Б., Сабитова А.Н., Касымова Ж.С.</t>
  </si>
  <si>
    <t>Полимерлердің химиялық реакциялары</t>
  </si>
  <si>
    <t>«Полимерлерлердің химиялық реакциялары» атты оқу құралы 5 тараудан тұрады: Полимерлердің химиялық реакциялары; Полимерлердің полимерлену дәрежесі өзгермей жүретін химиялық реакциялары; Полимерлену дәрежесі өсетін реакциялар; Полимерлердің деструкциялану түрлері; Полимерлерді тұрақтандыру негіздері.Оқу құралында полимерлердің химиялық түрлендірудің ерекшеліктері қарастырылған. Полимерлердің полимерлену дәрежесі өзгермей және өзгеруімен жүретін химиялық реакциялар туралы мәліметтер берілген. Деструкциялану түрлері, механизмі мен химизмі, тұрақтандыру негіздері қарастырылған.Берілген оқу құралы 6В05301/7М05301/8D05301 - Химия білім бағдарламасының студенттері мен магистранттарына арналған.</t>
  </si>
  <si>
    <t>0001129</t>
  </si>
  <si>
    <t>Баймуканов Д.А., Родионов Г.В., Юлдашбаев Ю.А., Алентаев А.С., Дошанов Д.А.</t>
  </si>
  <si>
    <t>Технология содержания молочного скота и производства молока</t>
  </si>
  <si>
    <t>В пособии представлены данные по технологии содержания коров, особенностям пород крупного рогатого скота молочного и комбинированного направления продуктивности, составу, пищевым и технологическим свойствам молока коров; требования к качеству молока, предъявляемые техническим регламентом, ГОСТами и молочными предприятиями; нормативные документы, регламентирующие требования к молоку и молочным продуктам; методы контроля качества молока, методики оценки качества молока и факторы, влияющие на качество и технологические свойства молока. Данное учебное пособие по содержанию отвечает учебным программам. Пособие рекомендуется для студентов по направлению подготовки 5В080200 «Технология производства продуктов животноводства» степени бакалавр и магистр, а также научных сотрудников, специалистов хозяйств, фермеров, переработчиков молока.</t>
  </si>
  <si>
    <t>00011290</t>
  </si>
  <si>
    <t>Саидов А.М., Бекмухамбетова Ж.К., Аубакирова Г.Е.</t>
  </si>
  <si>
    <t>Макарон өнімдерін өндіру технологиясы</t>
  </si>
  <si>
    <t>Оқу құралына макарон өнімдерін өндіретін технологиялық желілер және өндірістік рецептердің есептері кіреді.Техникалық мамандықтар студенттеріне, макарон өнімдерін өндіру технологиясы бойынша сабақ жүргізетін жоғары оқу орнының оқытушыларына және студенттердің жеке жұмысын ұйымдастыруға арналған</t>
  </si>
  <si>
    <t>00011292</t>
  </si>
  <si>
    <t>Избранные дидактические произведения. Том 8, часть 1, 2-е изд., перераб. и доп.</t>
  </si>
  <si>
    <t>В восьмом томе собрания произведений публикуется книга В.К.Дьяченко, «Основное направление развития образования в современном мире», изданная в 2005 году, в которой автор ведет диалог с министром образования как собирательным лицом и обсуждает с ним комплекс всех актуальных вопросов коренной перестройки школы и системы образования в контексте перспектив перехода на коллективно-группо-парно-индивидуальный метод обучения.Адресуется обучающимся педагогических вузов и колледжей, работникам сферы образования и науки</t>
  </si>
  <si>
    <t>00011293</t>
  </si>
  <si>
    <t>Избранные дидактические произведения. Том 8, часть 2, 2-е изд., перераб. и доп.</t>
  </si>
  <si>
    <t>00011296</t>
  </si>
  <si>
    <t>978-601-330-318-5</t>
  </si>
  <si>
    <t>Жүзбаев С.С., Джузбаева Б.Г., Сабитова Д.С.</t>
  </si>
  <si>
    <t>Цифровая трансформация университета: возможности, оценка, пути решения.</t>
  </si>
  <si>
    <t>В монографии представлены результаты исследования процесса цифровой трансформации вуза, проанализированы требования к корпоративной информационной системе(КИС), выбрана оптимальная модель КИС, разработаны требований к эффективности и надежности проектного решения, выбраны технологии проектирования КИС. Разработаны модели и методики проектирования корпоративной информационной системы для учреждений высшего образования, описаны математические модели функциональности информационных моделей информационной системы(ИС), спроектированы архитектуры КИС и ПО. Составлены технические задания на разработку КИС, разработан план работ по разработке КИС, описана методология исследования и проектирования модели жизненного цикла КИС.Монография адресована студентам, преподавателем, магистрантам и докторантам в области информационных технологий, а также научным работникам научно-исследовательских институтов.</t>
  </si>
  <si>
    <t>00011297</t>
  </si>
  <si>
    <t>Akhmetkerimova G., Mursalimova E., Borisova Y., Balkozha M. / Ахметкеримова Г</t>
  </si>
  <si>
    <t>Ecological landscape</t>
  </si>
  <si>
    <t>экология, агрономия</t>
  </si>
  <si>
    <t>The textbook highlights the issues of improving the quality condition and increasing the efficiency of land use, strengthening the ecological orientation of land management through the creation of sustainable agro-landscape systems.The problematic issues of landscape and ecological systematization of territories are outlined. The concept of ecological and landscape organization of territories is given, methodological issues of ecological, economic and landscape justification of the modern organization of the territory, including at the pre-project and project levels, are outlined. The manual is intended for researchers and specialists involved in the development and ecological and economic justification of measures to improve the condition and use of agricultural land, stabilization of the agroecological environment. Train aid «Ecological landscape» is worked out within the framework of project Erasmus+ SUSDEV No.574056-EPP-1-2016-PL-EPPKA2-CBHE-SP "Lifelong Learning for Sustainable Development (SUSDEV)" В учебнике освещаются вопросы улучшения качественного состояния и повышения эффективности землепользования, усиления экологической направленности управления земельными ресурсами путем создания устойчивых агроландшафтных систем.Очерчены проблемные вопросы ландшафтной и экологической систематизации территорий. Дана концепция эколого-ландшафтной организации территорий, очерчены методологические вопросы эколого-экономического и ландшафтного обоснования современной организации территории, в том числе на предпроектном и проектном уровнях. Пособие предназначено для исследователей и специалистов, занимающихся разработкой и эколого-экономическим обоснованием мероприятий по улучшению состояния и использования земель сельскохозяйственного назначения, стабилизации агроэкологической среды. Учебное пособие «Экологический ландшафт» разработано в рамках проекта Erasmus+ SUSDEV №574056-EPP-1-2016- PL-EPPKA2-CBHE-SP "Обучение на протяжении всей жизни в интересах устойчивого развития (SUSDEV)"</t>
  </si>
  <si>
    <t>00011298</t>
  </si>
  <si>
    <t>Тиреуов К., Ахметкеримова Г., Мурсалимова Э., Ахметов Е.</t>
  </si>
  <si>
    <t>Эколого-ландшафтное устройство территорий</t>
  </si>
  <si>
    <t>учебное</t>
  </si>
  <si>
    <t>В учебном пособии освещены вопросы улучшения качественного состояния и повышения эффективности использования земель, усиления экологической направленности землеустройства посредством создания устойчивых агроландшафтных систем.Изложены проблемные вопросы ландшафтно-экологической систематизации территорий. Приведена концепция эколого-ландшафтной организации территорий, изложены методические вопросы эколого-экономического и ландшафтного обоснования современной организации территории, в том числе на предпроектном и проектном уровнях. Пособие предназначено для научных работников и специалистов, занимающихся проблемами разработки и эколого-экономического обоснования мероприятий по улучшению состояния и использования сельскохозяйственных земель, стабилизации агроэкологической среды.Учебное пособие «Эколого-ландшафтное устройство территорий» разработано в рамках проекта Erasmus+ SUSDEV «Обучение в течение всей жизни для устойчивого развития» №5744056-ЕРР-1-2016-PL-EPPKA2-CBHE-SP</t>
  </si>
  <si>
    <t>00011299</t>
  </si>
  <si>
    <t>Ахметкеримова Г., Мурсалимова Э., Нуралы Ж., Жупарбеков А.</t>
  </si>
  <si>
    <t>Аумақты экологиялық-ландшафтық ұйымдастыру</t>
  </si>
  <si>
    <t>Оқу құралында жерді пайдалану тиімділігін арттыру және сапалық жағдайын жақсарту, тұрақты агроландшафттық жүйелер құру арқылы жерге орналастырудың экологиялық бағыттылығын күшейту мәселелері қамтылған. Аумақтарды ландшафтық-экологиялық жүйелеудің мәселелері баяндалған. Аумақтарды экологиялық-ландшафтық ұйымдастыру тұжырымдамасы келтірілген, аумақты қазіргі заманғы ұйымдастырудың, оның ішінде жоба алдындағы және жобалық деңгейлердегі экологиялық-экономикалық және ландшафтық негіздеменің әдістемелік мәселелері баяндалған. Оқу құралы ауылшаруашылық жерлерінің жай-күйі мен пайдаланылуын жақсарту, агроэкологиялық ортаны тұрақтандыру жөніндегі іс-шараларды әзірлеу және экологиялық-экономикалық негіздеу мәселелерімен айналысатын ғылыми қызметкерлер мен мамандарға арналған. «Аумақты экологиялық-ландшафтық ұйымдастыру» оқу құралы Erasmus+ № 5744056-ЕРР-1-2016-PL-EPPKA2-CBHE-SP SUSDEV «Тұрақты даму үшін өмір бойы оқу» жобасы шеңберінде әзірленген</t>
  </si>
  <si>
    <t>0001130</t>
  </si>
  <si>
    <t>Баймуканов Д.А., Тарчоков Т.Т, Алентаев А.С., Юлдашбаев Ю.А., Дошанов Д.А.</t>
  </si>
  <si>
    <t>Основы генетики и биометрии: практикум</t>
  </si>
  <si>
    <t>Учебное пособие облегчает понимание и освоение вопросов по закономерностям наследования признаков при половом размножении, хромосомной теории наследственности, генетике популяций, молекулярным основам наследственности, иммуногенетике и особенностям наследования количественных признаков. Пособие рассчитано на самостоятельное выполнение заданий студентами, что повышает эффективность освоения теоретического курса. Включает общие положения, методические указания и задания, вопросы и тесты для контроля знаний студентов.
 Практикум с основами генетики и биометрии рекомендуется в качестве учебного пособия для студентов высших учебных заведений по специальности – 5В080200 «Технология производства продуктов животноводства» (квалификация (степень)- «бакалавр»). Практикум составлен в соответствии специальности и рабочей программой по дисциплине "Генетика и биометрия".
 Пособие представляет интерес для магистров аграрных и технологических факультетов высших учебных заведении, PhD (докторов философии), а также научных сотрудников научно – исследовательских институтов.</t>
  </si>
  <si>
    <t>00011300</t>
  </si>
  <si>
    <t>Галиев С. Ж.</t>
  </si>
  <si>
    <t>Основы модернизации и промышленная политика 1 часть</t>
  </si>
  <si>
    <t>Экономика, госуправление</t>
  </si>
  <si>
    <t>Учебное пособие может представлять интерес для широкого круга специалистов занятых в области государственного управления, экономики и промышленности, менеджмента, научных и практических работников, преподавателей и студентов экономических и технических факультетов, менеджеров промышленного производства и т.д.</t>
  </si>
  <si>
    <t>00011301</t>
  </si>
  <si>
    <t>Основы модернизации и промышленная политика 2 часть</t>
  </si>
  <si>
    <t>00011302</t>
  </si>
  <si>
    <t>Меркулов В. В., Алмазов А. И., Меркулова М. В., Абдыханова Н.Н.</t>
  </si>
  <si>
    <t>Фармацевтикалық технологияның теориялық негіздері</t>
  </si>
  <si>
    <t>дәрістер курсы</t>
  </si>
  <si>
    <t>6В07204 Фармацевтикалық өндіріс технологиясы 7М07206 / 7М07207 фармацевтикалық өндіріс технологиясы мамандықтарының жоғары деңгейдегі студенттеріне арналған оқу құралы "Фармацевтикалық технологияның теориялық негіздері "оқытудың базалық деңгейіндегі" Органикалық заттардың химиялық технологиясы " Оқу пәнінің бағдарламасын дамытуға әзірленді.</t>
  </si>
  <si>
    <t>00011304</t>
  </si>
  <si>
    <t>Батаева А. А.,Тойбол Қ.</t>
  </si>
  <si>
    <t>Современная китайская грамматика (с упражнениями)</t>
  </si>
  <si>
    <t>Язык, китайский</t>
  </si>
  <si>
    <t>Учебное пособие содержит комплекс авторских заданий по изучению китайского языка с рекомендациями по их выполнению. В числе таких заданий - комплексные упражнения по изучению грамматики. Материал для подобных упражнений представляется в виде письменных упражнений для проработки грамматики, а также упражнений по развитию soft-skills. Помимо основных заданий, в пособии предусмотрены упражнения на самостоятельную работу и оценку обучающегося. Пособие предназначено для студентов, изучающих китайский язык с нуля и планирующих поэтапное изучение языка в будущей перспективе</t>
  </si>
  <si>
    <t>00011305</t>
  </si>
  <si>
    <t>978-601-13-0399-6</t>
  </si>
  <si>
    <t>Кинтонова А.Ж.</t>
  </si>
  <si>
    <t>Технологии организации онлайн курсов</t>
  </si>
  <si>
    <t>Монография посвящена описанию технологий организации онлайн курсов. В монографии дается краткий анализ международным и казахстанским стандартам в области онлайн обучения. В монографии отражаются результаты анализа дистанционных курсов, результаты анализа технологий реализации онлайн курсов.Также в монографии дается краткий обзор онлайн-платформ обучения и примеры реализации онлайн курсов.</t>
  </si>
  <si>
    <t>00011306</t>
  </si>
  <si>
    <t>Мукашева А.К., Мұхаммеджанова Д.М., Сулейменова М.У.</t>
  </si>
  <si>
    <t>Ақпараттық жүйелердегі деректерді басқару</t>
  </si>
  <si>
    <t>Информац. технологии</t>
  </si>
  <si>
    <t>Оқу құралында ақпараттық жүйелерде деректер базасын құрудың теориялық негіздерін, ақпараттық жүйелердегі мәліметтерге қолданатын негізгі операцияларды, ақпараттық жүйелерде мәліметтерді өңдеу және іздеу әдістерін ұйымдастыруды, мәліметтерді суреттейтін, мәліметтердің негізгі модельдерінің принциптерін құруды және олардың қазіргі кездегі мәліметтер базасын басқару жүйесі әдістері толық қарастырылған.Ұсынылған оқу құралы В057 – В057 – «Ақпараттық технологиялар», В058 – «Ақпараттық қауіпсіздік» бағыты бойынша оқитын студенттер үшін Linux операциялық жүйені меңгеруде бағалы көмекші құрал болып табылады.</t>
  </si>
  <si>
    <t>00011307</t>
  </si>
  <si>
    <t>Уристенбекова Б., Уристенбек А.</t>
  </si>
  <si>
    <t>Банк қызметінің қаржылық жағдайын талдау</t>
  </si>
  <si>
    <t>Финансы</t>
  </si>
  <si>
    <t>Бұл оқу құралында коммерциялық банк секторының қаржылық қызметіне қатысты талдауды жүзеге асыру әдістемесі мен тәсілдері, талдаудың банк қызметін басқарудағы маңызы, талдаудың ақпараттық қамтамасыз ету базасы, банк қызметінің негізгі қаржылық көрсеткіштерін және банктік операциялардың құрамын талдау жүргізу әдістері қарастырылған. Бұл оқу құралының міндеті жалпы банк үшін де, жекелеген салалар бойынша да банктердің қызметінің негізгі қаржылық көрсеткіштерін талдаудың әдістері мен тәсілдерін ашу, банктің қаржылық қызметіне әсер ететін негізгі факторларды талдау және бағалау, сондай-ақ талдаудың нәтижесінде қорытындылар мен ұсыныстар жасау әдістері қарастырылған.Бұл оқу құралы жоғары оқу орындары мен колледждердің «Қаржы» және «Қаржы - Бизнес аналитик» білім беру бағдарламасының студенттеріне, сондай-ақ оқытушыларға, банктер мен клиенттік ұйымдардың қызметкерлеріне арналған.</t>
  </si>
  <si>
    <t>00011308</t>
  </si>
  <si>
    <t>Бижанова А.С., Мұхаммеджанова Д.М.</t>
  </si>
  <si>
    <t>Linux операциялық жүйесі</t>
  </si>
  <si>
    <t>Оқу құралында UNIX отбасының операциялық жүйелерінің негізгі жұмыс принциптерін зерттеуге арналған материал ұсынылған. Барлық мысалдар Linux деп аталатын UNIX отбасылық ОЖ-нің еркін таратылатын нұсқасын басқаруға арналған. Linux негізгі командалары және осы операциялық жүйе арқылы компьютер жұмысын тиімді ұйымдастыру мен басқару әдістері толық қарастырылған.Ұсынылған оқу құралы В057 – «Ақпараттық технологиялар» бағыты бойынша оқитын студенттер үшін Linux операциялық жүйені меңгеруде бағалы көмекші құрал болып табылады.</t>
  </si>
  <si>
    <t>00011309</t>
  </si>
  <si>
    <t>Күзембаев Е., Күзембаев Ұ., Күзембаев Ж.</t>
  </si>
  <si>
    <t>Мұхтартану</t>
  </si>
  <si>
    <t>Ғалым-зерттеушілердің «Мұхтартану» оқу құралында Мұхтар Әуезовтің өмірі мен шығармалары жаңа қырынан қарастырылып, бүгінгі білім мен ғылым талаптарына сай тәуелсіздік тұрғысынан талданған. Авторлар ғылыми зерттеулермен, тың деректермен, архивтен тапқан материалдармен толықтырған. Оқырмандарға беймәлім болып келген М.Әуезовтің өмірдеректері мен шығармашылығы туралы ғұлама ойшылдардың ой-пікірлерімен тұжырымдаған. Мұхтардың ата-тегінен шежіре мәліметтер беріліп, жазушы өмірінің көпшілікке жете танылмай келген сәттері мен жазушының ұлттық әдебиеттегі ұлы орны, зерттеушілік, шығармашылық асыл мұрасы, қазақ елінің абыройын асқақтатудағы адамшылық қасиеті айқындалған.М.Әуезовтің «Қараш-Қараш оқиғасы» повесіндегі кейіпкерлердің өмірде болғандығын архив деректерімен дәлелдеп, повестегі Бақтығұл – Рысқұл Жылқыайдарұлы, Сейіт – Тұрар Рысқұлов тұлғаластары тұрғысынан зерттеген. Повесттің жазылуы Тұрардың берген материалы мен деректерінің негізінде туған туынды екенін саралап берген. Оқиға болған елді мекеннің, жер-су, адам аттарын айқындап, маңызды мәліметтер ұсынған. Мұхтардың басы қатерге ілініп түрмеде жатқанда кеңес беріп, «Ашық хат» жазғызып, аман қалуының себепшісі Тұрар болғандығы дәлелденген. М.Әуезовтің «Абай жолы» роман-эпопеясының прототиптеріне ғылыми талдау жасап, кейіпкерлерінің өмірде болғандығын айқындаған. Жазушы шығармаларының шет тілдерінде жариялануы хронологиялық тұрғыдан жүйеленіп, нақты деректермен жинақталған.«Мұхтартану» оқу құралы XX ғасырдағы қазақ әдебиетін зерттеуші ғылыми қызметкерлер мен профессор-оқытушыларға, магистранттарға және жоғары оқу орындары фиолология факультетінің студенттеріне арналған. Сонымен бірге оқу құралы тарихшыларға, әдебиетшілерге, педагогтарға мол мәліметтерді ұсынады.</t>
  </si>
  <si>
    <t>00011310</t>
  </si>
  <si>
    <t>Сағымбекова П.С., Сарыбекова К.Н.</t>
  </si>
  <si>
    <t>Математикадан есептер шығару практикумы</t>
  </si>
  <si>
    <t>Оқу-әдістемелік құралында, бастауыш сыныптарда шығартылатын есептердің 47 жаңа түрлерімен таныстырып шығартуға арналған әдістемелік ұсыныстар берілген. Оқу-әдістемелік құралының ерекшелігі, шығарылатын есептер тірек үлгілер арқылы бағдарлама бойынша бірте-бірте күрделеніп берілген.Бастауыш сынып – білімнің алғашқы баспалдағы. Мектептегі тұтас нәтижеге қол жеткізу үшін оның бастауыш буындағы оқу үрдісі заман талаптарын қанағаттандыратындай деңгейде ұйымдастырылуы керек. Сол үшін бастауыш сынып мұғалімі қазіргі сабақтың кезеңдерін және есептің түрлері мен оны оқушыларға шығарту әдістерін жақсы меңгеруі қажет. Сондықтан студенттерді қажетті оқу-әдістемелік құралдарымен қамтамасыз ету бүгінгі күннің талабы.Оқу-әдістемелік құрал «Бастауышта оқытудың педагогикасы мен әдістемесі» мамандығы бойынша жоғары білім алатын студенттерге, педагогикалық колледждер оқушылары мен бастауыш сыныптардың мұғалімдеріне арналған. Одан басқа пәндерден сабақ беретін мұғалімдер, сондай-ақ магистранттар да құнды мәліметтер ала алады.</t>
  </si>
  <si>
    <t>00011311</t>
  </si>
  <si>
    <t>Myrzakhmet Zh / Мырзахмет Ж. К.</t>
  </si>
  <si>
    <t>Microeconomics</t>
  </si>
  <si>
    <t>The Microeconomics textbook is intended for undergraduate students in economics who study microeconomics in English. The Microeconomics textbook includes lecture material, key terms, graphs for the successful mastering of the material, tasks in the form of tests, tasks, list of recommended literature in English. Test tasks are diverse, allow to adequately assess the level of knowledge of students in the discipline. Guidelines for organizing independent work are aimed at consolidating the ability to search, accumulate and process scientific information.Учебное пособие «Microeconomics» предназначено для студентов бакалавриата по экономическим специальностям, которые изучают микроэкономику на английском языке.Учебное пособие «Microeconomics» включает в себя лекционный материал, ключевые термины, графики для успешного освоения материала, задания в виде тестов, задач, проблемных ситуаций, список рекомендованной литературы на английском языке. Тестовые задачи разнообразны, позволяют адекватно оценивать уровень знаний студентов по дисциплине. Методические рекомендации по организации самостоятельной работы направлены на закрепление умения поиска, накопления и обработки научной информации.</t>
  </si>
  <si>
    <t>00011312</t>
  </si>
  <si>
    <t>Бараев Х.А.</t>
  </si>
  <si>
    <t>Тренировочная нагрузка в боксе</t>
  </si>
  <si>
    <t>учебно - методическое пособие</t>
  </si>
  <si>
    <t>Одно из актуальных проблем современного бокса является повышения качества планирования объема и интенсивности тренировочных и соревновательных нагрузок. Нарушение в организме спортсмена, вызываемые резким несоответствием между физической нагрузкой и подготовленностью к ней. В боксе эта информативность мало изучена. Данном методическом пособие сделана попытка исследования ее пу­тем сопоставления отдельных показателей внешней и внутренней нагрузок. Словом, оценкой интенсивности внешней нагрузки в боксе может служить интенсивность наиболее напря­женных упражнений. Методическом пособие разработали шкалу интенсивности тренировоч­ных упражнений в боксе.</t>
  </si>
  <si>
    <t>00011313</t>
  </si>
  <si>
    <t>Кадыров А.Р.</t>
  </si>
  <si>
    <t>АП-3 Архитектурное проектирование жилых домов малой этажности</t>
  </si>
  <si>
    <t>Архитектура</t>
  </si>
  <si>
    <t>Учебное пособие разработано в соответствии с требованиями учебного плана и программы дисциплины «АП-3 Архитектурное проектирование жилых домов малой этажности» и содержит в себе необходимые сведения для приобретения необходимых теоретических, также практических материалов по данной дисциплине.Учебное пособие предназначено для студентов ОП 6В07310 - «Архитектура».Учебное пособие подготовлено в соответствии с программой курса «АП-3 Архитектурное проектирование жилых домов малой этажности» для студентов архитектурно-строительных специальностей и содержит сведения по проектированию жилых домов малой этажности, разработке эскизных проектов различных типов и видов.</t>
  </si>
  <si>
    <t>00011314</t>
  </si>
  <si>
    <t>Архитектурная типология</t>
  </si>
  <si>
    <t>Учебное пособие подготовлен в соответствии с требованиями учебного плана и программы дисциплины «Архитектурная типология» и включает все необходимые сведения для приобретения необходимых материалов по данной дисциплине.Учебное пособие предназначено для студентов специальности 5В042000 - «Архитектура».Учебное пособие разработан в соответствии с программой курса «Архитектурная типология» для студентов архитектурно-строительных специальностей и содержит сведения по классификации и ранжированию групп, типов и видов зданий и сооружений.</t>
  </si>
  <si>
    <t>00011315</t>
  </si>
  <si>
    <t>Архитектурное проектирование - VIII. Проектирование малых поселений</t>
  </si>
  <si>
    <t>В учебном пособии всесторонне изложены вопросы по проектированию малого поселения с определенной численностью населения. Здесь проанализирована специфика проектирования жилой среды с малой этажной застройкой с приусадебными участками, размещения различных типов объектов общественного назначения, методик и приемов расчета численности населения, площадок для отдыха и детских игр, устройства спортивных, хозяйственных и рекреационных зон, необходимых для размещения на территории малого поселения.</t>
  </si>
  <si>
    <t>00011316</t>
  </si>
  <si>
    <t>Архитектурное проектирование - XII.  Проектирование уникальных зданий</t>
  </si>
  <si>
    <t>В Учебном пособии всесторонне изложены вопросы по проектированию объектов культового назначения, а именно объекта Мавзолей Баба Тукти Шашты Азиз в Созакском районе, Туркестанской области. Материал учебного пособия строится в соответствии с учебными планами архитектурных институтов, факультетов и не претендует на исчерпывающее изложение всех вопросов по проектированию подобных объектов. Предполагается, что при проектировании объектов историко-культурного, культового и др. назначения студентами должен быть активирован весь арсенал полученных ими знаний в высшем учебном заведении.</t>
  </si>
  <si>
    <t>00011317</t>
  </si>
  <si>
    <t>Рахимбекова С.А.</t>
  </si>
  <si>
    <t>Қазақ тілі (В2 деңгейі, ІІ семестр)</t>
  </si>
  <si>
    <t>Язык, казахский</t>
  </si>
  <si>
    <t>Оқу құралы кәсіби мәтіндерді, лексикалық тапсырмалар мен грамматикалық жаттығуларды қамтиды. Оқу құралы типтік бағдарламаның В2 деңгейі, ІІ семестрінің тақырыптарын қамтиды. Жоғары оқу орындарының 1 курс студенттеріне арналған.</t>
  </si>
  <si>
    <t>00011318</t>
  </si>
  <si>
    <t>978-601-352-559-4</t>
  </si>
  <si>
    <t>Жуманазарова Ғ.М. Кабиева С.К.</t>
  </si>
  <si>
    <t>Органикалық заттарды талдаудың спектроскопиялық әдістері</t>
  </si>
  <si>
    <t>Берілген әдістемелік құрал студенттерге органикалық заттарды талдаудың әдістерімен қазіргі заманға сай етіп оқыту мақсатында құрастырылды. Органикалық заттарды талдауда ультракүлгін (УК), инфра қызыл (ИҚ), ядролы-магниттік резонансты (ЯМР) спектроскопиясы және масс-спектрометрия әдістері ең маңызды болып табылады, классикалық еңбектердегі түсініктерді игеруге, заманауи құрылғыларды пайдалана отырып эксперименттік алынған нәтиелерді оңтайлы интерпретациялау секілді мәселелер қозғалған.Авторлар осы әдістемелік құралдарды жетілдіруге бағытталған барлық ұсыныстар мен ескертулерді ризашылықпен қабылдайды.Берілген оқу құралы «Фармацевтикалық өндіріс технологиясы», «Органикалық заттардың химиялық технологиясы», «Химия» оқу бағдарламасының тәлім алушыларына қолданысқа ұсынылады.</t>
  </si>
  <si>
    <t>00011319</t>
  </si>
  <si>
    <t>978-601-330-353-6</t>
  </si>
  <si>
    <t>Реметова Н.С.</t>
  </si>
  <si>
    <t>Фармацевтикалық өндірісті жобалау және жабдықтау негіздері</t>
  </si>
  <si>
    <t>«Фармацевтикалық өндірісті жобалау және жабдықтау негіздері» оқу-әдістемелік құралы фармацевтикалық өндіріс технологиясы және фармация облысында оқитын студенттеріне арналған.</t>
  </si>
  <si>
    <t>0001132</t>
  </si>
  <si>
    <t>Баймульдин М.К., Кайбасова Д.Ж.</t>
  </si>
  <si>
    <t>Ақпараттық жүйелердің қауіпсіздігі</t>
  </si>
  <si>
    <t>Оқу құралы ақпараттық технологиялар қауіпсіздігінің ақпараттық жүйелердегі негізгі қасиеттерімен танысуға арналған. Ақпараттық жүйелерде ақпаратты қорғау жүйесін жобалаудың негіздері терең қарастырылады. Ақпараттық қауіпсіздік саясаты және негізгі элементтері келтірілген. Ақпаратты қорғау есептерін шешуге қажетті қорғау элементтері мен объектілерінің сипаттамалары анықталған. Сонымен қатар, оқу құралында ақпаратты қорғау әдістері мен құралдары сипатталған. Компьютерлер мен желілердегі ақпаратты қорғаудың бағдарламалық құралдары қарастырылады. Ақпаратты қорғау жүйелерін құрудың негізгі принциптері, компьютерлік және желілік ақпараттарды қорғауды ұйымдастыру және техникалық құралдары келтірілген. Ақпараттық қауiпсiздiктi қамтамасыз етудiң мақсаттары мен мiндеттерi бейнеленген. Оқу құралы 6М070300 «Ақпараттық жүйелер» және 6М070400 «Есептеу техникасы және бағдарламалық қамтамасыз ету» мамандықтарының магистранттарына, сонымен қатар тәжірибелі кәсіпқойларға да анықтама құралына айналады деген оймен жазылған.</t>
  </si>
  <si>
    <t>00011320</t>
  </si>
  <si>
    <t>Бижанова А.С., Сулейменова М.У.</t>
  </si>
  <si>
    <t>Ақпараттық жүйелер негіздері</t>
  </si>
  <si>
    <t>Оқу құралының мазмұны ақпараттық жүйелердің негіздері болатын олардың құрылымы, модельдері мен өмірлік циклы, жобалау методологиясы мен құрастыру технологиялары туралы мәліметтер беруге бағытталған.Оқу құралында келтірілген мәліметтер «Ақпараттық жүйелерді жобалау» саласындағы халықаралық және отандық стандарттарға негізделеді және бірыңғай әдіснаманы білдіреді.Ұсынылған оқу құралы В057 – «Ақпараттық технологиялар» бағыты бойынша оқитын студенттер үшін ақпараттық жүйелер негізін меңгеруде бағалы көмекші құрал болып табылады.</t>
  </si>
  <si>
    <t>00011321</t>
  </si>
  <si>
    <t>Мырзаканов М.С.</t>
  </si>
  <si>
    <t>Сәндік қолданбалы өнер</t>
  </si>
  <si>
    <t>Дизайн, искусство</t>
  </si>
  <si>
    <t>Монографияда қазақтың қолданбалы сәндік өнерінің даму тарихы, қазақ халқының дәстүрлі сәндік өнері туралы мағлұмат беріледі. Сонымен қатар зергерлік өнердің түрлері, оларға қатысты мәселелер төңірегінде сөз болады.Монографияда автор жылдар бойы жинақталған тәжірибелерімен бөліседі.</t>
  </si>
  <si>
    <t>00011322</t>
  </si>
  <si>
    <t>978-601-13-0717-8</t>
  </si>
  <si>
    <t>Бейнелеу өнерін оқыту әдістемесі. Екінші басылым</t>
  </si>
  <si>
    <t>Дизайн, Изобразительное искусство</t>
  </si>
  <si>
    <t>Оқу құралы Қазақстан Республикасының Білім және ғылым министрлігінің орта мамандандырылған оқу орындарының білім беру стандарты мен оқу бағдарламасына сәйкес және білім беру саласындағы нормативтік құқықтық актілерге сүйене отырып дайындалған. Сондай-ақ осы оқу құралында автордың көп жылғы жинақталған тәжірибесі мен оқыту бағдарламасына сәйкес дайындалған дәрістері қамтылған.
 Ұсынылып отырған оқу құралы жалпы орта білім беретін мектептердің, орта арнайы білім беретін мекемелердің және жоғары оқу орнының бейнелеу өнері мұғалімдері мен оқытушыларына, сонымен қатар "Бейнелеу өнері", "Кәсіптік білім", "Дизайн" мамандықтары бойынша оқитын студенттерге арналады. Оқу құралында дәрістер, талқылауға аранлған сұрақтар мен әдебиеттер берілген.</t>
  </si>
  <si>
    <t>00011323</t>
  </si>
  <si>
    <t>978-601-330-643-8</t>
  </si>
  <si>
    <t>Дошанов Д.А., Жылкыбаев А.К.</t>
  </si>
  <si>
    <t>Тоғандық және декоративтік балық шаруашылығы</t>
  </si>
  <si>
    <t>Оқу құралы «Тоғандық және декоративтік балық шаруашылығы» пәнінің типтік бағдарламасы мен оқу жоспары талаптарына сәйкес құрастырылған және студенттердің өз бетінше жұмыстарды орындауға қажетті барлық ақпараттарды қамтыған. 6В08210 -«Мал шаруашылығы өнімдерін өңдеу технологиясы» мамандығының ББ бағдарламасының білім алушыларына арналған.</t>
  </si>
  <si>
    <t>00011324</t>
  </si>
  <si>
    <t>Баялиева А.Ж., Жаксымбетова Н.А.</t>
  </si>
  <si>
    <t>Әлем әдебиетінен лекциялар мен тапсырмалар жинағы</t>
  </si>
  <si>
    <t>казахская литература</t>
  </si>
  <si>
    <t>Авторлардың ұсынып отырған «Әлем әдебиетінен лекциялар мен тапсырмалар жинағы» техникалық және кәсіптік білім беру ұйымдарының студенттеріне арналған бағдарлама негізінде жинақталған. Жинақ антика, орта ғасыр, қайта өрлеу және XVII-XX ғғ. кезеңдердегі әлем ақын-жазушыларының шығармашылығына арналған. Әр тақырыптан соң меңгерген білімді пысықтауға тапсырмалар беріліп отырады. Кейбір тақырыптарды қазақ әдебиетімен де шебер байланыстыра білген. Лекциялар тілі жатық, оқырманға түсінікті етіп жазылған.</t>
  </si>
  <si>
    <t>00011325</t>
  </si>
  <si>
    <t>Касимов А.Т.</t>
  </si>
  <si>
    <t>Композитты материалдар механикасы негізіндегі қабатты пластиналық құрылымдардың теориясы мен есебі</t>
  </si>
  <si>
    <t>Монографияда нақтыланған нұсқалардың бірі көрсетілген қабатты құрылымдардың теориялары мен есептеулері, атап айтқанда құрылымның негізгі тірек элементтері ретінде техниканың әртүрлі салаларында кеңінен қолданылатын плиталар.Нақтыланған есептеу теориясы негізінде алынған материалдардың қалыңдығы мен серпімділік модульдерінің әртүрлі арақатынасы бар біртекті және үш қабатты, көп қабатты плиталар үшін монографияда келтірілген сандық нәтижелер қабаттардың нақты жұмысын және олардың өзара әрекеттесуін анықтауға мүмкіндік береді.Бұл монография Құрылыс механикасы курстарын және композитты материалдардан жасалған құрылыс конструкцияларының жұмысын зерттейтін Құрылыс және машина жасау мамандықтарының магистранттарының студенттеріне де арналған, сондай-ақ инженерлік-техникалық қызметкерлер, ғылыми жобалау және құрылыс ұйымдары үшін қызығушылық тудырады.</t>
  </si>
  <si>
    <t>00011326</t>
  </si>
  <si>
    <t>Лаврушко Е.А., Мукашев С.К.</t>
  </si>
  <si>
    <t>Медиация. Сборник ситуационных задач</t>
  </si>
  <si>
    <t>Учебно – методическое пособие включает в себя ситуационные задачи, кейсы, которые позволяют закрепить полученные знания по курсу медиации. Ситуационные задачи разработаны с учетом законодательства Республики Казахстан о медиации, а также практики проведения медиативной процедуры и заключения медиативного соглашения. Кроме этого, включенные в состав учебно – методического пособия, ситуационные задачи способствуют формированию у обучающихся логического мышления и закреплению изученного материала.Предназначено для профессорско-преподавательского состава, докторантов, магистрантов, обучающихся в высших учебных заведениях юридического профиля, а также профессиональных медиаторов.</t>
  </si>
  <si>
    <t>00011327</t>
  </si>
  <si>
    <t>Брачно-семейное право Республики Казахстан. Сборник ситуационных задач</t>
  </si>
  <si>
    <t>Учебно – методическое пособие включает в себя ситуационные задачи, кейсы, которые позволяют закрепить полученные знания по курсу брачно-семейного права Республики Казахстан. Ситуационные задачи разработаны с учетом законодательства Республики Казахстан о браке и семье, а также иных нормативно-правовых актов Республики Казахстан, регламентирующих брачно-семейные правоотношения. Кроме этого, включенные в состав учебно – методического пособия, ситуационные задачи способствуют формированию у обучающихся логического мышления и закреплению изученного материала.Предназначено для профессорско-преподавательского состава, докторантов, магистрантов, обучающихся в высших учебных заведениях юридического профиля, а также юристов-практиков.</t>
  </si>
  <si>
    <t>00011328</t>
  </si>
  <si>
    <t>Досжанова А.А., Бухарбаев М.А., Казагачев В.Н.</t>
  </si>
  <si>
    <t>Жартылай өткізгіш құрылғылардың жұмыс принциптері мен теориясы қарастырылады. Жартылай өткізгіш диодтардағы, транзисторлардағы және операциялық күшейткіштердегі классикалық электрондық тізбектерді талдау ұсынылған. Өз бетінше жұмыс істеуге арналған жаттығулар берілген.
 Оқу құралы жоғары оқу орындарының инженерлік және жаратылыстану мамандықтарының студенттері мен оқытушыларына және информатика мұғалімдеріне арналған.</t>
  </si>
  <si>
    <t>00011329</t>
  </si>
  <si>
    <t>Қадірбекқызы А., Сағынова А.М., Казагачев В.Н.</t>
  </si>
  <si>
    <t>Python-да қосымшаларды әзірлеу</t>
  </si>
  <si>
    <t>Python-қарапайым және сонымен бірге қуатты интерпретацияланған объектіге бағытталған бағдарламалау тілі. Оқу құралы Python тілінің негізгі конструкцияларын зерттеуге арналған, деректерді талдаудан бастап жаңа бағдарламалық өнімдерді әзірлеуге дейін-көптеген мәселелерді шешуде пайдалы.Игеру нәтижесінде - сандарды, мәтіндерді және олардың жиынтықтарын өңдеуді және сақтауды үйренеді, Python тілінің стандартты кітапханасын меңгереді және деректерді жинау және өңдеу тапсырмаларын автоматтандырады. Оқу құралы жоғары оқу орындарының техникалық және инженерлік мамандық студенттері мен оқытушыларына, жоғары сынып оқушыларына және информатика мұғалімдеріне арналған.</t>
  </si>
  <si>
    <t>00011330</t>
  </si>
  <si>
    <t>Токсанбаева А.О., Тогысова А.С., Казагачев В.Н.</t>
  </si>
  <si>
    <t>SCADA- жүйелері</t>
  </si>
  <si>
    <t>Оқу құралында кәсіпорынның автоматтандыру деңгейлері, негізгі ұғымдар, SCADA- жүйелерінің пайда болу тарихы, SCADA- жүйелерінің функционалдық сипаттамалары, SCADA жүйесінің сыртқы әлеммен өзара әрекеттесуінің негізгі тәсілі ретінде OLE for Process Control (OPC) механизмі, SCADA-GENESIS64 пакеті қарастырылған. Нұсқаулық басқару жүйелерінің студенттеріне арналған, бірақ басқа мамандықтардың студенттері үшін де пайдалы болуы мүмкін.</t>
  </si>
  <si>
    <t>00011331</t>
  </si>
  <si>
    <t>Жаналиева М.К.</t>
  </si>
  <si>
    <t>Адам тістерінің функциялық анатомиясы</t>
  </si>
  <si>
    <t>стоматолгия</t>
  </si>
  <si>
    <t>«Адам тістерінің функиялық анатомиясы» оқу құралы Казақстан Республикасының Білім және Ғылым министрлігінің 2006 жылғы «Мемлекеттік жалпыға міндетті білім беру стандартына» сәйкес дайындалды. Жаңа стандарт бойынша, медицина университеттерінде негізгі пәндерді оқыту бағдарламамен жүргізіледі. Оқу құралы медициналық жоғары оқу орындарының стоматология факультеті студенттеріне, дәрігер стоматологтер мен тіс техниктеріне арналған.</t>
  </si>
  <si>
    <t>00011332</t>
  </si>
  <si>
    <t>Қарымбаева К., Мамаева Г.</t>
  </si>
  <si>
    <t>Қазіргі қазақ тілінің сөзжасамы және морфологиясы</t>
  </si>
  <si>
    <t>Язык казах, лит-ра</t>
  </si>
  <si>
    <t>Оқу құралы «Қазіргі қазақ тілінің сөзжасамы және морфологиясы» пәнінің оқу бағдарламасы негізінде кредиттік технология бойынша модульдік жүйемен жазылған. Оқу құралында тіл білімінің сөзжасам және морфология саласының негізгі мәселелері қамтылып, оның басты ұғымдары, категориялары мен заңдылықтары қарастырылған. Тақырыптардың соңында сөзжасам және морфология теорияларын іс жүзінде қолдануға бейімдейтін тапсырмалар мен тест топтамалары берілген. Оқу құралы жоғары оқу орындарының «Қазақ тілі мен әдебиеті мұғалімдерін дайындау» білім беру бағдарламаларының білім алушыларына арналған</t>
  </si>
  <si>
    <t>00011333</t>
  </si>
  <si>
    <t>Садықов С., Садықов М. С.</t>
  </si>
  <si>
    <t>Медициналық радиобиология</t>
  </si>
  <si>
    <t>радиология</t>
  </si>
  <si>
    <t>Екінші шығуы (бірінші оқулық Алматыда 2002ж. «Иондаушы сәуленің физикалық және биологиялық негіздері» атымен шыққан) жаңадан құрастырылған және толықты­рылған.Оқулық оқу бағдарламасымен сәйкестірілген және бар­­лық медицина жоғарғы оқу орындарының оқытушы­ла­рына және студенттеріне, ғылыми қызметкерлерге, биофи­зик­терге, радиобиологтарға және дәрігер радиологтарға арналған.Осы оқулықты жоғарғы медицина оқу орындарының оқу әдістік бірлестігі мақұлдаған.</t>
  </si>
  <si>
    <t>00011334</t>
  </si>
  <si>
    <t>Кошкарова Ш.З.</t>
  </si>
  <si>
    <t>Костюм композициясы, сән және стиль</t>
  </si>
  <si>
    <t>Бұл оқу құралы 6В02132 - Дизайн (Костюм дизайны), 6В01409 – Кәсіптік оқыту (Көркем еңбек және арнайы пәндер) білім беру бағдарламасы бойынша жоғары оқу орнында оқитын студенттерге, колледж оқушыларына және жалпы білім беретін мектептердегі көркем еңбек пәні мұғалімдеріне арналған. Бұл оқу құралының бірінші бөлімінің тақырыптары киім композициясы арқылы студенттердің шығармашылық белсенділігін дамытуға, эстетикалық және көркем талғамын қалыптастыруға бағытталған. Оқу құралының екінші бөлімінде жеке тұлғаның тиімді стилін қалыптастыру мәселелері мен оны анықтайтын факторлар қарастырылады, киімдегі жеке тұлға стилін қалыптастыруға тұлғаның психологиялық ерекшеліктерінің әсері, адам жасына байланысты әйел мен ерлер киім үлгісі, аксессуарлары туралы баяндалады.</t>
  </si>
  <si>
    <t>00011335</t>
  </si>
  <si>
    <t>Аманжолова З.Д., Жұмабеков Ә.Т., Наханова Ж.Қ., Қаныбеков А.</t>
  </si>
  <si>
    <t>Жедел гинекологиялық аурулар</t>
  </si>
  <si>
    <t>гинекология</t>
  </si>
  <si>
    <t>Оқу құралы жедел іш клиникасымен бірге жүретін гинекологиялық аурулардың этиологиясының, патогенезінің, жіктелуінің, клиникасының, диагностикасының, салыстырмалы диагностикасының және емінің әртүрлі аспектілерін қамтиды: эктопиялық жүктілік, аналық без апоплексиясы, жатырдың тесілуі, аналық без кистасының (кистомасының) аяқтарының бұралуы, миоматозды түйіннің өліеттенуі; жамбас мүшелерінің іріңді қабыну аурулары, пельвиоперитонит, перитонит. Бұл нұсқаулықта "гинекологиядағы өткір іш" бөлімі бойынша тәжірибелік дағдыларды орындау алгоритмдері, өзін-өзі бақылау, тест сұрақтары және жағдайлық тапсырмалар жауаптарымен бірге берілген.Оқу құралы медициналық жоғары оқу орындарының және медициналық колледждердің студенттеріне, интерндерге, резиденттерге, магистранттарға, докторанттарға, акушер-гинеколог дәрігерлерге арналған</t>
  </si>
  <si>
    <t>00011336</t>
  </si>
  <si>
    <t>978-601-330-299-7</t>
  </si>
  <si>
    <t>Базарбаева Ж.М.</t>
  </si>
  <si>
    <t>Жеке даму биологиясы</t>
  </si>
  <si>
    <t>Бұл оқулықта жануарлардың жеке даму заңдылықтары ғылымның соңғы жаңалықтарына сүйене отырып баяндалып, жан-жақты талқыланған. Соның ішінде жыныс клеткаларының пайда болуы, ұрықтану, бөлшектену, гаструляция, нейруляция, ішкі мүшелердің қалыптасуы қаралады. Сонымен бірге дамудың биохимиялық, цитологиялық және генетикалық мәселелері, регенерация, эмбрионалды индукция туралы мәліметтер берілген. Университеттердің биология факультетінің студенттеріне және магистранттарына арналған</t>
  </si>
  <si>
    <t>00011337</t>
  </si>
  <si>
    <t>Abdigapbarova U., Smanova А.</t>
  </si>
  <si>
    <t>Dual vocational education in Germany and Kazakhstan</t>
  </si>
  <si>
    <t>В монографии анализируются работы немецких и казахстанских ученых по проблеме дуального образования. Обоснованы основы развития дуального обучения в системе профессионального образования. Доказано, что истоки дуального образования основаны на изучении системы образования в области казахского народно-прикладного искусства. Определены теоретико-методологические основы дуальной подготовки будущих педагогов в системе профессионального образования. Разработаны научно-методические рекомендации по использованию элементов дуального обучения в высшем педагогическом образовании Казахстана. В статье предлагается авторская инновационная модель профессиональной подготовки педагогов на основе дуальноориентированного обучения и ее организационно-методическое обеспечение. Монография предлагается учителям общеобразовательных школ, колледжей, студентам, магистрантам, докторантам, преподавателям педагогических вузов, ученым и специалистам.</t>
  </si>
  <si>
    <t>00011338</t>
  </si>
  <si>
    <t>Қожас А.К. / Кожас</t>
  </si>
  <si>
    <t>Технология каменных работ в строительстве</t>
  </si>
  <si>
    <t>Архитектура, Строительство</t>
  </si>
  <si>
    <t>В учебном пособии «Технология каменных работ в строительстве» изложен краткий лекционный курс по технологии каменных работ (виды кирпичей и растворов, правила перевязки швов, нормокомплект каменщика, способы укладки кирпича) и основные положения и расчеты по выполнению типовой технологической карты при производстве каменных работ. Предназначено для студентов специальности 6В07304 «Строительство», 6В07306 «Транспортное строительство», 6В07301 «Архитектура»</t>
  </si>
  <si>
    <t>00011339</t>
  </si>
  <si>
    <t>Ботабаева А.Е.</t>
  </si>
  <si>
    <t>Оқүлық</t>
  </si>
  <si>
    <t>Оқулық пәннің типтік оқу бағдарламасына сәйкес тақырыптар бойынша теориялық материалдармен қамтылған. Магистранттардың білімін тексеруге мүмкіндік беретін бақылау сұрақтары, МӨЖ (магистранттардың өзіндік жұмысы), тест тапсырмалары және глоссарий берілген.Оқулық педагогикалық және педагогикалық емес мамандықтар бойынша білім алатын магистранттарға және ЖОО оқытушыларына арналған. Жоғары мектеп педагогикасы курсын оқу міндетті пәннің бірі болғандықтан, болашақ жоғары оқу орындарында дәріс беретін оқытушыларды дайындау ісінде маңызды оқулық болып есептеледі</t>
  </si>
  <si>
    <t>00011340</t>
  </si>
  <si>
    <t>Канаев А.Т., Байхожаева Б.У, Молдахметова А.Е., Сарсембаева Т.Е.</t>
  </si>
  <si>
    <t>Основы научных исследований</t>
  </si>
  <si>
    <t>Стандартизация, сертификация и метрология</t>
  </si>
  <si>
    <t>Учебное пособие составлено в соответствии с требованиями учебного плана и программы обучения, включает все необходимые требования для выполнения практических занятий по дисциплине «Основы научных исследований» для докторантов, обучающихся по специальности D130- «Стандартизация, сертификация и метрология»</t>
  </si>
  <si>
    <t>00011343</t>
  </si>
  <si>
    <t>Дүйсенбаев А.Қ. / Дуйсенбаев А.К.</t>
  </si>
  <si>
    <t>Педагогика тарихы</t>
  </si>
  <si>
    <t>Оқу құралы педагогика тарихы пәнінен теориялық мағлұмат беруді көздейді. Оқу құралында дәрістер, практикалық сабақ, өзіндік жұмыс, аралық бақылау тапсырмалары, глоссарий, әдебиеттер тізімі берілген. Оқу құралы педагогикалық ғылымдар бағытындағы білім беру бағдарламаларының студенттері мен магистранттарына арналған.</t>
  </si>
  <si>
    <t>00011344</t>
  </si>
  <si>
    <t>978-601-13-0709-3</t>
  </si>
  <si>
    <t>Хусаинова Г. Д.</t>
  </si>
  <si>
    <t>Проблема сущности религии и религиозный радикализм</t>
  </si>
  <si>
    <t>Философия, религоведение</t>
  </si>
  <si>
    <t>В монографии анализируется сущность и происхождение религии как феномена культуры. Показано, в частности, что такие явления первобытной культуры, как анимизм, аниматизм, тотемизм, фетишизм, магия и шаманизм, традиционно считающиеся ранними формами религии, таковыми не являются. В монографии рассмотрено соотношение рассудка, разума и веры. Автор придерживается точки зрения, согласно которой существует два типа веры: религиозная и познавательная. Особое внимание уделено феномену религиозного радикализма. Раскрыты его сущность и формы проявления. Монография рекомендуется специалистам в области философии религии и религиоведения, студентам, магистрантам и докторантам, а также всем, кого интересует затронутая в ней проблематика.</t>
  </si>
  <si>
    <t>00011345</t>
  </si>
  <si>
    <t>978-601-330-571-4</t>
  </si>
  <si>
    <t>Байганова А.М., Шаукенбаева А.К., Наурызова Н.К. , Жайлыбаева А.О.</t>
  </si>
  <si>
    <t>практикалық жұмыстың әдістемелік нұсқаулары</t>
  </si>
  <si>
    <t>Ұсынылып отырған практикалық жұмыстарға әдістемелік нұсқау «Білім берудегі цифрлық технологиялар» курсының практикалық жұмыстарын орындауға арналған. Практикалық жұмыстарға әдістемелік нұсқау практикалық жұмыстар, жаттығулар беріліп, өз бетімен орындау жұмыстары айқындалған. Әдістемелік нұсқау жаратылыстану пәндері бойынша мұғалімдерді даярлау бағытындағы мамандық студенттеріне арналған.</t>
  </si>
  <si>
    <t>00011346</t>
  </si>
  <si>
    <t>Лаврушко Е.А.</t>
  </si>
  <si>
    <t>Правовые основы правозащитной деятельности прокуратуры</t>
  </si>
  <si>
    <t>В монографии раскрываются вопросы, связанные с организацией деятельности органов прокуратуры, входящих в систему правоохранительных органов государства. Органы прокуратуры играют важную роль в системе сдержек и противовесов и их правозащитные функции направлены на защиту прав, свобод и законных интересов человека и гражданина, общества и государства. Прокуратура, наделенная надзорными функциями, обладает властными полномочиями, которые распространяются на правовые отношения, складывающиеся между физическими, юридическими лицами и т.д. Особую актуальность, которая требует тщательного исследования составляют новеллы законодательства о прокуратуре Республики Казахстан в области состава полномочий и правозащитных функций прокурора. Предназначена для профессорско-преподавательского состава, докторантов, магистрантов, обучающихся в высших учебных заведениях юридического профиля, а также практических работников правоохранительных органов.</t>
  </si>
  <si>
    <t>00011347</t>
  </si>
  <si>
    <t>Джумамухамбетов Д.Г., Яшков В.А., Ершов М.С., 
 Конарбаева А.А.</t>
  </si>
  <si>
    <t>Качество современных промышленных электропередач (электроснабжение)</t>
  </si>
  <si>
    <t>Электроэнеретика</t>
  </si>
  <si>
    <t>В монографии изложены вопросы оценки качества современных систем промышленных электропередач, включающее две составляющие: качество электроэнергии и надежность электроснабжения, которые влияют на показатели функционирования потребителей электроэнергии технологических процессов. Также рассмотрены актуальные вопросы промышленных электропередач.</t>
  </si>
  <si>
    <t>00011348</t>
  </si>
  <si>
    <t>Bekmurzaeva E.K., Amanova E.O., Toktarova G.A., Вathieva M.B.</t>
  </si>
  <si>
    <t>Diagnosis of internal diseases by syndromes</t>
  </si>
  <si>
    <t>Training manual</t>
  </si>
  <si>
    <t>Терапия</t>
  </si>
  <si>
    <t>This textbook contains information about the syndromic diagnosis of internal diseases. In the diagnosis of a particular disease, the mechanisms of occurrence and etiological significance of the identified symptoms are outlined. The textbook is intended for students of medical universities and colleges, intern therapists.The main material of this textbook is taken from the textbooks developed by the Department of "Bachelor Therapy" in 2014 years "Examination of the patient as the basis of the syndromic diagnosis.
  В учебнике содержится информация о синдромальной диагностике внутренних болезней. При диагностике того или иного заболевания излагаются механизмы возникновения и этиологическое значение выявленных симптомов. Учебник предназначен для студентов медицинских вузов и колледжей, интернов-терапевтов.
 Основной материал данного учебника взят из учебника, разработанного кафедрой «Терапия бакалавриата» в 2014 году «Обследование больного как основа синдромальной диагностики.</t>
  </si>
  <si>
    <t>00011349</t>
  </si>
  <si>
    <t>Тех/Мед</t>
  </si>
  <si>
    <t>Нелидов С.Н.</t>
  </si>
  <si>
    <t>Семьеведение. Тридиции брака и семьи. 1 том.</t>
  </si>
  <si>
    <t>Социология</t>
  </si>
  <si>
    <t>В книге приводятся результаты исследования материалов обширного круга историко-
 этнографических, фольклорных, демографических, естественно-научных источников, а
 также данные контентанализа художественной и публицистической литературы разных
 времён в области брачных и семейных отношений, как важнейшей составляющей генети-
 ческих связей и духовной культуры народов.Рассматриваются условия заключения брака, смысл и цель создания семьи в зороа-стризме, буддизме, индуизме, синтоизме, иудаизме, христианстве, исламе и других религи-ях. Приведены поведенческие образцы и системы ценностей, обряды и обычаи проведениясвадеб в различных регионах мира. Описаны обычаи возрастной инициации в подготовке индивида к вхождению в брачный возраст и половой социализации. Изложен глубокий и сокровенный смысл народных обрядов, связанных с аккумуляцией жизненного опыта в культе пола и проявлениями сексуальности. На примере брачных традиций различных на-
 родов показана эволюционная динамика формирования нравственности, укрепления от-
 ветственного партнёрства и развития чувств между женщиной и мужчиной в семейных от-
 ношениях как важнейшего условия выживания, репродуктивного воспроизводства, основы
 религиозного, культурного и национального единства людей.Раскрываются причины, по которым в глубинах человеческой цивилизации сформи-ровалось и на протяжении тысячелетий сохранялось обществом особо уважительное отно-шение к людям, совершающим подвиг целомудренного образа жизни и девушкам, обере-гающим до брака девственное состояние души и тела. Объясняется роль первого мужчиныв сохранении наследуемых достоинств у рождаемых женщиной детей. В качестве учебного пособия эта книга является источником уникальной информации, представляющей особый интерес для преподавателей и студентов гуманитарных
 ВУЗов, изучающих такие учебные дисциплины, как: «Антропология», «Гендерология и фе-
 минология», «Психосексуальное развитие», «Религиоведение», «Культурология», «Сексология»,
 «Семьеведение», «Социология семьи», «Этнография», «Этика».</t>
  </si>
  <si>
    <t>00011350</t>
  </si>
  <si>
    <t>Семьеведение. Тридиции брака и семьи. 2 том.</t>
  </si>
  <si>
    <t>В книге приводятся результаты исследования материалов обширного круга историко-
 этнографических, фольклорных, демографических, естественно-научных источников, а
 также данные контентанализа художественной и публицистической литературы разных
 времён в области брачных и семейных отношений, как важнейшей составляющей генети-
 ческих связей и духовной культуры народов.Рассматриваются условия заключения брака, смысл и цель создания семьи в зороа-стризме, буддизме, индуизме, синтоизме, иудаизме, христианстве, исламе и других религи-ях. Приведены поведенческие образцы и системы ценностей, обряды и обычаи проведениясвадеб в различных регионах мира. Описаны обычаи возрастной инициации в подготовке
 индивида к вхождению в брачный возраст и половой социализации. Изложен глубокий и
 сокровенный смысл народных обрядов, связанных с аккумуляцией жизненного опыта в
 культе пола и проявлениями сексуальности. На примере брачных традиций различных на-
 родов показана эволюционная динамика формирования нравственности, укрепления от-
 ветственного партнёрства и развития чувств между женщиной и мужчиной в семейных от-
 ношениях как важнейшего условия выживания, репродуктивного воспроизводства, основы
 религиозного, культурного и национального единства людей.Раскрываются причины, по которым в глубинах человеческой цивилизации сформи-ровалось и на протяжении тысячелетий сохранялось обществом особо уважительное отно-шение к людям, совершающим подвиг целомудренного образа жизни и девушкам, обере-гающим до брака девственное состояние души и тела. Объясняется роль первого мужчиныв сохранении наследуемых достоинств у рождаемых женщиной детей.
 В качестве учебного пособия эта книга является источником уникальной инфор-
 мации, представляющей особый интерес для преподавателей и студентов гуманитарных
 ВУЗов, изучающих такие учебные дисциплины, как: «Антропология», «Гендерология и фе-
 минология», «Психосексуальное развитие», «Религиоведение», «Культурология», «Сексология»,
 «Семьеведение», «Социология семьи», «Этнография», «Этика».</t>
  </si>
  <si>
    <t>00011351</t>
  </si>
  <si>
    <t>Семьеведение. Тридиции брака и семьи. 3 том.</t>
  </si>
  <si>
    <t>00011352</t>
  </si>
  <si>
    <t>978-601-330-369-7</t>
  </si>
  <si>
    <t>Телоссофия сексуальных отношений. Книга 1</t>
  </si>
  <si>
    <t>Психология,Сексология,Семьеведение</t>
  </si>
  <si>
    <t>В книге обобщены материалы антропологических, анатомических, генетиче­ских, психофизиологических и медицинских исследований, философских воззрений, статистических наблюдений и социологических опросов, приближающие к понима­нию особенностей различий между женщиной и мужчиной, играющих важную роль в формировании сексуальных и семейных взаимоотношений как стимулов развития человеческих качеств и способностей. Рассмотрена культурно- функциональная организация генетического материала признаков пола и проблема наследуемых заболеваний. Приведены результаты морфофизиологических и антропометрических исследований, итоги изучения особенностей диморфизма в проявлениях деятельно­сти мозга в зависимости от половой принадлежности. Показана индивидуализация полового влечения на уровне сенсорных систем в зависимости от биологических особенностей человека. 
 В качестве учебного пособия эта книга, как источник уникальных данных и до­полнительных материалов, представляет особый интерес для преподавателей и студентов гуманитарных ВУЗов, изучающих такие учебные дисциплины, как «Антропология», «Андраrоrика», «Безопасносrь жизнедеятельности», «Валеология», «Гендеролоrия и феминолоrия», «Психосексуальное развитие», «Психофизиология», «Сексология», «Семьеведение», «Социальная геронтология», «Социальная медицина», «Социальная экология», «Этнология».</t>
  </si>
  <si>
    <t>00011354</t>
  </si>
  <si>
    <t>978-601-330-550-9</t>
  </si>
  <si>
    <t>Целомудрие и девственность</t>
  </si>
  <si>
    <t>Эта книга раскрывает причины, по которым в глубинах человеческой цивилизации сформировалось и на протяжении тысячелетий сохранялось обществом особое уважительное отношение к людям, совершающим подвиг целомудренного образа жизни и девушкам, оберегающим девственное состояние души и тела. На примерах религиозных воззрений, научных наблюдений, национальных обрядов и обычаев с привлечением остроумия и наблюдательности народного фольклора доказывается необходимость бережного отношения к душевной и нравственной целостности, состоянию физической чистоты вступающего в жизнь молодого поколения. Уважать себя, ценить и оберегать индивидуальность непорочных помыслов и поступков как передаваемую потомкам эстафету – важнейшее условие духовной и культурной эволюции, сохранения физического здоровья личности и всего человечества.</t>
  </si>
  <si>
    <t>00011355</t>
  </si>
  <si>
    <t>Шыңғысов Ә.Ө. , Өскенбаев С.Ө., Еркебаева С.Ө., Нурсеитова З.Т.</t>
  </si>
  <si>
    <t>Өңдеу өндірісі өнімдерін салқындатып өңдеудің техникасы және технологиясы</t>
  </si>
  <si>
    <t>Пищевая безопасность</t>
  </si>
  <si>
    <t>«Өңдеу өндірісі өнімдерін салқындатып өңдеудің техникасы және технологиясы» оқулығында тоңазыту машиналарының теориялық және термодинамикалық негіздері, тоңазыту агенттері және тамақ өнімдерінде суқты қолдану шарттары қарастырылған</t>
  </si>
  <si>
    <t>00011356</t>
  </si>
  <si>
    <t>Таутенбаева А.А., Абыканова Б.Т</t>
  </si>
  <si>
    <t>Особенности обучения «цифрового поколения» в системе высшего образования</t>
  </si>
  <si>
    <t>моногафия</t>
  </si>
  <si>
    <t>Монография посвящена теоретическим проблемам определения цифрового поколения, особенностям формирования цифрового поколения. В монографии содержится полноценный анализ зарубежной и отечественной литературы по вопросу обучения представителей цифрового поколения после обретения независимости, а также адаптированных в Республике Казахстан стратегий развития. Также рассмотрены вопрос модернизации системы и особенности системного запроса на институциональные изменения высшего образования в ответ на вызовы цифрового поколения. Издание может быть полезно научным работникам, преподавателям всех уровней образования, интересующимся проблемами развития современной науки и образования, а также студентам, магистрантам.</t>
  </si>
  <si>
    <t>00011357</t>
  </si>
  <si>
    <t>Молдашев Г.К.</t>
  </si>
  <si>
    <t>Системы менеджмента качества (2-е изд., перераб. и доп.)</t>
  </si>
  <si>
    <t>В пособии рассматриваются концептуальные положения системы менеджмента качества (СМК) и процессного обеспечения менеджмента изменений, изложены суть процедур создания, сертификации, поддержания в рабочем состоянии, оценки результативности и совершенствования СМК организации на базе МС ISO серии 9000. Актуализированы требования к сертифицированным организациям страны в связи с необходимостью их перехода на МС ISO 9001:2015 пятого поколения. Более подробно представлены разделы: основные положения СМК, аудит, процессный подход к менеджменту, порядок создания и модернизации СМК предприятий. Содержание соответствует образовательным программам (ОП) подготовки бакалавров, обучающихся по экономическим, управленческим, технологическим и инженерным специальностям и изложено с позиции современных тенденций развития менеджмента качества, сложившихся под воздействием объективных изменений в мировом общественном развитии.Предназначено для студентов вузов по ОП экономических, управленческих, технологических и инженерных специальностей</t>
  </si>
  <si>
    <t>00011358</t>
  </si>
  <si>
    <t>Молдашев Ғ.Қ.</t>
  </si>
  <si>
    <t>Сапа менежменті жүйелері. (2-ші басылым, өнделген және толықтырылған)</t>
  </si>
  <si>
    <t>Оқу құралында сапа менеджменті жүелерінің (СМЖ) концептуалдық жағдайлары мен өзгеріс менеджментінің үдерісін қамтамасыз ету, ұйымда СМЖ құру, енгізу, қолдау, нәтижелігін бағалау мен ұдайы жетілдіру рәсімдерінің мәні ISO 9000 сериялы халықаралық стандарттар (ХС) негізінде баяндалған. Еліміздегі сертификатталған ұйымдардың 5-ші буындағы ISO 9001:2015 ХС көшу қажеттілігіне байланысты, оларға қойылатын талаптар оқулықта алғаш рет өңделіп жазылған. СМЖ негізгі ережелер, аудит, үдерістік амал, кәсіпорындарда осы жүйенің құру тәртібі мен модернизациялау, еліміздегі сапа негізінде басқарудың нәтижесіздігі тақырыптарының көлемі өңделіп ұлғайтылған. Мазмұны бакалавриат студенттерінің экономикалық, басқарушылық, технологиялық және инженерлік бағыттағы білім бағдарламаларына (ББ) сай және әлемдік қоғамдық дамудағы объективті өзгерістердің ықпалымен қалыптасқан сапа менеджментіне заманауи даму үрдісі көзқарасын есепке ала баяндалған. 
 Экономикалық, басқарушылық, технологиялық және инженерлік ББ сәйкес ЖОО 
 студенттеріне арналған.</t>
  </si>
  <si>
    <t>00011359</t>
  </si>
  <si>
    <t>978-601-330-436-6</t>
  </si>
  <si>
    <t>Будищева Н.Н., Васильева Е.Н., Говорова А.И., под редакцией Кусаинова Г.М.</t>
  </si>
  <si>
    <t>Якутский феномен в образовании</t>
  </si>
  <si>
    <t>В книге раскрывается феноменальный опыт якутских педагогов по освоению педагогической технологии коллективного способа обучения «по горизонтали» и «по вертикали», получивший высокую оценку как республиканского и федерального министерств образования, так и педагогической и родительской общественности.Адресуется работникам сферы образования и науки, обучающимся гуманитарных колледжей, педагогических вузов и университетов</t>
  </si>
  <si>
    <t>0001136</t>
  </si>
  <si>
    <t>Байсарина С.С.</t>
  </si>
  <si>
    <t>Педагогика (курс лекций)</t>
  </si>
  <si>
    <t>Учебно-методическое пособие представляет собой краткое и комплексное изложение содержания педагогики, которые всегда были и остаются одним из важнейших наук о человеке. Именно это дисциплина разрабатывает пути социализации людей, намечают направления и способы вхождения детей в мир взрослых, а также как его обучить и воспитать, способствовать его духовному развитию, самореализации, преодолению возрастных и ситуационных кризисов, возникающих на его жизненном пути.
 Содержание курса «Педагогика» является основой культуры, необходимой для человека в любой области его деятельности.</t>
  </si>
  <si>
    <t>00011360</t>
  </si>
  <si>
    <t>978-601-330-137-2</t>
  </si>
  <si>
    <t>Мамедов С.Э.</t>
  </si>
  <si>
    <t>Архитектурное проектирование объектов дошкольного воспитания и образования</t>
  </si>
  <si>
    <t>Учебное пособие «Архитектурное проектирование объектов дошкольного воспитания и образования» подготовлено в соответствии с программой курсов «Архитектурное проектирование X», «Энергоэффективное архитектурное проектирование X» и «Преддипломный проект» , которые студенты изучают на 4-ом и 5-ом курсах. Данное пособие предназначено для студентов, магистрантов и докторантов, обучающихся по специальности «Архитектура» и «Дизайн», а также для архитекторов и соискателей, работающих в области архитектуры и градостроительства.Учебное пособие содержит методические и практические рекомендации по проектированию дошкольных объектов образования. Изложенный материал сопровождается иллюстрациями, контрольными вопросами для самопроверки и еженедельными заданиями в соответствии с программой</t>
  </si>
  <si>
    <t>00011362</t>
  </si>
  <si>
    <t>Өмірбай Р.С., Омирзакова Э.Ж., Музаппарова А.Б</t>
  </si>
  <si>
    <t>Өндірістік қауіпсіздік құрылғылары мен жабдықтары</t>
  </si>
  <si>
    <t>Оқу құралы білім алушылардың өндірістік және өмір тіршілік жағдайында туындауы мүмкін апат немесе оқыс оқиға кезінде қолданатын аспаптар және жабдықтармен танысады, сонымен бірге зардап шеккендерге алғашқы дәрігерге дейінгі көмек көрсету бойынша дағдылар мен іскерлерді меңгереді.Оқу құралы қарастырылған аспаптарды, құралдар мен жабдықтарды оқып-үйрену барысында білім алушылар заманауи техносфера мен өндірістердегі қауіптіліктерді талдап, қатер түрін толықтай қарастырып бағалау тәсілдерімен және әдістерімен танысады.Оқу құралы Каспий Қоғамдық Университетінің 6В11229 – «Тіршілік қауіпсіздігі және қоршаған ортаны қорғау» білім беру бағдарламасының студенттеріне араналған</t>
  </si>
  <si>
    <t>00011363</t>
  </si>
  <si>
    <t>978-601-330-493-9</t>
  </si>
  <si>
    <t>Искакова Ж.Ж.</t>
  </si>
  <si>
    <t>Фортепианная педагогика с методических и методологических позиций</t>
  </si>
  <si>
    <t>Учебное пособие посвящено научному анализу концепции развивающего обучения в музыкальном воспитании и адресовано учителям музыки, студентам и учащимся музыкально-педагогических заведений и всем, кто интересуется проблемами современной педагогики. В процесс рассмотрения концепции с позиций теории познания раскрывается ее методологический потенциал, роль и значение как этапа становления музыкальной педагогики будущего.</t>
  </si>
  <si>
    <t>00011364</t>
  </si>
  <si>
    <t>Избранные дидактические произведения. том 5 книга 1, 2-е изд., перераб. и доп.</t>
  </si>
  <si>
    <t>В первой книге пятого тома вниманию читателей предлагается учебник «Основы современной дидактики» (1996), где на основе естественно-исторического подхода к процессу обучения рассматриваются проблемы сущности процесса обучения как социоприродного явления, форм, содержания, принципов и методов обучения и т.д. Адресуется обучающимся педагогических вузов и колледжей, работникам сферы образования и науки</t>
  </si>
  <si>
    <t>00011365</t>
  </si>
  <si>
    <t>Избранные дидактические произведения. том 5 книга 4, 2-е изд., перераб. и доп.</t>
  </si>
  <si>
    <t>В четвертой книге пятого тома представлена рукопись «Изучение математики в системе коллективных учебных занятий в условиях перехода от группового способа обучения к коллективному: Очерки» (2001), которая при жизни автора не была опубликована. В ней предлагается методическое руководство по изучению математики в условиях новейшей педагогической технологии и формирования разновозрастных коллективов. Адресуется обучающимся педагогических вузов и колледжей, работникам сферы образования и науки</t>
  </si>
  <si>
    <t>00011367</t>
  </si>
  <si>
    <t>Максатов Н.Р Акимбекова С.А., Әлімов О.Т.</t>
  </si>
  <si>
    <t>Азаматтық істер бойынша процессуалдық құжаттар</t>
  </si>
  <si>
    <t>«Азаматтық істер бойынша процессуалдық құжаттар» практикумы азаматтық сот ісін жүргізу саласында қолданбалы құзыреттерді қалыптастыруға бағытталған факультативтік оқу курсы болып табылады. Атап айтқанда, бұл оқу курсы студенттердің «азаматтық іс жүргізу құқығы» міндетті пәнін оқу барысында алған білімдерін негізгі сот құжаттарын жасау дағдыларымен толықтырады. Сонымен қатар, «Азаматтық істер бойынша процессуалдық құжаттар» практикумы студенттерді белгілі бір құжаттардың рөлі мен мазмұнына қатысты сот практикасының негізгі тәсілдерімен таныстыруға, сот органдарымен өзара іс-қимылды болжамды және түсінікті етуге арналған. Практикумның ерекшелігіне байланысты студенттердің жазбаша тапсырмаларды уақтылы орындауы курсты сәтті игерудің негізгі мәні болып табылады</t>
  </si>
  <si>
    <t>00011368</t>
  </si>
  <si>
    <t>978-601-330-810-4</t>
  </si>
  <si>
    <t>Дарибаев Ю.А., Дарибаев Н.Ю.</t>
  </si>
  <si>
    <t>Технология и техника добычи нефти</t>
  </si>
  <si>
    <t>Нефть и газ</t>
  </si>
  <si>
    <t>Учебное пособие «Технология и техника добычи нефти» предна-значено для подготовки бакалавров обучающихся по образовательной программе 6В07216 «Нефтегазовая инженерия», 6В07213-«Бурение нефтяных и газовых скважин»и инженерно-технических работников нефтяной промышленности. В учебно пособии приведены – общие сведения, оборудование скважины, оборудование при добыче фонтан-ной скважины, оборудование для эксплуатации скважин методом газ-лифта, оборудование скважин для эксплуатации штанговых скважин-ных насосов, оборудование скважин без штанговых насосов, установка винтовых и диафрагменных насосов, конструкции насосов проточных скважин, классификация оборудования для подземного ремонта сква-жин, лебедки для подземного ремонта и освоения скважин, подъемни-ки и агрегатов, а также расчет подъемников, насосов, приведены рас-четы проектирования обработки соляной кислотой и проектирования процесса гидроразрыва пласта.</t>
  </si>
  <si>
    <t>0001137</t>
  </si>
  <si>
    <t>Байсарина С.С., Тасмагамбетова А.О.</t>
  </si>
  <si>
    <t>Правосознание социального педагога</t>
  </si>
  <si>
    <t>Монография является одним из первых научных трудов, в котором системно излагается теоретико-методологический анализ проблемы развития правосознания социальных педагогов в условиях вуза, а именно сущность, содержание, специфика правосознания специалистов по социальной педагогике и особенности развития правового сознания личности студентов вуза. Для студентов, магистрантов, докторантов, преподавателей педагогических вузов и факультетов.</t>
  </si>
  <si>
    <t>00011370</t>
  </si>
  <si>
    <t>978-601-330-361-1</t>
  </si>
  <si>
    <t>Арыстанов Ж.М.</t>
  </si>
  <si>
    <t>Введение в специальность «Фармация» (переработанное и дополненное издание)</t>
  </si>
  <si>
    <t>В учебном пособий раскрывается содержание и приводятся требования к профессиональной подготовке фармацевтических специалистов в соответствии с Государственным общеобязательным стандартом высшего профессионального образования по специальности - «Фармация». Рассматриваются характеристики и основные направленияпрофессиональной деятельности фармацевтов, виды, объекты и организация фармацевтической деятельности, этические принципы взаимоотношения субъектов фармации, роль фармацевта в системе здравоохранения и в обществе, фармацевтические базовые терминологические понятия. Предназначено для студентам первого курса фармацевтического факультета, а также абитуриентам, выбирающим фармацевтическую специальность.</t>
  </si>
  <si>
    <t>00011371</t>
  </si>
  <si>
    <t>978-601-330-360-4</t>
  </si>
  <si>
    <t>История фармации. (Переработанное и дополненное издание)</t>
  </si>
  <si>
    <t>В учебном пособий рассмотрены вопросы истории становления и развития фармации с древных времен до современности. Учебное пособие предназначен для студентов, обучающихся по специальности «Фармация» медицинских (фармацевтических) вузов, преподавателей фармацевтических факультетов и практических фармацевтических работников</t>
  </si>
  <si>
    <t>00011372</t>
  </si>
  <si>
    <t>978-601-330-483-0</t>
  </si>
  <si>
    <t>Кунжигитова Г.Б.</t>
  </si>
  <si>
    <t>Основы композиции</t>
  </si>
  <si>
    <t>Дизайн, живопись</t>
  </si>
  <si>
    <t>Методические указания к практическим занятиям посвящено научно-теоретическому обоснованию содержания дисциплины «Основы композиции (ІІ)». Главное внимания уделяется основным принципам гармонизации форм, основные закономерности восприятия форм, ее специфика и определена взаимосвязь с практическим применением композиционных знаний. Методические указания к практическим занятиям по дисциплине «Основы композиции (ІІ)» предназначено для студентов специальности 6В021400-Живопись</t>
  </si>
  <si>
    <t>00011373</t>
  </si>
  <si>
    <t>978-601-330-561-5</t>
  </si>
  <si>
    <t>Kunzhigitova G.B. / Кунжигитова Г.Б.</t>
  </si>
  <si>
    <t>«Professionally-oriented English language» Teaching suggestions for subject’s 6В01431- Visual art, Art work, Graphic and Design 2nd edition revised and updated</t>
  </si>
  <si>
    <t>methodological recommendations</t>
  </si>
  <si>
    <t>Язык англ, Живопись</t>
  </si>
  <si>
    <t>Teaching suggestions for practical exercise of «Professionally oriented English language» subject has been developed on the standard programme’s basis and course programme of Professionally oriented English language and contains entire focus information to study the subject. According to the educational program for students 6В01431- Visual art, Art work, Graphic and Design/Методические рекомендации по практическим занятиям по предмету «Профессионально ориентированный английский язык» были разработаны на основе стандартной программы и программы курса профессионально ориентированного английского языка и содержат всю основную информацию для изучения предмета.Согласно образовательной программе для студентов 60101431- Изобразительное искусство, художественная работа, Графика и дизайн</t>
  </si>
  <si>
    <t>00011374</t>
  </si>
  <si>
    <t>Кинтонова А.Ж. Турсынова Н.А.</t>
  </si>
  <si>
    <t>Үш өлшемді графика</t>
  </si>
  <si>
    <t>«Үш өлшемді графика» оқу құралы «Үш өлшемді графика» пәні бойынша «Информатика» мамандығының студенттеріне арналған. «Үш өлшемді графика» оқу құралында үш өлшемді графика және анимация технологияларының негіздері, компьютерлік графика түрлері, 3ds Max интерфейсі, жобалармен жұмыс, жобаларды визуализациялау, қарапайым геометриялық объектілерге негізделген модельдеу, объектілерді құру сияқты мәселелер қарастырылған. «Үш өлшемді графика» оқу құралында үш өлшемді графика технологияларын пайдалану мысалдары келтірілген</t>
  </si>
  <si>
    <t>00011375</t>
  </si>
  <si>
    <t>Языки программирования для анализа данных</t>
  </si>
  <si>
    <t>Учебное пособие посвящено проблеме анализа данных. В учебном пособии дается обзор языкам программирования для анализа данных и приводятся примеры методов и средств анализа и визуализации данных.В учебном пособии дается обзор языков программирования для работы с данными таких как Python, R, Java, Scala, Julia, С++ и др.В учебном пособии дается обзор возможностей языков программирования для работы с данными.В учебном пособии описываются методы и технологии обработки и визуализации данных.В учебном пособии даются примеры практической реализации методы и технологии обработки и визуализации данных на языке Python</t>
  </si>
  <si>
    <t>00011376</t>
  </si>
  <si>
    <t>Есеева Г.К., Дуйсмухамбетова Ш.О., Мухамбетова Б.К., Сапабек А.Н.</t>
  </si>
  <si>
    <t>Каталогизации документов по стандартизации</t>
  </si>
  <si>
    <t>Учебное пособие «Каталогизации документов по стандартизации» разработан для подготовки обучающихся по направлению стандартизация, сертификация и метрология, в системе высшего профессионального обучения. В содержании учебного пособия расскрыта основная программа по одноименной дисциплине, такие как система каталогизации документов по стандартизации, размещение информации о документах по стандартизации (за исключением военных национальных стандартов, стандартов организаций), осуществление обязательного опубликования на интернет-ресурсе национального органа по стандартизации и в ежемесячных и ежегодных информационных указателях стандартов.</t>
  </si>
  <si>
    <t>00011377</t>
  </si>
  <si>
    <t>Есеева Г.К., Дуйсмухамбетова Ш.О.</t>
  </si>
  <si>
    <t>Стандартизация в пищевой промышленности</t>
  </si>
  <si>
    <t>Стандартизация и сертификация, пищевая промышышленость</t>
  </si>
  <si>
    <t>Учебное пособие «Стандартизация в пищевой промышленности» предназначено для студентов ОП 6В07514 «Стандартизация и сертификация (по отраслям)». Курс «Стандартизация в пищевой промышленности» является компонентом для выбора профилирующих дисциплин, объемом 5 кредитов. В содержании учебного пособия подробно рассмотрено вопросы национальная система стандартизации, маркировка пищевой продукции, нормативные документы в пищевой промышленности, правила сертификации пищевых продуктов и продовольственного сырья и др.</t>
  </si>
  <si>
    <t>0001138</t>
  </si>
  <si>
    <t>Байсеитова И.С., Беккулиева А.С., Джунусова А.К.</t>
  </si>
  <si>
    <t>Тігін бұйымдарының технологиялық өңдеу әдістері пәні бойынша зертханалық сабақтарды орындау үшін әдістемелік нұсқау</t>
  </si>
  <si>
    <t>Әдістемелік нұсқау оқу жоспары талаптарына және «Тігін бұйымдарының технологиялық өңдеу әдістері» пәнінің бағдарламасы талаптарына сәйкес құрастырылған және әдістемелік нұсқауда зертханалық жұмыстың тақырыбы бойынша жұмысты орындауға керекті толық мәліметтер қамтылған, онда ең күрделі бөлідерді терең оқу, сонымен қатар студенттердің өзіндік жұмысын, шығармашылық жұмыстарын және бұйымды дайындау процесін оқу мүмкіндіктері берілген. 5В072600 - «Жеңіл өнеркәсіп бұйымдарының технологиясы және конструкциялануы» мамандықтарының студенттеріне арналған</t>
  </si>
  <si>
    <t>00011380</t>
  </si>
  <si>
    <t>Қадыкен. Р./ Кадыкен Р., Қазиқан О.,</t>
  </si>
  <si>
    <t>Қоян шаруашылығы</t>
  </si>
  <si>
    <t>Ветеринария, кролиководство</t>
  </si>
  <si>
    <t>«Қоян шаруашылығы» атты оқулықта мазмұны жағынан қоянның қасиеттері мен ерекшеліктері, тұқымдары мен тұқымдық топтары, олардың сипаттамалары, дене бітімі мен дене пішіндерінің ерекшеліктері және түрлері жазылған. Сонымен қатар қоянды бағу, күту сонымен бірге азықтандыру мәселелері де қарасытырылған. Жалпы алғанда аталмыш кітап қоян шаруашылығы мен айналысатын мамандарға арналған.</t>
  </si>
  <si>
    <t>00011381</t>
  </si>
  <si>
    <t>Қадыкен. Р (Кадыкен.Р)., Баймәжі Е., Қазиқан О</t>
  </si>
  <si>
    <t>Клеткалық биотехнология</t>
  </si>
  <si>
    <t>Биотехнология, ветеринария</t>
  </si>
  <si>
    <t>Бұл оқу құралы жоғары оқу орындарының «Биотехнология» және «Мал шаруашылығы өнімдерін өндіру технологиясы» мамандығының студенттері мен магистранттарына арналған. Оқу құралында жануарлар биотехнологиясының клеткалық және молекулалық деңгейдегі зерттеу әдіс-тәсілдері мен оны қолдану аялары және жеткен жетістіктері айтылады. Сонымен қатар, ізденушілердің оқу барысында алған білімдерін тиянақтау үшін бақылау және тест сұрақтары келтірілген.</t>
  </si>
  <si>
    <t>00011382</t>
  </si>
  <si>
    <t>978-601-330-375-8</t>
  </si>
  <si>
    <t>Жанбиров Ж.Ғ., Елешева Ж.Б., Ебесова Ә.Б., Жанбиров Е.Ж.</t>
  </si>
  <si>
    <t>Тасымалдау тізбегінің логистикасы 1 том</t>
  </si>
  <si>
    <t>«Логистика» мамандығы бойынша докторанттармен мамандарға кәсіби қайта дайындау бағдарламасына сәйкес дайындалған оқу құралдары. Бұл басылымда қазіргі экономикадағы тасымалдау тізбегін басқарудың даму тарихына, терминологиясына және әдіснамасына байланысты негізгі теориялық мәселелер баяндалған. Тасымалдау тізбектерін қалыптастырудың негізгі тәсілдері, тасымалдау тізбектерінің желілік конфигурациясы және олардың ерекшеліктері, бизнес-процестерді анықтау және оларды талдау, тасымалдау тізбектеріндегі басқару және бақылау құралдары ұсынылған.</t>
  </si>
  <si>
    <t>00011383</t>
  </si>
  <si>
    <t>978-601-330-376-5</t>
  </si>
  <si>
    <t>Тасымалдау тізбегінің логистикасы 2 том</t>
  </si>
  <si>
    <t>«Логистика» мамандығы бойынша докторанттармен мамандарды кәсіби қайта дайындау бағдарламасына сәйкес дайындалған оқу құралдары. Бұл басылымда қазіргі экономикадағы тасымалдау тізбегін басқарудың даму тарихына, терминологиясына және әдіснамасына байланысты негізгі теориялық мәселелер баяндалған. Тасымалдау тізбектерін қалыптастырудың негізгі тәсілдері, тасымалдау тізбектерінің желілік конфигурациясы және олардың ерекшеліктері, бизнес-процестерді анықтау және оларды талдау, тасымалдау тізбектеріндегі басқару және бақылау құралдары ұсынылған.</t>
  </si>
  <si>
    <t>00011385</t>
  </si>
  <si>
    <t>Есеева Г.К., Жсупбеков Ж.М. Лобазова В.А.</t>
  </si>
  <si>
    <t>Интегрированная защита растений</t>
  </si>
  <si>
    <t>Учебное пособие «Интегрированная защита растений» предназначено для студентов ОП 6В08127 «Агрономия», обучающихся по траектории «Защита и карантин растений». Курс «Интегрированная защита растений» является компонентом для выбора профилирующих дисциплин, объемом 5 кредитов. Данное пособие разработано в соответствии современными знаниями в агрономии.</t>
  </si>
  <si>
    <t>00011386</t>
  </si>
  <si>
    <t>Есеева Г.К., Кукенов А.Ж.</t>
  </si>
  <si>
    <t>Основы в агропромышленном комплексе</t>
  </si>
  <si>
    <t>В данном учебном пособие подробно даны закономерности, понятия, основы развития агропромышленного комплекса. Приведены расчнты по эффективности использования разных фондов агропромышленного комплекса и т.д. Расчеты трудозатрат, маркетин, продажа и хранение сельскохозяйтвенного сырья и готовой продукции, цены, ценообразование, прибыль, заготовка при переработки продукции АПК, общие вопросы животноводства, кормозаготовки, 
 Учебное пособие необходимо для обучения студентов сльскохозяйственных, технологических и экономических направлении подготовок при подготовке к зантиям, написанию курсовых и дипломных работ в системе высшего профессионального и ТПиО.</t>
  </si>
  <si>
    <t>00011387</t>
  </si>
  <si>
    <t>978-601-330-663-6</t>
  </si>
  <si>
    <t>Каратаев Т.Ж.</t>
  </si>
  <si>
    <t>Қазақстан Республикасының қылмыстық-процестік құқығы (Ерекше бөлім)</t>
  </si>
  <si>
    <t>Оқулық Қазақстан Республикасы қылмыстық-процестік құқығына арналып жазылған. Қазақстан Республикасы Білім және ғылым министрлігінің типтік оқу бағдарламасына сай дайындалған. Аталған оқулық 4 шілде 2014 жылы қабылданған Қазақстан Республикасы Қылмыстық процестік кодексінің нормаларына жасалынғын толықтырулар мен өзгерістерге сәйкес. Оқу құралы жоғарғы оқу орындарының оқытушылары, студенттері мен магистрлеріне арналған.</t>
  </si>
  <si>
    <t>00011388</t>
  </si>
  <si>
    <t>Искакова М.С.</t>
  </si>
  <si>
    <t>Аймақ экономикасының инновациялық дамуына шағын кәсіпкерліктің әсері бағалау</t>
  </si>
  <si>
    <t>Монография аймақ экономикасының инновациялық дамуына шағын кәсіпкерліктің әсерін бағалаудың сұрақтарына арналған. Шағын кәсіпкерліктің инновациялық дамуы, кәсіпкерлікті қолдаудың мемлекеттік бағдарламалары, аймақтың инновациялық даму жағдайы, инновациялық кәсіпкерлікті дамытудың ғылыми – техникалық басымдықтары қарастырылған.Монография экономиканың әр түрлі салалары бойынша мамандарды дайындайтын жоғары оқу орындары мен арнаулы білім беретін оқу орындарының білім алушыларына арналған.</t>
  </si>
  <si>
    <t>00011389</t>
  </si>
  <si>
    <t>Ибраева А.К.</t>
  </si>
  <si>
    <t>Повышение конкурентоспособности промышленных предприятий на основе использования кластерных стратегий</t>
  </si>
  <si>
    <t>В современных условиях повышение конкурентоспособности является основной задачей, которую необходимо решить большинству промышленных предприятий на постсоветском пространстве. В связи с чем, фактор конкуренции становится решающим для поступательного развития приоритетных отраслей промышленности. Необходимость формирования устойчивых конкурентных преимуществ делает необходимым рассмотреть различные подходы к пониманию природы и сущности самого понятия конкуренции. Монография предназначена для научных работников, ППС, магистрантов и студентов высших учебных заведений.</t>
  </si>
  <si>
    <t>0001139</t>
  </si>
  <si>
    <t>Байтаева Г.Р., Абдильдинова М. Н., Аяжанова М.К.</t>
  </si>
  <si>
    <t>Мемлекет және бизнес</t>
  </si>
  <si>
    <t>Оқу құралында мемлекет және бизнес арасындағы қарым -қатынасының теориялық негіздерін, тиімді әдістерін анықтауға және зерттеуге бағдар береді, сонымен қатар казіргі Қазақстан жағдайында бизнес дамуының практикасын талдау және оның тиімділігін арттыру мәселелері қарастырылды. Бұл оқу құралы 5В051000 - «Мемлекеттік және жергілікті басқару» мамандығының білімгерлеріне арналған.</t>
  </si>
  <si>
    <t>00011390</t>
  </si>
  <si>
    <t>Базанова И.А.</t>
  </si>
  <si>
    <t>Основы безопасности жизнедеятельности 1 том</t>
  </si>
  <si>
    <t>Учебник cоставлен в соответствии с программным материалом дисциплины главным содержанием которого является культурная, гуманитарная и организационно-техническая компонента идеологии безопасности - как определяющая сохранение окружающей среды и жизни человека в расширяющихся возможностях личности, общества и государства (для обучающихся всех направлений образовательных программ). Изложены вопросы обеспечения безопасности личности, общества и государства от факторов источников опасности, связанных с авариями, катастрофами, стихийными бедствиями, биолого-социальными и экологическими ситуациями. Даны представления об управлении безопасностью, о законодательных и нормативно – правовых актах безопасности жизнедеятельности.</t>
  </si>
  <si>
    <t>00011391</t>
  </si>
  <si>
    <t>Основы безопасности жизнедеятельности 2 том</t>
  </si>
  <si>
    <t>00011392</t>
  </si>
  <si>
    <t>Каратаев Ж</t>
  </si>
  <si>
    <t>Қатарлар теориясы</t>
  </si>
  <si>
    <t>Оқу құралы жоғары оқу орындарында оқылатын «Математикалық талдау» пәнінің бағдарламасына сәйкес жазылған. Оқу құралының әрбір параграфында теориялық қағидалар дәлдемесімен келтіріліп және оны жақсы меңгеруге жәрдемдесетін мысалдар мен жаттығулар толық түсіндермесімен шығарылған. Әрбір тараудың соңында практикалық сабақ өткізу кезінде шығарылатын есептер мен жаттығулар топтамасы жауабымен келтірілген.Оқу құралының соңында студенттердің өзіндік жұмыстарына арналған тапсырмалар топтамасы (әр қайсысы 30 нұсқадан) және емтихандық тест сұрақтары берілген.</t>
  </si>
  <si>
    <t>00011393</t>
  </si>
  <si>
    <t>Векторлық талдау және өрістер теориясы</t>
  </si>
  <si>
    <t>00011394</t>
  </si>
  <si>
    <t>978-601-330-399-4</t>
  </si>
  <si>
    <t>Жайлаубаева Г. К.</t>
  </si>
  <si>
    <t>Развитие творческих способностей учащихся на уроках русского языка и литературы через активные методы работы</t>
  </si>
  <si>
    <t>Русский язык, лит-ра</t>
  </si>
  <si>
    <t>На методическое пособие «Развитие творческих способностей учащихся на уроках русского языка и литературы через активные методы работы».Целью данной работы является развитие творческих способностей учащихся и воспитание активной личности школьников, используя современные методы и приемы на уроках русского языка и литературы, созданный для увеличения продуктивности труда учителя в процессе преподавания. Для достижения этой цели перед учителем стоят несколько задач: - собрать практический материал по названной теме, систематизировать его;- привлечь внимание коллег к актуальности этой проблемы.Оно содержит материалы, направленные на практическое применение знаний на практике, с подробным описанием методик преподавания. Построено на примерах и рекомендациях, состоит из теоретических положений, посвященных популярным мнениям в педагогике на излагаемую тему или вопрос.Автор освещает целесообразность применения данных приемов, которые доказывают необходимость развития творческих способностей учащихся. На своих уроках использует игровые технологии, ИКТ, особенно метод проектов, где является доказательством участие и призовые места в научно-практических конференциях школьников, активное участие в олимпиадах и конкурсах по предмету «Русский язык и литература», которые доказывают заинтересованность данным предметом. В методическом пособии 55 страниц, где указаны номера страницы каждого раздела в содержании. Пособие состоит из введения и следующих частей, как «Проблемы развития творческого потенциала учащихся», «Основные показатели творческих способностей», «Роль учителя в развитии творческих способностей на уроках русского языка и литературы», «Использование приемов развития критического мышления на уроках русского языка», «Основные приемы работы творческих способностей», «Урок развития речи», «Творческие словари», «Проектная деятельность», «Технология дебатов», «Игровые технологии», «Информационно-коммуникативные технологии», «Диалоговое обучение», «Творческие задания на уроках русского языка и литературы», заключении, список литературы и содержание. Данное пособие рекомендуется для учителей и преподавателей общеобразовательных школ, лицеев, колледжей и университетов.</t>
  </si>
  <si>
    <t>00011395</t>
  </si>
  <si>
    <t>Ысқақ Б</t>
  </si>
  <si>
    <t>Тіл мәдениетінің негіздері</t>
  </si>
  <si>
    <t>Бұл еңбекте тіл мәдениеті мақсаты мен міндеттері, оның салалары, зерттеу объектісі, сөйлеудің түрлері мен оның мінездемесі, сөз этикеті мен сөз қолдану мәдениеті, сөйлеу ізеті мен сөйлеуде көркемдегіш және бейнелнгіш құралдарды пайдалану ерекшеліктері сөз етіледі.Сонымен бірге, аудиторияда сөйлеу мәдениеті, атап айтқанда, шешеннің жұрт алдында сөйлеуіне қойылатын талаптар мен ойдың ұтымды да, әсерлі шығуына әсер ететін кестелі сөздер баян етіледі.Бұл кітап педагогика институттары мен университеттерінің оқытушылары мен студенттеріне, мектеп мұғалімдеріне арналады.</t>
  </si>
  <si>
    <t>00011396</t>
  </si>
  <si>
    <t>Есенова К.У.</t>
  </si>
  <si>
    <t>Көркем публицистика тілі (М.Әуезов шығармалары негізінде)</t>
  </si>
  <si>
    <t>Монографияда көркем публицистика тілі шығармаларының тілі дискурс тұрғысынан зерттеледі.М.Әуезов публицистикасының лексикалық сипаты, грамматикалық амалдардың стильдік қолданысы мен стильдік көріктеуіш амалдары тілдік көрсеткіштер мен экстралингвистикалык факторлар негізінде қарастырылады.Еңбек ғылыми қызметкерлер мен аспиранттарға, жоғары оқу орындарының оқытушылары мен студенттеріне және тіл мәселесіне қызығушы көпшілікке арналған. студенттеріне арналады.</t>
  </si>
  <si>
    <t>00011397</t>
  </si>
  <si>
    <t>978-601-13-0711-6</t>
  </si>
  <si>
    <t>Рамазанова С.А., Садық Б.Х.</t>
  </si>
  <si>
    <t>Астрономия (3 басылым, толтырылған)</t>
  </si>
  <si>
    <t>физика, астрономия</t>
  </si>
  <si>
    <t>Ұсынылып отырған еңбек авторлардың астрономия пәнінен жасалған оқулық, жоғарғы оқу орындарының физика-математика факультеттерінің студенттеріне арналып, астрономия пәні сабақтарының бағдарламасына сай жазылған.Оқулық он тараудан тұрады: сфералық және тәжірибелік астрономияның негіздері, күн жүйесінің құрылысы, астрофизиканың жалпы әдістері мен құралдары, қалған жеті тарауда аспан денелерінің негізгі физикалық сипаттамалары, қазіргі астрономияның нәтижелері.Бірінші басылым 1993-1994 жылдары баспадан шығарылған.Екінші басылым 2014 жылы баспадан шығарылған. 20 жыл ішінде астрономиялық зерттеулер жоғары деңгейге жетіп көптеген жаңалықтар ашылған. Қазіргі заман астрономиясының зерттеу нәтижелері ұсынылған кітапқа енгізілді.«Астрономия» оқулығы өңделіп, ХХ-ғасырдың соңғы жылдарымен ХХІ-ғасырдың басында ашылған астрономиялық жаңалықтар толықтырылып, үшінші рет көпшілкке ұсынылып отыр.Оқулық – студенттерге, физика және астрономия пәнінің оқытушыларына, әуесқойларға арналған.</t>
  </si>
  <si>
    <t>0001140</t>
  </si>
  <si>
    <t>Байтаева Г.Р., Бекметова А.К.</t>
  </si>
  <si>
    <t>Әлеуметтік – экономикалық жоспарлау және болжамдау</t>
  </si>
  <si>
    <t>Оқу құралының материалдары 12 тақырыпта қарастырылады, оларда әлеуметтік-экономикалық жоспарлаудың және болжамдаудың әр түрлі аспектілері логикалық түрде рет-ретімен келтірілген. Оқу құралы жоғары оқу орындарының экономикалық мамандықтары бойынша білім алатын студенттерге әлеуметтік-экономикалық жоспарлаудың және болжамдаудың негіздерін тереңдетіп оқыту үшін дайындалған.</t>
  </si>
  <si>
    <t>00011401</t>
  </si>
  <si>
    <t>Есеева Г.К., Алиев А.К., Саидов А.М</t>
  </si>
  <si>
    <t>Қайта өңдеу өндірістерінің арнайы технологиялары</t>
  </si>
  <si>
    <t>"Қайта өңдеу өндірістерінің арнайы технологиялары" оқу құралы қабылдау және сақтау технологиясы және кондитерлік өнімдер технологиясы траекториялары бойынша оқитын 6В07213 Қайта өңдеу өндірістерінің технологиясы студенттеріне арналған. "Қайта өңдеу өндірістерінің арнайы технологиялары" курсы 5 кредит көлеміндегі бейіндік пәндерді таңдау компоненті болып табылады. Бұл оқулық қайта өңдеу өндірісінің технологиясындағы заманауи білімге сәйкес жасалған. Оқу құралы курстық жұмыстарды (жобаларды) орындау кезінде пайдалы. Қостанай инженерлік-экономикалық университетінің Ғылыми кеңесі бекіткен және басылымға ұсынған</t>
  </si>
  <si>
    <t>00011402</t>
  </si>
  <si>
    <t>Мурзабаев Б.А., Жумжаев Ғ.Қ., Алжанов Е.А</t>
  </si>
  <si>
    <t>Топырақ географиясы</t>
  </si>
  <si>
    <t>Агрономия, Почвоведение, География</t>
  </si>
  <si>
    <t>6В08120-«Топырақтану және агрохимия» ББ білім алушыларына арналған оқулық білім алушылар географиялық аймақтардың топырақ типтеріне экологиялық, морфо-тектік және физикалық-химиялық сипаттама берілген, олардың құңарлығын сақтау мен арттыру жолдары көрсетілген. ТМД және ҚР топырақтары жан-жақты каралған. Оқулық жоғары оқу орындары-университеттердің 6В08120-«Топырақтану және агрохимия» ББ білім алушыларына бакаларв, магистратура және топырақтану, агрохимия саласында жұмыс жасайтың мамандарға арналған.</t>
  </si>
  <si>
    <t>00011403</t>
  </si>
  <si>
    <t>Омарова К.М., Есеева Г.К., Омаров М.С., Саидов А.М., Алиев А.К.</t>
  </si>
  <si>
    <t>Тағамдық өнімдердің сапасын бағалауға қажетті қарапайым тәсілдер мен әдістер 2 басылым,толтырылған</t>
  </si>
  <si>
    <t>Пищевая промышленость</t>
  </si>
  <si>
    <t>Бұл басылымда органолептикалық көрсеткіштердің негізгі ұғымдары берілген. Тағамдық өнімдердің дәмдік сапасын қарапайым жолмен анықтау мақсатындағы талдамадан өткізу тәртіптері, талаптары және ережелері берілген. 6В07202 – «Қайта өңдеу өндірістерінің технологиясы» білім беру бағдарламасы бойынша жоғары оқу орындарының білім алушыларын даярлауға арналған.</t>
  </si>
  <si>
    <t>00011404</t>
  </si>
  <si>
    <t>Сатыбалдиева А.Б., Абдрашова А.К.</t>
  </si>
  <si>
    <t>Рухани жаңғыру: патриоттық тәрбие және ұлт педагогикасы</t>
  </si>
  <si>
    <t>Тәрбие бағыты бойынша оқу құралы «Болашаққа бағдар: Рухани жаңғыру» мақаласын түсіндіру негізінде оқу әдістемелік және практикалық материалдардың базалық құндылықтарын меңгеру мен Жаңа Қазақстандық Патриотизмді қабылдауға бағытталған. Қазіргі білім беру және тәрбие үрдісінің талаптарына сәйкес патриоттық бағыт бойынша қызметті жоспарлауға көмектесетін тәрбиелік шаралардың үлгілері ұсынылады. Аталмыш құрал оқытушыларға, кураторларға, студенттерге, сынып жетекшілерге, мектеп оқушыларына арналған.</t>
  </si>
  <si>
    <t>00011405</t>
  </si>
  <si>
    <t>978-601-13-0701-7</t>
  </si>
  <si>
    <t>Каратышканова К.Р.</t>
  </si>
  <si>
    <t>Дін философиясы</t>
  </si>
  <si>
    <t>Философия, Религиоведение</t>
  </si>
  <si>
    <t>Бұл оқу құралы жоғары оқу орындарында дінтану, философия және барлық білім беру бағдарламалары бойынша оқитын университет студенттеріне арналған. Оқу құралында батыстық дін философиясы мәселелері, Құдайдың бар болуына қатысты дәлелдер, Құдай-әлем қатынасы, дін және ғылым, еркіндік, тұлға тақырыптары қарастырылады.</t>
  </si>
  <si>
    <t>00011406</t>
  </si>
  <si>
    <t>978-601-330-029-0</t>
  </si>
  <si>
    <t>Койгельдинова А.С.</t>
  </si>
  <si>
    <t>Марал шаруашылығының дамуы: проблемалары мен шешімдері</t>
  </si>
  <si>
    <t>Животноводство</t>
  </si>
  <si>
    <t>«Марал шаруашылығының дамуы: проблемалары мен шешімдері» атты ветеринариялық білім беру бағдарламасына арналған монография</t>
  </si>
  <si>
    <t>00011407</t>
  </si>
  <si>
    <t>978-601-13-0710-9</t>
  </si>
  <si>
    <t>Рысбекова Ф.А.</t>
  </si>
  <si>
    <t>Қазақстан тарихы пәні бойынша көмекші оқу құралы</t>
  </si>
  <si>
    <t>Оқу-әдістемелік құралында Қазақстан тарихының көне заманнан күні бүгінге дейінгі материалдары, ондағы тарихи оқиғалардың хронологиясы, глоссарийлер, тестер, сәйкестендіру тапсырмалары,мәнмәтіндік тапсырмалар берілген. Дидактикалық құрал мектептерде «Қазақстан тарихы» пәнінің практикалық сабақтарында интербелсенді оқытудың әдістемесін қолдану арқылы оқу,білу талдау,жинақтау негізін ұйымдастыру барысында оқушылардың терең білімін қалыптастыруға арналған. Оқу-әдістемелік құралы оқытушылардың өзіндік жұмысын ұйымдастыру үшін де қолдануға болады.Оқу-әдістемелік құрал мектептерде «Қазақстан тарихын» оқитын оқушыларға, оқытушыларға арналған.</t>
  </si>
  <si>
    <t>00011408</t>
  </si>
  <si>
    <t>978-601-330-342-0</t>
  </si>
  <si>
    <t>Жаппарова А.А.</t>
  </si>
  <si>
    <t>Агрохимические методы анализа почв, растений и удобрений</t>
  </si>
  <si>
    <t>Агрономия, Почвоведение</t>
  </si>
  <si>
    <t>Учебное пособие «Агрохимические методы анализа почв, растений и удобрений» одобрены и рекомендованы для использования при проведении аналитических исследований в выполнении научных (диссертационных) работ магистрантов, докторантов, проведения лабораторных занятий, выполнения дипломных работ бакалавров аграрных вузов и специалистов. В них изложены основные методы и технология распространенных аналитических методов исследования почв, растении и удобрений..Учебное пособие предназначены для бакалавров, магистрантов, докторантов и специалистов.</t>
  </si>
  <si>
    <t>00011409</t>
  </si>
  <si>
    <t>Сыздыкова Д.А.</t>
  </si>
  <si>
    <t>Цифровые и волоконно – оптические системы передачи</t>
  </si>
  <si>
    <t>Учебно методическое пособие</t>
  </si>
  <si>
    <t>Радиотехника, электроника</t>
  </si>
  <si>
    <t>Это книга для студентов специальности «071409000 Радиотехника электроника, и телекоммуникация» .Квалификация «3W07140901» электромонтажник-наладчик телекоммуникационного оборудования и каналов связи. Worldskills —целью которого является повышение престижа рабочих профессий и развитие навыков мастерства. Большое внимание уделено как разработать грамотный проект, удачно выбрать оптический кабель и правильно проложить его и как сварить , так как от качества сварных соединений волокон этого кабеля зависит, построенние ВОЛС по заданным требованиям .Что же представляет из себя процесс сварки ОВ? С разделки оптического кабеля, очистка волокон от гидрофобного материала с надеванием специальных гильз термоусадочных и до сваренного волокна с укладыванием в сплайс-пластины в кассету оптической муфты или кросса.Рассмотрены специализированные инструменты для работы с ОВ.</t>
  </si>
  <si>
    <t>0001141</t>
  </si>
  <si>
    <t>Байтаева Г.Р., Султанова Г.С., Аяжанова М.К.</t>
  </si>
  <si>
    <t>Бизнесті басқару</t>
  </si>
  <si>
    <t>Оқу құралында Қазақстан Республикасының шағын және орта бизнесті басқару бағыттары мен жүргізу жолдары қарастырылып, оларды жүзеге асыру, тиімділігін бағалау критерийлері, даму стратегиясы мен тенденциялары, сондай-ақ шағын және орта бизнестің ұйымдастырушылық-құқықтық нысандары мен оларды мемлекеттік қолдау мәселелеріне талдау жүргізілген. Бұл зерттеу жұмысы жоғары оқу орындарының білімгерлеріне, магистранттарына, докторанттары мен оқытушылар құрамына, басқада қызығушылық танытқан кәсіпкерлікпен айналысатын әрбір азаматқа және өз бетінше ізденушілерге арналған.</t>
  </si>
  <si>
    <t>00011410</t>
  </si>
  <si>
    <t>Абдукадырова А.Ж.</t>
  </si>
  <si>
    <t>Кәсіптік қазақ тілі. Электрмен қамтамасыздандыру мамандығына арналған</t>
  </si>
  <si>
    <t>Әдістемелік оқу құралы</t>
  </si>
  <si>
    <t>Язык казахский, Электроснабжение</t>
  </si>
  <si>
    <t>07130200 – «Электрмен қамтамасыз ету» және 07130700 – «Электромеханикалық жабдықтарға техникалық қызмет көрсету, жөндеу және пайдалану» мамандықтарына арналған «Кәсіптік қазақ тілі» пәнінен лекциялар мен тапсырмалар жинағы колледж оқытушылары мен білім алушыларға арналған оқу құрал ретінде ұсынылады. Бұл әдістемелік нұсқаулық «кәсіптік қазақ тілі» пәнін қамтиды. Көмекші құрал күнтізбелік-тақырыптық жоспар негізінде жасалып, теориялық мәліметтермен, мәтіндермен, жаттығулармен жинақталған.</t>
  </si>
  <si>
    <t>00011413</t>
  </si>
  <si>
    <t>Субботина Е.И.</t>
  </si>
  <si>
    <t>Внешнеэкономическая деятельность предприятия</t>
  </si>
  <si>
    <t>В учебном пособии даются рекомендации и советы по изучению отдельных разделов, тем программы курса «Внешнеэкономическая деятельность предприятия», вопросы для самопроверки. 
 Учебное пособие предназначено для студентов обучающихся по образовательной программе 6В04103 Экономика по оказанию методической помощи при подготовке к семинарским занятиям, текущему и итоговому контролю.</t>
  </si>
  <si>
    <t>00011414</t>
  </si>
  <si>
    <t>Субботина Е.И., Абаева Г.И.</t>
  </si>
  <si>
    <t>Оценка эффективности инвестиционных проектов</t>
  </si>
  <si>
    <t>В учебном пособии даются рекомендации и советы по изучению отдельных разделов, тем программы курса «Оценка эффективности инвестиционных проектов», вопросы для самопроверки. 
 Учебное пособие предназначена для студентов обучающихся по образовательной программе 6В04103 Экономика по оказанию методической помощи при подготовке к семинарским занятиям, текущему и итоговому контролю.</t>
  </si>
  <si>
    <t>00011415</t>
  </si>
  <si>
    <t>978-601-330-135-8</t>
  </si>
  <si>
    <t>Основы налогового учета</t>
  </si>
  <si>
    <t>Учебное методическое пособие</t>
  </si>
  <si>
    <t>Учебно – методическое пособие предназначена для студентов экономических специальностей по оказанию методической помощи при подготовке к семинарским занятиям, текущему и итоговому контролю.</t>
  </si>
  <si>
    <t>00011416</t>
  </si>
  <si>
    <t>История развития учета и аудита</t>
  </si>
  <si>
    <t>В учебном пособии даются рекомендации и советы по изучению отдельных разделов, тем программы курса «История развития учета и аудита», вопросы и тесты для самопроверки. 
 Учебное пособие предназначена для студентов экономических специальностей по оказанию методической помощи при подготовке к семинарским занятиям, текущему и итоговому контролю</t>
  </si>
  <si>
    <t>00011417</t>
  </si>
  <si>
    <t>Рыночная инфраструктура</t>
  </si>
  <si>
    <t>Курс лекций</t>
  </si>
  <si>
    <t>Курс лекций подготовлен для обучающихся по образовательной программе 6В04103 Экономика, для лучшего усвоения теоретического материала курса «Рыночная инфраструктура» в качестве методической помощи при подготовке к семинарским занятиям, текущему и итоговому контролю. 
 Используя данный курс лекций при подготовке к сдаче экзамена, студенты смогут систематизировать и конкретизировать знания, приобретенные в процессе изучения данной дисциплины.</t>
  </si>
  <si>
    <t>00011418</t>
  </si>
  <si>
    <t>Экономика малого и среднего бизнеса</t>
  </si>
  <si>
    <t>Курс лекций подготовлен для обучающихся по образовательной программе 6В04103 Экономика, для лучшего усвоения теоретического материала курса «Экономика малого и среднего бизнеса» в качестве методической помощи при подготовке к семинарским занятиям, текущему и итоговому контролю. 
 Используя данный курс лекций при подготовке к сдаче экзамена, студенты смогут систематизировать и конкретизировать знания, приобретенные в процессе изучения данной дисциплины</t>
  </si>
  <si>
    <t>00011419</t>
  </si>
  <si>
    <t>Ляховецкая Л.В.</t>
  </si>
  <si>
    <t>Сборочный чертеж. Деталирование сборочной единицы</t>
  </si>
  <si>
    <t>В учебно-методическом пособие содержатся общие правила выполнения и оформления сборочных чертежей согласно действующим стандартам; рассмотрены последовательность выполнения чертежа сборочной единицы, особенности простановки размеров и нанесения номеров позиций, а так же правила и упрощения при выполнении сборочного чертежа. Подробно разобраны разделы спецификации и правила их составлении. Приведен пример выполнения чертежа сборочной единицы Вентиль и Пробковый кран, дан подробный алгоритм графического построения этих чертежей. Приведены примеры выполнения чертежей деталей, входящих в соответствующие сборочные единицы. В пособии рассмотрен порядок деталирования сборочной единицы в соответствии с действующими стандартами. В заключении предложены контрольные вопросы и тестовые упражнения, которые дают возможность проверить и закрепить приобретенные знания. 
 Учебное пособие рекомендуется для обучающихся образовательных программ технического профиля.</t>
  </si>
  <si>
    <t>0001142</t>
  </si>
  <si>
    <t>Байтанаев А.А., Абдуллаев С.С., Бақыт Ғ.Б.</t>
  </si>
  <si>
    <t>Электрлі жылжымалы құрам</t>
  </si>
  <si>
    <t>«Электрлі жылжымалы құрам» пәні бойынша оқу құралында айнымалы токты жүк электровоздарының құрылымы мен негізгі жабдықтарының әрекет ету принципі және оларға техникалық қызмет көрсету, негізгі ақауларын анықтау жолдары қарастырылған. Оқу құралында келтірілген материалдардан болашақ темір жол мамандары еліміздің локомотив шарушылығын дамытуға үлесін қосу үшін жасалған.</t>
  </si>
  <si>
    <t>00011420</t>
  </si>
  <si>
    <t>978-601-13-0512-9</t>
  </si>
  <si>
    <t>Теплотехнические схемы</t>
  </si>
  <si>
    <t>В учебном пособии изложены основные правила по выполнению чертежей и тепловых схем на основе действующих стандартов, приведены стандартные условные графические обозначения теплотехнического оборудования, а также других элементов, входящих в тепловые схемы. Описаны способы получения электрической энергии, рассмотрены назначение и принцип работы энергетического оборудования электростанций. 
 Учебное пособие предназначено для студентов образовательной программы 6В04109 Теплоэнергетика, изучающих дисциплину «Теплотехнические схемы и чертежи». Пособие может быть использовано при выполнении дипломных проектов.
 В приложении даны условные графические обозначения энергетического оборудования в схемах и классификационные характеристики теплоэнергетических установок.</t>
  </si>
  <si>
    <t>00011421</t>
  </si>
  <si>
    <t>Электрические схемы</t>
  </si>
  <si>
    <t>Учебное пособие служит практическим руководством для выполнения графических работ по дисциплине: Электрические схемы и чертежи, а также для выполнения дипломных проектов и работ. 
 В пособии рассмотрены назначение, классификация схем и чертежей электроустановок, даны основные положения и правила выполнения электрических принципиальных схем, а также варианты индивидуальных заданий и указания по их выполнению.</t>
  </si>
  <si>
    <t>00011422</t>
  </si>
  <si>
    <t>978-601-13-0092-6</t>
  </si>
  <si>
    <t>Шаяхметов А.Б., Калмаков Е.Б</t>
  </si>
  <si>
    <t>Материалдар кедергісі</t>
  </si>
  <si>
    <t>Оқулықта материалдар кедергісі пәні бойынша теориялық материал берілген. Инженерлік мамандықтарға арналған оқулық.</t>
  </si>
  <si>
    <t>00011423</t>
  </si>
  <si>
    <t>Шаяхметов А.Б., Исинтаев Т.И.</t>
  </si>
  <si>
    <t>Отходы и их переработка</t>
  </si>
  <si>
    <t>В монографии описаны виды и основные источники загрязнения окружающей среды, способы утилизация отходов сельского хозяйства, микробиологические способы утилизации отходов, технологии переработки отходов животноводства, технологии утилизации биологических отходов, современные технологии переработки коммунальных отходов, формы обращения с отходами в Республике Казахстан, анализ законодательства Европейского Союза по переработке бытовых отходов.</t>
  </si>
  <si>
    <t>00011424</t>
  </si>
  <si>
    <t>Шаяхметов А.Б., Исинтаев Т.И.,  Атыханов А.К.</t>
  </si>
  <si>
    <t>Обоснование конструктивно-режимных параметров 
 электромагнитного пульсатора доильного аппарата</t>
  </si>
  <si>
    <t>В монографии описаны факторы, влияющие на процесс машинного доения. Рассмотрены различные конструкции пульсаторов доильных аппаратов, на основании их разработана классификация пульсаторов доильных аппаратов. Изложены обобщенные данные научных исследований по разработке и обоснованию конструктивно-режимных параметров электромагнитного пульсатора доильного аппарата. Предназначена для магистрантов,докторантов и преподавателей технических вузов.</t>
  </si>
  <si>
    <t>00011425</t>
  </si>
  <si>
    <t>Абаева Г.И.</t>
  </si>
  <si>
    <t>Система интерпретации хозяйствующих субъектов в бухгалтерском учете</t>
  </si>
  <si>
    <t>В учебное пособии даются рекомендации и советы по изучению отдельных разделов, тем программы курса «Система интерпретации хозяйствующих субъектов в бухгалтерском учете», вопросы и тесты для самопроверки. Учебное пособие предназначена для студентов экономических специальностей по оказанию методической помощи при подготовке к семинарским занятиям, текущему и итоговому контролю</t>
  </si>
  <si>
    <t>00011426</t>
  </si>
  <si>
    <t>Международные организации по стандартизации</t>
  </si>
  <si>
    <t>В учебном пособии дан обзор материала по темам, включенным в образовательную программу 6В07514 Стандартизация и сертификация (по отраслям)». Пособие состоит из разделов, включающих темы в которых рассматриваются цели и задачи Международной организация по стандартизации ISO, структура и руководящие органы ISO, раскрыты перспективы и возможности международной стандартизации, приведены примеры сотрудничества университета с МЭС в совместных проектах по Костанайской области. Дано описание Стратегии ISO на 2021-2030 г.г., миссии, и взаимодействие ISO с развивающимися странами. Рассмотрены вопросы инклюзивности и многообразия в системе ISO. Для контроля усвоения каждой темы разработаны вопросы для самопроверки. Данное пособие представляет собой обобщенный материал по дисциплине «Международные организации по стандартизации» для студентов и является дополнительным источником к уже изданным трудам ученых, освещающих вопросы по международным организациям по стандартизации. Материал, изложенный в пособии, может быть использован при подготовке дисциплины студентами образовательной программы 6В07514 «Стандартизация и сертификация (по отраслям)». Автор благодарит Джабасову Ж.Г-руководителя Центра международного сотрудничества и внедрения проектов КИнЭУ им.М.Дулатова, Есееву Г.К.- -заместителя председателя МТК 534 по стандартизации, профессора кафедры «Стандартизация и пищевые технологии» КИнЭУ им.М.Дулатова за предоставленные материалы для более содержательного изложения некоторых тем дисциплины.</t>
  </si>
  <si>
    <t>00011427</t>
  </si>
  <si>
    <t>Сегизбаева А.С., Мукашева Т.К.</t>
  </si>
  <si>
    <t>Разработка и внедрение стандартов</t>
  </si>
  <si>
    <t>В учебном пособии дан обзор материала по темам, включенным в образовательную программу 6В07514 Стандартизация и сертификация (по отраслям)». Пособие состоит из разделов, включающих темы в которых рассматриваются цели и задачи дисциплины «Разработка и внедрение стандартов». Темы лекций содержат теоретический материал по основным вопросам и являются руководством в освоении специальности. Целью изучения дисциплины «Разработка и внедрение стандартов» является приобретение студентами теоретических и практических знаний в области разработки стандартов, нормативно-правовой базы в области разработки стандартов и нормативных документов. Студент должен уметь использовать теоретические и практические знания в процессе разработки и внедрения стандартов, знать правила проведения нормативной экспертизы документации, знать категории, виды, условия применения стандартов.Данное пособие представляет собой обобщенный материал по дисциплине «Разработка и внедрение стандартов» для студентов и является дополнительным источником при подготовке дисциплины студентами образовательной программы 6В07514 «Стандартизация и сертификация (по отраслям)».</t>
  </si>
  <si>
    <t>00011428</t>
  </si>
  <si>
    <t>978-601-13-0105-3</t>
  </si>
  <si>
    <t>Бобков С.И.</t>
  </si>
  <si>
    <t>Принципы обоснования параметров и режимов работы пневмомеханического подборщика-погрузчика рассыпного сена</t>
  </si>
  <si>
    <t>Агро, сельскохоз техник</t>
  </si>
  <si>
    <t>В монографии приведены теоретические материалы по обоснованию параметров и режимов работы пневмомеханического подборщика-погрузчика рассыпного сена, а также на основе результатов исследований и опытных данных научных организаций Казахстана, в частности Костанайского фили-ала ТОО «НПЦ агроинженерии», даны рекомендации по использованию аг-ротехнологий заготовки грубых кормов (сена) и технических средств (подборщиков сена) для заготовки рассыпного сена, адаптированных к условиям северного региона Казахстана. 
 Предназначено для студентов, обучающихся по образовательной про-грамме 6В08716 Аграрная техника и технология (по отраслям); может быть полезно преподавателям для эффективной организации учебного процесса</t>
  </si>
  <si>
    <t>00011429</t>
  </si>
  <si>
    <t>978-601-13-0103-9</t>
  </si>
  <si>
    <t>Сельскохозяйственные машины в ресурсосберегающих технологиях</t>
  </si>
  <si>
    <t>В учебно-методическом пособии приведены теоретические материалы по основным темам курса «Сельскохозяйственные машины», а также на основе результатов исследований и опытных данных научных организаций Казах-стана даны рекомендации по использованию сельскохозяйственных машин в ресурсосберегающих технологиях производства продукции растениеводства, адаптированных к условиям основных зерносеющих регионов (в технологи-ях с минимальной и нулевой обработки почвы, технологиях с использовани-ем элементов системы точного земледелия). Предназначено для студентов, обучающихся по образовательной про-грамме 6В08716 Аграрная техника и технология (по отраслям); может быть полезно преподавателям для эффективной организации учебного процесса.</t>
  </si>
  <si>
    <t>0001143</t>
  </si>
  <si>
    <t>Байтанасова Қ.М.</t>
  </si>
  <si>
    <t>Әдебиеттануға кіріспе</t>
  </si>
  <si>
    <t>Кітапта әдебиеттануға кіріспе пәнінің негізгі мәселелері, мән‑маңызы, әдеби әдіс, жанр, әдеби бейне, көркем туындыға қатысты саралаулар, олардың ерекшелігі, көркем мәтінді талдау түрлері бүгінгі күн тұрғысынан зерделеу арқылы айқындалып, бастапқы ғылыми-теориялық ұғымдар беріледі. Бұл еңбек жоғары, арнайы оқу орындарының филолог студенттеріне, мамандарына және мектеп мұғалімдеріне арналған</t>
  </si>
  <si>
    <t>00011430</t>
  </si>
  <si>
    <t>978-601-330-563-9</t>
  </si>
  <si>
    <t>Притула Р.А.</t>
  </si>
  <si>
    <t>Менеджмент в торговле</t>
  </si>
  <si>
    <t>Учебно-методическое пособие подготовлено для студентов бакалавриата для лучшего усвоения теоретического материала курса «Менеджмент в торговле».
 Используя данное пособие при подготовке к сдаче экзамена, студенты смогут в сжатые сроки систематизировать и конкретизировать знания, приобретенные в процессе изучения этой дисциплины; сформулировать примерный план ответов на возможные экзаменационные вопросы.</t>
  </si>
  <si>
    <t>00011431</t>
  </si>
  <si>
    <t>978-601-330-562-2</t>
  </si>
  <si>
    <t>Профессиональный менеджмент</t>
  </si>
  <si>
    <t>Учебно-методическое пособие подготовлено для обучающихся в магистратуре для усвоения теоретического материала курса «Профессиональный менеджмент».
 Используя данное пособие при подготовке к сдаче экзамена, магистранты смогут в сжатые сроки систематизировать и конкретизировать знания, приобретенные в процессе изучения этой дисциплины; сформулировать примерный план ответов на возможные экзаменационные вопросы.</t>
  </si>
  <si>
    <t>00011432</t>
  </si>
  <si>
    <t>История учений менеджмента</t>
  </si>
  <si>
    <t>Учебно-методическое пособие подготовлено для студентов бакалавриата для лучшего усвоения теоретического материала курса «История учений менеджмента».
 Используя данное пособие при подготовке к сдаче экзамена, студенты смогут в сжатые сроки систематизировать и конкретизировать знания, приобретенные в процессе изучения этой дисциплины; сформулировать примерный план ответов на возможные экзаменационные вопросы.</t>
  </si>
  <si>
    <t>00011433</t>
  </si>
  <si>
    <t>978-601-330-374-1</t>
  </si>
  <si>
    <t>Мендыбаев С. А.</t>
  </si>
  <si>
    <t>Оқу құралы "Электрондық және өлшеу техникасының негіздері" курсының бағдарламасына сәйкес жазылған. Нұсқаулықтың бірінші бөлігі электрондық құрылғылардың элементтік базасымен, оларды құру және жұмыс істеу принциптерімен таныстырады, аналогтық және цифрлық электроника құрылғыларының жұмысын талдауды қамтиды. Оқу құралының екінші бөлімінде Өлшеу техникасының құрылғылары қарастырылады. Өлшеу қателіктері, аналогтық, электронды, цифрлық және микропроцессорлық өлшеу құралдарының құрылысының ерекшеліктері мен жұмыс принциптері зерттеледі. Қазіргі заманғы "цифрландыру" қажеттіліктеріне сәйкес сандық электроника бөлімдерінің көлемі біршама кеңейтілді. Бұл басылымды тек жоғары оқу орындарының студенттері ғана емес, сонымен қатар олардың практикалық қызметінде анықтамалық құрал ретінде де қолдануға болады.</t>
  </si>
  <si>
    <t>00011434</t>
  </si>
  <si>
    <t>978-601-330-373-4</t>
  </si>
  <si>
    <t>Основы электронной и измерительной техники</t>
  </si>
  <si>
    <t>Учебное пособие написано в соответствии с программой курса «Основы электронной и измерительной техники». Первая часть пособия знакомит с элементной базой электронных устройств, принципами их построения и работы, содержит анализ работы устройств аналоговой и цифровой электроники. Во второй части учебного пособия рассматриваются устройства измерительной техники. Изучаются погрешности измерений, особенности построения и принципы работы аналоговых, электронных, цифровых и микропроцессорных измерительных приборов. В соответствии с потребностями современной «цифрлизации», несколько расширены объемы разделов по цифровой электронике. Настоящее издание может быть использовано не только студентами вузов, но и рекомендовано в качестве справочного пособия в их практической деятельности.</t>
  </si>
  <si>
    <t>00011435</t>
  </si>
  <si>
    <t>978-601-330-920-0</t>
  </si>
  <si>
    <t>Балаклейский С.П., Балаклейская Л.А.</t>
  </si>
  <si>
    <t>Основы технологии производства и ремонта транспортной техники</t>
  </si>
  <si>
    <t>Транспортная техника и технологии</t>
  </si>
  <si>
    <t>В учебно-методическое пособие включен наиболее современный материал основных разделов дисциплины «Основы технологии производства и ремонта транспортной техники», особое внимание уделено вопросам ремонта, восстановления и сборки автомобильных узлов и деталей, а также даны рекомендации и методический материал по выполнению практических занятий и самостоятельной работы студентов.Предназначено для студентов специальности 5В071300 –Транспорт, транспортная техника и технологии, может быть рекомендовано преподавателям высших учебных заведений при проведении учебных занятий по техническим дисциплинам, имеющим отношение к изготовлению, сборке, ремонту и восстановлению деталей и узлов транспортной техники, сельскохозяйственных машин, технологического оборудования.
 Рекомендовано к изданию в открытой печати для внедрения в учебный процесс УМО по направлениям подготовки кадров высшего и (или) послевузовского образования: «Инженерия и инженерное дело» и «Транспортные услуги».</t>
  </si>
  <si>
    <t>00011436</t>
  </si>
  <si>
    <t>Баямирова Р.У.</t>
  </si>
  <si>
    <t>Применение загущенных водных растворов полимеров, улучшающих режим вытеснения нефти</t>
  </si>
  <si>
    <t>В монографии приведено обоснование целесообразности применения полимерного воздействия на нефтяные пласты с подбором перспективных участков и скважин. В результате работы проведен анализ существующей системы разработки месторождения. Анализ разработки проводился с целью подбора потенциальных объектов для применения полимерного заводнения. При этом привлекались первичные геолого-промысловые данные, карты разработки, начальных и остаточных извлекаемых запасов нефти по основным продуктивным горизонтам месторождения. На основе данного анализа предложены участки, благоприятные для проведения полимерного заводнения</t>
  </si>
  <si>
    <t>00011437</t>
  </si>
  <si>
    <t>Алтайбекова Қ.Т.</t>
  </si>
  <si>
    <t>Ғылым тілі және қазақ тіл білімінің метатілі</t>
  </si>
  <si>
    <t>Монография ғылыми стилді зерттеудің теориялық негіздері және қазақ тіл білімінің метатілі мен антропоцентристік парадигма деп аталатын екі бөлімнен тұрады. Бірінші бөлімде ғылыми стилдің қалыптасуы және зерттелуіне, қазақ, орыс, ағылшын тілдерінің ғылыми стилінің қалыптасуы мен ерекшелігіне, ғылыми стилді зерттеудің маңыздылығы қарастырылады. Екінші бөлімде қазақ тіл білімінің ғылым-танымдық сипаты, қазақ тіл білімінің концептілері, қазақ тіл білімі фреймдері, танымдық тіл білімі және оның метатілі анықталады. Монографияны жоғары оқу орындарында оқытылатын «Ғылым тілі», «Стилистика», «Терминология», «Когнитивтік лингвистика» курстарында пайдалануға болады. Монография студенттерге, магистранттарға, докторанттарға және оқытушыларға арналады.</t>
  </si>
  <si>
    <t>00011438</t>
  </si>
  <si>
    <t>Атақұлов Т.А., Ержанова К.М.,</t>
  </si>
  <si>
    <t>Қазақстанның суғармалы жерлерін қарқынды пайдаланудың тиімді жолдары</t>
  </si>
  <si>
    <t>Агро, Растениеводство</t>
  </si>
  <si>
    <t>Монографияда суғармалы егіншіліктің Қазақстандағы даму жағдайы, келешегі, оны жақсарту шаралары, тиімді пайдалану жолдары жөнiндегі түсiнiк пен ауыл шаруашылық дақылдарының өніп-өсуі және өнімділігіне тигiзетiн әсерi берiлген.Монографияда ауыл шаруашылық мамандары үшін суғарудың түрлері, айырмашылықтары және аграрлық өнеркәсіп кешенінде инновациялық суғару технологияларын енгізудің маңыздылығы қарастырылған. Ауыл шаруашылық жоғары оқу орындарының докторанттары мен магистранттарына, ауыл шаруашылықтары мамандықтары студенттеріне және фермерлер мен шаруа қожалықтары қызметкерлерiне арналған.</t>
  </si>
  <si>
    <t>00011439</t>
  </si>
  <si>
    <t>Тогашева А.Р.</t>
  </si>
  <si>
    <t>Кислотная обработка скважин и прискважинной зоны пласта</t>
  </si>
  <si>
    <t>В монографии обобщены и систематизированы с учетом современных представлений данные о технологиях и композиционных составах для кислотной обработки призабойных зон скважин в коллекторах. Выявлен механизм действия замедляющих добавок на основе полигликолей и экспериментально обоснованы новые композиционные составы для СКО. В результате выполненного геолого-промыслового анализа данных гидродинамических исследований скважин оценена эффективность предложенных методов воздействия на призабойную зону скважин</t>
  </si>
  <si>
    <t>0001144</t>
  </si>
  <si>
    <t>Әдебиеттануға кіріспе. Практикум</t>
  </si>
  <si>
    <t>Практикум әдебиеттануға қатысты негізгі ұғымдарды қамтыған анықтамалық пен көркем мәтінді талдаудан тұрады. Еңбек студенттердің әдеби білімді теориялық және практикалық жағынан игеруіне, білік-дағдыларын қалыптастыруға арналған. Еңбек «Қазақ тілі мен әдебиеті» мамандығының 1 курс студенттеріне «Әдебиеттануға кіріспе» пәніне қосымша құрал ретінде ұсынылды</t>
  </si>
  <si>
    <t>00011440</t>
  </si>
  <si>
    <t>Сарбопеева М.Д.</t>
  </si>
  <si>
    <t>Одновременно раздельная эксплуатация нескольких эксплуатационных объектов на месторождений Каламкас</t>
  </si>
  <si>
    <t>Целью работы является закачка технологической жидкости одной скважиной отдельно в разные пласты при разном давлении в соответствии с коллекторскими свойствами каждого пласта с целью более равномерной выработки пластов на месторождении Каламкас. Для решения данного вопроса в работе были исследованы и освещены следующие вопросы: Анализ результатов внедрения проектных решений по разработке многопластовых объектов с применением технологии одновременно-раздельной добычи, применение технических средств для регулирования процесса разработки двух и более пластов одной скважиной, для повышения коэффициента нефтеотдачи проведение опытно- промышленных работ для внедрения ОРЭ.</t>
  </si>
  <si>
    <t>00011441</t>
  </si>
  <si>
    <t>Жолбасарова А.Т.</t>
  </si>
  <si>
    <t>Кенорнындағы мұнай мен газды кәсіптік жинау жүйесін зерттеу және жетілдіру</t>
  </si>
  <si>
    <t>Өңірдің көпфазалы бұрандалы сорғыларға қажеттілігін кен орындарының жағдайына және мұнай кәсіпшілік жабдықтарының жұмыс істеу мәселелеріне сәйкес анықтау әдістемесі әзірленді және оларды объектілерге таңдау жүргізілді. Сорғылардың көмегімен ұңғыма өндірісінің ағынды сулары мен газ құрамының үнемі өзгеріп тұруы жағдайында олардың кен орнын біріктіріп пайдалануын іске қосу және оңтайландыру әдісі ұсынылған. Ұңғыма өнімдерін алдын ала тазарту және суды алдын ала босату қондырғылардың қолданыстағы жүйесінің процесін нашарлатпайды. Мұнай мен суды жинау мен тазартудың қолданыстағы жүйесінің қиындықтары мен кемшіліктерін кен орындарын жақсарту технологиясы әзірленді. Жұмыста Өзен кенорнындағы ұңғылар өнімдерінің кәсіпшілік жиналуы мен дайындалу жүйесі сарапталған. Кен орындарын игерудің барлық сатысында мұнай мен газды көп фазалы сорғылармен бірлесіп тасымалдауды қолдана отырып, ұңғымаларының өнімдерін жинау жүйесін жетілдіру, ірі кен орындарын игерудің кеш сатысында мұнай жинау және дайындау жүйелерін қайта құрудың ғылыми принциптерін игеруге бағытталған зерттеулер жүргізілген</t>
  </si>
  <si>
    <t>00011442</t>
  </si>
  <si>
    <t>Аитышева А.Т., Омарова Е.О.</t>
  </si>
  <si>
    <t>Оқу құралы мектеп оқушыларына арналған, тігін бұйымдарының технологиялық өңдеулері жайлы және қолданбалы өнер жайлы ақпараттар жазылған. «Тәрбие - тал бесіктен басталады» демекші, ата дәстүр мен ұлттық құндылықтарды мектеп жасынан бастап балаларға үйретсек, оқытсақ баланың бойына отанға деген сүйіспеншілігі арта түседі. Сондықтан осы оқу құралын қазақ дәстүрі мен өнеріне арнадық. Қолданбалы өнердің қарапайым түйінен бастап, күрделі түйіндерге дейінгі орындалу үрдісін қамтитын оқу құралы десе де болады. Оқушылар өздігінен жобалаған бұйымдарын матадан орындап шығуға өз көмегін беретін ақпараттармен қамтылған оқу құралы ретінде орындалды.</t>
  </si>
  <si>
    <t>00011443</t>
  </si>
  <si>
    <t>Көкшеева З.Т.</t>
  </si>
  <si>
    <t>Ұрпақ тәрбиесіндегі халық ауыз әдебиетінің тағылымдық негіздері</t>
  </si>
  <si>
    <t>Бұл монографияда балалар психологиясын, көркемдік талғамын, шығармашылық мүмкіндіктерін танытатын халықтың ғасырлар бойы жасаған асыл мұрасының жиынтығы - фольклоры арқылы мектеп оқушыларын өз халқының ауыз әдебиеті мен төл мәдениетіне деген қызығушылығын қалыптастыру, оның тарихы мен жіктемесі, түрлері және ұрпақ тәрбиесіндегі мүмкіндіктері жайлы баяндалады. Фольклор - өзінің бала қабілетіне лайықтылығымен, логикалық жүйелілігімен тілінің нәрлілігімен, ақ пен қараның жігін айқын ажыратқан тәрбиелік маңыздылығымен, эстетикалық талғамдылығымен бағалы, осы бағытта бірнеше сабақ үлгілері, сыныптан тыс жұмыстар, «ауыз әдебиеті», «фольклор» тақырыбындағы үйірмелердің үлгілері, әдіс-тәсілдері беріледі.</t>
  </si>
  <si>
    <t>00011444</t>
  </si>
  <si>
    <t>Көкшеева З.Т., Балғалиева А.Қ</t>
  </si>
  <si>
    <t>Оқушылардың білім жетістіктерін бағалаудағы мұғалімнің зерттеушілік рөлі</t>
  </si>
  <si>
    <t>Биология, химия, физика</t>
  </si>
  <si>
    <t>«Оқушылардың білім жетістіктерін бағалаудағы мұғалімнің зерттеушілік рөлі» атты бұл монография студенттер мен ұстаздар қауымына арналғандықтан, оның нәтижелерін жалпы білім беру мектептеріндегі жаратылыстану, биология, химия жәіне физика пәні мұғалімдері, PISA зерттеулеріне дайындық жұмыстарын жүргізуші білім беру ұйымдарындағы топтарда өз жұмыcтapындa пaйдaлaнуғa бoлaды. Сондай-ақ талдау барысында қол жеткізген жаңалық-нәтижелерді аталған пән мұғалімдері сабақ барысындағы бағалау жұмыстарына қолдануларына, орта, арнаулы және жоғары мектептер үшін оқулықтар мен оқу құралдарын дайындауда және ЖОО биология, химия, физика және информатика пәндерін оқыту факультеттерінде, оқушыларға қатысты жалпы және арнаулы курстарда дәріс оқуда пайдалануға болады.</t>
  </si>
  <si>
    <t>00011445</t>
  </si>
  <si>
    <t>978-601-330-541-7</t>
  </si>
  <si>
    <t>Бекешов С.С, Көкшеева З.Т.</t>
  </si>
  <si>
    <t>Мектеп оқушыларының эстетикалық қызығушылығын қалыптастыруда дәстүрлі қолөнер мен балалар фольклорының тәлім-тәрбиелік мәні</t>
  </si>
  <si>
    <t>Бұл еңбек халықтың дәстүрлі қолөнері мен фольклорын мектеп оқушыларына таныстыру арқылы ата-бабаларымыздан мирас болып келе жатқан халықтың төл өнеріне деген қызығушылықтарын қалыптастыру 
 мақсатында дайындалды. Сондай-ақ, еңбекте балалар психологиясын, олардың көркемдік талғамын, шығармашылық мүмкіндіктерін танытатын халықтың ғасырлар бойы жасаған асыл мұрасының жиынтығы - фольклорымен бірге дәстүрлі қолөнер арқылы мектеп оқушыларын өз халқының ауыз әдебиеті мен төл мәдениетіне деген қызығушылығын қалыптастыру, оның тарихы мен жіктемесі, түрлері және ұрпақ тәрбиесіндегі тәрбиелік мәні мен мүмкіндіктері жайлы баяндалады.</t>
  </si>
  <si>
    <t>00011446</t>
  </si>
  <si>
    <t>Гусенов Б.Ш., Лукьянов А.А., Немелбаев Е.А.</t>
  </si>
  <si>
    <t>Мемлекеттік қызметкердің құқықтық мәртебесі</t>
  </si>
  <si>
    <t>юридический, экономический</t>
  </si>
  <si>
    <t>Оқулықта Қазақстан Республикасындағы мемлекеттік қызмет және мемлекеттік қызметшінің құқықтық мәртебесінің теориялық-методологиялық негіздерінің қазіргі қолданыстағы нормативтік-құқықтық актілермен байланыстыра отырып, негізгі ерекшеліктері айқындалған. Сондай-ақ шетел мемлекеттерінің оң тәжірибесі зерделеніп, салыстырмалы талдау жасалынды. 
 Бұл зерттеу жұмысы жоғары оқу орындарының құқық және экономика факультеттерінің білімгерлеріне, магистранттарына, докторанттары мен оқытушы құрамдарына, мемлекеттік және құқық қорғау органдары қызметкерлеріне және өз бетінше ізденушілерге арналған</t>
  </si>
  <si>
    <t>00011447</t>
  </si>
  <si>
    <t>Лукьянов А.А., Гусенов Б.Ш.</t>
  </si>
  <si>
    <t>Государственное регулирование занятости в Республике Казахстан</t>
  </si>
  <si>
    <t>В учебнике представлены материалы в 3 разделах и 9 подразделах. В них рассмотрено значение государственного регулирования занятости и дано обоснование необходимости регулирования государством процессов происходящих на рынке труда. Оценивается эффективность реализации государственных программ в области занятости населения, особенно «Атлас новых профессий», показаны достигнутые результаты. Изучено влияние пандемии COVID - 2019, на состояние рынка труда в Казахстане и проанализирована эффективность программ реализованных государством в этот период.</t>
  </si>
  <si>
    <t>00011448</t>
  </si>
  <si>
    <t>каз/рус</t>
  </si>
  <si>
    <t>Үмітқалиев Ұ.Ү. (Умиткалиев У.)</t>
  </si>
  <si>
    <t>Шыңғыстаудың көне тарихи-археологиялық ескерткіштері. Древние историко-археологические памятники Чингистау.</t>
  </si>
  <si>
    <t>Археология, история</t>
  </si>
  <si>
    <t>Ұсынылып отырған еңбек қазақ және орыс тілдерінде – Қасиетті Шыңғыстау жерінің көне дәуірлерден бастап бүгінгі күнге дейінгі ескерткіштері жөнінде «Ұлы Абайдың 175 жылдық мерейтойы аясында» жалпы көпшілік оқырман қауымға танымдық негізде дайындалған. Осы өлкеге жүргізілген археологиялық қазба жұмыстары мен бірге тарихи зерттеулер негізіндегі қазақтардың тұрмыс тіршілігі мен шаруашылығы және қолданбалы өнері жөнінде баяндалған. Түрлі-түсті суреттермен безендірілген ғылыми еңбек, заман талабына сай тұщымды әрі нақты деректермен оқырман қауымды баурап алады деген ойдамыз.</t>
  </si>
  <si>
    <t>00011449</t>
  </si>
  <si>
    <t>медики</t>
  </si>
  <si>
    <t>ISBN 978-601-330-039-9</t>
  </si>
  <si>
    <t>Адайбаев Т.А., Алмабаева А.Ы., Жаналиева М.К.</t>
  </si>
  <si>
    <t xml:space="preserve">Тірек-қимыл жүйесі 1 бөлім </t>
  </si>
  <si>
    <t>фармация, общая,сестринское дело</t>
  </si>
  <si>
    <t>«Тірек-қимыл жүйесі» оқу құралы Казахстан Республикасының Білім және Ғылым министрлігінің 2006 жылғы «Мемлекеттік жалпыға міндетті білім беру стандартына» сәйкес әзірленді. Оқу құралы медицина университеттерінің «Фармация», «Қоғамдық денсаулық сақтау» және «Мейіргер ісі» факультеттерінің білім алушыларына және «Адам анатомиясы» кафедрасының оқытушыларына арналған</t>
  </si>
  <si>
    <t>00011450</t>
  </si>
  <si>
    <t>Тірек-қимыл жүйесі 2 бөлім</t>
  </si>
  <si>
    <t>00011451</t>
  </si>
  <si>
    <t>Abdigapbarova U., Zhiyenbayeva N. (Абдигапарова)</t>
  </si>
  <si>
    <t>Organization of research work in the field of inclusive education</t>
  </si>
  <si>
    <t>The textbook</t>
  </si>
  <si>
    <t>Педагогика, инклюзивное образование</t>
  </si>
  <si>
    <t>The textbook is intended for MA students who study under the educational program 7M01906 - Special pedagogy: inclusive education. The manual outlines issues related to the subject area of research, types of research focused on the development of systematic knowledge in the form of problems, hypotheses, concepts, as well as methods of specific empirical research in special pedagogy and inclusive education. The manual has been prepared in order to meet the needs for educational and methodological support for the system of training the human potential of teachers with master's degree in inclusive education. Учебник предназначен для студентов магистратуры, обучающихся по образовательной программе 7М01906 - Специальная педагогика: инклюзивное образование. В пособии излагаются вопросы, связанные с предметной областью исследования, виды исследований, ориентированных на развитие систематических знаний в форме проблем, гипотез, концепций, а также методы конкретных эмпирических исследований в специальной педагогике и инклюзивном образовании. Пособие подготовлено с целью удовлетворения потребностей в учебно-методическом обеспечении системы подготовки человеческого потенциала учителей со степенью магистра в области инклюзивного образования.</t>
  </si>
  <si>
    <t>00011452</t>
  </si>
  <si>
    <t>Омаров Т.Ж., Назаров А.Ж., Әлайдарова Ә.А., Байымбетов Ж.А., Мақашев Е.П.</t>
  </si>
  <si>
    <t>Композиция</t>
  </si>
  <si>
    <t>Дизайн, Изобраз искуст</t>
  </si>
  <si>
    <t>Оқу құралында композицияның түрлері және олармен жұмыс істеу кезеңінде міндетті заңдылықтары мен ережелері толық қамтылып, мазмұн желісі иллюстрациялармен толықтырылған. Көрнекі мысал ретінде түрлі-түсті қосымша суреттер көрсетілген. Басылым дизайн мамандықтарының студенттеріне, сондай-ақ бейнелеу өнеріне қызығушылық танытатын барлық оқырмандарға ұсынылады.</t>
  </si>
  <si>
    <t>00011453</t>
  </si>
  <si>
    <t>Шиндалиева М.Б.</t>
  </si>
  <si>
    <t>Журналистикадағы менеджмент пен маркетинг 1 бөлім (2 басылым,толтырылған)</t>
  </si>
  <si>
    <t>Бұл оқулық соңғы бекітілген типтік оқу бағдарламасына сәйкес журналистикадағы менеджмент пен маркетинг саласына арналған. Оқулықта журналистикадағы менеджмент пен маркетингтің дамуы, қалыптасуы тарихы, тәжірибесі, теориясы туралы көп мағлұмат берiледi. БАҚ-тағы менеджмент, маркетинг саласының байланысы мен ерекшелiгi кеңінен қамтылған. Оқулық журналистика саласы бойынша маманданатын студенттерге, магистранттарға, докторанттарға, көпшілік қауымға арналған.</t>
  </si>
  <si>
    <t>00011454</t>
  </si>
  <si>
    <t>Журналистикадағы менеджмент пен маркетинг 2 бөлім (2 басылым,толтырылған)</t>
  </si>
  <si>
    <t>00011456</t>
  </si>
  <si>
    <t>978-601-330-335-2</t>
  </si>
  <si>
    <t>Лимонов Л.Г., Сивякова Г.А.</t>
  </si>
  <si>
    <t>Автоматизированный электропривод промышленных механизмов</t>
  </si>
  <si>
    <t>В учебном пособии рассмотрены типовые автоматизированные электроприводы промышленных механизмов и особенности их функционирования и управления.Учебное пособие предназначено для студентов и магистрантов высших учебных заведений, обучающихся по образовательным программам «Автоматизированные электромеханические системы», «Электроэнергетика», «Инженерия энергетических систем», «Электротехническое машиностроение и инжиниринг энергетических систем», «Электроэнергетика и электротехника», «Электротехника и электромеханика», «Электрооборудование и электрохозяйство предприятий, организаций и учреждений» и др.Данное пособие может использоваться при выполнении расчетной части курсовых и дипломных проектов, научно-исследовательской работы, а также может быть полезно инженерам при проектировании, наладке и промышленной эксплуатации автоматизированных электроприводов различного назначения.</t>
  </si>
  <si>
    <t>00011457</t>
  </si>
  <si>
    <t>Myrzakhanova M.N. / Мырзаханова М. Н.</t>
  </si>
  <si>
    <t>Forensic medicine</t>
  </si>
  <si>
    <t>Рассмотрены основные этапы истории судебной медицины, система организации и процессуальные аспекты судебно-медицинской экспертизы в Республике Казахстан. Анализируются проблемы судебно-медицинской диагностики при травмах, отравлениях и других нарушениях здоровья, основные причины смерти людей и дается их экспертная оценка. Оно предназначено для бакалавров, магистрантов медицинских и юридических специальностей, а также следователей, адвокатов, прокуроров и судов, занимающихся конкретной юридической и медицинской практикой.</t>
  </si>
  <si>
    <t>00011458</t>
  </si>
  <si>
    <t>978-601-330-336-9</t>
  </si>
  <si>
    <t>Прокатное оборудование и электроприводы</t>
  </si>
  <si>
    <t>В учебном пособии рассмотрены типовые технологические процессы прокатного производства, уделяя при этом особое внимание электрическим приводам машин и механизмов, работа которых играет определяющую роль в производительности прокатного оборудования и качестве получаемой продукции.
 Учебное пособие предназначено для студентов и магистрантов высших учебных заведений, обучающихся по образовательным программам «Обработка металлов давлением», «Литейное производство и обработка металлов давлением», «Производство и обработка черных и цветных металлов», «Технология обработки металлов давлением», «Металлургия черных и цветных металлов», «Электротехническое машиностроение и инжиниринг энергетических систем», «Электроэнергетика и электротехника», «Электротехника и электромеханика» и др.Данное пособие может использоваться при выполнении расчетной части курсовых и дипломных проектов, научно-исследовательской работы, а также может быть полезно инженерам при проектировании, наладке и промышленной эксплуатации оборудования и электроприводов прокатных цехов.</t>
  </si>
  <si>
    <t>00011460</t>
  </si>
  <si>
    <t>Урунбасарова Э.А.</t>
  </si>
  <si>
    <t>Методология духовно-нравственного воспитания: история, теория и практика</t>
  </si>
  <si>
    <t>В монографии дается ретроспективный анализ концептуальных положений этических позиций Ч.Валиханова, И.Алтынсарина, А.Кунанбаева как теоретико-методологического источника основ теории духовно-нравст¬венного воспитания обучающихся Казахстана, анализируются психолого-педагогические особенности духовно-нравственно¬го развития личности в работах Ш. Кудайбердиева, С Торайгырова, М.Кашимова, в исследованиях первых казахстанских ученых-педагогов Ж.Аймаутова, М.Жумабаева; рассматривается вклад выдающихся государственных деятелей республики М.Ауэзова, К.Сатпаева, М.Габдуллина, Б.Момыш-улы в развитие теории духовно-нравственного воспитания, а также разработка проблем духовно-нравственного формирования личности обучающихся в работах таких видных педагогов Казахстана, как Р.Г.Лемберг, Г.Бегалиев, С.Балаубаев.В работе также проведен теоретико-методологический анализ психолого-педагогических основ процесса духовно-нравственного воспитания обучающейся молодежи, раскрыты его аксиологические основы, принципы и факторы, разработана модель и методика духовно-нравственного развития личности обучающегося. В практической части монографии представлены разработки занятий по духовно-нравственному воспитанию студентов на занятиях по педагогике и психологии высшей школы, основанные на инновационных технологиях обучения. Монография адресована, прежде всего, преподавателям вузов, колледжей, докторантам, магистрантам, бакалаврам гуманитарных вузов, учителям школ, но, думается, будет полезной всем, кого волнуют вопросы духовно-нравственного развития личности.</t>
  </si>
  <si>
    <t>00011461</t>
  </si>
  <si>
    <t>978-601-330-311-6</t>
  </si>
  <si>
    <t>Турсынова Т.Т., Егинбаева А.Е.</t>
  </si>
  <si>
    <t>Экономическая, социальная и политическая география мира</t>
  </si>
  <si>
    <t>Учебно-методическое пособие «Экономическая, социальная и политическая география мира» предназначено для студентов высших учебных заведений, обучающихся по образовательным программам «6B05209–География» и 6B01524 – «Подготовка педагогов географии». Учебное пособие является всесторонним, разработанным с учетом результатов и достижений многолетней научно-педагогической деятельности авторов, раскрывает основные проблемы и структурные возможности экономического раздела географии на современном этапе развития общества.</t>
  </si>
  <si>
    <t>00011463</t>
  </si>
  <si>
    <t>978-601-330-440-3</t>
  </si>
  <si>
    <t>Язык каз., Экономика</t>
  </si>
  <si>
    <t>Оқу құралы кәсіби мәтіндерді, лексикалық тапсырмалар мен грамматикалық жаттығуларды қамтиды. Жоғары оқу орындарының «Экономика» мамандығының студенттеріне, кәсібі қазақ тілін үйренушілеріне арналған.</t>
  </si>
  <si>
    <t>00011464</t>
  </si>
  <si>
    <t>Әбдіқадырова Х. Р.</t>
  </si>
  <si>
    <t>Гормондардың әсер ету механизмдерінің заманауи аспектілері. Екінші қайта жасалынған және толықтырылған басылым</t>
  </si>
  <si>
    <t>Осы оқу құралы медициналық ЖОО-да оқитын «Жалпы медицина» мамандығы бойынша патофизиология пәнінің Модуль: «Аурудың механизмдері. Эндокриндік жүйе» бағыты бойынша оқып үйренуші студенттерге клиникалық ойлау және есте сақтау қабілетін арттыру мақсатында қарастырылған.Бұл студенттердің теориялық білімдерін тереңдетуге ықпал ете отырып, тәжірибелік сабақтарға өз бетінше дайындалуға, логикалық ойлау, патологиялық үдерістердің туындау механизмін саралап, талдап анализ жасау қабілетін дамыту үшін тағайындалған.</t>
  </si>
  <si>
    <t>00011465</t>
  </si>
  <si>
    <t>978-601-330-357-4</t>
  </si>
  <si>
    <t>Калиева Ш.С., Симохина Н.А.</t>
  </si>
  <si>
    <t>Информационно-дидактический блок по основам доказательной медицины. 2-е издание, переработанное и дополненное</t>
  </si>
  <si>
    <t>Учебное пособие посвящено основным вопросам изучения доказательной медицины, по содержанию максимально соотвествует учебной программе дисциплины «Основы доказательной медицины» для всех медицинских специальностей.В пособии изложен материал по истории развития доказательной медицины, описаны основные принципы клинической эпидемиологии, традиционная иерархия доказательств, фазы клинических испытаний лекарственных средств, пять этапов доказательной медицины, алгоритмы критической оценки медицинских публикаций, актуальные вопросы современной системы оценки качества медицинских услуг, в том числе клинического аудита, практические аспекты разработки и внедрения клинических руководств, протоколов диагностики и лечения, этические вопросы клинической эпидемиологии и права пациентов. При разработке пособия использовались современные источники литературы, посвященные вопросам доказательной медицины. Учебное пособие предназначено для студентов медицинских вузов, интернов, резидентов, магистрантов, докторантов, врачей.</t>
  </si>
  <si>
    <t>00011466</t>
  </si>
  <si>
    <t>978-601-330-331-4</t>
  </si>
  <si>
    <t>Нургали К.Р., Тусупова А.К., Майбалаева А.А.</t>
  </si>
  <si>
    <t>Русский язык в учебной сфере (Уровень С1)</t>
  </si>
  <si>
    <t>Учебное пособие предназначено для использования на практических занятиях при обучении русскому языку студентов, стремящихся к овладению русским языком как вторым на уровне С1. Пособие включает методические разработки по темам, посвященным изучению функций языка, текста как ведущей единицы коммуникации, типов и стилей речи, научного стиля как основного стиля учебно-научной литературы по специальности. Пособие адресовано преподавателям и студентам высших и средних специальных учебных заведений.</t>
  </si>
  <si>
    <t>00011467</t>
  </si>
  <si>
    <t>978-601-330-511-0</t>
  </si>
  <si>
    <t>ДілманТ.Б., Мәделханова Ә.Ж., Серікбол М.С.</t>
  </si>
  <si>
    <t>Операцияларды зерттеу</t>
  </si>
  <si>
    <t>Оқу құралы сызықты және сызықты емес программалау, көлік, жаппай қызмет көрсету жүйесінің және ойындар теориясының есептерін шешу әдістерін оқып-үйренуге арналған. Кітап жоғары оқу орындарының техникалық және экономикалық мамандықтарының білім алушыларына «Операцияларды зерттеу» пәні бойынша қосымша оқу құралы ретінде ұсынылады. Оқу құралының тілі жатық, түсінуге ыңғайлы. Оқу құралында берілген есептерді шешу үшін Excel және Maple компьютерлік есептеу жүйелері пайдаланылады.</t>
  </si>
  <si>
    <t>00011469</t>
  </si>
  <si>
    <t>Алдабергенова Ш.А., Марат М.М., Турсынбаева Г.А., Танирбергенова С.Б.</t>
  </si>
  <si>
    <t>Клиникаға кіріспе Мейірбикелік күтім</t>
  </si>
  <si>
    <t>Общая медицина,Стоматология</t>
  </si>
  <si>
    <t>Оқу құралы 6B10155-«Жалпы медицина» және 6B10156-«Стоматология» білім беру бағдарламасының 2 курс студенттеріне арналған. Оқу құралын құрастырғандағы негізгі мақсат оқу бағдарламасына сай ықшамды, қарапайым, түсінікті етіп жеткізу. Сонымен қоса тәжірибеде кездескен, бүгінгі күннің талабына сай және жергілікті жердің ерекшеліктерін ескере отырып жазылған. Оқу құралы медициналық мамандықта білім алатын жоғары оқу орны студенттеріне арналған. Сонымен қатар, орта медициналық білім беру мекемелерінің студенттеріне де қолдануына болады.</t>
  </si>
  <si>
    <t>00011471</t>
  </si>
  <si>
    <t>978-601-330-385-7</t>
  </si>
  <si>
    <t>Шалабаева К.З., Нурмаганов С.Б., Шалабаев О.Д.</t>
  </si>
  <si>
    <t>Детская челюстно-лицевая хирургия</t>
  </si>
  <si>
    <t>В учебном пособии приведены анатомо-физиологические особенности организма ребенка, челюстно-лицевой области, причины возникновения и механизмы развития распространенных патологических процессов в области головы и шеи у детей.Дана характеристика клинического течения врожденных пороков развития, заболеваний, повреждений органов и тканей челюстно-лицевой области и современные методы их лечения.Учебное пособие предназначено для студентов стоматологического, педиатрического факультетов, врачей-интернов, резидентов, магистрантов, детских стоматологов, ортодонтов, челюстно-лицевых хирургов, отоларингологов, педиатров и врачей общей практики, врачей-стоматологов общей практики.</t>
  </si>
  <si>
    <t>00011472</t>
  </si>
  <si>
    <t>978-601-330-893-7</t>
  </si>
  <si>
    <t>Қали А., Кейкин Е.Қ.</t>
  </si>
  <si>
    <t>Биологиялық экология</t>
  </si>
  <si>
    <t>Оқулықта жалпы экологияның фундаментальдік негіздері қарастырылған, негізгі экологиялық ұғымдар мен заңдылықтар және ғаламдық, сондай-ақ жергілікті сипаттағы экологиялық мәселелер берілген. Жоғарыда аталған мәліметтер алатын мамандықтарына байланысты қарастырылған. Оқырманға ұсынылған сұрақтар шығармашылық сипатқа ие және әдебиеттермен жұмыс жасау дағдысын дамытуға ықпал етеді. Берілген оқу құралында экологиялық білім берудегі әдістемелік кеңестер нақты баяндалған.Оқулық жоғары оқу орындарының студенттеріне, магистранттары мен оқытушыларына арналған.</t>
  </si>
  <si>
    <t>00011473</t>
  </si>
  <si>
    <t>Кушуков Г.С., Касенов Д.С.</t>
  </si>
  <si>
    <t>Персоналды басқару</t>
  </si>
  <si>
    <t>Оқу құралында қызметкерлерді басқарудың ерекшеліктері, басқару еңбегінің ұйымдастырылуы, этикасы және психологиясы, сонымен қоса бақсару қызметінің техникасы баяндалады.Менеджерлер еңбегін тиімді ұйымдастырудың нұсқаулары беріледі және әртүрлі ықпал ету әдістерін қолданудағы қызметкерлерді басқару ұсынылады.Экономикалық және экономикалық емес мамандықтар студенттері мен практикалық жұмысшыларға арналған.</t>
  </si>
  <si>
    <t>00011474</t>
  </si>
  <si>
    <t>Кеңесбаев С.М., Жармакин Б.Қ.</t>
  </si>
  <si>
    <t>Цифрлық электроника: Модельдеу және программалау</t>
  </si>
  <si>
    <t>Информатика,Робототехника</t>
  </si>
  <si>
    <t>Оқулық ең алдымен робототехника пәндерін оқитын болашақ педагогикалық, техникалық мамандарға және жалпы білім беретін мектеп оқушыларының цифрлық электроника негіздерімен танысуларына арналған. Сондай-ақ, оқулық студенттердің болашақ кәсіби қызметіне, оқушылардың болашақ мамандығын дұрыс таңдауда кәсіптік бағыт – бағдар беруіне де пайдалы болады.Бірінші тарауда цифрлық интегралды электрониканың құрамдас бөліктері қарастырылады. Екінші тарауда ARDUINO платформасына негізделген және PROTEUS АЖЖ, оқытуды онлайн – виртуалды ұйымдастыруға мүмкіндік беретін Tinkercad орталарындағы зертханалық практикумдарында арнайы құрылғылармен жұмыстар көрсетіледі. Алған білімдерін өзіндік тексеруге мүмкіндік беретін тест тапсырмалары да енгізілген.Сонымен қатар, оқулық оқытушыларға, мектеп және колледж оқушыларына, студенттерге робототехника, цифрлық технология негіздерін өз бетінше оқитын жеке тұлғаларға пайдалы болуы мүмкін.</t>
  </si>
  <si>
    <t>00011475</t>
  </si>
  <si>
    <t>978-601-13-0658-4</t>
  </si>
  <si>
    <t>Ысқақ Б, Абдулаева А</t>
  </si>
  <si>
    <t>Шылау мен одағайды меңгертудің ғылыми-әдістемелік негіздері</t>
  </si>
  <si>
    <t>Бұл әдістемелік құралда оқушылардың шылау мен одағайды орфографиялық және пунктуациялық икемділіктері мен дағдыларын қалыптастыра оқытудың ғылыми - әдістемелік негіздері, оның мақсаты мен мазмұны, сауатты жазу дағдысын қалыптастыра оқыту жүйесі мен әдістемесі сипатталды. Қатесіз жазудың емлелік икемділігі мен дағдыларының жүйесі, тіл білімдік негізі, жаттықтырудың тиімді әдіс –тәсілдері қарастырылды.Еңбек педагогикалық жоғары оқу орындарының студенттеріне, магистрант және мектеп мұғалімдері мен зерттеушілерге арналған.</t>
  </si>
  <si>
    <t>00011476</t>
  </si>
  <si>
    <t>Шорин С.С., Қали А.</t>
  </si>
  <si>
    <t>Қолданбалы биология топырақтану негіздерімен 1 том</t>
  </si>
  <si>
    <t>Ұсынылып отырған оқулық университеттердің биология факультеттерінің студенттеріне «Қолданбалы биология топырақтану негіздерімен» пәнін дербес оқып үйренулеріне арналған. Оқулық бағдарламалық материалдарды тез арада игеріп меңгерулеріне жағдай жасайтын болғандықтан қысқартылып келтірілген. Сонымен қатар ол күндізгі және сырттай оқитын студенттерге өткен курстарды қайталап, емтиханға дайындалуға қажетті, пайдалы құрал болуы мүмкін. Берілген оқулық педагогикалық профильдегі химия, биологгия, биология-психология, экология, биотехнология мамандықтары бойынша оқитын студенттерді қазіргі кездегі ғылыми негіздегі ауыл шаруашылық өндіріс жүйесіне үйретіп, оның топырақтану, жертану, агрохимия, өсімдік шаруашылығы, мал шаруашылығы, химия, экономика т.б ғылымдардың байланысымен таныстыруды қамтиды. Сонымен қатар оқулық қазақ тілінде тапшы болып отырған ғылыми әдебиеттердің қатарын толықтырып, студенттер мен магистранттардың ғылыми жұмыстарына қажетті материалдар алуларына, оқытушылар мен колледж және мектеп мұғалімдеріне көмекші құрал болады.</t>
  </si>
  <si>
    <t>00011477</t>
  </si>
  <si>
    <t>Қолданбалы биология топырақтану негіздерімен 2 том</t>
  </si>
  <si>
    <t>00011478</t>
  </si>
  <si>
    <t>Iskakova S., Sakibayeva S., Dusmetova G. / Искакова С., Сакибаева С., Дусметова Г.</t>
  </si>
  <si>
    <t>Natural Gas Purification and Processing</t>
  </si>
  <si>
    <t>Настоящее учебное пособие «Очистка и переработка природного газа» разработано в соответствии с Учебным планом и Типовой учебной программой дисциплины «Процессы очистки и переработки газа» для студентов специальности 5В072100 - Химическая технология органических веществ. Предлагаемая дисциплина «Процессы очистки и переработки газа» относится к основной выбираемой составляющей цикла. В учебном пособии разъясняется значение природных газов в экономике и энергетике, современное состояние и перспективы развития газоперерабатывающей отрасли в Казахстане и за рубежом. Показаны наиболее важные направления процесса подготовки и очистки природного газа: осушка и очистка газов, способы разделения их на компоненты, переработка в ценные химические продукты.
 Настоящее учебное пособие может быть полезно магистрантам и докторантам специальности 6М072100 «Химическая технология органических веществ», а также аспирантам и магистрантам очной формы обучения специальности «6М073900 «Нефтехимия», а также преподавателям и научным работникам в области химии и химическое машиностроение нефтехимия</t>
  </si>
  <si>
    <t>00011479</t>
  </si>
  <si>
    <t>978-601-13-0114-5</t>
  </si>
  <si>
    <t>Каражанова М.К.</t>
  </si>
  <si>
    <t>Теңіз мұнайгаз инжиниринг негіздері</t>
  </si>
  <si>
    <t>Оқу құралы шельфте мұнай мен газ өндіру технологияларына арналған және теңіздегі жұмыстарға кең шолу жасайды. Теңіз көмірсутегі кенорындарын іздеу және барлау, теңіз ұңғымаларын бұрғылау туралы негізгі мәліметтер келтірілген, теңіз кенорындарын игеру, теңіз жағдайында өнімді тасымалдау, сақтау, сондай-ақ теңіз мұнай-газ өнеркәсібінің қоршаған ортаға әсер ету мәселелері қарастырылған.Оқу құралы «Мұнай газ инжинирингі» мамандығы бойынша оқитын студенттерге, сонымен қатар теңіздегі мұнай газ кенорындарын игеру мен пайдалану бағытындағы инженерлік-техникалық қызметкерлерге арналған</t>
  </si>
  <si>
    <t>00011480</t>
  </si>
  <si>
    <t>Онгарбаева Н.О., Киябаева А.Т., Аскарбеков Э.Б.</t>
  </si>
  <si>
    <t>Астықты қайта өңдеу өндірістерінің теориялық негіздері</t>
  </si>
  <si>
    <t>технология зерноперерабатывающего производства</t>
  </si>
  <si>
    <t>Оқулықта астық өңдеу кәсіпорындарында жүзеге асырылатын технологиялық процестердің әртүрлі кезеңдерінің негізгі сипаттамалары, мақсаты мен режимдері келтірілген. Ұн, жарма, құрама жем өндірісінің технологиялық процестерін оңтайландыруды негіздейтін теориялық ережелер келтірілген. Астық өңдеу өндірісінің технологиялық процестерін жүргізудің теориялық негіздері олардың есептеулері мен өңдеу процестерін тиімді ұйымдастыру принциптері берілген. Астық өңдеу өндірістерінің технологиялық процестерін жүргізу кезінде операциялардың жекелеген түрлерін жүзеге асыру үшін қолданылатын жабдықтардың негізгі түрлерінің сипаттамасы берілген.
 Оқулық 050728-астық өңдеу өндірісінің технологиясы мамандығы бойынша жоғары оқу орындарының студенттеріне және астық қайта өңдеу өндірістері кәсіпорындарының жүмыс жасайтын мамандарына арналған</t>
  </si>
  <si>
    <t>00011481</t>
  </si>
  <si>
    <t>978-601-330-812-8</t>
  </si>
  <si>
    <t>Фейзуллаев А.А., Эфендиев Г.М., Каражанова М.К.</t>
  </si>
  <si>
    <t>Мұнай газ технологияларының геологиялық негіздері</t>
  </si>
  <si>
    <t>Оқу құралында мұнай өнеркәсібінің даму тарихынан кейбір деректер, ұңғымаларды бұрғылау және мұнай өндіру технологиясының жекелеген мәселелері, мұнай кәсіпшілігі геологиясынан мәліметтер, ұңғымалардың геологиялық қималарын зерттеу әдістері, ұңғыма құрылыстары «Мұнай және газ ісі» мамандығы бойынша білім алушылардың оқудың алдыңғы кезеңдерінегі пәндерден алған білімдерін толықтыру мақсатында қысқаша көрсетілген. Оқу құралы «Мұнай және газ ісі» мамандығының студенттері мен магистранттарына арналған және оны «Мұнай және газ геологиясы» мамандығының студенттері де пайдалана алады.</t>
  </si>
  <si>
    <t>00011482</t>
  </si>
  <si>
    <t>Киргизбекова С. С.</t>
  </si>
  <si>
    <t>Реклама и маркетинг для дизайнеров</t>
  </si>
  <si>
    <t>Дизайн, реклама, маркетинг</t>
  </si>
  <si>
    <t>Учебное пособие содержит программу курса «Реклама и маркетинг», предназначенную в помощь преподавателям и студентам, обучающихся специальностям Дизайна.К каждой теме даны контрольные вопросы и задания, планы семинарских занятий, методические рекомендации по изучению курса, список рекомендованной литературы, темы рефератов, вопросы для подготовки к зачету, тесты для контроля знаний по курсу, словарь терминов позволяющие студентам лучше усвоить и закрепить полученный материал, а также работы студентов кафедры Дизайна, КазНПУ им. Абая.Учебное пособие обобщает современные концептуальные подходы в развитии маркетинга, отражает используемые практические инструменты в области маркетинговых исследований, изучения поведения потребителей, формирования комплекса маркетинга. Разделы учебного пособия могут быть использованы при изучении соответствующих разделов дисциплины «Искусство рекламы», «Проектирование», «Проектная графика», «Специальные виды рекламы».</t>
  </si>
  <si>
    <t>00011483</t>
  </si>
  <si>
    <t>978-601-13-0673-7</t>
  </si>
  <si>
    <t>Мамырбаев Д.Ж.</t>
  </si>
  <si>
    <t>Адамзат тарихындағы шаманизм</t>
  </si>
  <si>
    <t>Оқу-құралында шамандық тереңірек зерттеледі. Әрі шамандықтың түрлі халықтарда пайда болу себептерінен бастап Қазақстан аумағындағы бақсылық жан-жақты қарастырылған. Кітапта шаманның тұлғасын, қоғамдағы орнын, спиритизмін, сиқырларын, құрбандық жолдарын һәм тарихта әр халықтың мәдениетіне сіңген элементерін баяндайды. Әр тақырыпты оқырманға түсінікті етіп жазуға тырыстық. Оқу-құралы «Дінтану», «Теология» және «Тарих-Дінтану» мамандықтарына арналған.</t>
  </si>
  <si>
    <t>00011484</t>
  </si>
  <si>
    <t>Буркитбаева А.С.</t>
  </si>
  <si>
    <t>Оқу құралында әдебиеттану ғылымына қатысты әдеби-теориялық ұғымдар арнайы жеке тақырыптар аясында қарастырылған. Әдеби даму, көркем шығарманың тілі мен құрылысы, өлең өлшемдері туралы арнайы тарауларда қарастырылып, мысалдармен бекітілген. Теориялық ұғымдар мен терминдер нақты түсіндірілген.Еңбек филолог-студенттерге, магистранттар мен аспиранттарға, жалпы әдебиет сүйер жұртшылыққа арналған.</t>
  </si>
  <si>
    <t>00011485</t>
  </si>
  <si>
    <t>Тнимова Г.Т., Кузнецова Л.С.</t>
  </si>
  <si>
    <t>Протекторное действие фенольных антиоксидантов</t>
  </si>
  <si>
    <t>Биохимия, спортивная медицина</t>
  </si>
  <si>
    <t>В монографии представлены экспериментальные данные по изучению механизма действия фенольных антиоксидантов (дибунола, пробукола) на фоне адаптивных изменений углеводно-липидного и перекисного метаболизма, эндокринного статуса организма в динамике приспособления к напряженной мышечной деятельности (срочная и долговременная адаптация, срыв адаптации), описаны индивидуально-типологические особенности реакций организма на мышечную нагрузку под прикрытием антиоксидантов, доказано их протекторное действие при мышечной деятельности. 
 Книга предназначена для преподавателей, магистрантов, студентов, научных работников, а также всех, интересующихся молекулярными процессами при различных видах мышечной деятельности, а также профилактикой срыва адаптации при тяжелой работе и занятиях спортом</t>
  </si>
  <si>
    <t>00011486</t>
  </si>
  <si>
    <t>978-601-330-471-7</t>
  </si>
  <si>
    <t>Сабыров Т. Абенова Д.Т., Алибекова У.К.</t>
  </si>
  <si>
    <t>Бұл оқулықта «Статистика» пәнінің практикалық қолданыс жақтары көрсетілген. Барлық тақырыптарға нақты мысалдар, кестелер және графиктер келтірілген. Оқу құралы статистиканы қолданатын барлық оқырмандар мен мектеп және жоғары мектеп студенттеріне, мұғалімдерімен-оқытушыларына қауымына арналған. Оқулық осы заманға лайықталып, компьютерлік технологиялардың қолданысын, Ресейлік математик әріптестерінің жұмыстарын негізге ала отырып, орындалды</t>
  </si>
  <si>
    <t>00011487</t>
  </si>
  <si>
    <t>978-601-13-0111-4</t>
  </si>
  <si>
    <t>Койлыбаев Б.Н., Каражанова М.К.</t>
  </si>
  <si>
    <t>Влияние геологических условий залежей на эффективность вытеснения нефти полимерными растворами</t>
  </si>
  <si>
    <t>Монография посвящена исследованию механизма влияния потокотклоняющих технологий (ПОТ) на основе полимерных растворов на факторы, характеризующие процесс выравнивание профилей приемистости (ВПП) нагнетательных скважин в различных геолого-физических условиях, включает результаты анализа работ, посвященных разработке нефтяных залежей полимерными растворами, обоснования выбора методов повышения эффективности их применения. Выполнен анализ влияния геолого-физических параметров пластов и насыщающих их флюидов на коэффициент извлечения нефти. - обоснование применения сшитых полимерных систем (СПС) в потокоотклоняющих технологиях путем проведения экспериментальных исследований реологических и фильтрационных характеристик. Приводятся результаты анализа и оценка технико-технологической эффективности применения потокоотклоняющей технологии на месторождении Каражанбас</t>
  </si>
  <si>
    <t>00011488</t>
  </si>
  <si>
    <t>978-601-330-504-2</t>
  </si>
  <si>
    <t>Жузенова Қ.М.</t>
  </si>
  <si>
    <t>Физикалық химия негіздері</t>
  </si>
  <si>
    <t>Химия Органич</t>
  </si>
  <si>
    <t>Колледж студенттеріне арналған оқу құралы. Оқу құралында физикалық химиядан арнаулы орта білім алуға арналған бағдарламалық материалдар толық қамтылған. Әр тақырыптың соңында сұрақтар, кітап соңында тесттік тапсырмалар көрсетілген.Оқу құралы «Химиялық технология және өндіріс», «Полимер өндірісі технологиясы» мамандықтарына, техникалық және кәсіптік орта білім беретін оқу орындары студенттері мен оқытушыларына арналған.</t>
  </si>
  <si>
    <t>00011489</t>
  </si>
  <si>
    <t>978-601-330-503-5</t>
  </si>
  <si>
    <t>Полимер өндірісі технологиясы</t>
  </si>
  <si>
    <t>Колледж студенттеріне арналған оқу құралы. Оқу құралында полимерлік материалдардың қасиеттері мен алу технологиясынан арнаулы орта білім алуға арналған бағдарламалық материалдар толық қамтылған. Кітап соңында тесттік тапсырмалар көрсетілген.Оқу құралы «Полимер өндірісі технологиясы» мамандықтарына, техникалық және кәсіптік орта білім беретін оқу орындары студенттері мен оқытушыларына арналған</t>
  </si>
  <si>
    <t>00011490</t>
  </si>
  <si>
    <t>978-601-13-0934-9</t>
  </si>
  <si>
    <t>Онгарбаева Н.О., Жиенбаева С.Т., Киябаева А.Т., Кененбаева А.</t>
  </si>
  <si>
    <t>Жемшөп өндірісі 1 бөлім</t>
  </si>
  <si>
    <t>технология производства продукции животноводства</t>
  </si>
  <si>
    <t>Аграрлық сектордың негізгі міндеті - мемлекетті азық-түлікпен қамтамасыз ету. Оқулық Қазақстан Республикасының азық түлік қауіпсіздігін қамтамасыз ету жөніндегі мақсаттарды іске асырудағы табиғи азықтың маңыздылығын қарастырады.
 Оқұлықта егістік жерде, табиғи шабындықта және жайылымда өндірілетін өсімдік жемшөптерді дайындау технологиялары қарастырылған. Қазақстанның табиғи аймақтары бойынша жемшөп алқаптарының өсімдіктеріне толық сипаттама берілген. Табиғи жемшөп алқаптарын жақсарту тәсілдері, шабындықтарды, жайылымдарды ұтымды пайдалану және жемшөпті дайындау және сақтау технологиясы келтірілген.
 Оқулық 5В080200-Мал шаруашылығы өнімдерін өндіру технологиясы мамандығы бойынша жоғары оқу орындарының студенттеріне арналған</t>
  </si>
  <si>
    <t>00011491</t>
  </si>
  <si>
    <t>Жемшөп өндірісі 2 бөлім</t>
  </si>
  <si>
    <t>00011493</t>
  </si>
  <si>
    <t>978-601-13-0690-4</t>
  </si>
  <si>
    <t>Адилбеков М.А</t>
  </si>
  <si>
    <t>Жылутехника 1 том</t>
  </si>
  <si>
    <t>Энергетика, транспорт, инженерный, теплоэнерг</t>
  </si>
  <si>
    <t>Оқу құралы+T5:U8+T5:T6ның бірінші бөлімінде техникалық термодинамиканың негізгі зандары, термодинамикалық процестер және газдар мен булардың ағып шығу мәселелері келтірілген. Сонымен бірге іштен жанатын қозғағыштардың, бу және газтурбиналы қондырғылардың циклдары жөнінде түсініктер берілген. Екінші бөлім стационарлы және стационарлы емес тәртіптегі жылуөткізгіштік заңдарына, конвективті және сәулелі жылуалмасу заңдылықтарына арналған. Үшінші бөлімде жану процестері жөнінде негізгі ақпарлар, қазандық қондырғылар, бу және газ турбиналары, іштен жанатын қозғалтқыштар, тоңазытқыш машиналар, жылу және атом электр станциялары мен кептіру қондырғылары, жылумен жабдықтау және отын энергетикалык ресурстарды пайдалану тиімділігін арттыру мәселелері келтірілген. Көптеген бөлімдерде толық шығарылған есептер көрсетіліп, қалған жаттығулардың жауаптары берілген.Оқу құралының баспадан екінші шығарылымы.</t>
  </si>
  <si>
    <t>00011494</t>
  </si>
  <si>
    <t>978-601-330-348-2</t>
  </si>
  <si>
    <t>Жылутехника 2 том</t>
  </si>
  <si>
    <t>Оқу құралының бірінші бөлімінде техникалық термодинамиканың негізгі зандары, термодинамикалық процестер және газдар мен булардың ағып шығу мәселелері келтірілген. Сонымен бірге іштен жанатын қозғағыштардың, бу және газтурбиналы қондырғылардың циклдары жөнінде түсініктер берілген. Екінші бөлім стационарлы және стационарлы емес тәртіптегі жылуөткізгіштік заңдарына, конвективті және сәулелі жылуалмасу заңдылықтарына арналған. Үшінші бөлімде жану процестері жөнінде негізгі ақпарлар, қазандық қондырғылар, бу және газ турбиналары, іштен жанатын қозғалтқыштар, тоңазытқыш машиналар, жылу және атом электр станциялары мен кептіру қондырғылары, жылумен жабдықтау және отын энергетикалык ресурстарды пайдалану тиімділігін арттыру мәселелері келтірілген. Көптеген бөлімдерде толық шығарылған есептер көрсетіліп, қалған жаттығулардың жауаптары берілген.Оқу құралының баспадан екінші шығарылымы.</t>
  </si>
  <si>
    <t>00011495</t>
  </si>
  <si>
    <t>Шайдоллаева А.Н</t>
  </si>
  <si>
    <t>Қазақстан Республикасының Конституциялық құқығы</t>
  </si>
  <si>
    <t>Право</t>
  </si>
  <si>
    <t>«Қазақстан Республикасының Конституциялық құқығы» атты оқу құралында конституциялық құрылыс негіздері, Қазақстан Республикасына жалпы сипаттама, адам және азаматтың конституциялық құқықтық мәртебесі, Президент туралы негізгі түсініктер, мемлекеттік биліктің тармақтары негізінде Парламент-Үкімет-Сот биліктерінің өзара іс-қимылы, Прокуратура мен Адам құқықтары жөніндегі уәкіл қызметтері, Жергілікті мемлекеттік және өзін-өзі басқару, Сайлау құқығы мен Республикалық референдум туралы сипаттама берілген.Оқу құралы Құқықтану мамандығы бойынша білім алушыларды жаңартылған оқыту жүйесіне байланысты кәсіби модульдерді меңгертуге арналған.</t>
  </si>
  <si>
    <t>00011496</t>
  </si>
  <si>
    <t>978-601-330-456-4</t>
  </si>
  <si>
    <t>Острецова И.Б., Нурмуханбетова Н.Н.</t>
  </si>
  <si>
    <t>Химия лекарственных веществ</t>
  </si>
  <si>
    <t>Химия, Педагогика</t>
  </si>
  <si>
    <t>В учебном пособии рассмотрены основные вопросы химии лекарственных веществ. Отдельные главы посвящены вопросам химии лекарственных соединений неорганической и органической природы. Учебное пособие включает теоретические вопросы курса, задания для практических работ, тестовые вопросы для итогового контроля знаний, глоссарий и рекомендуемую литературу.Предназначено для магистрантов по направлению подготовки 7M015 Подготовка педагогов по естественнонаучным предметам, 7M053 Физические и химические науки, докторантов, преподавателей, а также для всех заинтересованных лиц.</t>
  </si>
  <si>
    <t>00011497</t>
  </si>
  <si>
    <t>Байтуреев А.М., Онлабекова А.Т., Ертаева Ж.А.</t>
  </si>
  <si>
    <t>Инновационный способ процесса сушки поваренной соли в сушильном барабане со смешанным режимом термообработки (СБ-СРТ)</t>
  </si>
  <si>
    <t>В монографии представлены результаты теоретических и опытно-промышленных испытаний процесса сушки поваренной соли, а также приведены пути математического моделирования процесса сушки поваренной соли в сушильном барабане со смешанным режимом термообработки (СБ-СРТ).Книга предназначена для студентов, магистрантов, докторантов и научных сотрудников, занимающихся проблемами процесса сушки в сушильном барабане на основе инновационных методов математического моделирования</t>
  </si>
  <si>
    <t>00011498</t>
  </si>
  <si>
    <t>Бижанова Б.М.</t>
  </si>
  <si>
    <t>Основы предпринимательства</t>
  </si>
  <si>
    <t>Учебное пособие включает курс лекций по дисциплине «Основы предпринимательства», начиная с характеристики различных направлений и школ к определению и сущности предпринимательства. Подробно изложены теоретический и практический материалы для более полного понимания вопросов, касающихся предпринимательства как сферы деятельности.Учебное пособие дополняют в достаточном количестве необходимые таблицы, графики и схемы, наглядно иллюстрирующие изучаемый материал. Для студентов, изучающих дисциплину «Основы предпринимательства», а также для широкого круга читателей, интересующихся вопросами развития предпринимательской деятельности за рубежом и в Казахстане.</t>
  </si>
  <si>
    <t>00011499</t>
  </si>
  <si>
    <t>978-601-330-402-1</t>
  </si>
  <si>
    <t>Ибрагимов Р.І. Абилов А. Бүркіт Ә. Қ. Кулмаганбетова Б. Беркутова А. К</t>
  </si>
  <si>
    <t>Математиканы оқытуда практикалық мазмұнды есептерді шығару әдістемесі 1 бөлім</t>
  </si>
  <si>
    <t>Бұл авторлық бағдарламада математиканы оқытуда практикалық мазмұнды есептерді шығару әдістемесі жайлы құнды мәліметтер келтірілген.</t>
  </si>
  <si>
    <t>00011500</t>
  </si>
  <si>
    <t>978-601-330-520-2</t>
  </si>
  <si>
    <t>Бүркіт Ә. Қ., Салибекова М.Ш., Ділдәбекова Н. Қ.</t>
  </si>
  <si>
    <t>Физика курсын оқытуда оқушыларды ғылыми жоба байқауына дайындау әдістемесі</t>
  </si>
  <si>
    <t>Бұл әдістемелік құралда физика пәнінен ғылыми жоба жұмысына дайындау әдістемесін жетілдіру жайлы құнды мәліметтер келтірілген.</t>
  </si>
  <si>
    <t>00011501</t>
  </si>
  <si>
    <t>978-601-352-555-6</t>
  </si>
  <si>
    <t>Алимов А. А.</t>
  </si>
  <si>
    <t>Оптимизация и гигиеническая оценка микроклимата на объектах ветеринарного надзора</t>
  </si>
  <si>
    <t>В монографии изложены обобщенные литературные данные и результаты многолетних исследований, охватывающие комплекс ветеринарно-санитарных мероприятий в объектах ветеринарного надзора, а также по охране окружающей среды от загрязнений. Описаны методы и устройства для оценки микробной загрязненности воздуха животноводческих помещений. Отражены вопросы оптимизации системы вентиляции ее влияние на санитарно-бактериологические показатели воздуха помещений и резистентность организма животных. Рекомендованы наиболее распространенные методы санитарно-гигиенической оценки микроклимата, способы расчета объемов искусственной вентиляции и теплового баланса животноводческих и птицеводческих помещений, приведены список рекомендуемой литературы, основные термины и приложения.Монография предназначена для руководителей и специалистов агропромышленного комплекса, преподавателей, студентов, магистрантов и PhD-докторантов высших учебных заведений сельскохозяйственного профиля</t>
  </si>
  <si>
    <t>00011502</t>
  </si>
  <si>
    <t>978-601-330-352-9</t>
  </si>
  <si>
    <t>Уксикбаев Е.З., Баялы Ә.Т.</t>
  </si>
  <si>
    <t>Компьютерлік жүйелердің бағдарламалық жасақтамасы</t>
  </si>
  <si>
    <t>Информац технологии</t>
  </si>
  <si>
    <t>«Компьютерлік жүйелердің бағдарламалық жасақтамасы» оқу құралында дербес компьютерлер мен серверлердің түрлері және сәулеті топтастырылған; компьютерлер мен серверлердің құрылғылары, негізгі блоктар, функциялары мен техникалық сипаттамалары; перифериялық құрылғылардың түрлері мен мәні, қосу интерфейсі мен пайдалану ережелері; операциялық жүйенің негізгі компоненттері мен шеткері жабдықтардың драйверлерін орнату және баптау принциптері; аппараттық қамтамасыз етуді жетілдіру әдістемесі; дербес компьютермен, шеткері жабдықтармен және компьютерлік ұйымдастыру техникаларымен жұмыс істеу кезінде орнату, пайдалану бойынша нормативтік құжаттар ұсынылған. Оқу құралында тәжірибелік жұмыстардың анағұрлым саны ұсынылған, олар материалды сапалы игеруге, есептеуіш жүйелерді жаңғырту және оңтайландыру бойынша дағдыларды алуға, қызметтік бағдарламаларды пайдалануға мүмкіндік береді. «Компьютерлік жүйелердің бағдарламалық жасақтамасы» оқу құралы жоғары оқу орындарының «6В06151-Ақпараттық жүйелер» және «6В06182-Компьютерлік инженерия» инженерлік білім беру бағдарламасының білім алушыларына өз бетінше үйренушілерге арналған және Қожа Ахмет Ясауи атындағы Халықаралық қазақ-түрік университетінің басылымдар қолжазбасын рәсімдеу ережесіне сай жазылған.</t>
  </si>
  <si>
    <t>00011503</t>
  </si>
  <si>
    <t>978-601-330-420-5</t>
  </si>
  <si>
    <t>Баимбетова Э.М.</t>
  </si>
  <si>
    <t>Топырақ микроағзаларын құрамдастырылған микробиологиялық тыңайтқыш қоспасын жасауда қолдану</t>
  </si>
  <si>
    <t>Монографияда көп жылдық ғылыми-зерттеу жұмыстары нәтижесінде алынған ауыл шаруашылығы, көмір өндіріс қалдықтарын Солтүстік Қазақстан топырағында таралған антагонист микроағзалармен компост жасау арқылы топырақ құнарлығын жақсартатын, астық өнімділігін арттыратын, дақылдарының саңырауқұлақ ауруларына қарсы қасиетке ие биопрепараттар жасау жолдары қарастырылған.Монография биологтарға, топырақтанушыларға, биотехнологтарға, агрономдарға, өсімдікті қорғау саласындағы мамандарға, сонымен қатар осы бағыттығы білім алушы студенттерге, магистранттарға және докторанттарға арналған.</t>
  </si>
  <si>
    <t>00011505</t>
  </si>
  <si>
    <t>978-601-330-163-1</t>
  </si>
  <si>
    <t>Омаров Т.Ж., Назаров А.Ж., Алайдарова А.А.</t>
  </si>
  <si>
    <t>Сурет</t>
  </si>
  <si>
    <t>Оқу құралында сурет салу жолдары толық қамтылып, мазмұн желісі иллюстрациялармен толықтырылған. Бейнелеу өнерінің негізгі мәселелері теориялық және әдістемелік негіздеме берілген. Көрнекі мысал ретінде түрлі-түсті суреттер көрсетілген. Оқу құралы бейнелеу өнері салаларына қатысты мамандықтарының білім алушыларына арналған.</t>
  </si>
  <si>
    <t>00011506</t>
  </si>
  <si>
    <t>978-601-330-162-4</t>
  </si>
  <si>
    <t>Кескіндеме</t>
  </si>
  <si>
    <t>Осы оқу құралында кескіндеме түрлері: акварель, гуашь, майлы бояумен сурет салу әдістері туралы айтылады. Кескіндеме өнеріне қызығушылық тудыру үшін, олардың даму тарихы мен әдістерінің өздеріне тән ерекшеліктері егжей-тегжейлі баяндалады. Жазылған деректер оқырмандарға түсінікті болу үшін, мысал суреттер келтірілген. Кітап соңында атақты суретшілердің шығармаларынан топтама берілген.Оқу құралы бейнелеу өнері салаларына қатысты мамандықтарының кескіндеме пәндерін игеруге арналған.</t>
  </si>
  <si>
    <t>00011507</t>
  </si>
  <si>
    <t>978-601-330-427-4</t>
  </si>
  <si>
    <t>Батанов С.Д., Старостина О.С., Баймуканов Д.А.</t>
  </si>
  <si>
    <t>Производство продукции животноводства</t>
  </si>
  <si>
    <t>Учебное пособие предназначено для студентов, обучающихся по направлению под-готовки «Технология производства и переработки сельскохозяйственной продукции», «Агрономия (квалификация «бакалавр»), специальности «Ветеринария». Содержит теоре-тический и практический материал по изучению дисциплины «Производство продукции животноводства», вопросы для самостоятельной работы и проверки знаний</t>
  </si>
  <si>
    <t>00011508</t>
  </si>
  <si>
    <t>978-601-330-428-1</t>
  </si>
  <si>
    <t>Акимбеков А.Р., Баймуканов Д. А., Исхан К.Ж., Каргаева М.Т.</t>
  </si>
  <si>
    <t>Основы коневодства</t>
  </si>
  <si>
    <t>В учебнике освещаются: значение коневодства в народном хозяйстве; происхождение, эволюция, одомашнивание и преобразование лошадей; их экстерьер, интерьер и конституция; рабочие качества лошадей и их использование; продуктивное мясное и молочное коневодство; воспроизводство лошадей и табунное их содержание, кормление; конный спорт, породные ресурсы. В конце глав приведены задания и вопросы для самопроверки. Предназначено для студентов высших учебных заведений, обучающихся в магистратуре, аспирантуре и PhD по специальностям: в Республике Казахстан 5M080200 «Технология производства продуктов животноводства» (квалификация (степень) «магистр»), биологических, сельскохозяйственных и технологических факультетов, аспирантов; PhD (доктор философии), преподавателей сельскохозяйственных вузов, научных сотрудников и специалистов животноводства.</t>
  </si>
  <si>
    <t>00011510</t>
  </si>
  <si>
    <t>Кузнецов А.Ф., Тюрин В.Г., Семенов В.Г. Баймуканов Д.А., Сагинбаев А.К., Шамшидин А.С.</t>
  </si>
  <si>
    <t>Общая гигиена в технологии содержания сельскохозяйственных животных» (3 – е издание с дополнениями) 2 том</t>
  </si>
  <si>
    <t>Учебник предназначен для студентов высших учебных заведений Республики Казахстан, обучающихся по специальностям: 6М080200 «Технология производства продуктов животноводства», 6М120100 «Ветеринарная медицина»; 6М120200 «Ветеринарная санитария» (квалификация бакалавр - магистр), биологических, сельскохозяйственных и технологических факультетов, аспирантов; PhD (доктор философии), преподавателей сельскохозяйственных вузов, научных сотрудников и специалистов животноводства. В учебнике представлен материал по общей зоогигиене и влиянии ее на организм сельскохозяйственных животных с учетом современных достижений в области фундаментальной науки и инновационных технологий в АПК.</t>
  </si>
  <si>
    <t>00011511</t>
  </si>
  <si>
    <t>978-601-330-424-3</t>
  </si>
  <si>
    <t>Кузнецов А.Ф., Тюрин В.Г., Семенов В.Г. Баймуканов Д.А., Шамшидин А.С., Исхан К.Ж.</t>
  </si>
  <si>
    <t>Лошадь - разведение, содержание, уход, кормление 1 том</t>
  </si>
  <si>
    <t>Учебник предназначен для студентов высших учебных заведений Рес-публики Казахстан, обучающихся по специальностям: 6М080200 «Техноло-гия производства продуктов животноводства», 6М120100 «Ветеринарная медицина»; 6М120200 «Ветеринарная санитария» (квалификация бакалавр - магистр), PhD (доктор философии), преподавателей сельскохозяй-ственных вузов, научных сотрудников и специалистов животноводства. Учебное пособие содержит материалы по гигиене содержания, уходу и кормлению, разведению и воспроизводству лошадей. Изложены требования при строительстве коневодческих объектах.</t>
  </si>
  <si>
    <t>00011512</t>
  </si>
  <si>
    <t>Лошадь - разведение, содержание, уход, кормление 2 том</t>
  </si>
  <si>
    <t>00011513</t>
  </si>
  <si>
    <t>978-601-330-837-1</t>
  </si>
  <si>
    <t>Базарбеков А.Б., Базарбекова А.А.</t>
  </si>
  <si>
    <t>Жоғары математика -1 (толықтырылып, екінші басылуы)</t>
  </si>
  <si>
    <t>Бұл оқулық жоғарғы оқу орындарында оқылатын «Жоғары математика» пәнінің оқу бағдарламасына сәйкес жазылған. Осы екінші басылымның, баспадан 2017 жылы шыққан бірінші басылымнан негізгі айырмашылығы – онда дәлелдеусіз қабылданған көптеген теоремалар мен тұжырымдардың дәлелдемелері мұнда мүмкіндігінше толық түрде келтірілген. Оқулықта негізгі типтік есептердің шешулері талданған және мұнда аудиторияда, үйде немесе өзіндік жұмыс ретінде қолдануға болатын әртүрлі деңгейдегі тапсырмалар жеткілікті түрде қамтылған. Ұсынылып отырған оқулық жоғарғы оқу орындарында «Жоғары математика» пәні бойынша білім алып жүрген барлық мамандықтардың студенттеріне, сонымен қатар жоғары және орта мектеп мұғалімдеріне арналған.</t>
  </si>
  <si>
    <t>00011514</t>
  </si>
  <si>
    <t>978-601-330-838-8</t>
  </si>
  <si>
    <t>Жоғары математика -2 (толықтырылып, екінші басылуы)</t>
  </si>
  <si>
    <t>00011515</t>
  </si>
  <si>
    <t>978-601-13-0113-8</t>
  </si>
  <si>
    <t>Анықтауыштар теориясы</t>
  </si>
  <si>
    <t>Оқу құралы жоғары оқу орындарында оқылатын «Жоғары математика» пәнінің бағдарламасына сәйкес жазылған.Оқу құралының әрбір параграфында теориялық қағидалар дәлдемесімен келтіріліп және оны жақсы меңгеруге жәрдемдесетін мысалдар мен жаттығулар толық түсіндермесімен шығарылған.Әрбір параграфтың соңында практикалық сабақ өткізу кезінде шығарылатын есептер мен жаттығулар топтамасы жауабымен келтірілген.Оқу құралының соңында студенттердің өзіндік жұмыстарына арналған тапсырмалар топтамасы (әр қайсысы 25 нұсқадан) және емтихандық тест сұрақтары берілген.</t>
  </si>
  <si>
    <t>00011516</t>
  </si>
  <si>
    <t>978-601-330-421-2</t>
  </si>
  <si>
    <t>Далмырзаев С.А.,Қантөре Н.Ә.,Бүркіт Ә.Қ</t>
  </si>
  <si>
    <t>Робот техниканы құрастыруды оқыту әдістемесі 1 том</t>
  </si>
  <si>
    <t>Бұл оқу-әдістемелік құралында робот техниканы құрастыруды оқыту әдістемесі жайлы құнды мәліметтер келтірілген.</t>
  </si>
  <si>
    <t>00011517</t>
  </si>
  <si>
    <t>Робот техниканы құрастыруды оқыту әдістемесі 2 том</t>
  </si>
  <si>
    <t>00011518</t>
  </si>
  <si>
    <t>Робот техниканы құрастыруды оқыту әдістемесі 3 том</t>
  </si>
  <si>
    <t>0001152</t>
  </si>
  <si>
    <t>Байтиленова Е.С.</t>
  </si>
  <si>
    <t>Қоғамтану және өзін-өзі тануды оқыту әдістемесі</t>
  </si>
  <si>
    <t>00011522</t>
  </si>
  <si>
    <t>978-601-330-326-0</t>
  </si>
  <si>
    <t>Мырзаева У.А., Баишева Е.Д.</t>
  </si>
  <si>
    <t>Басқаруды талдау</t>
  </si>
  <si>
    <t>«Басқаруды талдау» оқу құралы АССА бойынша «Есеп және аудит» 
 мамандығының студенттеріне арналған және жоғары кәсіптік білімнің мемлекеттік стандартының талаптарына сәйкес дайындалған.Оқу құралының мазмұны теориялық бөлімнен, типтік есептерді шығару және аналитикалық көрсеткіштерді түсіндіру мысалдарынан, практикалық және өзіндік жұмыстарға арналған әдістемелік нұсқаулықтар мен тапсырмалардан, теориялық және практикалық сұрақтардан, өзін-өзі бақылауға арналған тест сұрақтарынан және глоссарийден тұрады.</t>
  </si>
  <si>
    <t>00011524</t>
  </si>
  <si>
    <t>Избранные дидактические произведения. IX том, часть 1. 2-е изд., перераб. и доп</t>
  </si>
  <si>
    <t>В девятом томе избранных произведений, состоящем из 4-х частей, пуб-ликуется последняя прижизненная двухтомная книга В.К.Дьяченко «Дидакти-ка», изданная в 2006 году, в которой автор излагает систематический курс дидактики как науки об обучении и образовании.Адресуется обучающимся педагогических вузов и колледжей, работникам сферы образования и науки</t>
  </si>
  <si>
    <t>00011525</t>
  </si>
  <si>
    <t>Избранные дидактические произведения. IX том, часть 2. 2-е изд., перераб. и доп</t>
  </si>
  <si>
    <t>00011527</t>
  </si>
  <si>
    <t>Избранные дидактические произведения. VI том, книга 1. Часть 1. 2-е изд., перераб. и доп</t>
  </si>
  <si>
    <t>В первой книге шестого тома избранных произведений, состоящей из двух частей, вошел один из дидактических бестселлеров, подводящий ито-ги более чем полувековой научно-исследовательской и практической дея-тельности В.К.Дьяченко, «Новая дидактика», вышедший в 2001 году в из-дательстве «Народное образование».Адресуется обучающимся педагогических вузов и колледжей, работни-кам сферы образования и науки.</t>
  </si>
  <si>
    <t>00011528</t>
  </si>
  <si>
    <t>Избранные дидактические произведения. VI том, книга 1. Часть 2. 2-е изд., перераб. и доп</t>
  </si>
  <si>
    <t>В первой книге шестого тома избранных произведений, состоящей из двух частей, вошел один из дидактических бестселлеров, подводящий ито-ги более чем полувековой научно-исследовательской и практической дея-тельности В.К.Дьяченко, «Новая дидактика», вышедший в 2001 году в из-дательстве «Народное образование».Адресуется обучающимся педагогических вузов и колледжей, работни-кам сферы образования и науки</t>
  </si>
  <si>
    <t>00011529</t>
  </si>
  <si>
    <t>Избранные дидактические произведения. VI том, книга 2. 2-е изд., перераб. и доп</t>
  </si>
  <si>
    <t>Во вторую книгу шестого тома собрания произведений включено изда-ние «Коллективный способ обучения. Дидактика в диалогах», опублико-ванное издательством «Народное образование» при участии Главного управления администрации Красноярского края и Красноярского краевого института повышения квалификации работников образования в 2004 году.Адресуется обучающимся педагогических вузов и колледжей, работни-кам сферы образования и науки</t>
  </si>
  <si>
    <t>00011530</t>
  </si>
  <si>
    <t>Избранные дидактические произведения. VI том, книга 3. 2-е изд., перераб. и доп</t>
  </si>
  <si>
    <t>Третья книга шестого тома представлена произведениями «Как созда-ются педагогические мифы» (2005), «О дидактике как науке и реформиро-вании системы образования» (2006) и «Наука об обучении и образователь-ные технологии» (2007), которые издавались при жизни автора вышли не-большими тиражами. Адресуется обучающимся педагогических вузов и колледжей, работни-кам сферы образования и науки</t>
  </si>
  <si>
    <t>00011531</t>
  </si>
  <si>
    <t>Избранные дидактические произведения. V том, книга 2. 2-е изд., перераб. и доп</t>
  </si>
  <si>
    <t>Во второй книге пятого тома представлен второй вариант монографии «Развивающее обучение и новейшая педагогическая технология» (1999), где дается подробный и критический анализ концепции развивающего обу-чения, раскрываются пути его реализации в условиях КСО. Адресуется обучающимся педагогических вузов и колледжей, работни-кам сферы образования и науки.</t>
  </si>
  <si>
    <t>00011532</t>
  </si>
  <si>
    <t>Избранные дидактические произведения. V том, книга 3. Часть 1. 2-е изд., перераб. и доп</t>
  </si>
  <si>
    <t>В третьей книге пятого тома «Реформирование школы и образовательные технологии» (1999), изданной под эгидой Сибирского отделения Российской академии образования, дается анализ образовательных технологий ГСО, де-монстрируется опыт освоения педагогической технологии КСО на конкрет-ных примерах из практики инновационных площадок гг. Красноярска и края, Новокузнецка, Тюменской области, других регионов России.Адресуется обучающимся педагогических вузов и колледжей, работникам сферы образования и науки.</t>
  </si>
  <si>
    <t>00011533</t>
  </si>
  <si>
    <t>Избранные дидактические произведения. V том, книга 3. Часть 2. 2-е изд., перераб. и доп</t>
  </si>
  <si>
    <t>В третьей книге пятого тома «Реформирование школы и образовательные технологии» (1999), изданной под эгидой Сибирского отделения Российской академии образования, дается анализ образовательных технологий ГСО, де-монстрируется опыт освоения педагогической технологии КСО на конкрет-ных примерах из практики инновационных площадок гг. Красноярска и края, Новокузнецка, Тюменской области, других регионов России.Адресуется обучающимся педагогических вузов и колледжей, работникам сферы образования и науки</t>
  </si>
  <si>
    <t>00011534</t>
  </si>
  <si>
    <t>978-601-330-466-3</t>
  </si>
  <si>
    <t>Қаныбеков А. (Каныбеков А.)</t>
  </si>
  <si>
    <t>Дәрігердің жазбалары</t>
  </si>
  <si>
    <t>Ұсынылып отырған шығармада автор өзінің қысқаша өмірбаяны, жоғарғы медициналық оқу орнын қалай түсіп және бітіргендігі, сонымен қатар жиырма бес жыл емдеу мекемелерінде, соңғы отыз жылдан астам уақыт медициналық универнситетте оқытушылық қызмет атқарғандығы және студенттерге білім беру уақытында қандай қарым-қатынаста болғандығы туралы баяндайды. Сонымен қатар, шығармада біршама, әртүрлі, жиі кездесетін хирургиялық патологияларда орта буынды медициналық қызметкерлердің шұғыл түрде алғашқы медициналық жәрдем көрсету туралы алгоритмдер берілген.Шығарма болашақ медицина қызметкерлеріне және қазіргі уақытта жаңадан тәжірибе жинақтап жүрген дәрігерлер мен орта буынды медицина қызметкерлеріне арналған</t>
  </si>
  <si>
    <t>00011535</t>
  </si>
  <si>
    <t>Құрамысов Е.А., Мұқанов М.Ө., Қаныбеков А.</t>
  </si>
  <si>
    <t>Хирургиялық диагностикалық және емдік шаралар</t>
  </si>
  <si>
    <t>жалпы хирургия</t>
  </si>
  <si>
    <t>Жалпы үлкен хирургия күнделікті жасалынатын шараларды үйренуден басталады. Хирургияға қадам басқан әрбір жас дәрігер көптеген шараларды жете меңгеріп алуға тиіс. Қазіргі ұсынылып отырған оқу-әдістемелік құралда күнделікті және жедел түрде жиі қолданылатын негізгі диагностикалық және емдік шаралар жазылған және суреттер түрінде көрсетілген. Шараны қай уақытта орындау керектігі, одан пайда болатын кейбір асқынулар жазылған. Оқу-әдістемелік құралда асқазан-ішек жүйесіне анастамоздарын және ішкі ағза қуыстарының (жүрек, қантамыр, өкпе,бауыр, бүйрек, қуық, т.б.) жарақаттарын тігудің әдістері көрсетілген.Толықтырылып екінші басылуына эндоскопиялық тексерістік әдістер енгізілді. Себебі, қазіргі уақытта медициналық тәжірибеде эндоскопиялық әдістер кеңінен қолданылатындығы ескерілді. Оқу-әдістемелік құрал медициналық оқу орындарының үшінші және бесінші курс студенттеріне, дәрігер-интерндерге, машықтану-шы хирургтерге арналған, сонымен бірге медицина колледжінің студенттерінің пайдалануларына да болады</t>
  </si>
  <si>
    <t>00011536</t>
  </si>
  <si>
    <t>Избранные дидактические произведения. І-том, книга 1. 2-е изд., перераб. и доп</t>
  </si>
  <si>
    <t>В первой книге первого тома собрания произведений раскрываются биографические факты из жизни и деятельности академика В.К.Дьяченко, наиболее полный список его научных и методических трудов, художе-ственных произведений, где он выступает прототипом главных героев, предлагается первая официально опубликованная издательством Красно-ярского государственного университета книга «Общие формы организации процесса обучения: Актуальные проблемы теории и практики обучения» (1984).Адресуется обучающимся педагогических вузов и колледжей, работни-кам сферы образования и науки.</t>
  </si>
  <si>
    <t>00011537</t>
  </si>
  <si>
    <t>Избранные дидактические произведения. І-том, книга 2. 2-е изд., перераб. и доп</t>
  </si>
  <si>
    <t>Во второй книге первого тома собрания произведений предлагается первая опубликованная всесоюзным издательством «Педагогика» моно-графия «Организационная структура учебного процесса и ее развитие» (1989). Адресуется обучающимся педагогических вузов и колледжей, работни-кам сферы образования и науки.</t>
  </si>
  <si>
    <t>00011538</t>
  </si>
  <si>
    <t>978-601-330-383-3</t>
  </si>
  <si>
    <t>Ячменев В.М., Каныбеков А., Каныбекова А.</t>
  </si>
  <si>
    <t>Неотложная доврачебная помощь</t>
  </si>
  <si>
    <t>Общая медицина, педиатрия</t>
  </si>
  <si>
    <t>В книге изложены данные о неотложных состояниях, вызванных острыми заболеваниями, несчастными случаями, травмами и отравлениями, при беременности и родах. Дается краткое определение неотложных состояний, их признаки и симптомы, первая помощь и тактика медицинских работников при оказании неотложной медицинской помощи.Текст отдельных разделов сопровождается рисунками. Приводится перечень основных медикаментов, необходимых для оказания неотложной медицинской помощи. Книга написана согласно международным стандартам и в соответствии с программой, утвержденной Министерством здравоохранения Республики Казахстан для студентов медицинских колледж. Книга предназначена для студентов медицинских училищ и колледжей, а также рекомендуется для студентов медицинских вузов при прохождении практики по неотложной терапии</t>
  </si>
  <si>
    <t>00011539</t>
  </si>
  <si>
    <t>978-601-330-391-8</t>
  </si>
  <si>
    <t>Қаныбеков А. / Каныбеков А.</t>
  </si>
  <si>
    <t>Хирургиялық патологияда жедел көмек көрсету</t>
  </si>
  <si>
    <t>Оқулықта хирургиялық патологиялардың анықтамалары, жікте-лулері, клиникасы, біріншілік және жедел көмек көрсетудің әдіс-темелері баяндалған. Оқулық қазіргі уақыттағы талаптарға сәйкес-тендіріліп жазылған және медициналық колледждердің фельдшерлік бөлімінің студенттеріне, сонымен бірге бұл оқулықты жоғарғы медициналық оқу орындарының бакалавриаттары оқулық ретінде пайдалануларына болады</t>
  </si>
  <si>
    <t>0001154</t>
  </si>
  <si>
    <t>Байтиленова Е.С., Байтиленова Д.С.</t>
  </si>
  <si>
    <t>Стратегиялық менеджмент</t>
  </si>
  <si>
    <t>Государственное и местное управление</t>
  </si>
  <si>
    <t>Оқу құралында басқару тәжірибесінде қолдануға көмегін беретін стратегиялық менеджменттің концепциялары қарастырылған. Ұйымдастырылған стратегияны жүзеге асыру және оларды жобалау жолдары мен міндеттері, негізгі бағыттар, ұйымның құлдырауға қарсы стратегиялары талданады, ұйымдардағы пайдасыз және стратегиялық басқару, ұйымдастырылған ортаны құрайтын стейкхолдер теориясының негізгі жағдайлары, стратегияны жүзеге асыру әдістері мен қағидалары келтірілген. Нақты жағдайлар мысалдарында стратегиялық мәселелер және стратегиялық басқарудағы тәжірибелік дағдылар талдауы көрсетілген.
 Басқару мамандықтары бойынша оқитын, ЖОО-ның «5В050700-Менеджмент», «5В051000-Мемлекеттік және жергілікті басқару» мамандықтары бойынша студенттеріне және магистранттарға арналған.</t>
  </si>
  <si>
    <t>00011540</t>
  </si>
  <si>
    <t>978-601-330-395-6</t>
  </si>
  <si>
    <t>Жұмабеков Ә.Т., Қаныбеков А., Қаныбекова А.</t>
  </si>
  <si>
    <t>Шұғыл түрдегі алғашқы хирургиялық көмек</t>
  </si>
  <si>
    <t>Оқу әдістемелік құрал шұғыл түрде орындалатын біріншілік медициналық іс шаралардың орындалу ережелері мен алгоритмдері «Хирургия» пәніне байланысты «Жалпы медицина» және «Мейір-бике ісі» мамандықтарын игеріп жүрген келешек бакалавриаттардың оқу бағдарламасына сәйкестендірілген. Сонымен бірге, оқулықты орта буынды медицина қызметкерлерінің күнделікті жұмыстарында және шұғыл қызмет көрсету уақытында пайдалануларына болады</t>
  </si>
  <si>
    <t>00011541</t>
  </si>
  <si>
    <t>Дьяченко В.К., Кусаинов Г.М.</t>
  </si>
  <si>
    <t>Педагогиканың мифтері, аңыздар мен ертегілері. 2-е изд., перераб. и доп</t>
  </si>
  <si>
    <t>Оқу құралында кеңестік, кейіннен ресей педагогикасының теоретиктерімен мифологияға ие болған тұтас сыныптық-сабақтық жүйесі, оқытудың жалпы алғандағы формасы мен әдістері, соның ішінде сабақ оқытудың негізгі формасы ретінде, дидактиканың өзекті мәселелері алғаш рет қарастырылып отыр. Түрлі келешегі жоқ тұжырымдамаларды реформалау және тірексіз мектепті жаңғырту бойынша дидактикаға оқытудың ғылымы ретінде көп көңіл бөледі. Ескертетін жәйт: ұсынып отырған кітап екінші рет жарық көріп отыр, бірақ өкінішке орай бірінші басылымда болған жағдай неше түрлі реформалар өткізгенімен, не дидактикада, не білім саласында ештене өзгерген жоқ. Оқу құралы жоғарғы оқу орындары мен колледж оқушыларына, педагогикалық жұмыскерлер мен білім беру ұйымдарының жетекшілеріне, біліктілікті арттыру жүйесінің тыңдармандарына арналған</t>
  </si>
  <si>
    <t>00011542</t>
  </si>
  <si>
    <t>978-601-330-594-3</t>
  </si>
  <si>
    <t>Уразалиева М.А., Исаметова К.И.</t>
  </si>
  <si>
    <t>Синтезаторға арналған мектеп әндері</t>
  </si>
  <si>
    <t>Искусство, Музыка</t>
  </si>
  <si>
    <t>ҚР жалпы білім беретін мектептер алдында, соның ішінде музыка өнеріне оқыту мен тәрбие жүйесінің заманауи талаптары қойылып отыр.Соңғы жылдары сабақ жүйесіне біртіндеп музыкалық аспаптардың бірі – синтезатор еніп келеді. Синтезатор аспабының музыкалық педагогикалық үрдісте мүмкіншілігі мол. Қолайлы тәсілдерді қолдану арқылы мектеп репертуарына енген әндерді орындау жолдары ұсынылып отыр. Әдістемелік құрал музыкалық білім мамандығы студенттеріне, музыка ұстаздарына арналған</t>
  </si>
  <si>
    <t>00011543</t>
  </si>
  <si>
    <t>Құрамысов Е.А., Баймухамбетов Ж.Ж., Қаныбеков А.</t>
  </si>
  <si>
    <t>Жалпы хирургия</t>
  </si>
  <si>
    <t>Ұсынылып отырған оқулықтың мазмұны қазіргі таңдағы жалпы хирургия сұрақтарының негіздеріне сүйене отырып құрастырылған. Дәрістік материалдар қысқаша түрде студенттердің жеңіл түрде игерулеріне ыңғайластырылып жазылып, диагностикалық және емдік нұсқаулар халықаралық стандарттарға негізделген. «Жалпы хирургия» оқулығы жоғары білім беру универсиеттері мен колледждердің студенттеріне, сонымен бірге дәрігерлерге, медициналық білімін жетілдіру универ-ситеттерінің тыңдаушыларына арналған</t>
  </si>
  <si>
    <t>00011544</t>
  </si>
  <si>
    <t>978-601-330-393-2</t>
  </si>
  <si>
    <t>Орынбасарова К.К., Ибрагимова З.Е., Оразбеков Е.Қ.</t>
  </si>
  <si>
    <t>Фармакогнозия пәнінің зертханалық – тәжірибелік сабақтарына арналған қолданба 1 бөлім</t>
  </si>
  <si>
    <t>Фармакология</t>
  </si>
  <si>
    <t>Ұсынылып отырған оқу құралы осы пән бойынша бекітілген білім беру бағдарламасына сәйкес жазылған және медициналық жоғарғы оқу орындарының фармация факультетінің студенттеріне, магистранттарға, медициналық колледж білім алушыларына арналған оқу құралы ретінде ұсынылады. Оқу құралында техника қауіпсіздік ережелері, дәрілік өсімдік шикізаттарының сандық көрсеткіштері, дәрілік өсімдік шикізаттарының құрамындағы биологиялық белсенді заттарға сапалық және сандық талдау әдістері енгізілген.</t>
  </si>
  <si>
    <t>00011545</t>
  </si>
  <si>
    <t>978-601-330-394-9</t>
  </si>
  <si>
    <t>Фармакогнозия пәнінің зертханалық – тәжірибелік сабақтарына арналған қолданба 2 бөлім</t>
  </si>
  <si>
    <t>00011546</t>
  </si>
  <si>
    <t>978-601-330-308-6</t>
  </si>
  <si>
    <t>Кенжебаев Ж.А., Еримбетов Т.А., Урустамбеков А.А., Қасымбеков А.Б., Шаймерденов Б.А., Кульманов С.Д., Амалбеков О.Р., Алайдар Д.Б.</t>
  </si>
  <si>
    <t>Арнайы өңдеу құралдары және оларды қолдану</t>
  </si>
  <si>
    <t>Оқу-әдістемелік құралда арнайы өңдеу құралдарының арналуы, құрылысы, тактикалық-техникалық сипаттамалары және олармен әр түрлі жағдайда жұмыс істеу реттері көрсетілген.  Оқу-әдістемелік құралды дайындау барысында Интернет желісіндегі арнайы өңдеу құралдары туралы ақпараттар қолданылды.
Оқу-әдістемелік құрал жоғары әскери оқу орындарының курсанттарына, жоғары оқу орны жанындағы әскери кафедралар студенттеріне, Қазақстан Республикасы Қарулы Күштері, басқа да әскерлері мен әскери құралымдарының офицерлеріне, сержанттарына және сарбаздарына арналған.</t>
  </si>
  <si>
    <t>00011547</t>
  </si>
  <si>
    <t>978-601-13-0349-1</t>
  </si>
  <si>
    <t>Бекембаева Г.С., Ташпулатова Ф.К.</t>
  </si>
  <si>
    <t>Туберкулез ротовой полости: диагностика, профилактика, лечение</t>
  </si>
  <si>
    <t>Данное учебное пособие разработано для студентов медицинских вузов, колледжей, медицинских училищ стоматологического факультета по фтизиатрии, обучающихся на казахском, английском или русском языках. Автором освещены основные клинические формы туберкулеза ротовой полости, их развитие, течение и возможные исходы заболевания, В учебном материале, в рамках требований медицинского университета освещена постановка ранней диагностики туберкулеза ротовой полости, лечение и его профилактика. Актуализированы детали деятельности специалистов стоматологического профиля по предотвращению запущенных форм туберкулеза среди населения Казахстана, это позволит будущим врачам иметь настороженность по заболеванию. В Учебном пособии представлены данные о лечении и диспансерном наблюдении за больными туберкулезом, согласно действующего Приказа МЗ РК №214 от 2020г.</t>
  </si>
  <si>
    <t>00011548</t>
  </si>
  <si>
    <t>978-601-13-0577-8</t>
  </si>
  <si>
    <t>Бекембаева Г.С., Чункаева Д.Д.</t>
  </si>
  <si>
    <t>Ауыз қуысы туберкулезі: диагностикасы, профилактикасы, емі</t>
  </si>
  <si>
    <t>Осы оқу құралы медициналық жоғары оқу орындарының, колледждердің стоматология факультетінің қазақ, ағылшын және орыс тілдерінде оқитын студенттеріне фтизиатрия пәнін оқыту үшін әзірленген. Автор ауыз қуысы туберкулезінің негізгі клиникалық түрлерін, олардың дамуын, аурудың ағымы мен ықтималды нәтижелерін баяндап келтірген. Оқу құралында тұрғындар арасында туберкулездің алдын алу тұрғысында стоматологиялық бейіндегі мамандардың сан қырлы қызметі туралы мәселелер сипатталған, бұл болашақ дәрігерлерге ауру жөнінде білімін толықтыруға мүмкіндік береді. Оқу құралында Қазақстанда қолданыс тапқан туберкулезбен ауыратын науқастарды емдеу сызбанұсқалары мен диспансерлік бақылау топтарына жүргізілетін практикалық машықтану тәжірибелері ұсынылған.</t>
  </si>
  <si>
    <t>00011549</t>
  </si>
  <si>
    <t>Bekembayeva G. S. / Бекембаева Г.С.</t>
  </si>
  <si>
    <t>Oral tuberculosis: diagnosis, prevention, treatment</t>
  </si>
  <si>
    <t>This tutorial was developed for students of the dental faculty of medical universities, and colleges in Phthisiology for students studying in Kazakh, English, and Russian. The author highlighted the main clinical forms of oral tuberculosis, their development, course, and possible outcomes of the disease. In the training manual, within the framework of the requirements of the Higher Medical School, the issues of early diagnosis of oral tuberculosis, treatment, and prevention are outlined. The issues of multifaceted activities of dental specialists to prevent tuberculosis among the population are covered, and this will allow future doctors to be wary of the disease. The Tutorial presents the treatment regimens and clinical observation groups for patients with tuberculosis, adopted in Kazakhstan.</t>
  </si>
  <si>
    <t>0001155</t>
  </si>
  <si>
    <t>Байтиленова Е.С..</t>
  </si>
  <si>
    <t>Логистика (каз)</t>
  </si>
  <si>
    <t>00011550</t>
  </si>
  <si>
    <t>978-601-330-384-0</t>
  </si>
  <si>
    <t>Лекеров Е.Б, Карабалина Ж.Ж. Казагачев В.Н.</t>
  </si>
  <si>
    <t>Финансовый анализ</t>
  </si>
  <si>
    <t>Финансовый анализ – это изучение основных показателей финансового состояния и финансовых результатов деятельности организации с целью принятия заинтересованными лицами управленческих, инвестиционных и прочих решений. Финансовый анализ является частью более широких терминов: анализ финансово-хозяйственной деятельности предприятия и экономический анализ. Финансовый анализ предприятия позволяет: выявить её сильные и слабые стороны; увеличить эффективность; спрогнозировать будущие результаты деятельности; предвидеть последствия от стратегических решений; оценить действия маркетинговой программы; влияние от расширения производства на будущее финансового состояния. Учебное пособие предназначено для студентов специальностей «5В050900 – Финансы», «5В050800 – Учет и аудит», «6В04102 – Менеджмент».</t>
  </si>
  <si>
    <t>00011551</t>
  </si>
  <si>
    <t>978-601-330-387-1</t>
  </si>
  <si>
    <t>Финансы, Учет и аудит, Менеджмент</t>
  </si>
  <si>
    <t>Python является простым и, в то же время, мощным интерпретируемым объектно-ориентированным языком программирования. Пособие предназначено для изучение основных конструкций языка Python, которые пригодятся при решении широкого круга задач – от анализа данных до разработки новых программных продуктов. В результате освоения – научатся обрабатывать и хранить числа, тексты и их наборы, освоят стандартную библиотеку языка Python и смогут автоматизировать задания по сбору и обработке данных. Учебное пособие предназначено для студентов специальности/образовательной программы «5В050900 – Финансы», «5В050800 – Учет и аудит», «6В04102 – Менеджмент», изучающих дисциплдину «Статистика».</t>
  </si>
  <si>
    <t>00011552</t>
  </si>
  <si>
    <t>Айталиев Е.С., Есбосынов К.Т., Казагачев В.Н.</t>
  </si>
  <si>
    <t>Механика жидкости, газа и гидро-пневмопривод машин</t>
  </si>
  <si>
    <t>Методические указания для практических работ</t>
  </si>
  <si>
    <t>Транспорт, транспортная техника</t>
  </si>
  <si>
    <t>Методические указания для практических работ по дисциплине «Механика жидкости, газа и гидро-пневмопривод машин» для студентов дневной формы обучения специальности 6В07101 - «Транспорт, транспортная техника и технологии». Целью методических указаний является оказание помощи студентам при подготовке к практическим работам, выполнении экспериментальных исследований, обработке их результатов и оформлении отчета.</t>
  </si>
  <si>
    <t>00011553</t>
  </si>
  <si>
    <t>978-601-330-575-2</t>
  </si>
  <si>
    <t>Пиримжаров М.Х., Кобланов К.Р., Казагачев В.Н.</t>
  </si>
  <si>
    <t>Сәулеттік дизайн нысандарын жобалау</t>
  </si>
  <si>
    <t>Оқу методикалық құралы</t>
  </si>
  <si>
    <t>Оқу методикалық құралы жоғары оқу орындары 6В02111 - «Дизайн» мамандығы студенттері мен оқытушыларына және болашақ дизайнердің графикалық білімін қалыптастыруға, дизайн мамандығының ғылыми қызметкерлерге және жоғары мектеппен орта кәсіптік білім берудің педагог қызметкерлеріне арналған.</t>
  </si>
  <si>
    <t>00011554</t>
  </si>
  <si>
    <t>Сатиева К.Р., Нуржанова К.Х., Ахметова Б.С., Құрманғали Л.С.</t>
  </si>
  <si>
    <t>Жануарлар биологиясы</t>
  </si>
  <si>
    <t>«Жануарлар биологиясы» атты оқу құралында аңдар мен құстардың биологиясы, систематика негіздері және экологиясы баяндалған. Жануарлардың орман биоценоздарындағы функционалды рөлі, олардың практикалық маңызы көрсетілген. Курсының бөлімдерін қамти отырып, жинақтаған материалдары әрбір студентке өз беттерімен оқуға мүмкіндік береді.</t>
  </si>
  <si>
    <t>00011555</t>
  </si>
  <si>
    <t>978-601-330-392-5</t>
  </si>
  <si>
    <t>Руководство к лабораторно-практическим занятиям по химии природных лекарственных соединений</t>
  </si>
  <si>
    <t>Учебное пособие подготовлено в соответствии с утвержденной образовательной программой по данной дисциплине и рекомендовано к использованию в учебном процессе студентам по образовательной программе «Технология фармацевтического производства». При проведении товароведческого анализа лекарственного растительного сырья обучающиеся овладеют методами, позволяющими точно определить его подлинность и у авторапригодность. В учебном пособии представлены все основные классы, классификация, физико-химические свойства природных соединений в составе лекарственного растительного сырья, способы получения и количественного определения экстрактивных веществ, природные источники, правила хранения. Рассмотрены пути выделения биологически активных веществ из природного лекарственного растительного сырья.</t>
  </si>
  <si>
    <t>00011556</t>
  </si>
  <si>
    <t>Мед/Тех</t>
  </si>
  <si>
    <t>978-601-330-390-1</t>
  </si>
  <si>
    <t>Кабиева С.К., Жаслан Р.К.</t>
  </si>
  <si>
    <t>Коллоидтық химия негіздері</t>
  </si>
  <si>
    <t>Осы оқу құралында коллоидтық химияның негізгі ұғымдары, дисперсті жүйелер туралы жалпы түсініктер, оларды алу мен тазарту әдістері, молекулалық-кинетикалық, оптикалық және т.б. қасиеттері келтірілген. Оқу құралы техникалық жоғары оқу орындарының студенттеріне және химиялық және технологиялық факультеттер мамандықтарында білім алатын студенттерге арналған.</t>
  </si>
  <si>
    <t>00011557</t>
  </si>
  <si>
    <t>978-601-330-389-5</t>
  </si>
  <si>
    <t>Кабиева С.К. , Абдрасилов Б.С., Жаслан Р.Қ.</t>
  </si>
  <si>
    <t>Витаминделген кешенді гуминді қосылыстардың биологиялық белсенділігін зерттеу</t>
  </si>
  <si>
    <t>Монографияда гуминді қосылыстар химиясы саласындағы зерттеулердің қазіргі жағдайы мен даму перспективалары жинақталған, қоңыр көмірден гуматтарды алу әдістемесі және оларды әр түрлі витаминдермен модификациялау мүмкіндіктері, СТА вольтамперометрлік кешенінде гуминді қосылыстардағы витаминдердің концентрациясын анықтау әдістемесі, модификацияланған аскорбин қышқылы мен В1 витамині бар гуминді қосылыстардың тұқымның өнуіне әсерін зерттеуге бағытталған тәжірибелер көрсетілген. Монография табиғи қосылыстар химиясы, органикалық химия, медицина және фармакология саласында оқитын студенттердің, магистранттардың және ғылыми қызметкерлердің кең ауқымына пайдалы болады.</t>
  </si>
  <si>
    <t>00011558</t>
  </si>
  <si>
    <t>978-601-13-0469-6</t>
  </si>
  <si>
    <t>Антология коллективного обучения. Выпуск 2, часть 1. (2-е изд., перераб. и доп.)</t>
  </si>
  <si>
    <t>В первой части второго выпуска раскрывается уникальный опыт якутских педагогов по освоению педагогической технологии КСО «по горизонтали» и «по вертикали».Адресуется работникам сферы образования и науки, обучающимся гума-нитарных колледжей, педагогических вузов и университетов</t>
  </si>
  <si>
    <t>00011559</t>
  </si>
  <si>
    <t>Антология коллективного обучения. Выпуск 2, часть 2. (2-е изд., перераб. и доп.)</t>
  </si>
  <si>
    <t>В первой главе части 2 второго выпуска раскрываются вопросы эт-нодидктики и этнопедагогизации учебно-воспитательного процесса, освоения педагогической технологии коллективного взаимообучения в школьной практике.Во второй главе рассматриваются проблемы этнодидактической подготовки и переподготовки учителей. Адресуется работникам сферы образования и науки, обучающимся гуманитарных колледжей, педагогических вузов и университетов</t>
  </si>
  <si>
    <t>00011560</t>
  </si>
  <si>
    <t>Ибрагимова С.В., Сарсенбаева Г.А.</t>
  </si>
  <si>
    <t>Электр тораптары мен жүйелері</t>
  </si>
  <si>
    <t>Энергетика, электр</t>
  </si>
  <si>
    <t>Оқу құралында «Электр тораптары және жүйелері» пәні бойынша оқытылатын мәселелер қарастырылған. Теориялық материалдар "Электр энергетика" білім беру бағдарламасы бойынша оқитын студенттерге арналған оқытылатын курстың тақырыптарын қамтиды: электр тораптардың элементтері мен құрылысы; эквивалентті тізбектер және электр тораптар мен күштік трансформаторлардың параметрлері; тораптардағы элементтер мен кернеудің шығынын анықтау; тұйықталмаған және тұйықталған электр тораптарын есептеудің тәжірибелік әдістері. Теориялық материал есептеулердің мысалдарымен бірге жүреді. Қосымшада өндірістік аймақтың электр тораптарын жобалау үшін жеке тапсырманы орындау үшін қажетті анықтамалық мәліметтер бар. Техникалық мамандықтардың студенттеріне, сонымен қатар колледждердің, университеттердің оқытушыларына және электр энергетикасы саласында жұмыс істейтін мамандарға арналған.</t>
  </si>
  <si>
    <t>00011561</t>
  </si>
  <si>
    <t>978-601-330-323-9</t>
  </si>
  <si>
    <t>Сабитов Е.Е.</t>
  </si>
  <si>
    <t>Технология прессования мелкоразмерных пазогребневых бетонных блоков</t>
  </si>
  <si>
    <t>Архитект. строительство</t>
  </si>
  <si>
    <t>В монографии представлены результаты исследований и разработаная технология по производству пазогребневых бетонных блоков. Большое внимание в работе уделено исследованиям связанные с определением рациональных режимов прессования мелкоразмерных пустотелых пазогребневых блоков повышенной точности; подбором составов бетонных смесей из мелкозернистых местных заполнителей и промышленных отходов; выявлением принципов проектирования технологического оборудования и схем организации производств разной мощности, обеспечивающих получение высококачественных изделий при сокращении их себестоимости и энергозатрат. Предназначена для специалистов, работающих в производстве строительных изделий прессованием, а также докторантам и магистрантам Высших учебных заведений по направлению производства строительных материалов, изделий и конструкций</t>
  </si>
  <si>
    <t>00011562</t>
  </si>
  <si>
    <t>Kulataev B., Sirgebayeva S. (Кулатаев Б.)</t>
  </si>
  <si>
    <t>Modern production technology of sheep products I Volume</t>
  </si>
  <si>
    <t>В учебном пособии обобщен теоретический и экспериментальный материал и исследования по породообразованию в овцеводстве, современным технологиям производства продукции овцеводства, ведению и малой механизации производственных процессов. Подробно рассмотрены перспективы дальнейшего развития овцеводства. Учебное пособие предназначено для докторантов PhD по специальности "Технология производства животноводческой продукции".</t>
  </si>
  <si>
    <t>00011563</t>
  </si>
  <si>
    <t>Modern production technology of sheep products II Volume</t>
  </si>
  <si>
    <t>00011564</t>
  </si>
  <si>
    <t>Minbayev B.O. / Минбаев Б.О.</t>
  </si>
  <si>
    <t xml:space="preserve">Biological activity of Schiff bases and its derivatives </t>
  </si>
  <si>
    <t>Фармация, химия, биология</t>
  </si>
  <si>
    <t>В монографии представлен обзор по синтезу и изучению биологической активности молекул, синтезированных в основном путем конденсации карбонильных соединений с первичными аминами с последующим получением соответствующих их производных – комплексов с металлами. Появление монографии “Biological activities of Schiff bases and its derivatives” Минбаева Б.О. с систематизированными данными по биологической активности шиффовых оснований на английском языке является весьма актуальным и своевременным. Эта хорошо написанная и оформленная книга дает читателю широкое введение в эту популярную и важную область органических соединений с двойной связью углерод-азот, часто встречающихся в литературе под названиями «Основания Шиффа», «Азометины», «Анилы», «Альдимины», «Кетимины», «Имины» к которой в последние годы намети-лась тенденция  существенного возрастания интереса исследователей, работающих в области синтеза и дизайна(конструирования) биологически активных веществ. Книга состоит из 7 разделов. В первом разделе «Антибактериальная и противогрибковая активность оснований Шиффа и их металлокомплексов» представлены данные о синтезах оснований Шиффа, их металлокомплексов, а также испытаниях синтезированных соединений на активность против бактериальных и грибковых штаммов. Второй раздел посвящен синтезу и изучению антиоксидантной активности синтезированных соединений. В следующих пяти разделах приводятся данные синтеза и результаты проведенных исследований противовоспалительной, противосудорожной, противораковой и противоопухолевой, обезболивающей и противотуберкулезной активности соответственно синтезированных соединений. Монография рекомендуется для широкой аудитории ученых- химиков, биологов, биохимиков, фармацевтов и фармакологов, включая студентов химических, биологических и медицинских вузов, ученых в академических кругах, занимающихся дизайном и синтетическими трансформациями азометиновых структур в новые гетерофункциональные производные с потенциальной биологической активностью. Библиография 353 назв., рисунков 363, таблиц 223.</t>
  </si>
  <si>
    <t>00011565</t>
  </si>
  <si>
    <t>978-601-13-0121-3</t>
  </si>
  <si>
    <t>Roslyakova E.M., Nurakhova A.D. (Рослякова Е.М.)</t>
  </si>
  <si>
    <t>Physiology of the hematopoietic system</t>
  </si>
  <si>
    <t>Educational and methodological manual</t>
  </si>
  <si>
    <t>В учебно-методическом пособии "Физиология кроветворной системы" представлены вопросы по основным аспектам физиологии крови: рассмотрены физические и химические свойства крови, функции клеток крови, возрастные изменения в системе крови, представлен полный материал по показателям крови, а также практические работы. Учебно-методическое пособие предназначено для студентов и преподавателей медицинских вузов</t>
  </si>
  <si>
    <t>00011566</t>
  </si>
  <si>
    <t>978-601-330-529-5</t>
  </si>
  <si>
    <t>Адамбек Б.К</t>
  </si>
  <si>
    <t>Кеңес Одағының тарихы (1917-1991)</t>
  </si>
  <si>
    <t>История, международное отнашение</t>
  </si>
  <si>
    <t xml:space="preserve">Бұл кітапта бүкіл әлемге үстемдігін және тоталитарлық билігін орнатқысы келген Коммунистік империя, Кеңес Одағының тарихы объективтік түрде беріледі. 1917 ж. Ресейдегі Қазан төңкерісінен кейін, дүние жүзінің алтыдан-бір бөлігінде Кеңес өкіметінің орнауы, осыған байланысты, Кеңес Одағының құрылуы, осы алып мемлекеттің 70 жыл бойы даму кезеңдері және күйреуі көп тарихи деректер арқылы жан-жақты көрсетіледі.Басылым студенттер мен магистранттарға, тарихшылар мен саясаттанушыларға және кеңестік дәуірді зерттеушілерге арналады.
</t>
  </si>
  <si>
    <t>00011567</t>
  </si>
  <si>
    <t>978-601-330-403-8</t>
  </si>
  <si>
    <t>Дузбаева Н.М.</t>
  </si>
  <si>
    <t xml:space="preserve">«Геоэкология» оқу құралы пəннің типтік оқу бағдарламасы негізінде жазылған. Оқу құралында геоэкологияның теориялық негіздері мен əдістемелік ұстанымдары келтірілген, сонымен қатар табиғи ортаның элементтері – литосфера, гидросфера, атмосфера жəне ландшафт қабығы табиғи жəне антропогендік үдерістерді есепке ала отырып қарастырылған. Адамзат қоғамы мен оны қоршаған табиғи орта арасындағы өзара қатынасқа ерекше көңіл бөлінген. Ғаламдық мәселелер, соның ішінде климат өзгерістерінің əсерінен және техногенез салдарынан тіршілік ортасы өзгеруінің аймақтық мәселелері мен Қазақстанның табиғи ресурстарын тиімді пайдалану туралы мəліметтер берілген.Оқу құралы экология және қоршаған ортаны қорғау саласында мамандарды даярлайтын жоғарғы оқу орындарының студенттері мен оқытушыларына арналған. 
</t>
  </si>
  <si>
    <t>00011568</t>
  </si>
  <si>
    <t>978-601-352-565-5</t>
  </si>
  <si>
    <t>Радиациялық экология негіздері</t>
  </si>
  <si>
    <t xml:space="preserve">«Жаратылыстану ғылымдары» мамандығы бойынша мамандарды даярлау және қайта даярлау жүйесінде «Радиациялық экология негіздері» электронды оқулық «Экология» мамандығы бойынша оқитын студенттер мен магистранттарға, университеттің оқытушыларына, оқу курстарының тыңдаушыларына, қоршаған ортаны қорғау саласындағы мамандарға және басқа да мүдделі тұлғаларға арналған. Электронды оқулық «Радиациялық экология негіздері» пәні бойынша қажетті теориялық білімді зерделеу мен бекітуге, оның даму тарихымен танысуға және Қазақстанның қазіргі радиоэкологиялық жағдайын қарастыруға арналған. Электронды оқулық қоршаған ортадағы табиғи және антропогенді радиациялық фонды, тірі ағзаларға иондаушы радиацияның әсер ету механизмін, биосферадағы радионуклидтердің көздері мен түсу жолдарын, олардың ауа, су топырақ орталарындағы әрекет сипаттары мен азық-түліктердегі жинақталуын, сонымен бірге радиоэкологиялық нормалаудың кағидалары мен ережелерін қарастырады.
</t>
  </si>
  <si>
    <t>00011569</t>
  </si>
  <si>
    <t>978-601-330-430-4</t>
  </si>
  <si>
    <t>Биоэтика</t>
  </si>
  <si>
    <t xml:space="preserve">"Биоэтика" оқу құралы биологиялық және экологиялық зерттеулерге тән биоэтикалық мәселелермен байланысты жұмыс істеу дағдыларын игеруге бағытталады. Оқу құралында биоэтиканың тарихы, құрылымы, негізгі мәселелері қарастырылады, сондай-ақ адамның субъект ретінде қатысуымен ғылыми зерттеулердің биоэтикалық аспектілері, жануарлармен эксперименттер жүргізу, биомедицинаның, генетиканың моральдық-құқықтық негіздері, табиғатты зерттеудің экоэтикалық мәселелері талқыланады және кәсіби қызметтің биологиялық бағыттары үшін қолданбалы биоэтикалық мәселелерін шешу жолдарына көңіл бөлінеді."Биоэтика" оқу құралында дәрістік материалдар мен әр тақырыптан кейін дайындалуға арналған бақылау сұрақтары берілген. Ұсынылған оқу құралы "7М05108001-Биология" мамандығының магистранттарына, сондай-ақ жаратылыстану бағытында оқитын студенттер мен оқытушыларға арналған.
</t>
  </si>
  <si>
    <t>00011571</t>
  </si>
  <si>
    <t>978-601-330-517-2</t>
  </si>
  <si>
    <t>Дамитов С.К.</t>
  </si>
  <si>
    <t>Международный менеджмент. 1 том</t>
  </si>
  <si>
    <t>Менеджмент, Экономика</t>
  </si>
  <si>
    <t>Рекомендован Министерством образования и науки Республики Казахстан в качестве учебника для высшего образования. Предназначен для студентов, магистрантов и преподавателей экономических и других вузов, специализирующихся в области менеджмента, а также может быть рекомендован широкому кругу специалистов, связанных с международной деятельностью. Руководители, которые получают подготовку в области менеджмента или повышают свою квалификацию, также найдут для себя эту книгу интересной и полезной.</t>
  </si>
  <si>
    <t>00011572</t>
  </si>
  <si>
    <t>978-601-330-516-5</t>
  </si>
  <si>
    <t>Международный менеджмент. 2 том</t>
  </si>
  <si>
    <t>00011573</t>
  </si>
  <si>
    <t>Модели демократии</t>
  </si>
  <si>
    <t>Монография посвящена комплексному политологическому анализу эволюции понятия «народовластие», а также различных аспектов идеи и принципов народовластия в истории политической мысли. Цель исследования – выявить исторические корни мировоззренческих основ категории «народовластие». 
 В учебном пособии представлена авторская концепция народовластия, выработанная на основе анализа истории демократических идей, достижения отечественной и зарубежной политико-правовой мысли, обобщающей теории и практики народовластия в нашей стране.Учебное пособие, предназначенное для политологов, историков, общественных деятелей, а также для студентов ВУЗов, будет способствовать более объективному и углубленному анализу идеи народовластия в истории политической мысли.</t>
  </si>
  <si>
    <t>00011574</t>
  </si>
  <si>
    <t>Политическая безопасность.</t>
  </si>
  <si>
    <t>Монография посвящена комплексному политологическому анализу национальной безопасности, как гарантии независимости государства и стабильности эффективной жизнедеятельности общества. Цель исследования – изучение проблемы обеспечения политической безопасности, поскольку последняя является стержнем, основой национальной безопасности. Незавершенность процессов формирования демократических механизмов согласования интересов личности, общества и государства свидетельствуют об актуальности политологического исследования проблем политической безопасности Казахстана.
 Учебное пособие, предназначенное для политологов, историков, общественных деятелей, а также для студентов ВУЗов, будет способствовать более объективному и углубленному анализу политической безопасности государства.</t>
  </si>
  <si>
    <t>00011575</t>
  </si>
  <si>
    <t>978-601-330-538-7</t>
  </si>
  <si>
    <t>Daurenbekova Sh, Oxikbayev B.</t>
  </si>
  <si>
    <t>Flora and fauna of the world</t>
  </si>
  <si>
    <t>This manual «Flora and fauna of the world» in English is compiled in accordance with the work program for students of the educational program 6B01508-Biology. It is designed to save students time and optimize their practical work. Данное пособие «Флора и фауна мира» на английском языке составлено в соответствии с рабочей программой для студентов образовательной программы 6В01508-Биология. Оно предназначено для экономии времени студентов и оптимизации их практической работы.</t>
  </si>
  <si>
    <t>00011576</t>
  </si>
  <si>
    <t>978-601-330-515-8</t>
  </si>
  <si>
    <t>Дәуренбекова Ш. Ж.</t>
  </si>
  <si>
    <t>Эмбриология</t>
  </si>
  <si>
    <t>Осы оқу құралында эмбриологияның мәселелері ғылымның соңғы жаңалықтарына сүйене отырып баяндалып, жан - жақты қамтылған. Оқулық университеттердің биология факультеттерінің, сондай-ақ аграрлық және медициналық жоғары оқу орындарының студенттеріне, магистранттарына ,мұғалімдеріне арналған.</t>
  </si>
  <si>
    <t>00011578</t>
  </si>
  <si>
    <t>978-601-330-513-4</t>
  </si>
  <si>
    <t>Дауренбекова Ш. Ж.</t>
  </si>
  <si>
    <t>Флора и фауна мира. 1том</t>
  </si>
  <si>
    <t>биология, география</t>
  </si>
  <si>
    <t>В учебном пособии освещены биологические закономерности распределения флоры и фауны материков, дан обзор флористико-фаунистическим царствам и областям. Кроме того, даются характеристики основным типам биоценозов и раскрываются специфические черты природных свойств материков, обусловленные географическим положением, климатом и историей развития планеты.
  Пособие предназначено для преподавателей, магистрантов и студентов биологических и географичских специальностей высших учебных заведений, а также учителям преподающим биологию, географию и экологию.</t>
  </si>
  <si>
    <t>00011579</t>
  </si>
  <si>
    <t>978-601-330-514-1</t>
  </si>
  <si>
    <t>Флора и фауна мира. 2 том</t>
  </si>
  <si>
    <t>00011580</t>
  </si>
  <si>
    <t>978-601-330-593-6</t>
  </si>
  <si>
    <t>Дүйсенбаев А.Қ.</t>
  </si>
  <si>
    <t>Этнопедагогика және этнопсихология</t>
  </si>
  <si>
    <t>Педагогика,этнопедагогика</t>
  </si>
  <si>
    <t>Оқу құралы этнопедагогика және этнопсихология пәнінен теориялық мағлұмат беруді көздейді. Оқу құралында дәрістер, практикалық сабақ, өзіндік жұмыс, аралық бақылау тапсырмалары, глоссарий, әдебиеттер тізімі берілген.Оқу құралы педагогикалық ғылымдар бағытындағы білім беру бағдарламаларының студенттері мен магистранттарына арналған.</t>
  </si>
  <si>
    <t>00011581</t>
  </si>
  <si>
    <t>978-601-13-0094-0</t>
  </si>
  <si>
    <t>Тәрбие теориясы мен әдістемесі. (Өңделіп екінші рет басылымы)</t>
  </si>
  <si>
    <t>Оқулық.</t>
  </si>
  <si>
    <t>Пелагогика</t>
  </si>
  <si>
    <t>Бұл оқулық тәрбие жұмысын ұйымдастыруға негіз болатын теориялық мағлұмат беруді көздейді. Оқулық мазмұнында дәрістер, практикалық сабақтар мен өзіндік жұмыс тапсырмалары, емтихан тапсырмалары, глоссарий, әдебиеттер тізімі берілген. Оқулық негізінен педагогикалық ғылымдар бағытындағы білім беру бағдарламаларының студенттері мен магистранттарына арналған.</t>
  </si>
  <si>
    <t>00011582</t>
  </si>
  <si>
    <t>978-601-330-588-2</t>
  </si>
  <si>
    <t>Этномәдени тәрбие беру: дәстүр мен сабақтастық</t>
  </si>
  <si>
    <t>нографияда қазақ халқының тағылымдық мұралары, ерте заманнан бергі тәрбиелік қағидалары бүгінгі күннің дәстүрімен сабақтастықта қарастырылған. Этномәдени тәрбие ұстанымы ұлттың тұтастығы, халық парасаты мен шығармашылық әлеуетінің және адам ресурстарының негізі ретінде жас ұрпақ санасын жаңа сапалық даму сатысына көтеретіні зерделенеді. Монография мазмұнында ғұлама ойшылдардың этномәдени тәрбие идеялары мен тәлімдік тәжірибелері туралы құнды деректер берілген. Монография педагог ғалымдарға, докторанттарға, магистранттар мен студенттерге арналған.</t>
  </si>
  <si>
    <t>00011583</t>
  </si>
  <si>
    <t>978-601-13-0489-4</t>
  </si>
  <si>
    <t>Педагогика және психологиядан анықтамалық сөздік (Өңделіп екінші рет басылымы)</t>
  </si>
  <si>
    <t>Сөздік.</t>
  </si>
  <si>
    <t>Пелагогика,психология</t>
  </si>
  <si>
    <t>Педагогика және психология ғылымның даму үрдісінде жаңа ұғымдардың келіп шығуына байланысты студенттердің іргелі пәндерді түсінуінде қиындықтар кездеседі. Анықтамалық сөздік педагогика, психология пәндерінен теориялық мағлұмат беруді және студенттерге ғылыми ұғымдарды дұрыс қолдануды үйретуді көздейді. Аталған сөздік негізінен педагогикалық ғылымдар бағытындағы білім беру бағдарламаларының студенттері мен магистранттарына арналған.</t>
  </si>
  <si>
    <t>00011584</t>
  </si>
  <si>
    <t>978-601-330-590-5</t>
  </si>
  <si>
    <t>Педагогика (Өңделіп екінші рет басылымы)</t>
  </si>
  <si>
    <t>Бұл оқулық мазмұнында педагогиканың теориялық-әдіснамалық негіздері, пәнаралық бағыттағы педагогикалық процестің ерекшеліктері қарастырылады. Сонымен қатар практикалық сабақтардың жоспары, өзіндік жұмыс тапсырмалары, емтихан сұрақтары, глоссарий, әдебиеттер тізімі берілген. Оқулық педагогикалық ғылымдар бағытындағы білім беру бағдарламаларының студенттері мен магистранттарына арналған.</t>
  </si>
  <si>
    <t>00011585</t>
  </si>
  <si>
    <t>978-601-330-490-8</t>
  </si>
  <si>
    <t>Кабиева С.К., Абилканова Ф.Ж.</t>
  </si>
  <si>
    <t>Физикалық химия бойынша есеп жинағы</t>
  </si>
  <si>
    <t>«Физикалық химия» пәнінің негізгі тараулары бойынша оқу құралына 600-ден астам есептер енгізілді.
 Әр тарауға қысқаша теориялық бөлім, типтік есептерді шығару жолдары және өздік шығаруға арналған есептер енгізілген. Әрбір тақырып бойынша есептердің көп болуы оқытушыларға студенттермен өздік, аудиториялық және аудиториядан тыс жұмыстар ұйымдастыруға мүмкіндік береді. Оқу құралы «Органикалық заттардың химиялық технологиясы» мамандығының студенттері мен магистранттарына, «Металлургия», «Пайдалы қазбаларды байыту» мамандығының студенттеріне арналған. 
 Есептер жинағы «Физикалық химия» пәнінің бағдарламасына сәйкес, Қарағанды мемлекеттік техникалық университетінің өнеркәсіптік экология және химия кафедрасында дайындалған.</t>
  </si>
  <si>
    <t>00011586</t>
  </si>
  <si>
    <t>978-601-330-489-2</t>
  </si>
  <si>
    <t>Физико-химический анализ лекарственных веществ</t>
  </si>
  <si>
    <t>Учебное пособие подготовлено в соответствии с рабочей программой дисциплины и предназначено для обучения студентов по направлению «Химическая технология» по профилям: «Инжиниринг в биотехнологических и фармацевтических производствах» и «Химическая технология синтетических биологически активных веществ, химико-фармацевтических препаратов и косметических средств».
 Представлены практически все физико-химические методы анализа: экстракционные, хроматографические, оптические и электрохимические методы. Показано современное развитие этих методов в контроле лекарственных средств и биологически активных веществ. В конце пособия приведена рекомендуемая литература.</t>
  </si>
  <si>
    <t>00011587</t>
  </si>
  <si>
    <t>978-601-330-492-2</t>
  </si>
  <si>
    <t>Биологиялық белсенді және дәрілік заттардың физика-химиялық талдауы</t>
  </si>
  <si>
    <t>Оқулық «Фармацевтикалық өндіріс технологиясы» курсы химия мамандықтарының бакалавриат студенттеріне арналған. Барлық дерлік физикалық-химиялық әдістер ұсынылған: экстракция, хроматографиялық, оптикалық және электрохимиялық әдістер. Дәрілер мен биологиялық белсенді заттарды бақылаудағы осы әдістердің қазіргі кездегі дамуы көрсетілген. Оқу құралының соңында ұсынылған әдебиеттер бар.</t>
  </si>
  <si>
    <t>00011588</t>
  </si>
  <si>
    <t>978-601-330-491-5</t>
  </si>
  <si>
    <t>Кабиева С.К., Мереке Ә.Ж., Абилканова Ф.Ж.</t>
  </si>
  <si>
    <t>Биополимерлерді алу технологиясы</t>
  </si>
  <si>
    <t>Кітап біздің елде мүлдем зерттелмеген қызмет саласына, атап айтқанда биополимерлік өнімдерді өндіруге және енгізуге назар аудару мақсатында жарияланады. Әлемдегі биополимерлерді өндіру және тұтыну көлемі, сондай-ақ өсу қарқыны қаралды. Баға саясаты және биополимерлер нарығын дамытудың одан әрі үрдістері байқалады. Әлемнің әр түрлі елдерінде биополимерлерді өндірушілерді мемлекеттік қолдаудың заңнамалық базасы мен мүмкіндіктеріне талдау жүргізілді. Негізгі тұтыну салалары мен биополимерлерді өндірушілердің әлемдік компаниялары жарық көрді. Синтетикалық пластмассадан және полимерден жасалған бұйымдар нарығында бәсекеге түсе бастаған дайын өнім түрлерін жіктеу ұсынылды</t>
  </si>
  <si>
    <t>00011589</t>
  </si>
  <si>
    <t>978-601-330-566-0</t>
  </si>
  <si>
    <t>Экологияны оқыту әсдістемесі</t>
  </si>
  <si>
    <t>Оқу құралда жоғары оқу орындарында экологияны оқытудың әдістемесі техника мен қарқынды дамып жатқан жаңа технологияларды игеруде экологиялық сауатсыздық пен экологиялық білімдердің жетіксіздігі қоғамда жағымсыз салдарды туындатуы мүмкін. Ересектер жас ұрпақтың тәрбиесімен айналысқанда табиғат қорғаудың көпжақты аспектілерінің ішінде табиғатпен қарым-қатынаста адамның мінез-құлықтарының жоғары мәдениетін тәрбиелеу мәселелердің шешімінің бір көрінісі ретінде бола алады, себебі бұл пәнді оқыту болашақ эколог маманның методологиялық, дүниетанымдық және кәсіби дайындығын үйлестіреді және табиғи жүйеге жағымсыз әсерлердің зардаптарын болжауға, ғылыми білім мен әлеуметтік тәжірибені талдауға, экологиялық мәселелерді дұрыс шешуге, ғылыми және практикалық мүмкіндіктерін қолдануға әдістемелік негіздерді қалыптастырады.</t>
  </si>
  <si>
    <t>00011590</t>
  </si>
  <si>
    <t>Экологиялық мониторинг</t>
  </si>
  <si>
    <t>Оқу-практикалық құралы</t>
  </si>
  <si>
    <t>Оқу-практикалық құралында қоршаған ортаның нысандары мен құраушыларының экологиялық мониторинг әдістері берілген. Зертханалық экологиялық практикумды өткізуге әдістемелік нұсқаулықтар. ұсынылады. Атмосфераның, су обьектілерінің және топырақ ортасының экологиялық мониторинг әдістері қарастырылады.</t>
  </si>
  <si>
    <t>00011591</t>
  </si>
  <si>
    <t xml:space="preserve">Сәбден О. / Сабден О. </t>
  </si>
  <si>
    <t>Наука. Образование, экономика и производства.</t>
  </si>
  <si>
    <t>Настоящий том состоит из трех книг. В первой книге впервые комплексно освещены состояние, зарубежный опыт, законодательное обеспечение, государственная политика и основные направления развития науки, образования, экономической
 реформы и перспективы этих сфер. Отдельно выделены особенности становления рыночных отношений и первоочередные меры по выводу экономики из кризиса. Во второй книге по-новому ставятся региональные и внутризаводские вопросы совершенствования организации и управления ремонтным производством в условиях НТП. Раскрывается методика оценки эффективности ремонтного производства с позиции экономии ресурсов в основном производстве, опыт организации ремонта и модернизации техники. В третьей книге изложены методические основы и практические рекомендации комплексного применения в машиностроении экономикостатистических и сетевых методов для совершенствования планирования и организации ремонтных работ. Этот том предназначен для широкого круга читателей, работников науки, образования, экономистов, банкиров, бизнесменов, студентов, слушателей курсов по переподготовке кадров.</t>
  </si>
  <si>
    <t>00011592</t>
  </si>
  <si>
    <t>Сабден О., Муханова Е.</t>
  </si>
  <si>
    <t>Малые предприятия: опыт формирования и перспективы развития</t>
  </si>
  <si>
    <t>Данное издание, которое является одной из первых работ на территории СНГ, посвященной малому предпринимательству, опубликовано в соавторстве с Е.Б. Мухановой в 1992 году. Актуальность данного исследования определялась тем, что на заре своего независимого развития Казахстану предстояло решать задачи становления новой рыночной экономики. Важное место в ряду неотложных задач занимало развитие малого и среднего бизнеса. В связи с этим автор решил предоставить вниманию читателей данную работу, сохраняя ее в первозданном виде.</t>
  </si>
  <si>
    <t>00011593</t>
  </si>
  <si>
    <t>Сәбден О. / Сабден О.</t>
  </si>
  <si>
    <t>Инновациялық экономика.</t>
  </si>
  <si>
    <t>XXI ғасырда өркениетті дамыған мемлекеттер инновациялық экономика құру жолында. Қазақстан мемлекетінің де стратегиялық мақсаты осы болуы тиіс.Бұл кітапта автор Қазақстанда инновациялық экономика құрудағығылымның рөлін, Дүниежүзілік Давос экономикалық форумының нәтижелерін пайдаланып, дағдарыс кезінде, одан кейінгі кезеңде де Қазақстанның ұлттық экономикасының бәсекелестігінің критериялары мен көрсеткіштерін анықтайды. Новация туынды ретінде оқырмандарға «Экономикалық манифест» атты еңбегін ұсынады. Автордың негізгі концептуалды идеясы ретінде Қазақстанның әлеуметтік экономикасын құру тетіктері беріледі. Кітап жалпы оқырмандарға арналған, әсіресе Қазақстанның келешегін толғандыратын жастар үшін.</t>
  </si>
  <si>
    <t>00011594</t>
  </si>
  <si>
    <t>978-601-330-548-6</t>
  </si>
  <si>
    <t>Денисова И.А.</t>
  </si>
  <si>
    <t>Логопедическая ритмика</t>
  </si>
  <si>
    <t>Педагогика, психология</t>
  </si>
  <si>
    <t>Данное пособие представляет собой элемент учебно-методического обеспечения одной из элективных дисциплин образовательной программы «Специальная педагогика». Учебное пособие имеет практикоориентированный характер и предназначено для более эффективного освоения ГОСО в контексте Профессионального стандарта «Педагог» В основу пособия был положен компетентностный подход. При разработке планов семинарских занятий учитывались гуманитарная и профессиональная составляющие, обеспечивающие формирование и развитие личности будущего специального педагога. Логика подачи материала соответствует требованиям современного этапа развития образовательного процесса и характеризуется тенденцией к трансформации от репродукции и трансляции накопленного знания к формированию новых форм социально-культурного опыта, новых типов межличностных и социальных отношений. Планы и содержание практических занятий предполагают использование современных интерактивных педагогических технологий и методов: постановка СМАРТ-цели, Case-stady, метод Проектов и др. Вопросы и задания ранжированы по таксономии педагогических целей Б.Блума и предполагают критериальное оценивание.</t>
  </si>
  <si>
    <t>00011595</t>
  </si>
  <si>
    <t>978-601-330-547-9</t>
  </si>
  <si>
    <t>Проектирование коррекционного курса функциональной языковой грамотности и предупреждения дизорфографии</t>
  </si>
  <si>
    <t>методическое пособие</t>
  </si>
  <si>
    <t>Данное пособие разработано в помощь учителям и логопедам и предназначено, прежде всего, для выявления и формирования языковых знаний, умений и навыков учащихся, испытывающих серьезные затруднения в обучении языку и основам наук гуманитарного цикла. Материалы могут быть использованы для тренинга учащихся по определенным разделам курса русского языка как в условиях логопедических занятий, так и вне них. Организационную основу пособия составляет описание технологии педагогического проектирования в применении к процессу коррекционного обучения детей с общим недоразвитием речи. Предлагаемая в пособии система оценки и уровневого комплектования групп не отвергает традиционной формы контроля за усвоением материала, а сочетается с ним. Представленные в приложении диагностические таблицы могут служить основой для выведения квалиметрической оценки языковых учебных достижений и составить портфолио школьника. В содержание курса интегрированы специальные задания с использованием интерактивного мультимедийного комплекса «Мультикид» Пособие адресовано также родителям, заинтересованным в учебных достижениях своих детей.</t>
  </si>
  <si>
    <t>00011596</t>
  </si>
  <si>
    <t>Орынтаева Ж.А., Абуова Ж.К.</t>
  </si>
  <si>
    <t>«Схемотехника » пәнінен тәжірибелік жұмыстарды орындауға арналған әдістемелік нұсқаулық</t>
  </si>
  <si>
    <t>Әдістемелік нұсқаулық</t>
  </si>
  <si>
    <t>Ұсынылып отырған әдістемелік нұсқаулық жоғары оқу орындарындағы педагогикалық бағытта білім алып жатқан студенттерге және колледж студенттері, мектеп мұғалімдеріне арналған. Қазіргі кезде информатика пәні бойынша логикалық өрнектердің сұлбаларын сызуда қолданатын түрлі онлайн симуляторлармен жұмыс жасаудың түрлі әдіс-тәсілдері берілген. Негізгі схемалардың құрылымын және олардың компьютерде жүзеге асырылуын игеру мен схемаларды талдап, схемаларды жобалау әдістері мен тәсілдерін топтастыру қарастырылған.</t>
  </si>
  <si>
    <t>00011597</t>
  </si>
  <si>
    <t>Kariyev A.D. / Кариев А.Д.</t>
  </si>
  <si>
    <t>Formation of teacher readiness to learning based on interactive methods as a condition for the development of students' creative abilities</t>
  </si>
  <si>
    <t>В монографии представлены результаты исследования формирования готовности учителя к обучению на основе интерактивных методов как условия развития творческих способностей учащихся. Раскрыта модель формирования готовности учителя к обучению на основе интерактивных методов как условие развития творческих способностей учащихся, предложен авторский факультативный курс и разработка интерактивных занятий.Монография предназначена для студентов, магистрантов, докторантов, преподавателей школ и колледжей, преподавателей высшей школы, а также всех, кто интересуется интерактивным обучением.</t>
  </si>
  <si>
    <t>00011598</t>
  </si>
  <si>
    <t>Ермекова Т.Н., Юсуп А.Н.</t>
  </si>
  <si>
    <t>Салғастырмалы лексикология</t>
  </si>
  <si>
    <t>Оқу құралында қазақ және орыс тілдері лексикологиясы салғастырмалы тұрғыда талданып, аталған салаға қатысты негізгі ұғымдар мен атаулар, түсініктер беріледі. Сол секілді қазіргі қазақ, орыс лексикологиясына қатысты лингвист-ғалымдардың көзқарастары мен пікірлеріне талдау жасалынады. Ұсынылып отырған оқу құралы жоғары оқу орындарында оқылатын «Салғастырмалы грамматика» пәніне қосымша оқу құралы ретінде студенттер мен магистранттарға, оқытушыларға, қазақ тілінде оқытпайтын мектептердегі қазақ тілі мен әдебиеті пәнінің мұғалімдеріне арналған</t>
  </si>
  <si>
    <t>00011599</t>
  </si>
  <si>
    <t>Ермекова Т.Н.</t>
  </si>
  <si>
    <t>Қазіргі қазақ тілінің синтаксисі</t>
  </si>
  <si>
    <t>Оқулықта қазіргі қазақ тілінің синтаксис саласына қатысты теориялық материалдар мен практикалық тапсырмалар қамтылған. Теориялық материалдарда қазiргi қазақ тiлiндегi синтаксиске қатысты негiзгi мәселелер сөз болса, жаттығу жұмыстары, грамматикалық кестелер мен тест сұрақтары жалпы теориялық материалдарды жүйелi түрде қайталап, еске түсiр сондай-ақ студенттердiң өз бетінше жұмыс iстеуiне арналып құрастырылды. Оқулықты жоғары оқу орындары филология факультетінің студенттері кеңiнен пайдалануына болады</t>
  </si>
  <si>
    <t>0001160</t>
  </si>
  <si>
    <t>Байтуганова М.О., Мырзаханова Ә.С., Оразбек Д.Ж., Конакбаев Е.К.</t>
  </si>
  <si>
    <t>Өндірістік объектілердің өнеркәсіптік қауіпсіздігінің сараптамасы</t>
  </si>
  <si>
    <t>Оқу құрал өнеркәсіптік қауіпсіздік сараптамасы бойынша тәжірибелік дағдыларын алуға бағытталған. Құралда өндірістік объектілердің өнеркәсіптік қауіпсіздігінің сараптамасы бойынша теориялық мәліметтер қарастырылады. Оқу құралы «Қоршаған ортаны қорғау және өмір тіршілігінің қауіпсіздігі» мамандығының студенттері, магистранттары «Өндірістік объектілердің өнеркәсіптік қауіпсіздігінің сараптамасы» курсы бойынша өздік білім алуға және оқытушылардың осы курс бойынша сабақ жүргізу барысында қолдануға, дипломдық және курстық жұмыс (жоба) орындау кезінде мәліметтерді қолдану үшін арналған</t>
  </si>
  <si>
    <t>00011600</t>
  </si>
  <si>
    <t>978-601-330-499-1</t>
  </si>
  <si>
    <t>Жұбанышов Б.Т (Жубанышов Б.Т ) ., Жүрсінбаев Б.А., Мұрабілдаева Ж.О.</t>
  </si>
  <si>
    <t>Қазақ хандығының тарихы</t>
  </si>
  <si>
    <t>Оқу құралы «Қазақ хандығының тарихы» бағдарламасына сәйкес жазылған және тарих мамандығы бойынша білім алатын студенттерге арналған. Кітаптағы кестелер мен диаграммалар түрінде берілген оқу материалы пәнді оқытудағы жаңа білімді меңгеру, оны бекіту және қайталау кезінде көрнекі есте сақтауды, іскерліктер мен дағдыларды дамытуға мүмкіндік береді. Бұл оқу құралы тарихты оқыту тәжірибесін жинақтайды, студенттер арасында қазақстандық патриотизмді қалыптастыруға ықпал етеді және тарихшы магистрант пен студенттерге және көпшілік қауымға арналған.</t>
  </si>
  <si>
    <t>00011601</t>
  </si>
  <si>
    <t>978-601-330-544-8</t>
  </si>
  <si>
    <t>Голубева Г.Г., Денисова И.А.,</t>
  </si>
  <si>
    <t>Преодоление нарушений звукослоговой структуры слова у дошкольников</t>
  </si>
  <si>
    <t>В пособии представлена методика проведения логопедических занятий по коррекции нарушений звукослоговой структуры слова у дошкольников с тяжелыми нарушениями речи. Пособие соответствует «Программе специального дошкольного воспитания и обучения детей с общим недоразвитием речи» (под ред. М.С.Грушевской и З.А.Мовкебаевой.). В нем рассматриваются особенности нарушений звукослоговой структуры слова у дошкольников, даются рекомендации по развитию звукослогового анализа и синтеза, моторной и сенсорной основы звукослоговой структуры слова у детей с общим недоразвитием речи, по формированию у них навыка правильного звукослогового оформления.Пособие адресовано специалистам, работающим с детьми с речевой патологией, однако оно может оказать существенную помощь родителям при проведении дополнительных занятий с детьми, имеющими речевые нарушения.</t>
  </si>
  <si>
    <t>00011602</t>
  </si>
  <si>
    <t>Хамитова Д.М.</t>
  </si>
  <si>
    <t>Орман экономикасы</t>
  </si>
  <si>
    <t>Лесное хозяйство, экономика</t>
  </si>
  <si>
    <t>Оқу құралында дәріс материалы, тәжірибе сабақтардың тапсырмаларының мақсаттары және оларды орындау нұсқаулары, шешім үлгілері берілген, кейін тесттік тапсырмалар берілген.Оқу құралы мамандықтың оқу бағдарламаларына сәйкес құрастырылған.</t>
  </si>
  <si>
    <t>00011603</t>
  </si>
  <si>
    <t>978-601-330-532-5</t>
  </si>
  <si>
    <t>Aбиeв Б</t>
  </si>
  <si>
    <t>Русский язык (уровень С1)</t>
  </si>
  <si>
    <t>Учeбнoe пocoбиe</t>
  </si>
  <si>
    <t>Учeбнoe пocoбиe paccмaтpивaeт пpoблeмы публициcтичecкoгo cтиля. Aвтopы убeждeны, чтo цeлю пpaктичecкиx нaвыкoв дoлжны cocтaвлять бaзoвыe знaния, пoэтoму cчитaeм пpaвoмepным в paбoту пo oбучeнию cтудeнтoв публициcтичecкoму cтилю ввecти cвeдeния ифopмaтивнoгo xapaктepa. Aвтopы включили иx кaк мeтoд иccлeдoвaния и, нecмoтpя нa тo, чтo мaтepиaл тaкoгo poдa нocит peфepaтивный xapaктep, и пpeдcтaвляeм eгo в тaкoм oбъeмe, кoтopый, нa нaш взгляд, пpизвaн peшaть в кoмплeкce oбучaющиe, oбpaзoвaтeльныe и вocпитaтeльныe зaдaчи вузoвcкoгo cтaнoвлeния cпeциaлиcтa c выcшим oбpaзoвaниeм. Иccлeдуя лингвoдидaктичecкий acпeкт публициcтичecкoгo cтиля, aвтopы иcxoдили из тoгo, чтo в пpaктикe вузoвcкoгo cтaнoвлeния cпeциaлиcтa c выcшим oбpaзoвaниeм oвлaдeниe функциoнaльнoй cтилиcтикoй являeтcя чpeзвычaйнo aктуaльнoй пpoблeмoй, и нe тoлькo для тex, ктo пoлучaeт филoлoгичecкoe oбpaзoвaниe. Знaния o языкoвoй cпeцификe paзгoвopнoгo и книжныx cтилeй peчи cпocoбcтвуют фopмиpoвaнию кoммуникaтивнoй кoмпeтeнции, ocнoвaннoй нa учeтe cитуaции, мoтивoв и цeлeй oбщeния.Учeбнoe пocoбиe пpeднaзнaчeнo для шиpoкoгo кpугa лиц, интepecуeщиxcя вoпpocaми языкa и cтили CМИ.</t>
  </si>
  <si>
    <t>00011604</t>
  </si>
  <si>
    <t>978-601-330-533-2</t>
  </si>
  <si>
    <t>Абдрахманова К.К</t>
  </si>
  <si>
    <t>Демография и статистика населения</t>
  </si>
  <si>
    <t>Учебное пособия</t>
  </si>
  <si>
    <t>В учебном пособии дается представление о демографии – науки о населении. Изложены основные вопросы данного курса: предмет демографии и ее место среди других дисциплин, история демографической науки, источники данных о населении, показатели динамики и структуры населения (рождаемость, смертность, брачность, разводимость, миграции), демографическое прогнозирование и проблемы демографической политики Казахстана. Предназначено для студентов, магистрантов, докторантов исторического факультета и преподавателей.</t>
  </si>
  <si>
    <t>00011605</t>
  </si>
  <si>
    <t>978-601-330-930-9</t>
  </si>
  <si>
    <t>Экономические показатели способов воспроизводства ленточных боров Прииртышья</t>
  </si>
  <si>
    <t>В данной монографии рассмотрены в четырех главах теоретические и методические основы исследования, экономическая эффективность естественного и искусственного лесовосстановления, оптимизация лесовосстановления, изучен комплекс эколого- экономических взаимосвязей лесовосстановления, оптимизация естественного заращения площадей гарей и горельников.</t>
  </si>
  <si>
    <t>00011608</t>
  </si>
  <si>
    <t>978-601-330-595-0</t>
  </si>
  <si>
    <t>Аяған Е.С., Мыңжанов Н.Ә.</t>
  </si>
  <si>
    <t>Өнердің этнопедагогикалық құндылықтар</t>
  </si>
  <si>
    <t>Бұл этнопедагогикалық құндылықтар болашақ маманды халық педагогиканың негізіндегі тәрбие жүйесіндегі этностың дамуымен және педагогикалық құндылықтар жайлы біліммен қаруландырады. Халықтық педагогиканың көп ғасырлық тәрбие тәжірибесі нәтижесінде жинақталған этнопедагогикалық рухани байлықты практикада қолдана алу дағдысын игеруді көздейді. Бұл монография мазмұнында этнопедагогиканың ғылыми теориялық негіздері мен даму тарихы және этностық тәрбие, этнопедагогиканың даму генезисі және қазіргі жағдайы, оның халық өнерінің орны мен адамзат этнопедагогикалық мәдениеті дамуындағы рөлі және келешек мұғалімдерге этнопедагогикалық құндылықтар жайлы ашып көрсетеді.</t>
  </si>
  <si>
    <t>00011609</t>
  </si>
  <si>
    <t>978-601-13-0213-5</t>
  </si>
  <si>
    <t>Өтеғұлов О.Ж</t>
  </si>
  <si>
    <t>Екі тілді егіз үйрен: ағылшыншы-қазақша-французша, французша-қазақша-ағылшынша</t>
  </si>
  <si>
    <t>Язык английский, французский</t>
  </si>
  <si>
    <t>«Екі тілді егіз үйрен» деп аталатын үш тілді тілашар қазақ тілді аудитоияға әлемдегі ең кең таралған екі шетел тілін үйретуге бағытталған. Кітап тақырыптық-тематикалық прицип бойыша топтастырылған. Кітап саяхатшыларға, ЖОО шетел тілдері факультетінің студенттеріне және ағылшын және француз тілдеріне қызығулық танытқан қазақ тілді көпшілік қауымға арналады</t>
  </si>
  <si>
    <t>0001161</t>
  </si>
  <si>
    <t>Байтуганова М.О., Н.Н. Акимбекова, О. Мақсат</t>
  </si>
  <si>
    <t>Охрана труда и безопасность жизнедеятельности</t>
  </si>
  <si>
    <t>учеб. Пособие</t>
  </si>
  <si>
    <t>Учебное пособие ориентировано на получение теоретических и практических навыков анализа технологических процессов и оценки параметров его безопасности. В учебное пособие включены теоретические сведения, необходимые для лекционных занятий. Учебное пособие предназначено для проведения занятий и самостоятельного изучения курса «Охрана труда и безопасность жизнедеятельности», а так же может быть использования при работе над курсовыми и дипломными работами (проектами).</t>
  </si>
  <si>
    <t>00011610</t>
  </si>
  <si>
    <t>978-601-330-467-0</t>
  </si>
  <si>
    <t>Токсанбаева Т.Ж</t>
  </si>
  <si>
    <t>Ізтай Мәмбетовтің поэтикалық әлемі</t>
  </si>
  <si>
    <t>Монографияда қазақ поэзиясына өзіндік жыр жолдарымен үн қосып, өз оқырмандарына жауһардан асыл сыйлаған қазақтың біртуар талантты ақындарының бірі Ізтай Мәмбетовтің лирикалық шығар-малары, поэмалары және көркем аударма саласындағы ізденістері, оның көркемдік қуаты, поэтикалық шыңы әр қырынан жан-жақты жүйелілікпен тұңғыш рет қарастырылып отыр. Сондай-ақ, еңбек Ізтай Мәмбетов мұрасындағы әдеби дәстүр мен көркемдік ізденіс-терін, ақындық стиль даралығын, қаламгер тұлғасын айқындауға бағытталған. Еңбек жоғары оқу орындарының студенттері мен оқытушы-ларына, магистранттар мен аспиранттарға, әдебиеттанушы ғалымдарға және сөз өнерін сүйер көпшілік оқырмандарға арналған.</t>
  </si>
  <si>
    <t>00011611</t>
  </si>
  <si>
    <t>978-601-330-598-1</t>
  </si>
  <si>
    <t>Кабиева С.К. , Жаслан Р.К.</t>
  </si>
  <si>
    <t>Контроль и системы качества в химической технологии</t>
  </si>
  <si>
    <t>В учебном пособии изложены научные, методические и теоретические основы технического регулирования, метрологии, стандартизации и подтверждения соответствия, включая и сертификацию. Рассмотрены основные понятия, термины и определения, основные виды работ в области метрологии, стандартизации и подтверждения соответствия. Приведены основные положения по теории и практике при оценивании метрологических характеристик методов и результатов измерений при проведении количественных химических анализов. Предназначено для магистрантов и студентов химических, химико-технологических направлений и специальностей университетов.</t>
  </si>
  <si>
    <t>00011612</t>
  </si>
  <si>
    <t>Кабиева С.К. , Жуманазарова Ғ.М., Жаслан Р.Қ.</t>
  </si>
  <si>
    <t>Органикалық заттардың физика-химиялық талдау әдістері</t>
  </si>
  <si>
    <t>Органикалық заттарды талдауда ультракүлгін (УК), инфра қызыл (ИҚ), ядролы-магниттік резонансты (ЯМР) спектроскопиясы және масс-спектрометрия әдістері ең маңызды болып табылады, классикалық еңбектердегі түсініктерді игеруге, заманауи құрылғыларды пайдалана отырып эксперименттік алынған нәтижелерді тиімді саралауға мүмкіндік береді. Берілген оқу құралы студенттерге органикалық заттардың физико-химиялық талдау әдістерін қолдана отырып, зерттеу жұмысын жүргізу барысында негізгі заманауи тұжырымдар жасауға негіз бола алады. Берілген оқу құралы «Органикалық заттардың химиялық технологиясы», «Фармацевтикалық өндіріс технологиясы», «Химия» оқу бағдарламасының білім алушыларына қолданысқа ұсынылады.</t>
  </si>
  <si>
    <t>00011614</t>
  </si>
  <si>
    <t>978-601-13-0467-2</t>
  </si>
  <si>
    <t>Кабиева С.К., Жаслан Р.Қ., Абилканова Ф.Ж.</t>
  </si>
  <si>
    <t>Жалпы фармакология</t>
  </si>
  <si>
    <t>Оқу құралы фармакология саласындағы жаңа ғылыми жетістіктер мен тәжірибелік жаңалыктарға сүйене отырып кұрастырылған. Оқулыкта дәрілік заттардың медицина практикасындағы негізгі топтары карастырылған. Оқу-әдістемелік құралда фармокологияның жалпы түсініктері, дәрілік преператтары туралы негізгі ақпараттар келтірілген. «Жалпы фармакология» бөлімінде дәрілік заттардың фармакокинетикасы мен фармодинамикасының жалпы мәселелері сөз болады. Сонымен қатар, клиникалык практикада кеңінен колданылатын дәрілік заттардың негізгі топтары және тиімділігі жоғары жаңа дәрілік заттар тобы жайлы айтылады. Оқу құралы студенттерге де, оқытушыларға да теориялық, зертханалық-практикалық сабақтарды ұйымдастыруда пайдалы болады.</t>
  </si>
  <si>
    <t>00011615</t>
  </si>
  <si>
    <t>978-601-330-455-7</t>
  </si>
  <si>
    <t>Кабиева С.К., Абилканова Ф.Ж., Жаслан Р.К.</t>
  </si>
  <si>
    <t>Фармацевтикалық химияның теориялық негіздері</t>
  </si>
  <si>
    <t>Оқу құралы «Фармацевтикалық химияның теориялық негіздері» курсы химия мамандықтарының бакалавриат студенттеріне арналған. Көптеген дәрілік заттардың теориялық негіздері толығымен ашылып жазылған; сондай-ақ студенттердің осы пәндерді меңгеру барысында білімін тексеруге арналған бақылау сұрақтары келтірілген.</t>
  </si>
  <si>
    <t>00011616</t>
  </si>
  <si>
    <t>978-601-13-0089-6</t>
  </si>
  <si>
    <t>Дәрілік заттарды алу технологиясы</t>
  </si>
  <si>
    <t>Оқу құралында дәрілік заттарды олардың дәрілік түрлеріне сәйкес өндірудің негізгі өнеркәсіптік технологиялары баяндалған."Фармацевтикалық өндіріс технологиясы" білім беру бағдарламасы студенттерінің өзін-өзі бақылауына арналған тест тапсырмалары келтірілген. Оқу құралы студенттерге де, оқытушыларға да теориялық, зертханалық-практикалық сабақтарды ұйымдастыруда пайдалы болады.</t>
  </si>
  <si>
    <t>00011617</t>
  </si>
  <si>
    <t>Кабдулкаримова К.К., Баяхметова Б.Б., Сабитова А.Н.</t>
  </si>
  <si>
    <t>Координациялық қосылыстар химиясы</t>
  </si>
  <si>
    <t>Оқу құралының теориялық бөлімінде комплексті қосылыстардың электрондық құрылысы лигандалар өрісі теориясы, валенттілік байланыстар теориясы, кристалдық өріс теориясы мен молекулярлық орбиталдар теориясы тұрғысынан түсіндірілген. Сонымен бірге координациондық қосылыстардың тұрақтылығына әсер ететін факторлар қарастырылған, лигандалардың алмасу реакциялары мен тотығу-тотықсыздану реакцияларындағы реакциялар механизмі көрсетілген. Комплексті қосылыстардың терминологиясы мен номенклатурасы берілген, олардың жіктелуі, комплексті иондардың изомериясы келтірілген. Жеке кластарға шолу жасалған. Практикалық маңызы бар қосылыстарға, соның ішінде биологиялық активті заттарға ерекше көңіл аударылған.Комплексті қосылыстарды қолданудың түрлі аспектілері қарастырылған.Сонымен бірге, комплексті қосылыстарды алуға, олардың қасиеттерін зерттеуге, аналитикалық химияда қолданылуына арналған зертханалық жұмыстарды орындауға арналған әдістемелік нұсқаулар берілген.Практикалық сабақтар мен білім алушылырдың өз бетінше (БӨЖ) жасайтын тапсырмалары мен есептер берілген.Оқу құралы университеттің «Химия» мамандығы бойынша оқитын студенттеріне арналып жазылған, сонымен бірге, жоғары оқу орындарында химия пәнін оқитын барлық мамандықтар студенттері мен магистранттары, докторанттары пайдалана алады.</t>
  </si>
  <si>
    <t>00011618</t>
  </si>
  <si>
    <t>Aktayeva A.L. /Актаева</t>
  </si>
  <si>
    <t>System reliability theory: information systems</t>
  </si>
  <si>
    <t>The textbook has been primarily written as a manual for the university course «The Theory of System Reliability: Information Systems» at the undergraduate and graduate levels. Students should have some understanding of calculation, basic probability theory, and statistics.The textbook provides an overview of the theory of reliability and should be used as a lecture for multiple types of courses, both at the undergraduate and graduate levels.Several case study issues are included at the end of just about every chapter. The case study gives students an opportunity to test their knowledge and ensure they understand the material.This textbook has also been designed as a reference book for programmers and engineers working in industry and IT businesses, as well as for engineers who wish to do self-learning. It provides a hands-on, enriching learning experience that will help students move from learners to skilled programmers and computer scientists.</t>
  </si>
  <si>
    <t>00011619</t>
  </si>
  <si>
    <t>978-601-330-559-2</t>
  </si>
  <si>
    <t>Сарсембенова О.Ж.</t>
  </si>
  <si>
    <t>Организация педагогической практики</t>
  </si>
  <si>
    <t>Педагогика, экология</t>
  </si>
  <si>
    <t>Учебник предназначен для преподавателей ВУЗов, докторантов, магистрантов и студентов высших учебных заведений обучающихся по педагогическим, научно-педагогическим, техническим направлениям. В учебнике излагаются основные цели, задачи и особенности организации педагогической практики. Также приведены методические рекомендации по проведению педагогической практики, планы и порядок работы студента, магистранта, докторанта, требования к составлению отчета, особенности методики преподавания специальных дисциплин (на примере экологических дисциплин).Учебник рекомендуется для высших учебных заведений в области образования: 7М07 и 6В07 – «Инженерные, обрабатывающие и строительные отрасли» по направлениям подготовки 7М071 и 6В071- «Инженерия и инженерное дело», 7М072 и 6В072 – «Производственные и обрабатывающие отрасли»; 7М075 и 6В075 «Стандартизация сертификация и метрология (по отраслям); 7М06 и 6В05 – «Естественные науки, математика и статистика» по направлениям подготовки 7М052 и 6В052 – «Окружающая среда»; рекомендуется для преподавателей, магистрантов и студентов высших учебных заведений специальностей 6М060800 – «Экология», 5В060800 - «Экология».</t>
  </si>
  <si>
    <t>0001162</t>
  </si>
  <si>
    <t>Байтуганова, М.Ж. Какенова, Н.Н. Акимбекова, Е.В. Комлева</t>
  </si>
  <si>
    <t>Жұмыс орындарды гигиеналық аттестациялау</t>
  </si>
  <si>
    <t>Оқу құралы еңбек шарты бойынша жұмыс орнын куәландыру және еңбек қорғау бойынша жұмысты сертификаттау мақсаттарымен басты түсініктерден тұрады. Оқу құралында куәландыруды өткізу бойынша басты бағыттар, оны өткізу кезеңдері, өткізу тәртібі, жұмыс орындарын куәландыру нәтижесін бағалау және саралау, құжаттарды ресімдеу тәртіптері қарастырылған. Гигиеналық белгілер бойынша еңбек шартын бағалау ұсынылған, еңбек күші мен ауырлығын бағалау тәсілдері, жұмыс орындарының қауіпсіздігі қарастырылған. Оқу құралы оқудың бар түріндегі 5В073100 «Қоршаған ортаны қорғау және өмір тіршілігінің қауіпсіздігі» мамандығындағы студенттеріне арналған.</t>
  </si>
  <si>
    <t>00011620</t>
  </si>
  <si>
    <t>978-601-330-146-4</t>
  </si>
  <si>
    <t>Олжаева Р.Р.</t>
  </si>
  <si>
    <t>Фукциональные и метаболические эффекты гормонов щитовидной железы и ртутная интоксикация. (Второе дополненное издание)</t>
  </si>
  <si>
    <t>В монографии представлен анализ результатов собственных экспериментальных исследований о влиянии различных антропогенных факторов окружающей среды и влияние ртутной интоксикации на функциональное состояние щитовидной железы. В механизме действия гормонов щитовидной железы, как структурных компонентов адрено-тиреоидной системы, установлены интимные механизмы тиреоидной регуляции биологического окисления трансформации энергии в клетке. Установлено участие гормонов щитовидной железы в регуляции активности ферментов метаболизма пуриновых нуклеотидов и антиоксидантной системы и в регуляции функции клеток иммунной системы. При гипотиреозе имеет место сочетанные нарушения всех видов обмена, в том числе и биоэнергетики клетки, изменения иммунного статуса и активности ферментов метаболизма пуриновых нуклеотидов. Получены данные о возможности использования тиреоидных гормонов для восстановления нарушенных различными антропогенными факторами физиологических и метаболических процессов. В сравнительном плане изучено влияние ртутной интоксикации и гипотиреозного состояния на метаболические процессы. Установлены особенности изменений иммунного статуса, активности ферментов антиоксидантной защиты и метаболизма пуриновых нуклеотидов при гипотиреозе и ртутной интоксикации. Показана возможность использования при токсическом воздействии на организм гипотиреоизных животных солей ртути в качестве коррегирущих средств гормоны щитовидной железы, комплексона двувалентных ионов купренила, тиопротектора унитиола и комплекса микроэлементов в виде тагансорбента. Монография рассчитана для токсикологов, экологов, эндокринологов, докторантов, магистрантов, резидентов, иммунологов, физиологов, патофизиологов, биологов, радиобиологов, биохимиков, клиницистов широкого профиля.</t>
  </si>
  <si>
    <t>00011621</t>
  </si>
  <si>
    <t>978-601-330-144-0</t>
  </si>
  <si>
    <t>Mussatayeva I. / Муззатаева И., Galymova A.</t>
  </si>
  <si>
    <t>Information and communication technologies: Educational and methodical manual</t>
  </si>
  <si>
    <t>The proposed educational and methodological manual is compiled in accordance with the State General Education Standard of Higher education in Kazakhstan. It contains methodological guidelines for the implementation of practical work on the discipline “Information and communication technologies” of the cycle of general education disciplines. For each topic of practical classes, an information block, a description of the sequence of practical work, tasks on options and means of monitoring learning outcomes are presented. It is intended for students of medical universities.</t>
  </si>
  <si>
    <t>00011622</t>
  </si>
  <si>
    <t>978-601-330-368-0</t>
  </si>
  <si>
    <t xml:space="preserve">Kabieva S.K. / Кабиева С. К., Abilkanova F.Zh. </t>
  </si>
  <si>
    <t>Technology of receiving medicinal substances</t>
  </si>
  <si>
    <t>The textbook describes the main industrial technologies for the production of medicines according to their medicinal forms.Test tasks for self-control of students of the educational program "Pharmaceutical production technology" are given.The educational tool will be useful for both students and teachers in organizing theoretical, laboratory-practical lessons.</t>
  </si>
  <si>
    <t>00011623</t>
  </si>
  <si>
    <t>978-601-330-568-4</t>
  </si>
  <si>
    <t>Тытюк В.К., Кунаев В.А., Кан С.В.</t>
  </si>
  <si>
    <t>Моделирование процессов и систем с применением Octave</t>
  </si>
  <si>
    <t>В учебном пособии рассматриваются функциональные возможности программного обеспечения GNU Octave, являющегося свободно распространяемой альтернативой программной среде MATLAB. Данные функциональные возможности могут использоваться при моделировании процессов и систем, а также для решения других прикладных инженерных задач. Для приобретения навыков работы с программой в пособии представлены примеры практических заданий с подробным описанием порядка их выполнения.</t>
  </si>
  <si>
    <t>00011624</t>
  </si>
  <si>
    <t>Акимжанов Т.К., Кошкинбаева А.С., Торгаутова Б.А.</t>
  </si>
  <si>
    <t>Альбом схем по уголовному праву Республики Казахстан.Общая часть</t>
  </si>
  <si>
    <t>В соответствии с типовой учебной программой по уголовному праву, авторским коллективом университета «Туран» подготовлено учебное пособие (альбом схем) по Общей части курса «Уголовное право Республики Казахстан», в котором в виде схем раскрыты основные положения, предложенных для изучения 21 темы Общей части курса «Уголовное право Республики Казахстан».Данная работа предназначена для студентов, магистрантов, докторантов юридических специальностей высших учебных заведений, изучающих Уголовное право, а также рекомендуется к использованию в работе профессорско-преподавательским составом и сотрудниками правоохранительных органов. (2-е переработанное и дополненное издание)</t>
  </si>
  <si>
    <t>00011625</t>
  </si>
  <si>
    <t>978-601-330-560-8</t>
  </si>
  <si>
    <t>Сағымбекова П.С., Сарыбекова Қ.Н.</t>
  </si>
  <si>
    <t>Бастауыш мектепте математиканы оқыту әдістемесі пәнінен тәжірибелік сабақтар</t>
  </si>
  <si>
    <t>Педагогика, начальное обучение</t>
  </si>
  <si>
    <t>Оқу құралы «Бастауыш мектепте математиканы оқыту әдістемесі» пәні бойынша өтілетін тәжірибелік сабақтарға арналған материалдарды қамтиды. Оқу құралдың ерекшелігі – тәжірибелік сабақтарда студенттер орындайтын тапсырмалар және оларды орындау әдіс-тәсілдері жинақталып берілген.«Бастауыш мектепте математиканы оқыту әдістемесі пәнінен өтілетін тәжірибелік сабақтар» атты оқу құралы, «6В01301 – Бастауыш оқыту педагогикасы мен әдістемесі» білім беру бағдарламасы бойынша білім алатын студенттерге, сондай-ақ осы пәнді жүргізетін оқытушыларға, еңбек жолын енді бастаған жас мұғалімдерге арналған.</t>
  </si>
  <si>
    <t>00011626</t>
  </si>
  <si>
    <t>978-601-330-409-0</t>
  </si>
  <si>
    <t>Мусабаев Б.К</t>
  </si>
  <si>
    <t>Жүк және коммерциялық жұмыстарды басқару</t>
  </si>
  <si>
    <t>Жөнелту және тағайындалған темір жол станцияларында, сондай-ақ темір жолда жүк және коммерциялық операцияларды басқару мәселелері қарастырылады. Нормативтік құқықтық актілердің негізгі ережелері, жүк вагондарының пайдалану сипаттамалары және бастапқы және соңғы операцияларды орындауға арналған жалпы пайдаланымдағы темір жол көлігінің инфрақұрылымы келтірілген.«Тасымалдауды, қозғалысты ұйымдастыру және көлікті пайдалану» және «Логистика (сала бойынша)» мамандығының студенттеріне арналған.</t>
  </si>
  <si>
    <t>00011628</t>
  </si>
  <si>
    <t>978-601-330-300-0</t>
  </si>
  <si>
    <t>Елеусинова А.У</t>
  </si>
  <si>
    <t>Практикум по эконометрике. Линейная регрессия</t>
  </si>
  <si>
    <t>Данный практикум предназначен для преподавателей, студентов Вузов, обучающихся по экономическим образовательным программам, а также для всех заинтересованных лиц. Практикум может быть использован как на занятиях по дисциплине «Эконометрика», так и при самостоятельном изучении, благодаря четкости и доступности изложения материала. Полученные в процессе решения заданий умения и навыки могут быть использованы студентами в будущей профессиональной деятельности.</t>
  </si>
  <si>
    <t>00011629</t>
  </si>
  <si>
    <t>978-601-330-582-0</t>
  </si>
  <si>
    <t>Жунусова Т.И., Бүркіт Ә.Қ.</t>
  </si>
  <si>
    <t>Әл-Фараби мен музыка</t>
  </si>
  <si>
    <t>Искуство,Музыка</t>
  </si>
  <si>
    <t>Бұл авторлық бағдарламада Әл-Фараби мен музыка жайлы құнды еңбектер жазылған. Жалпы орта мектептің музыка пәнінің мұғалімдеріне арналған авторлық бағдарлама</t>
  </si>
  <si>
    <t>00011630</t>
  </si>
  <si>
    <t>978-601-330-574-5</t>
  </si>
  <si>
    <t>Нурымбетова Л.Қ., Бүркіт Ә.Қ., Қантөре М.Ә., Мамаева Г.,Турапбаева М.</t>
  </si>
  <si>
    <t>Биология 1 Том</t>
  </si>
  <si>
    <t>Биология пәнінен сыныптан тыс жұмыстарды ұйымдастыру және өткізу әдістемесін жетілдіру. (Озық педагогикалық тәжірибені зерттеу, республика көлеміне тарату және енгізу). Мамандандырылған мектеп-интернаты, мектеп-лицейдің, жалпы орта мектептің «Биология» пәнінің мұғалімдеріне арналған әдістемелік құралы. Шымкент, Бұл авторлық бағдарламада биология пәнінен сыныптан тыс жұмыстарды ұйымдастыру және өткізу әдістемесін жетілдіру жайлы құнды мәліметтер келтірілген.</t>
  </si>
  <si>
    <t>00011631</t>
  </si>
  <si>
    <t>978-601-330-584-4</t>
  </si>
  <si>
    <t>Биология 2 Том</t>
  </si>
  <si>
    <t>00011632</t>
  </si>
  <si>
    <t>978-601-330-366-6</t>
  </si>
  <si>
    <t>Ботабаева А.Е., Қалжан Н.А.</t>
  </si>
  <si>
    <t>Алаш қайраткерлерінің әлеуметтік - педагогикалық идеялары</t>
  </si>
  <si>
    <t>«Алаш қайраткерлерінің әлеуметтік - педагогикалық идеялары» атты монография қазіргі таңда өзекті. Монографияда Алаш қайраткерлерінің әлеуметтік - педагогикалық идеялары туралы жан-жақты мәліметтер келтірілген. Алаш қайраткерлерінің әлеуметтік - педагогикалық идеяларының қалыптасу тарихы және оның мазмұны ашып жазылған. Монографияны оқытушыларға, студенттерге, магистранттарға, докторанттар мен жалпы оқырман жұртшылықтың пайдалануына болады.</t>
  </si>
  <si>
    <t>00011633</t>
  </si>
  <si>
    <t>978-601-330-546-2</t>
  </si>
  <si>
    <t>Бүркіт Ә.Қ.,Каналкулова М.К., Дулатов С</t>
  </si>
  <si>
    <t>Математика 8 том 1 бөлім</t>
  </si>
  <si>
    <t>Бұл авторлық бағдарламада математика пәнінен сыныптан тыс жұмыстарды ұйымдастыру және өткізу әдістемесін бойынша, оқушыларды ғылыми жоба байқауына дайындау жайлы құнды мәліметтер келтірілген.</t>
  </si>
  <si>
    <t>00011641</t>
  </si>
  <si>
    <t>978-601-330-580-6</t>
  </si>
  <si>
    <t>Кервенев Қ.Е., Бейсенова Д.Р., Искаков С.А., Шаматаева Н.Қ., Ахманова Д.М.</t>
  </si>
  <si>
    <t>Математикалық есетерді шешу практикумы (геометрия)</t>
  </si>
  <si>
    <t>педагогика, математика,геометрия</t>
  </si>
  <si>
    <t>Оқу құралы педагогикалық мамандар даярлау бағытындағы жоғары және арнайы орта оқу орындарының студенттеріне арналған. Оқу құралында қарастырылған бөлімдер: Тригонометриялық өрнектерді теңбе-тең түрлендірулер. Тригонометриялық теңдеулер, теңсіздіктер және олардың жүйелерін шешу. Үшбұрыш, тамаша нүктелер мен сызықтар, ауданы. Төртбұрыштар. Көпбұрыштар. Дұрыс көпбұрыштар, ауданы. Шеңбер. Дөңгелек. Кеңістіктегі түзулер мен жазықтықтардың паралельдігі, перпендикулярлығы. Айқыш түзулер. Екі жақты бұрыш. Көпжақтар.Айналу денелері. Материал ғылыми тұрғыда баяндалған. Теориялық материал көптеген мысалдармен бекітілген.Оқу құралын педагогикалық бағыттағы студенттер, оқытушылар, магистранттар және PhD докторанттары қызықтырады.</t>
  </si>
  <si>
    <t>00011642</t>
  </si>
  <si>
    <t>978-601-13-0112-1</t>
  </si>
  <si>
    <t>Кервенев Қ.Е, Қосыбаева Ү.А, Шаматаева Н.Қ, Хабдолда С , Ахманова Д.М</t>
  </si>
  <si>
    <t>Математикалық сауаттылық</t>
  </si>
  <si>
    <t>педагогика, математика</t>
  </si>
  <si>
    <t>Оқу құралы педагогикалық мамандар даярлау бағытындағы жоғары және арнайы орта оқу орындарының студенттеріне арналған. Оқу құралында математиканың негізгі бөлімдері қарастырылған: Мектеп математикасы курсындағы мазмұнды есептер, есептер шешу үрдісінің құрылымы, есептерді шығарудан алдын ала жүргізілетін жұмыстар, есептерді шығару жоспарын құру әдістері, есептің семантикалық талдауы.Материал ғылыми тұрғыда баяндалған. Теориялық материал көптеген мысалдармен бекітілген.Оқу құралын педагогикалық бағыттағы студенттер, оқытушылар, магистранттар және PhD докторанттары қызықтырады.</t>
  </si>
  <si>
    <t>00011643</t>
  </si>
  <si>
    <t>978-601-330-586-8</t>
  </si>
  <si>
    <t>Кервенев Қ.Е., Шегирова Д.К</t>
  </si>
  <si>
    <t>Математикалық есептер шешу практикумы</t>
  </si>
  <si>
    <t>Оқу құралы педагогикалық мамандар даярлау бағытындағы жоғары және арнайы орта оқу орындарының студенттеріне арналған. Оқу құралында математиканың негізгі бөлімдері қарастырылған: өрнектерді тепе-тең түрлендірулер, теңдеулер мен теңсіздіктерді, теңдеулер мен теңсіздіктер жүйесін шешу жолдары.Материал ғылыми тұрғыда баяндалған. Теориялық материал көптеген мысалдармен бекітілген.Оқу құралын педагогикалық бағыттағы студенттер, оқытушылар, магистранттар және PhD докторанттары қызықтырады.</t>
  </si>
  <si>
    <t>00011644</t>
  </si>
  <si>
    <t>978-601-13-0322-4</t>
  </si>
  <si>
    <t>Аңсапов А.Е., Казагачев В.Н.</t>
  </si>
  <si>
    <t>Электрлік машиналар</t>
  </si>
  <si>
    <t>«Электр машиналары» оқу құралында электр машиналары саласындағы негізгі түсініктер мен анықтамалар, сонымен қатар әртүрлі типтегі машиналарды жіктеу және қолдану жолдары берілген. Нұсқаулық электр машиналарының жұмыс істеу принциптерін түсіну үшін қажетті электромагнетизм және электротехника негіздерін қамтиды. Сонымен қатар, нұсқаулық тұрақты токтарды, асинхронды және синхронды электр машиналарын егжей-тегжейлі қарастырады. Есептеу және жобалау әдістері, сонымен қатар осы машиналарды басқару және реттеу ерекшеліктері көрсетілген. Әдістемелік құрал электроэнергетика саласындағы мамандықтарды оқитын студенттерге арналған.</t>
  </si>
  <si>
    <t>00011645</t>
  </si>
  <si>
    <t>Бекешев А.З., Казагачев В.Н.</t>
  </si>
  <si>
    <t>Энергосбережение и энергоэффективность</t>
  </si>
  <si>
    <t>Учебное пособие "Энергосбережение и энергоэффективность" предназначено для студентов и преподавателей технических вузов, таких как энергетический, машиностроительный, строительный, а также для специалистов, работающих в области энергетики, энергосбережения, инженерии, управления и других смежных сферах.
 Пособие является полезным ресурсом для изучения и практического применения принципов энергосбережения и энергоэффективности, и помогает развить навыки, необходимые для решения актуальных задач в области энергетики и устойчивого развития Пособие разработано с целью подготовки специалистов в области энергетики, строительства, управления и других смежных областей.</t>
  </si>
  <si>
    <t>00011646</t>
  </si>
  <si>
    <t>978-601-330-507-3</t>
  </si>
  <si>
    <t>Есберген Р.Ә., Сайымова М.Д.</t>
  </si>
  <si>
    <t>Ұйымдағы персоналды басқару</t>
  </si>
  <si>
    <t>«Ұйымдағы Персоналды басқару» монографиясында персоналды басқарудың теориялық негіздері мен кейбір практикалық сұрақтары көрсетілген. Отандық және шетелдік тәжірибе негізінде қазіргі жағдайда қызметкерлермен жұмыс жасаудың тиімді тәсілдері қарастырылады. Персоналды басқаруды ұйымдастыру негіздері, тұжырымдамалары, стратегиялары, персоналды басқару технологиялары мен әдістері қарастырылады. Монография персоналды басқару сұрақтарымен айналысатын білім берушілерге, практик-мамандарға ұсынылады, сонымен қатар жас мамандар мен біліктілігін арттыратын менеджерлерге пайдалы болуы мүмкін.</t>
  </si>
  <si>
    <t>00011647</t>
  </si>
  <si>
    <t>Лексический минимум по русскому языку для групп высших учебных заведений с казахским языком обучения</t>
  </si>
  <si>
    <t>Настоящий лексический минимум (словарь-минимум) предназначен для использования в учебном процессе по программе бакалавриата для изучения дисциплины «Русский язык» в высших учебных заведениях Республики Казахстан в группах с казахским языком обучения (уровень В2) для глубокого и качественного понимания основной идеи учебных текстов, его логической структуры, общей линии содержания, а также ориентирован на грамотное чтение и перевод. Кроме того, учебно-методическое пособие окажет теоретико-практическую и методическую помощь в учебно-воспитательном процессе магистрантами по дисциплине «Профессионально-ориентированный русский язык» для групп с казахским языком обучения, а также всем заинтересованным специалистам, занимающихся изучением русского языка.</t>
  </si>
  <si>
    <t>00011648</t>
  </si>
  <si>
    <t>978-601-330-828-9</t>
  </si>
  <si>
    <t>Кургамбеков М.С., Кемалова Г.Б., Жеңсікбаева А.Н.</t>
  </si>
  <si>
    <t>Мүсін және пластикалық анатомия</t>
  </si>
  <si>
    <t>«Мүсін және пластикалық анатомия» оқу құралы жұмыс жоспары мен оқу бағдарламасының талаптарына сәйкес құрастырылған. Мүсін және пластикалық анатомия саласындағы негізгі ережелерді, ғалымдар мен зерттеушілер айтқан пікірлерге қысқаша шолу жасауды, жұмыс орнын дайындаудан бастап, киінген фигураны сомдау заңдылықтары мен дененің анатомиялық құрылымының мүсін орындаудағы негізгі қағидаларын қарастырады.
 Мүсін және пластикалық анатомия оқу құралы жоғары оқу орындары мен колледж білім алушылары және мектеп мұғалімдеріне арналады.</t>
  </si>
  <si>
    <t>00011649</t>
  </si>
  <si>
    <t>978-601-330-470-0</t>
  </si>
  <si>
    <t>Саутова Т.А.</t>
  </si>
  <si>
    <t>Қазақ тілі. Студенттерге арналған. 1 – бөлім</t>
  </si>
  <si>
    <t>Бұл оқу-әдістемелік құрал «Школа без каникул. Уроки казахского языка» атты айдармен «Северный Казахстан» газетінің беттерінде жарияланған сабақтар негізінде жазылған. Ұсынылып отырған оқу-әдістемелік құрал деңгейлеп оқыту бағдарламасы негізінде дайындалған. Мемлекеттік қызметкерлер мен мектеп мұғалімдері, мектеп, лицей оқушылары, колледж, университет студенттеріне көмекші құрал ретінде пайдалануға да болады.</t>
  </si>
  <si>
    <t>0001165</t>
  </si>
  <si>
    <t>Байхожаева Б.У., Хаймулдинова А.К., Джумадилова Н.М., Косанова И.М.</t>
  </si>
  <si>
    <t>Тұтынушы мәдениетінің негіздері</t>
  </si>
  <si>
    <t>Қазіргі өтпелі нарықтық экономика кезеңі ретінде сипатталатын уақытта, тұтынушы негіздерін оқып-үйрену үлкен сұранысқа ие болып келеді. Тұтынушылық мәдениетті қалыптастыру мәселесі заманауи білім беруді дамытумен тікелей байланысты. Тұтынушылық тұрғыдан сауатты болу яғни, дұрыс өнімді таңдау, қажет жағдайда тұтынушы өз құқықығын қорғау үшін арнайы техникалық, экономикалық және құқықтық білім қажет.Оқу құралында тұтынушы құқығын қорғау, өнім сапасы мен қауіпсіздігін қамтамасыз ету туралы заңнамалар келтірілген. Сондай-ақ оқылатын пәннің мәнін анықтауға байланысты теориялық мәселелерді қамтылып, тұтынушылық білімнің тұжырымдамалық аппаратымен таныстырылады. Осы оқу құралы стандарттау және сертификаттау мамандығы бойынша білім алушы студенттерге, магистранттарға арналады</t>
  </si>
  <si>
    <t>00011651</t>
  </si>
  <si>
    <t>Векленко Г.В., Смагулова Г.А., Ахметов К.Ж.</t>
  </si>
  <si>
    <t>Объективный структурированный клинический экзамен по внутренним болезням.</t>
  </si>
  <si>
    <t>Пропедевтика</t>
  </si>
  <si>
    <t>Внедрение на кафедре пропедевтики внутренних болезней ЗКМУ имени Марата Оспанова ОСКЭ позволило получить реальную картину клинической компетентности студентов 3 курса факультета «Общая медицина», выявить просчеты обучения и, следовательно, улучшить его. В методическом пособии представлены рекомендации по проведению экзамена и составлению оценочных критериев, оценочного листа экзаменаторов, даны пошаговые инструкции для студентов, разработанные сотрудниками кафедры ПВБ. Третье издание пособия содержит материалы для проведения ОСКЭ на трех языках (казахском, русском и английском), что позволит широко использовать его в учебном процессе как обучающимся, так и преподавателям.</t>
  </si>
  <si>
    <t>00011652</t>
  </si>
  <si>
    <t>Ахметов Қ.Ж., Векленко Г.В., Смагулова Ғ.Ә.</t>
  </si>
  <si>
    <t>Ішкі аурулар бойынша объективтендірілген құрамдастырылған клиникалық емтихан</t>
  </si>
  <si>
    <t>Марат Оспанов атындағы БҚМУ ішкі аурулар пропедевтикасы кафедрасында ОҚКЕ енгізу жалпы медицина факультетінің 3 курс студенттерінің клиникалық құзыреттілігінің нақты бейнесін алуға, оқытудағы қателіктерді анықтауға және оны жақсартуға мүмкіндік береді. Оқу-әдістемелік құралда емтиханды ұйымдастыруға, бағалау көрсеткіштерін, емтихан алушылар толтыратын бағалау парағын құрастыруға ұсыныстар, студенттер іс-қимылы қадамдарына ішкі аурулар пропедевтикасы кафедрасының оқытушылары құрастырған нұсқаулар берілді. Оқу құралының үшінші басылымы үш тілде (қазақ, орыс және ағылшын) ОҚКЕ-ға арналған материалдардан тұрады, бұл оны студенттерге де, мұғалімдерге де оқу процессінде кеңінен пайдалануға мүмкіндік береді.</t>
  </si>
  <si>
    <t>00011653</t>
  </si>
  <si>
    <t>Шандаулов А.Х., Хамчиев К.М., Жашкеева А.М., Жиенгалиева А.К.</t>
  </si>
  <si>
    <t>Основы морфофизиологии и методов исследований выделительной системы</t>
  </si>
  <si>
    <t>В учебном пособии «Основы морфофоизиологии и методов исследования выделительной системы» представлен материал в соответствии с типовой учебной программой «Нормальная физиология» и отражает более тридцатилетний опыт преподавания предмета на кафедре нормальной физиологии НАО «МУА». В пособии описаны пре- и пост- реквизиты «Выделительной системы». Пособие предназначено для обучения студентов по интегрированной методике преподавания, по «модульным системам», физиологии выделения. Прочному усвоению материала способствуют схемы, таблицы, представленные основные понятия, термины, тестовые задания и ситуационные задачи с эталонами ответов.
 Учебное пособие предназначено для студентов медицинских университетов, обучающихся по специальностям: «Общая медицина», «Стоматология», «Общественное здоровье», «Сестринское дело», «Фармация», а также для обучающихся в послевузовском образовательном процессе, интернатуре, резидентуре, магистратуре и студентам университетов медицинских факультетов.</t>
  </si>
  <si>
    <t>00011654</t>
  </si>
  <si>
    <t>Зәр шығару жүйесі морфофизиологиясының және зерттеу әдістерінің негіздері</t>
  </si>
  <si>
    <t>«Зәр шығару жүйесі морфофизиологиясының және зерттеу әдістерінің негіздері» атты оқу құралындағы материал «Қалыпты физиология» типтік оқу бағдарламасына сәйкес ұсынылған, сонымен қатар «Астана медицина университеті» КеАҚ-тың қалыпты физиология кафедрасында пәнді оқытудың отыз жылдан астам тәжірибесін көрсетеді. Оқу құралында «Зәр шығару жүйесінің» пререквизиттері мен постреквизиттері сипатталған. Оқу құралы студенттерді оқытудың интеграцияланған әдістемесі, «модульдік жүйелер», зәр шығару физиологиясы бойынша оқытуға арналған. Оқу құралында ұсынылған схемалар, кестелер, ұсынылған негізгі ұғымдар, терминдер, тест тапсырмалары және жауаптары бар жағдаяттық тапсырмалар материалдың жақсы игерілуіне ықпал етеді. Оқу құралы медициналық жоғары оқу орындарының «Жалпы медицина», «Стоматология», «Денсаулық сақтауды ұйымдастыру», «Мейіргер ісі», «Фармация» мамандықтары бойынша оқитын студенттеріне, сондай-ақ жоғары оқу орнынан кейінгі білім беру процесінде, интернатурада, резидентурада, магистратурада оқитындарға және медицина факультеттері бар университет студенттеріне арналған.</t>
  </si>
  <si>
    <t>00011655</t>
  </si>
  <si>
    <t>Тыныс алу жүйесінің морфофизиологиясы мен зерттеу әдістернің негіздері</t>
  </si>
  <si>
    <t>Оқу құралы «Қалыпты физиология» курсының оқу бағдарламасына сәйкес жазылған және КеАҚ АМУ қалыпты физиология кафедрасында отыз жылдан астам тәжірибені көрсетеді. Екі тілде жазылған: қазақ және орыс. Диаграммалар, кестелер, ұсынылған негізгі ұғымдар, тыныс алу физиологиясында қолданылатын терминдер, тест сұрақтары мен жауаптар стандарттары, ситуациялық тапсырмалар материалды қатты игеруге ықпал етеді. Соңғы бес жылдағы негізгі әдебиеттер тізімі көрсетілген. Оқу құралы медициналық жоғары оқу орындарының «Стоматология», «Денсаулық сақтауды ұйымдастыру», «Мейірбике ісі», «Фармация», «Жалпы медицина» мамандықтары бойынша оқитын студенттерге және биологиялық профилі бар жоғары оқу орындарының студенттеріне арналған. Магистранттар, резиденттер мен дәрігерлер үшін.</t>
  </si>
  <si>
    <t>00011656</t>
  </si>
  <si>
    <t>Основы морфофизиологии и методов исследования дыхательной системы</t>
  </si>
  <si>
    <t>Учебное пособие написано в соответствии с учебной программой курса «Нормальная физиология» и отражает более тридцатилетний опыт преподавания предмета на кафедре нормальной физиологии НАО МУА. Написан на двух языках: казахском и руссом. Прочному усвоению материала способствуют схемы, таблицы, представленные основные понятия, термины, используемые в разделе физиология дыхания, тестовые вопросы и эталоны ответов, ситуационные задачи. Указан список основной литературы за последние пять лет. Учебное пособие предназначено для студентов медицинских университетов, обучающихся по специальностям: «Стоматология», «Организация здравоохранения», «Сестринское дело», «Фармация», «Общая медицина», и студентов университетов с биологическим профилем обучения. Магистрантам, резидентам и врачам практического здравоохранения.</t>
  </si>
  <si>
    <t>00011657</t>
  </si>
  <si>
    <t>Инновационная экономика.</t>
  </si>
  <si>
    <t>В XXI веке инновационная экономика формируется во всех циви-
 лизованных процветающих государствах. И в Стратегии развития Казахстана созданию инновационной экономики должно отводиться особое место.В монографии автор определяет роль науки в структуре инновационной экономики Казахстана, критерии и показатели конкуренто способности национальной экономики, используя рекомендации Всемирного Давосского экономического форума. В качестве новации читателям предоставляется «Экономический манифест». Предлагается главная концептуальная идея автора – создание социально-ориентированной экономики в Казахстане. Книга предназначена для всех читателей, особенно для будущего
 поколения молодежи Казахстана.</t>
  </si>
  <si>
    <t>00011659</t>
  </si>
  <si>
    <t>Сабден О., Глазьев С.Ю., Арменский А.Е., Наумов Е.А.</t>
  </si>
  <si>
    <t>Интеллектуальная экономика – технологические вызовы XXI века</t>
  </si>
  <si>
    <t>Монография посвящена проблемам становления посткризисной
 экономики, экономики интеллектуальной, основанной на использовании знаний и интеллектуального потенциала человека. Коллектив авторов, представляющих эту книгу, в составе академика РАН Глазьева С.Ю., академика НИА Республики Казахстан О.С. Сабдена, профессора, академика РАЕН А.Е. Арменского и профессора Е.А. Наумова, известные ученые и специалисты в области теории инновационного и устойчивого развития. Авторы надеются, что книга найдет отклик среди коллег ученых, специалистов и просто читателей, кому не безразлична перспектива становления социально-ориентированной интеллектуальной экономики, отвечающей технологическим вызовам XXI века. Монография предназначена читателям, которым не безразлично будущее России и Казахстана в условиях глобализации экономики и партерства цивилизаций.</t>
  </si>
  <si>
    <t>00011660</t>
  </si>
  <si>
    <t>Логистика(экономика и управление). 1 часть</t>
  </si>
  <si>
    <t>В учебнике рассмотрены теоретические, методологические и практические вопросы логистики, ее сущность, этапы становления, осоновные концепции логистики ее место в системе экономических наук. Описаны логистические процессы, их инфраструктурное и ресурсное обеспечение. В работе развиты экономические основы логистической системы предприятия и впервые предложены экономические основы функционирования макрологистической системы отраслей экономики и регионов на основе развития межфирменных экономических отношений в условиях рыночной экономики. Представлены основные пути и методы формирования и развития логистики и логистической системы на разных уровнях: предприятий, отрасли, региона, освещен опыт использования и концептуальные основы развития логистики в Казахстане. Учебник предназначен для студентов и аспирантов высших учебных заведений, научных работников и специалистов по логистике.</t>
  </si>
  <si>
    <t>00011661</t>
  </si>
  <si>
    <t>Логистика(экономика и управление). 2 часть</t>
  </si>
  <si>
    <t>00011662</t>
  </si>
  <si>
    <t>Сабден О., Арменский А.Е., Кочубей С.Э., Наумов Е.А.</t>
  </si>
  <si>
    <t>Устойчивое инновацион ое развитие и мировые финансы XXI веке.</t>
  </si>
  <si>
    <t>Книга посвящена рассмотрению вопросов создания единого экономического пространства, способствующего устойчивому развитию Евразийского экономического сообщества. В книге приводится оценка влияния системы экономических показателейна качество жизни, подробно описываются экологические и экономические проблемы современного человечества от исторических этапов до настоящего времени, приведшие к необратимым
 последствиям. Книга рекомендована студентам и слушателям, преподавателям ВУЗов, а также при подготовке специалистов, их профессиональной переподготовке и повышении квалификации</t>
  </si>
  <si>
    <t>00011663</t>
  </si>
  <si>
    <t>Ұлттық экономиканың бәсекеге қаблеттілігі: бағалау критерийлері мен арттыру жолдары</t>
  </si>
  <si>
    <t>Монографияда ұлттық экономиканың бәсекеге қабілеттілігі мәселесі кешенді түрде талданып, әлемдік экономикадағы Қазақстанның бәсекеге қабілеттілігінің ұлттық, үлгілерін қалыптастыру параметрлері қарастырылған. Ұлттық жүйелердің жаһандық бәсекеге қабілеттілігі туралы теориялық бағыттардың эволюциясы берілген.</t>
  </si>
  <si>
    <t>00011664</t>
  </si>
  <si>
    <t>Конкурентоспособность национальной экономики: критерии оценки и пути повышения.</t>
  </si>
  <si>
    <t>В монографии предоставлен комплексный анализ проблем конкурентноспособности национальной экономики рассмотрены параметры формирование национальной модели конкурентноспособности Казахстана мировой экономики. Предоставлены эволюции теоретических взглядов на проблему глобальной конкурентноспособности национальных систем.</t>
  </si>
  <si>
    <t>00011665</t>
  </si>
  <si>
    <t>Сабден О., Акбердин Р.З., Васильева Е.С.</t>
  </si>
  <si>
    <t>Рыночная экономика. 1 часть</t>
  </si>
  <si>
    <t>В учебном пособии на базе концептуальных основ развития рыночных отношений на уровне макро-, микроэкономики и обобщения богатейшего опыта, накопленного авторами в результате многолетних исследований актуальных проблем развития рыночной экономики в странах СНГ и за рубежом, рассмотрена во всех аспектах экономика предприятия с позиции организации производства конкурентоспособной продукции за счет экономической оценки и эффективного использования всех ресурсов и резервов производства. В работе впервые в отечественной и зарубежной экономической литературе оопределены экономические основы логистической системы и коммерческой деятельности предприятия на базе развития в современных условиях внутрипроизводственных экономических отношений. Учебное пособие предназначено для специалистов всех уровней управления, преподавателей, аспирантов, студентов и слушателей вузовского и послевузовского обучения, предпринимателей и широкого круга читателей.</t>
  </si>
  <si>
    <t>00011666</t>
  </si>
  <si>
    <t>Рыночная экономика. 2 часть</t>
  </si>
  <si>
    <t>00011669</t>
  </si>
  <si>
    <t>На благо народа.</t>
  </si>
  <si>
    <t>В книге описан творческий путь становления и роста известного ученого, общественного деятеля, лауреата Государственной премии РК, Российсского Ордена Ломоносова, академика, доктора экономических наук, профессора О. Сабдена. Тепло и душевно отзываются друзья о родительском очаге Оразалы, где воспитывали его честности, трудолюбию, целеустремленности, любви к родной земле. Дана интересная картина вхождения героя книги в большую науку, как, шаг за шагом, преодолевая естественные и искусственные преграды на этом пути, он достиг больших высот. Книга достаточно полно отражает его общественную деятельность в качестве депутата 4-х созывов Верховного Совета и Парламента Казахстана, внесшего большой вклад в становление суверенного Казахстана. Показана его многогранная деятельность на посту президента Международного казахско-турецкого университета им. Х.А. Ясави и Союза ученых Казахстана. В книге приводятся отзывы об Оразалы Сабдене крупных ученых, общественных деятелей страны, его современников и соратников.</t>
  </si>
  <si>
    <t>0001167</t>
  </si>
  <si>
    <t>Байысбаева М. П.</t>
  </si>
  <si>
    <t>Наубайхана кәсіпорындарын жобалау</t>
  </si>
  <si>
    <t>Оқу құралында наубайхана кәсіпорындарын жобалау туралы жалпы түсінік берілген. Оқу құралы наубайхана кәсіпорынын жобалау бойынша дипломдық жұмысты жүргізудің негізгі сұрақтарын қарастыруға арналған. Оқу құралында жалпы нан алу технологиясының негізгі сатылары, жобалауды ұйымдастыру сұрақтарының реті, шикізаттарды сақтау жабдықтары, қамыр илеу және ашыту жабдықтары, қамырды бөлшектеп-өңдеу құралдары, жетілдіру жабдықтары, наубайханалық пештер, дайын өнімдерді сақтау құрал жабдықтары жөнінде мағұлмат келтірілген. Наубайхана кәсіпорынын жобалау бойынша есептеуді орындаудың әдістері барлық бөлімдерге мысалдар келтіре отыра берілген.Ұсынылып отырған оқу құралы жоғары және орта оқу орындарының 5В072800 – «Өңдеу өндірісінің технологиясы» мамандығы студенттеріне арналған</t>
  </si>
  <si>
    <t>00011670</t>
  </si>
  <si>
    <t>Сабден О., Омарова К.Ж.</t>
  </si>
  <si>
    <t>Финансово-кридитное регулирование деятельности промышленных предприятий Казахсатана: проблемы и перспективы.</t>
  </si>
  <si>
    <t>В силу экономической, социальной и политической значимости
 промышленных предприятий для страны ключевым является вопрос
 их обеспеченности финансово-кредитными ресурсами. Авторами книги
 предлагается финансово-кредитный механизм развития предприятий недобывающих отраслей, реализация которого позволит увеличить приток
 денежных ресурсов в реальный сектор экономики на взаимовыгодных
 условиях.Рассчитана на широкий круг читателей – государственных чиновников, предпринимателей, преподавателей, студентов, научных работников.</t>
  </si>
  <si>
    <t>00011672</t>
  </si>
  <si>
    <t>978-601-13-0353-8</t>
  </si>
  <si>
    <t>Жұмабеков Ә.Т., Жарменов С.М., Қаныбеков А.</t>
  </si>
  <si>
    <t>Іш қуысының жедел хирургиялық аурулары I том</t>
  </si>
  <si>
    <t>Оқу құралында іш қуысының жедел хирургиялық ауруларының этиологисы, патогенезі, жіктелуі, клиникасы, диагностикасы және емдеу әдістері баяндалған. Ұсынылып отырған оқу құралы тақырыптарға байланысты көптеген суреттермен безендірілген. Оқу құралы медициналық университеттердің студенттеріне, резиденттерге, магистранттарға, докторанттарға және хирургтарға қосымша әдебиет ретінде ұсынылады.</t>
  </si>
  <si>
    <t>00011673</t>
  </si>
  <si>
    <t>Іш қуысының жедел хирургиялық аурулары ІI том</t>
  </si>
  <si>
    <t>00011674</t>
  </si>
  <si>
    <t>М.Әуезов және абайтану мәселелері</t>
  </si>
  <si>
    <t>Оқулықта абайтану тарихы кезең-кезеңмен жүйеленіп беріледі. Абайтану ғылымының негізін салып, ғылыми деңгейде қалыптастырған М.Әуезовтің мол мұрасы кеңінен қамтылады. М.Әуезовтің Абай бейнесін көркемдік тұрғыдан сомдаған туындыларының жазылуы, ақын мен жазушы шығармашылығындағы рухани сабақтастық мәселелері талданып беріледі. Оқулық жоғары оқу орындарының оқытушы-ұстаздарына, студенттерге, магистранттарға, PhD докторанттарға және және көпшілік қауымға арналған.</t>
  </si>
  <si>
    <t>00011675</t>
  </si>
  <si>
    <t>978-601-13-0580-8</t>
  </si>
  <si>
    <t>Жұмабеков Ә.Т., Жаңбырбаев С.Ж., Қаныбеков А.</t>
  </si>
  <si>
    <t>Іш жарықтары</t>
  </si>
  <si>
    <t>Іш жарығының этиологиясы, патогенезі, клиникасы, диагностикалау әдістері қарастырылған. Герниопластиканың негізгі түрлері сипатталып, көптеген бейнелік материалдар көрсетілген. Оқулықта жарықтың асқыну-лары, операциялық әдістемелеріне мүмкіндігінше толығырақ талдау жасал-ған. Герниопластика кезінде аллопластикалық материалдарды таңдау және пайдалану әдістемесі: тартылып қалмайтын пластикалық түрлері, эндовидео-хирургия туралы да баяндалған. Авторлар ұжымы ұсынып отырған оқу-әдістемелік құрал медициналық жоғарғы білім алып жатқан бакалаврлар, хирург-интерндер мен жаңадан хирург мамандығын иеленген дәрігерлерге көмегі тиеді деп сенеді.</t>
  </si>
  <si>
    <t>00011676</t>
  </si>
  <si>
    <t>978-601-13-0074-2</t>
  </si>
  <si>
    <t>Дюсембина Г.</t>
  </si>
  <si>
    <t>Қазақшаңыз қалай? Самоучитель казахского языка. 2 том 1 часть</t>
  </si>
  <si>
    <t>Қазақшаңыз қалай? является учебным пособием базирующимся на авторской методике. Всё обучение грамматики построено по уникальной таблице, где грамматика казахского языка собрана воедино в таблицах для легкого восприятия и понимания. ЛЕГКО! «Қазақшаңыз қалай?» является продолжением книги «Қазахский язык? Легко! В 9-ти простых правилах». Цель курса: Понимать и использовать грамматику во всех четырех навыках – чтении, письме, разговоре и слушании по таблице «Доступная грамматика казахского языка в таблицах».Второй уровень – это вся грамматика казахского языка, понимание-аналитика взаимо-преобразования существительного, глагола, прилагательного. Первый уровень это заговорить и понять простую речь, а второй уровень заговорить и понять речь литературную. Легко! Просто! Интересно! Обещаю! Содержание 2-го уровня: вся грамматика второго уровня в таблицах, легкое и осознанное восприятие (Доступная грамматика в таблицах), история, обычаи-традиции, литература и культура, люди оставившие след в истории Казахстана. Одним словом это близкое знакомство со своей страной – «Өлкетану - Краеведение».</t>
  </si>
  <si>
    <t>00011677</t>
  </si>
  <si>
    <t>Қазақшаңыз қалай? Самоучитель казахского языка. 2 том 2 часть</t>
  </si>
  <si>
    <t>00011678</t>
  </si>
  <si>
    <t>978-601-330-453-3</t>
  </si>
  <si>
    <t>Абенова Л.У.</t>
  </si>
  <si>
    <t>Қазақ әдебиетінің тарихы</t>
  </si>
  <si>
    <t>Язык казахский язык, литература</t>
  </si>
  <si>
    <t>Жоғары оқу орындарының филология факультеті 6В01701 – Қазақ тілі мен әдебиеті мұғалімдерін даярлау білім беру бағдарламасы бойынша оқытылатын «Қазақ әдебиеті тарихының ежелгі және хандық дәуірі» және ХІХ ғасырдағы қазақ әдебиеті пәнінің бағдарламасына сәйкес жасалған бұл оқулықта «Ежелгі дәуір әдебиеті», «Хандық дәуір әдебиеті» және ХІХ ғасырдағы қазақ әдебиеті пәндерінің мақсаты мен міндеттері, Қазақ әдебиеті тарихының жүйеленуі, зерттелуі, даму сипаты, сол дәуірден жеткен көркем сөз үлгілері, нұсқалары, аударылуы жинақталып ұсынылған. Оқулық студенттерге, магистранттарға, мектеп мұғалімдеріне, сондай-ақ, әдебиетті сүйетін көпшілік оқырман қауымға арналған.</t>
  </si>
  <si>
    <t>00011679</t>
  </si>
  <si>
    <t>Өмірбай Р.С., Муратова С.К., Аршидинова М.Т., Өмірзакова Э.Ж., Музаппарова А.Б.</t>
  </si>
  <si>
    <t>Еңбек гигиенасы бойынша тәжәрибелік сабақтарға арналған ситуациялық тапсырмалар жинағы</t>
  </si>
  <si>
    <t>Ситуациялық тапсырмалар жинағында еңбек гигиенасының әртүрлі бөлімдері бойынша міндеттер ұсынылған, оларды шешу студенттерге өндірістік объектілерде мемлекеттік санитарлық қадағалау жүргізу кезінде әртүрлі жағдайларды шешуге көмектеседі.Оқу құралы Каспий Қоғамдық Университетінің «Тіршілік қауіпсіздігі және қоршаған ортаны қорғау» білім беру бағдарламасының студенттеріне арналған.</t>
  </si>
  <si>
    <t>0001168</t>
  </si>
  <si>
    <t>Наубайхана өндірісінде қолданылатын шикізаттар мен материалдар</t>
  </si>
  <si>
    <t>Оқу құралында нан өндірісінің негізгі сатылары берілген. Наубайхана өндірісінде қолданылатын негізгі және қосымша шикізаттардың сапасы, химиялық құрамы, қасиеті және оларға қойлатын талаптар келтірілген.Нан және нан өнімдері өндірісіндегі ең негізгі шикі затқа жататын ұнның наубайханалық қасиеттері және оны анықтау әдістеріне түсініктеме берілген. Ұсынылып отырған оқу құралы жоғары және орта оқу орындарының 5В072800 – «Қайта өңдеу өндірісінің технологиясы» мамандығы студенттеріне арналған</t>
  </si>
  <si>
    <t>00011680</t>
  </si>
  <si>
    <t>978-601-330-922-4</t>
  </si>
  <si>
    <t>Өндірістегі экологиялық құжаттар</t>
  </si>
  <si>
    <t>Оқу-әдістемелік құралда қоршаған ортаға техногендік әсердің негізгі бағыттары, ықтимал қауіптерді сәйкестендіру, өнеркәсіптік кәсіпорынның экологиялық Тәуекелдерін басқару әдістері мен тәсілдері, экологиялық тәуекелдерді басқару рәсімінің тәртібі, өнеркәсіптік қауіпсіздікті талдау және бағалау әдістері туралы заманауи деректер келтірілген. Оқу-әдістемелік құралдың маңызды орны табиғатты пайдалануды ұйымдастыру және жүргізу, өнеркәсіптік кәсіпорында қоршаған ортаны қорғау және экологиялық қауіпсіздік, сондай-ақ қоршаған ортаны қорғау және жұмыс істеп тұрған кәсіпорындарды экологиялық бақылау саласындағы мемлекеттік басқару жүйесі мәселелеріне арналған. Кешенде кәсіпорынның экологиялық және техногендік қауіпсіздігін қамтамасыз ететін табиғатты пайдалану құралдары келтірілген. Жәрдемақыда Қазақстан Республикасының өнеркәсіптік кәсіпорындардың экологиялық қауіпсіздігін қамтамасыз ету саласындағы заңнамасына көп көңіл бөлінеді.</t>
  </si>
  <si>
    <t>00011684</t>
  </si>
  <si>
    <t>Сабден О., Кошанов А., Догалов Д.</t>
  </si>
  <si>
    <t>Турар Рыскулов: государственная деятельность и экономические воззрения.</t>
  </si>
  <si>
    <t>Монография посвящена государственной деятельнос ти и экономическим воззрениям выдающегося деятеля Центральной Азии и России Т.Рыскулова. В книге рассмат риваются важнейшие аспекты экономического наследия, вклад Т.Рыскулова в социальноэкономическое, культурное развитие Казахстана. Рассматриваются основные заслуги Т.Рыскулова перед государством и сопредельными странами. Рассчитана на широкий круг читателей.</t>
  </si>
  <si>
    <t>00011686</t>
  </si>
  <si>
    <t>XXI ғасырға қандай экономикамен кіреміз.</t>
  </si>
  <si>
    <t>Бұл монографияда Қазақстан мемлекетін өтпелі кезеңде тығырықтан алып шығудың кезек күттірмейтін экономикалық жолдары зерделеніп, нарықтық экономиканы реформалау, басқару жүйесін жетілдіру, Жібек жолын жаңғырту, аймақтық реформа, жаңа экономикалық саясат концепциясы, шағын бизнес, жекешелендіру, бағалы қағаздар жǩне оларды заңмен қамтамасыз ету, шетелдік тǩжірибелер секілді өзекті мǩселелерді шешудің жолдары ашып көрсетілген. Автор XXI ғасыр қарсаңында Қазақстан экономикасына қандай басымдылық беру керек екені жөніндегі өз ойын ортаға салады. Бұл кітап экономистерге, саясаткерлерге, социологтарға, кәсіпкерлерге, жоғары оқу орындарының студенттері мен оқытушыларына және басқа да оқырман қауымына арналған.</t>
  </si>
  <si>
    <t>00011687</t>
  </si>
  <si>
    <t>Арын А.Б.</t>
  </si>
  <si>
    <t>Адам-машинаның әрекеттесуі</t>
  </si>
  <si>
    <t>Информатика, Программная инженерия</t>
  </si>
  <si>
    <t>Оқу құралында адам-машинаның өзара әрекеттесудің қазіргі жағдайы мен дамуы, пайдаланушы интерфейстерін жобалау үрдісіне, сондай-ақ адам-машиналық интерфейстің даму тенденцияларына кіріспе берілген.«Адам – машина» жүйелерінің сапа көрсеткіштері, жүйелерді талдау және жобалау әдістері, оператор қызметінің ерекшеліктері, зерттеу әдістері және оның қызметін ресімдеу мүмкіндігі, оператормен ақпарат алмасу үшін қолданылатын құрылғылардың негізгі түрлерінің қасиеттері қарастырылған.</t>
  </si>
  <si>
    <t>00011688</t>
  </si>
  <si>
    <t>Дарибаева Н.Г.</t>
  </si>
  <si>
    <t>Технологические процессы подготовки и переработки нефти и газа</t>
  </si>
  <si>
    <t>Данное учебное пособие предназначено для самостоятельной работы студентов, обучающихся по образовательным программам «Нефтяная инженерия» и «Горное и нефтегазовое дело» при изучении дисциплины «Технологические процессы подготовки и переработки нефти и газа» с целью формирования знаний по теоретическим основам технологических вопросов, связанных с системами сбора и подготовки нефти на промыслах, а также принципиальных схем и конструкций оборудования для процессов переработки нефти.Приведены темы лекционного курса, подробно изложены теоретические основы, технологические схемы и конструкции оборудования для получения товарной нефти и процессов первичной и вторичной переработки нефти. Представлены вопросы для текущего контроля по основным темам курса, тестовые задания для самоконтроля и ориентировочные вопросы к экзамену.</t>
  </si>
  <si>
    <t>00011689</t>
  </si>
  <si>
    <t>Потенциалды қауіпті технология</t>
  </si>
  <si>
    <t>Оқу құралында техносфераның негізгі қауіптері қарастырылған, қауіпті технологиялар мен өндірістер саласындағы тұжырымдамалық қатар анықталған, құрамында сұйытылған және сығылған газдар, авариялық химиялық қауіпті заттар және иондаушы сәулелену көздері бар объектілерде зақымдаушы факторлардың қалыптасу процестері көрсетілген. Ықтимал қауіпті объектілерде авариялық жағдайлар туындаған кезде қирау мен жұқтыру ауқымын болжаудың әдістемелік негіздері берілген.Оқу құралы Каспий қоғамдық университетінің "Потенциалды-қауіпті технология" пәнін оқитын студенттеріне арналған. Оқу құралының материалдары "Төтенше жағдайларда қорғау" және "Тіршілік қауіпсіздігі" пәндері бойынша мақала жазу және есептеу - графикалық жұмыстарды әзірлеу кезінде пайдаланылуы мүмкін.</t>
  </si>
  <si>
    <t>00011690</t>
  </si>
  <si>
    <t>Тіршілік әрекетінің қауіпсіздік ақпараттық жүйесі</t>
  </si>
  <si>
    <t>Жұмысшылардың қауіпсіздігін қамтамасыз ету, табиғи апаттардан, техногендік апаттардан туындаған авариялардың алдын алу, әсіресе қазіргі жағдайда, кез келген қызмет саласындағы әрбір өндірістегі негізгі міндет болып табылады. Бұл мәселені шешудің негізгі принциптері қауіптілік мониторингі негізінде техносфераның қауіпсіздігін басқару және ең тиімді шаралар мен қорғаныс құралдарын қолдану мысалында қарастырылған.</t>
  </si>
  <si>
    <t>00011691</t>
  </si>
  <si>
    <t>Тіршілік және еңбек қауіпсіздігі</t>
  </si>
  <si>
    <t>Есептер жинағы</t>
  </si>
  <si>
    <t>Оқу құралы студенттерді төтенше жағдайдың алдын алу шараларымен, қазіргі заманғы зақымдау құралдарының зақымдаушы әсерінен қорғану мен дәрігерге дейінгі алғашқы көмек көрсету және құтқару, сондай ақ кезек күттіруге болмайтын жұмыстарды жүргізу тәртіптерімен таныстыра отырып, тіршілік әрекетінің қауәпсіздігі саласындағы теориялық ұғымдарды қалыптастыруға негіз болады.Сонымен бірге заманауи техносфераның және өндірістін қауіптілік талдамасы жүргізіліп, «тәуекел» түсінігі толықтай қарастырылды; өндірістік ортаның оптимальды микроклиматын, метеорологиялық жағдайларын жасау, шу және дірілден қорғану, жарықтандыру мәселелері және өрт жарылыс қауіптіліктері мен бірге технологиялық үдерістердегі өндірістік қауіпсіздік мәселелеріне байланысты есептемелер берілген.Оқу құралы Кәспий қоғамдық университетінің “Тіршілік қауіпсіздігі және қоршаған ортаны қорғау” оқу бағдарламасының мамандығының студенттеріне арналған.</t>
  </si>
  <si>
    <t>00011692</t>
  </si>
  <si>
    <t>Shamuratova N.B / Шамуратова Н.Б.</t>
  </si>
  <si>
    <t>Financial analysis of a selected company</t>
  </si>
  <si>
    <t>В монографии дается объяснение финансового анализа как понятия, включая его методологию и все темы, связанные с этим вопросом. Полученные результаты впоследствии будут использованы для создания собственно финансового анализа выбранной компании. За исключением введения и заключения, текст состоит из четырех основных разделов. В первом разделе дается определение финансового анализа, раскрываются различные подходы к данному вопросу, определяются отдельные пользователи финансового анализа, а также источники информации для его создания. Во второй части описывается методология того или иного подхода к финансовому анализу; таким образом, основное внимание уделяется объяснению и интерпретации всех отдельных показателей и возможных процедур при их формировании. Третья часть содержит информацию об основных характеристиках выбранной компании и отрасли и дает читателю представление о том, как эта компания работает. В последней части результаты второй части применяются для выбранной компании. На основе предоставленной финансовой отчетности за последние пять лет будет проведен анализ всех показателей, описанных в методической части монографии, и на основе правильно интерпретированных результатов будут представлены выводы и возможные рекомендации.</t>
  </si>
  <si>
    <t>00011693</t>
  </si>
  <si>
    <t>978-601-330-797-8</t>
  </si>
  <si>
    <t>Семенов Г.М., Петришин В.Л., Ковшова М.В., Қаныбеков А.</t>
  </si>
  <si>
    <t>Хирургиялық тігіс</t>
  </si>
  <si>
    <t>Академик И. П. Павлов атындағы Санкт- Петербург мемлекеттік медицина университетінің оперативті хирургия және клиникалық анатомия кафедрасында көптеген жылдар бойы жинақталған тәжірибелері қысқаша оқулық құрал ретінде үш рет басылған (2020). Хирургиялық тігістер салудың классикалық әдістерінен бөлек оперативті хирургия және клиникалық анатомия кафедрасының оқытушыларының тәжірибеге енгізген әмбебап түрдегі тіндерді қолмен тігілетін тігістердің әдістері жарияланған. Ұсынылып отырған тігістердің әдістемелері дипломнан кейін білімін жетілдіру факультетіне келген тыңдаушылармен тәжірибелік сабақ Қысқаша оқулық құрал медициналық жоғары оқу орындарының студент-теріне және жаңадан тәжірибе жинақтап жүрген хирургтарға, резиденттерге, магистранттарға арналған.</t>
  </si>
  <si>
    <t>00011694</t>
  </si>
  <si>
    <t>978-601-330-572-1</t>
  </si>
  <si>
    <t>Муратаев К</t>
  </si>
  <si>
    <t>Этнокөркем дәстүрлері және артпедагогика мәселелері. Этнохудожественные традиции и вопросы артпедагогики</t>
  </si>
  <si>
    <t>Искусство, рисование</t>
  </si>
  <si>
    <t>Оқу құралы Қазақстанның ежелгі дәуірден қазіргі уақытқа дейінгі этноөнер дәстүр- лерінің пайда болуы мен эволюциясының ерекшеліктері туралы. Шығармашылық тәжірибедегі композициялар, көркем образдар мен мотивтердің символикасы мен се- мантикасы, сондай-ақ қазақ ою-өрнегі дәстүрлері мен элементтерінің архетиптері қа- растырылады. Мәдени мұра шығармаларындағы этнодәстүрлі қоғам дағы дүниетаным мен дүниені түсіндіру ерекшеліктері көрініс заңдылықтарында байқалады және ашы- лады. Артпедагогика негізінде білім беру және мәдениет мекемелерінің халықаралық ынтымақтастығы аясында этномәдени жүйелердің өмір сүру дәстүрлері мен қазіргі күрделі жағдайдағы өркениеттердің шығармашылық дамуы мәселелері айқындалады. Оқу құралы «Педагогикалық ғылымдар», «Өнер және гуманитарлық ғылымдар» білім беру саласындағы «Жалпы дамудың пәндік мамандандырылған мұғалімдерін даярлау» бағыты бойынша білім алушылар, болашақ дизайнерлер, суретшілер, педагогтар, өнер- танушылардыкәсіби даярлауға және кәсіби біліктілігін жетілдіруге, сондай-ақ халық өнеріне қызығушылық танытқандарға арналған.</t>
  </si>
  <si>
    <t>00011697</t>
  </si>
  <si>
    <t>978-601-13-0024-7</t>
  </si>
  <si>
    <t>Жанбиров Ж. Ғ., Елешева Ж. Б.</t>
  </si>
  <si>
    <t>Көлік логистикасы «Кейстер» мен ситуациялық ойындар және тәжірибелік сабақтар, тесттер жинағы</t>
  </si>
  <si>
    <t>Логистика және көлік академиясының Ғылыми кеңесі жоғары және жоғары оқу орнынанда "Логистика", "Көлікті пайдалану және жүк қозғалысы мен тасымалдауды ұйымдастыру" мамандықтары бойынша оқу құралы ретінде ұсынылды.</t>
  </si>
  <si>
    <t>00011698</t>
  </si>
  <si>
    <t>978-601-330-528-8</t>
  </si>
  <si>
    <t>Қазақстан Республикасының қылмыстық құқығы альбом - кесте. Жалпы бөлім</t>
  </si>
  <si>
    <t>«Қазақстан Республикасының қылмыстық құқығы» курсының Жалпы бөлімі бойынша схемалар альбомы«Құқық» мамандықтар тобы бойынша оқу-әдістемелік секциясымен, қылмыстық құқық бойынша типтік оқу бағдарламасына сәйкес авторлар ұжымымен дайындалған.</t>
  </si>
  <si>
    <t>00011699</t>
  </si>
  <si>
    <t>978-601-330-539-4</t>
  </si>
  <si>
    <t>Бүркіт Ә.Қ., Далмырзаева С.А.,Тәшімбет Д., Беркутова А.К.,Ыдырыс А.Н.</t>
  </si>
  <si>
    <t>Информатика 9 том 3 бөлім</t>
  </si>
  <si>
    <t>Бұл авторлық бағдарламада информатика пәнінен сыныптан тыс жұмыстарды ұйымдастыру және өткізу әдістемесін бойынша, оқушыларды ғылыми жоба байқауына дайындау жайлы құнды мәліметтер келтірілген. Мектеп, колледж, университеттің физика пәнінің мұғалімдеріне арналған авторлық бағдарлама</t>
  </si>
  <si>
    <t>00011700</t>
  </si>
  <si>
    <t>978-601-330-540-0</t>
  </si>
  <si>
    <t>Информатика 9 том 2 бөлім</t>
  </si>
  <si>
    <t>00011701</t>
  </si>
  <si>
    <t>978-601-330-519-6</t>
  </si>
  <si>
    <t>Информатика 9 том 1 бөлім</t>
  </si>
  <si>
    <t>00011702</t>
  </si>
  <si>
    <t>978-601-330-450-2</t>
  </si>
  <si>
    <t>Бүркіт Ә.Қ., Ділдәбекова Н.Қ., Салибекова М.Ш.</t>
  </si>
  <si>
    <t>Физика 7 бөлім</t>
  </si>
  <si>
    <t>Бұл авторлық бағдарламада физика пәнінен сыныптан тыс жұмыстарды ұйымдастыру және өткізу әдістемесін бойынша, оқушыларды ғылыми жоба байқауына дайындау жайлы құнды мәліметтер келтірілген. Мектеп, колледж, университеттің физика пәнінің мұғалімдеріне арналған авторлық бағдарлама</t>
  </si>
  <si>
    <t>00011703</t>
  </si>
  <si>
    <t>978-601-330-449-6</t>
  </si>
  <si>
    <t>Физика 8 бөлім</t>
  </si>
  <si>
    <t>00011704</t>
  </si>
  <si>
    <t>978-601-330-149-5</t>
  </si>
  <si>
    <t>Физика 9 бөлім</t>
  </si>
  <si>
    <t>00011705</t>
  </si>
  <si>
    <t>978-601-330-527-1</t>
  </si>
  <si>
    <t>Аульбекова Ж.С., Усманова С.Т., Исмайлова Ж.Н., Буркит А.К</t>
  </si>
  <si>
    <t>Русский язык и литература 3 часть</t>
  </si>
  <si>
    <t>Язык русский, литература</t>
  </si>
  <si>
    <t>В учебно-методическом пособии приведении научно-методические обоснования по методике реализации принципа наглядности с применением информационно-телекоммуникационных технологии в обучении русского языка и литературы</t>
  </si>
  <si>
    <t>00011706</t>
  </si>
  <si>
    <t>978-601-330-526-4</t>
  </si>
  <si>
    <t>Русский язык и литература 4 часть</t>
  </si>
  <si>
    <t>00011707</t>
  </si>
  <si>
    <t>978-601-330-452-6</t>
  </si>
  <si>
    <t>Бүркіт Ә. Қ., Козбагарова Б.М., Раиымбекова Б. М.</t>
  </si>
  <si>
    <t>Қазақ тілі мен әдебиеті 6 бөлім</t>
  </si>
  <si>
    <t>Язык казахский, литература</t>
  </si>
  <si>
    <t>Бұл авторлық бағдарламада қазақ тілі мен әдебиеті пәнінен сыныптан тыс жұмыстарды ұйымдастыру және өткізу әдістемесін жетілдіру жайлы құнды мәліметтер келтірілген. Мектеп, колледж, университеттің қазақ тілі мен әдебиеті пәнінің мұғалімдеріне арналған</t>
  </si>
  <si>
    <t>00011708</t>
  </si>
  <si>
    <t>978-601-330-451-9</t>
  </si>
  <si>
    <t>Қазақ тілі мен әдебиеті 7 бөлім</t>
  </si>
  <si>
    <t>00011709</t>
  </si>
  <si>
    <t>978-601-330-495-3</t>
  </si>
  <si>
    <t>Ибрагимов Р.І., Омаров Е.Т., Бүркіт Ә.Қ., Қантөре Н.Ә., Сулейкулова Г.О</t>
  </si>
  <si>
    <t>Қазақстан Республикасының әскери робот техникаларын құрастыруды дамыту 1 бөлім</t>
  </si>
  <si>
    <t>Бұл оқу-әдістемелік құралында Қазақстан Республикасының әскери робот техникаларын құрастыруды дамыту жайлы құнды мәліметтер келтірілген. Жоғары оқу орындарының студенттері мен колледж және әскери-мектептің робот техникасы пәнінің мұғалімдеріне арналған оқу-әдістемелік құралы</t>
  </si>
  <si>
    <t>00011710</t>
  </si>
  <si>
    <t>978-601-330-498-4</t>
  </si>
  <si>
    <t>Қазақстан Республикасының әскери робот техникаларын құрастыруды дамыту 2 бөлім</t>
  </si>
  <si>
    <t>00011711</t>
  </si>
  <si>
    <t>978-601-330-496-0</t>
  </si>
  <si>
    <t>Қазақстан Республикасының әскери робот техникаларын құрастыруды дамыту 3 бөлім</t>
  </si>
  <si>
    <t>00011713</t>
  </si>
  <si>
    <t>978-601-330-766-4</t>
  </si>
  <si>
    <t>Хужамов Ж.Н., Есеева Г.К., Давлетова А.М., Лобазова В.А.</t>
  </si>
  <si>
    <t>Ветеринарная генетика и основы разведения</t>
  </si>
  <si>
    <t>«Генетика, селекция, разведение и размножение животных» Самаркандский государственный университет ветеринарной медицины, животноводства и биотехнологии, Республика Узбекистан, Есеева Г.К. – профессор, кандидат с.-х. наук, член корр. МААО, Костанайский инженерно-экономический университет им. М.Дулатова, Давлетова А.М. - доктор философии (PhD), Западно-Казахстанский аграрно-технический университет имени Жангир хана, Лобазова В.А. – магистр биологических наук, преподаватель кафедры стандартизации и пищевые технологии, Костанайский инженерно-экономический университет им. М.Дулатова.</t>
  </si>
  <si>
    <t>00011716</t>
  </si>
  <si>
    <t>Сагатбаев Е.Н.</t>
  </si>
  <si>
    <t>Современное состояние и методы дистанционного зондирования природной среды Тениз-Коргалжынской впадины</t>
  </si>
  <si>
    <t>география геология</t>
  </si>
  <si>
    <t>Монография написана на основе многолетних комплексных физико-географических исследований, проведенных в условиях стационарных и экспериментально-экспедиционных исследований Тениз-Коргалжынской впадины с применением дистанционных методов в период с 1975 по 2020 годы. Исследования охватили территорию Акмолинской и Карагандинской области Республики Казахстан. 
 В работе раскрыта роль применения дистанционного зондирования земли, а также факторов, непосредственно влияющих на компоненты природной среды. Дана геоэкологическая оценка природно-территориальных комплексов Тениз-Коргалжынской впадины с применением современных методов ДЗЗ, на основе скоординированного геоэкологического мониторинга создана серия карт компонентов природной среды, выявлены закономерности функционирования эколого-ландшафтных территории Тениз-Коргалжынской впадины. По результатам исследований сформирована методика дистанционного зондирования изменения природной среды. Монография рекомендована для исследователей в области физической географии, геоэкологии, землеустройства, кадастра, геодезии, оценки, специалистов экологических органов, студентов высших учебных заведений, будет полезна широкому кругу читателей.</t>
  </si>
  <si>
    <t>00011719</t>
  </si>
  <si>
    <t>Гайдай И.И.</t>
  </si>
  <si>
    <t>Технология производства продукции животноводства</t>
  </si>
  <si>
    <t>Стандартизация, пищевые технологии</t>
  </si>
  <si>
    <t>Курс лекций по дисциплине «Технология производства продукции животноводства» разработан на основании современной учебной литературы для студентов образовательной программы «Стандартизация и сертификация» и включает темы: основы разведения, продуктивность, кормление сельскохозяйственных животных, скотоводство, системы и способы содержания крупного рогатого скота в молочном и мясном скотоводстве, овцеводство, коневодство, зоогигиенические мероприятия на ферме.</t>
  </si>
  <si>
    <t>00011720</t>
  </si>
  <si>
    <t>978-601-13-0071-1</t>
  </si>
  <si>
    <t>Введение в специальность "Агрономия"</t>
  </si>
  <si>
    <t>Курс лекций по дисциплине «Введение в специальность» разработан на ос-новании современной учебной литературы для студентов ОП 6В08127 Аг-рономия (по отраслям) Учебное пособие будет полезно студентам других направлений и специаль-ностей в сфере агропромышленного комплекса</t>
  </si>
  <si>
    <t>00011721</t>
  </si>
  <si>
    <t>Технология производства молока и говядины</t>
  </si>
  <si>
    <t>В учебном пособии рассмотрены биологические и хозяйственные осо-бенности, породы крупного рогатого скота, дана характеристика его про-дуктивных качеств, систем и способов содержания. Изложены вопросы вос-производства, кормления, технологии выращивания ремонтного молодняка, производства молока и говядины. Предназначено для студентов высших учебных заведений, обучающих-ся по специальности «Специалист по экспорту сельхозпродукции», «Специа-лист по новым технологиям в сельском хозяйстве», «Экотехнолог», «Зоо-техния», а также «Ветеринария» и «Агроинженерия».</t>
  </si>
  <si>
    <t>00011722</t>
  </si>
  <si>
    <t>978-601-330-502-8</t>
  </si>
  <si>
    <t>Есимова Д.Д</t>
  </si>
  <si>
    <t>Экологиялық туризм</t>
  </si>
  <si>
    <t>Туризм, экология</t>
  </si>
  <si>
    <t>Туризм мамандығының студенттеріне арналған оқу құралы «Экологиялық туризм» пәні бойынша студенттерге көмекші құрал ретінде пайдалануға арналған. Оқу құралында экологиялық туризмнің түрлері мен ерекшеліктері, туристік бизнестегі құқықтық-нормативті құжаттар және ерекше қорғалатын табиғи территориялар мен Қазақстандағы экологиялық туризмнің жай-күйі жайлы баяндалған. Тест тапсырмалары мен глоссарий берілген.</t>
  </si>
  <si>
    <t>00011723</t>
  </si>
  <si>
    <t>978-601-330-891-2</t>
  </si>
  <si>
    <t>Есимова Д.Д., Сатыбалдиева Г.К.</t>
  </si>
  <si>
    <t>Гидробиология</t>
  </si>
  <si>
    <t>Биология, география, экология</t>
  </si>
  <si>
    <t>Оқу құралында гидробионтардың тіршілік жағдайлары, тіршілік формалары және тіршілік әрекеттерінің экологиялық негіздері қарастырылған. Гидробионттардың популяциялары, су биоценоздары және гидроэкожүйелері туралы мәліметтер беріледі. Оқу құралы жоғары оқу орындарының биология, экология, география, балық шаруашылығы мамандықтарының студенттеріне арналған.</t>
  </si>
  <si>
    <t>00011724</t>
  </si>
  <si>
    <t>Әлеуметтік экология және тұрақты даму</t>
  </si>
  <si>
    <t>Бұл дәрістер жинағында әлеуметтік экология және тұрақты даму пәнінен қарастырылатын материалдар қамтылған. Дәрістер жинағында пәннің типтік жоспарындағы тақырыптарын ашумен қатар, экологиялық құжаттардан үзінділер келтірілген. Дәрістер жинағы экология бағыты бойынша мамандық студенттеріне арналған.</t>
  </si>
  <si>
    <t>00011725</t>
  </si>
  <si>
    <t>978-601-330-506-6</t>
  </si>
  <si>
    <t>Адам экологиясы</t>
  </si>
  <si>
    <t>Бұл оқу-әдістемелік құралында адам экологиясы пәнінен қарастырылатын материалдар қамтылған. Дәрістер жинағында пәннің типтік жоспарындағы тақырыптарын ашылады, сонымен қатар пәннің практикалық бөлімінде зертханалық жұмыстардың тақырыптары бойынша жұмысты орындау нақышы келтірілген, адам экологиясы пәнінен тесттік тапсырмалар беріледі. Оқу-әдістемелік құралы экология бағыты бойынша мамандық студенттеріне, дәріс оқитын оқытушыларға арналған.</t>
  </si>
  <si>
    <t>00011726</t>
  </si>
  <si>
    <t>978-601-330-501-1</t>
  </si>
  <si>
    <t>Есимова Д.Д., Төкенқызы Г., Әбікенов Д.Д.</t>
  </si>
  <si>
    <t>Іскери қазақ тілі</t>
  </si>
  <si>
    <t>Язык казахский, биотехнология</t>
  </si>
  <si>
    <t>Бұл оқу құралында қазақ тілінің теориялық мәселелері және биотехнология мамандығы бойынша мәтіндер мен тапсырмалар қамтылған. Еңбек биотехнология мамандығының оқытушылары мен студенттеріне, магистранттарға, жалпы тіл үйренуші көпшілік қауымға арналады.</t>
  </si>
  <si>
    <t>00011727</t>
  </si>
  <si>
    <t>М.Жұмабаев шығармашылығындағы тарихи таным мәселелері</t>
  </si>
  <si>
    <t>Монографияда Мағжан Жұмабаев дүниетанымын зерттеуде бұрын-соңды назар аударылмай келген мәселелерге көңіл бөлінген. Халқымыздың тарихында өзіндік ізденістерімен, іс-әрекеттерімен із қалдырған көрнекті ақын, ойшыл, философ Мағжан Жұмабаевтың дүниетанымының, тарихи танымының ерекшеліктері, оның тарихи танымындағы адамның орны, тұлғаның қалыптасуындағы білімнің орны туралы ойлары сарапталып, адам мен қоғам арасындағы қарама-қайшылықтың Мағжан шығармалығындағы көрінісіне тарихи философиялық тұрғыдан талдау жасалған. Тарихи сананың маңызды тәрбиелік қуатын көрсете отырып, Мағжан әр адамды толғандыратын, ойландыратын тарихи тақырыптағы өлеңдерінде жалпы түркі мәдениетінің қиынды да қызықты жолын суреттеп, оның алып тұлғаларын бағаланғандығы көрсетілген.Монография ғылыми қызметкерлерге, ЖОО-ң профессор оқытушы құрамына, докторанттар, магистранттар, студенттеріне және жалпы оқырмандарға арналған.</t>
  </si>
  <si>
    <t>00011728</t>
  </si>
  <si>
    <t>978-601-330-045-0</t>
  </si>
  <si>
    <t>Дәуренбеков Қ.Н./Дауренбеков К.Н., Серимбетова Қ.М., Өмірқұлов А.Ш.</t>
  </si>
  <si>
    <t>Ұсынылған оқу құралы медициналық жоғары және орта кәсіби оқу орындарының студенттеріне арналады. Бұл оқу құралы қазіргі заман талабына және медицина мамандықтарында оқытылатын химия курсының бағдарламасына сәйкес дайындалған. Оқу құралында химия пәні бойынша әрбір тақырыптың теориялық материалдары, дағдыларды қалыптастыру және өздерінің алған білімдерін тәжірибемен ұштастыру мақсаттарында зертханалық жұмыстарды орындау әдістері, есептерді шығару жолдары мен бақылау тест тапсырмаларының үлгілері  келтірілген. Дайындалған еңбектің мақсаты болашақ дәрігерлердің бейіндік пәндерді игеру үшін химиядан терең де сапалы білімді қалыптастыру.</t>
  </si>
  <si>
    <t>00011729</t>
  </si>
  <si>
    <t>Рахметова Н.Б.</t>
  </si>
  <si>
    <t>Әйелдер киімін әзірлеу әдіс - тәсілдері</t>
  </si>
  <si>
    <t>Текстиль, швейное дело</t>
  </si>
  <si>
    <t>Бұл оқу құрал жоғары оқу орындарына, колледж, кәсіби мектептерге «Әйелдер киімін әзірлеу әдіс - тәсілдері» пәнінен қазақ тілдінде жазылып ұсынылып отыр. Оқу құралының құндылығы тігін бұйымдарының тігілу әдістеріне байланысты әрбір тақырыпқа теориялық және тәжірибелік жұмыстар мен тест сұрақтары берілген.</t>
  </si>
  <si>
    <t>00011730</t>
  </si>
  <si>
    <t>Тәтенов А.М. / Татенов А.М</t>
  </si>
  <si>
    <t>Жалпы физика 1 том</t>
  </si>
  <si>
    <t>Физика мамандықтарына арналған ФИЗИКА оқулығы, автордың көп жылдар бойы, Евразия технологиялық университетінде, Қазақ ұлттық қыздар педагогикалық университетінде оқыған жалпы физика курсы негізінде құрылған. Оқулықтың мәтіндері 1-2 курс студенттерінің жас ерекшеліктеріне сәйкес баяндалған, және тәжірибе-практикалық бағытта ұсынылған</t>
  </si>
  <si>
    <t>00011731</t>
  </si>
  <si>
    <t>Жалпы физика 2 том</t>
  </si>
  <si>
    <t>00011732</t>
  </si>
  <si>
    <t>Татенов А.М., Савельева В.В.</t>
  </si>
  <si>
    <t>Общая физика том 1</t>
  </si>
  <si>
    <t>Учебник по физике для технических специальностей разработан на кафедре «Транспортные Технологии и Автоматизация Процессов» и является оригинальным образцом учебной литературы, не дублирующим другие известные учебники по физике. Содержание учебника структурировано, имеется введение, основной текст (содержание), заключение, важным дополнением является наличие глоссария, а так же необходимые формулы по каждому разделу. Основной текст подобран согласно возрастным особенностям студентов 1-2 курсов, содержание материалов имеют практико-ориентированный характер.</t>
  </si>
  <si>
    <t>00011733</t>
  </si>
  <si>
    <t>Общая физика том 2</t>
  </si>
  <si>
    <t>00011734</t>
  </si>
  <si>
    <t>978-601-330-747-3</t>
  </si>
  <si>
    <t>Tatenov A. M., Savelyeva V. V., Toktaugaliyeva S.T. / Татенов А.М.</t>
  </si>
  <si>
    <t>General physics course volume 1</t>
  </si>
  <si>
    <t>Курс общей физики, разработанный на кафедре физики, представляет собой оригинальный образец учебной литературы, не дублирующий другие известные учебники по физике. Содержание учебника структурировано; есть введение, основной текст (оглавление) и заключение. Важным дополнением является глоссарий, а также необходимые формулы для каждого раздела. Основной текст подобран с учетом возрастных особенностей студентов 1-2 курсов; текст носит практико-ориентированный характер.</t>
  </si>
  <si>
    <t>00011735</t>
  </si>
  <si>
    <t>978-601-330-746-6</t>
  </si>
  <si>
    <t>General physics course volume 2</t>
  </si>
  <si>
    <t>00011736</t>
  </si>
  <si>
    <t>Байтоқаев Ө.П. (Байтукаев У.П.) , Татенов А.М.</t>
  </si>
  <si>
    <t>Еңбек қорғау және қауіпсіздік техникасы</t>
  </si>
  <si>
    <t>Оқулық университет білім алушыларына және осы мамандықтармен айналысатын маман иелеріне оқулық ретінде ұсынылады. Оқулықта еңбек қауіпсіздігі стандарттар жүйесінің негізгі нормалары мен талаптары, қауіпсіздік техникасы мен ондірістік санитария ережелері келтіріліп, еңбек қорғау жөніндегі аса маңызды директивалық материалдар және заңнамалық актілер қарастырылған. Зиянды және қауіпті өндірістік факторлардың сипаттамалары мен олардан қорғану әдістері берілген.Арнайы киім, арнайы аяқ киім, сақтандыру құрылғыларын беру нормалары мазмұндалған. Жекеленген тарауларда дәрігерге дейінгі көмек көрсету мәселелері қарастырылған.</t>
  </si>
  <si>
    <t>00011737</t>
  </si>
  <si>
    <t>Байтукаев У.П., Татенов А.М.</t>
  </si>
  <si>
    <t>Охрана труда и техника безопасности</t>
  </si>
  <si>
    <t>Рассмотрены правовые вопросы и передовой опыт организации охраны труда в сельском и лесном хозяйстве, приведены основные нормы и требование системы стандартов безопасности труда, правил техники безопасности и производственной санитарии. Даны характеристики опасных и вредных производственных факторов и методы защиты от них. Определенные разделы посвящены вопросам пожаро и электробезопасности, а также оказанию первой доврачебной помощи. Предназначен в качестве учебника для студентов технических специальностей.</t>
  </si>
  <si>
    <t>00011738</t>
  </si>
  <si>
    <t>Ермекбаева Л.К.</t>
  </si>
  <si>
    <t>Үлгермеуші оқушылар психологиясы</t>
  </si>
  <si>
    <t>Оқу құралында оқытудағы қиындықтар терминологиялық тұрғыдан анықталынып «үлгермеушілік», «педагогикалық босаңдық», «мектепке бейімделмеушілік», «ақыл-ой енжарлығы», «мектепте оқуға даярланбау» терминдерінің мазмұнды компоненттері нақтыланған. Оқушылардың оқудағы қиындықтарының пайда болу себептерін анықтауға арналған диагностикалық әдістемелер жинағы ұсынылған. Олар баланың танымдық психикалық үрдістерін, оқу іс-әрекетінің құрамды бөліктерін, отбасымен қатынасын бағалауға арналған. Сондай-ақ оқу іс-әрекетінің тәсілдерін қалыптастыру, қабылдау мен кеңістікті бағдарлау, зейін, ес, ойлау, сөйлеу, коммуникативті дағдыларды дамытуға арналған жаттығулар мен ойындар кешені ұсынылған. Оқу құралындағы теориялық және тәжірибелік материалдар дефектолог, педагог-психолог, психолог, бастауыш сынып мұғалімдерін кәсіби даярлауда және біліктілігін арттыруда қолданылуы мүмкін.</t>
  </si>
  <si>
    <t>00011739</t>
  </si>
  <si>
    <t>Сайлаубеков Н.Т.</t>
  </si>
  <si>
    <t>Анализ и оценка инвестиционных проектов</t>
  </si>
  <si>
    <t>Настоящее учебное пособие предназначено для студентов экономических вузов. В учебнике изложены теоретические основы анализа и оценки эффективности инвестиционных проектов. В учебном пособии также рассмотрены примеры использования методов оценки эффективности проектов, как для стандартных ситуаций, так и для проектов с неординарными денежными потоками, проектов различной продолжительности</t>
  </si>
  <si>
    <t>0001174</t>
  </si>
  <si>
    <t>Бакирбекова А.М. Манақбай Д.Б.</t>
  </si>
  <si>
    <t>Компанияның басқару жүйесіндегі әлеуметтік жауапкершілік</t>
  </si>
  <si>
    <t>Монографияда компанияның басқару жүйесіндегі әлеуметтік жауапкершіліктің ғылыми негіздері қарастырылған, компания әлеуметтік жауапкершілігінің қазіргі жағдайы мен оның дамуына талдау жүргізілген, корпоративтік әлеуметтік жауапкершіліктің шетел тәжірибесі келтірілген, сондай-ақ компанияның басқару жүйесіндегі әлеуметтік жауапкершілікті дамыту жолдары қарстырылып, ұсынылған Ғылыми басылым экономикалық мамандық студенттеріне, магистранттарына, жоғарғы оқу орнының оқытушыларына және басқару жүйесіндегі әлеуметтік жауапкершілік мәселелерімен айналысатын зерттеушілерге арналған</t>
  </si>
  <si>
    <t>00011740</t>
  </si>
  <si>
    <t>978-601-330-494-6</t>
  </si>
  <si>
    <t>Исакова А.С.</t>
  </si>
  <si>
    <t>Қазақ тілді филолог студенттердің тілдік тұлғасын қалыптастырудың лингвомәдени негіздері</t>
  </si>
  <si>
    <t>Филолог студенттердің тілдік тұлғасын қалыптастырудың лингвомәдени негіздері құжаттарды рубрикациялауда жіктеуші белгілер ретінде, тезаурустар мен онтологияларды генерациялауда семантикалық концепт ретінде, БАҚ-ның контент-талдауында тірек түсініктер ретінде пайдаланылуы мүмкін. Іс жүзінде мәтінді автоматты түрде өңдеудің барлық тапсырмаларында, аннотациялауда, индекстеуде, жіктеуде, машиналық аудармада, білімдерді алуда және т.б. терминологияны шығару қажет болады. Бұл монография тілдік тұлға қалыптастырудың келешегі мен даму мәселелерін анықтау үшін аталған әдістерді сипаттауға және жүйелендіруге шақырады. Анықталатын мәселелердің маңыздылығы қазіргі қоғамда орын алған ақпараттық жарылыс феноменіне негізделеді. Тілдік тұлға қалыптастыру саласындағы ғылыми қызметкерлерге, мамандарға, ЖОО оқытушыларына, докторанттарға, магистранттарға және студенттерге арналған</t>
  </si>
  <si>
    <t>00011741</t>
  </si>
  <si>
    <t>Ойлы сөз</t>
  </si>
  <si>
    <t>ХХІ ғасырда жаңа өркениетке кіруге сананы өзгерту, қоғамды жаңғырту арқылы жетуге болатындығын автор данышпан Абай ізімен толғана отырып жазған өзінің «45 Ойлы сөзінде» ұсынады. Саналы ғұмырында елінің мүддесін қорғап келе жатқан қоғам қайраткері әр сөзінде халықты толғандыратын сан-алуан проблемаларды мүмкіндігінше батыл ашып айтады. Бүгінде қоғам дертіне айналған мәселелердің ауыр тұстарын тап басып көрсете отырып, оның оңтайлы шешу тетіктерін ұсынады.
 Автордың негізгі идеясы – алдағы әлеуметтік-рухани даму мен ғылыми-технологиялық революцияны қатар алып жүру. Осы екі «сәйгүлікті» өркениеттің арбасына бірге жегіп, жаңа гуманитарлық ноосфералық цивилизацияға жетуде қазақ елін өрге сүйреуге, қоғамды жаңғырту ілімінің негізін қалауға қадам жасаған.</t>
  </si>
  <si>
    <t>00011742</t>
  </si>
  <si>
    <t>Сабден О.</t>
  </si>
  <si>
    <t>Книга мысли (Модернизация общественного развития)</t>
  </si>
  <si>
    <t>Мир кардинально меняется, и чтобы подготовить Казахстан к новой цивилизации, нужно обновление общес-тва и изменении сознания. В книге ученого-мыслителя 45 различных идей, каждая из которых состоит из двух частей: во-первых, открыто и правдиво критикуются недостатки, которые препятствуют развитию страны, и, во-вторых, предлагаются механизмы и проекты для их решения. Сделана попытка раскрыть по возможности все проблемы, которые волнуют народ.Основная идея автора – показать выход из кризисного состояния страны, а также совместно рассматривать духовное обновление и технологический прорыв на пути к ноосферной цивилизации. Книга красной нитью пронизана идея реализации концепции модернизации общественного развития.</t>
  </si>
  <si>
    <t>00011743</t>
  </si>
  <si>
    <t>Өркениет жобалары</t>
  </si>
  <si>
    <t>Кітапта әлемдік өркениеттің өзгеруі, оның жаңа формацияға өту фазасы сарапталып, конвергентті даму жолы, интегралды қоғамды қалыптастыру идеялары айтылады. Ол гуманистикалық ноосфералық және жаңа планеталық өркениет типіне көшу. Қоғамды жаңғырту іліміне көзқарас беріледі, оның өзегі ретінде әлемнің үш тұғырлы (руханият, технология, қауіпсіздік) дамуы ұсынылады.ХХІ ғасырда рухани дамуға басымдық беру, оның бір өсу нүктесі ретінде Ұлы Жібек жолында Түркістанды рухани жаңғырту жобасы беріледі. Кемел адам, мораль, кіші кәсіп, ауылды көтеру және мемлекетті 5-тік спиральмен жаңаша басқару моделі бар. Биотехнология мен IT технология арқылы әлемнің өзгеруіне байланысты келешектің концепциясы беріледі.Кітап коғамды жаңғыртуға арналған.</t>
  </si>
  <si>
    <t>00011744</t>
  </si>
  <si>
    <t>Ойлы кітап (Қоғамды жаңғырту ілімі)</t>
  </si>
  <si>
    <t>Қазақстанды жаңа цивилизацияға дайындау үшін, қоғамның жаңаруы – сана өзгергені керек. Қазақ елі 30 жыл бойы ілбіп келе жатқан сүрлеуінен шықпаса, сана трансформациясын жасап, басқаша өз даму жолына таңдау жасамаса, өзгелер үшін мәңгі шикізат елі болып қалып, құрдымға кете береді. Бұл еңбекте жалпы саны 40 бөлек ой-пайымнан құралған. «Ойлардың» әрқайсысы екі бөліктен тұрады: біріншісінде, қазіргі кезде ел дамуына кедергі келтіріп отырған келеңсіздіктер өткір сыналса, екіншісінде, оларды оңтайлы шешу жолдары, жобалары ұсынылады.
 Кітапта тегіміз түркі әлеміне серпіліс беру, Түркістанды жаң-ғырту, өзегіміз «жаңа ауыл», жер мен тіл туралы, өмірдің мәні неде, генийлер келе ме т.б. тың идеяларды да алға тартады. Ғалым-академик дүниежүзілік өркениет беталысы: жаңа технологиялар, информациялық соғыс, жасанды интеллект, роботтандыру, адам геномы т.б. сана ғасырында алтыншы, жетінші сезім-түйсігін іске қосу туралы да ой саралайды. Қоғамды жаңғырту ілімінің негізін қалауға қадамдар жасалған.</t>
  </si>
  <si>
    <t>00011746</t>
  </si>
  <si>
    <t>Қоғам дерті</t>
  </si>
  <si>
    <t>Әлем күрт өзгеруде, ертең не боларын білмейтін кезде, автор біздің қоғамның дертіне шипа іздейді. Қоғамды жаңғыртуды, 30 жыл бойы қалыптасқан «ыңғайлы көп-шіліктің» қасаң тартқан санасын өзгертуді, қордаланған сан түрлі проблемалардың шешімін табу жолдарын, жобаларын ұсынады. Автор космосты игеру, жасанды интеллект, жаңа өркениет, сезім-түйсік арқылы алдағы өмірді де болжап, ақыл-кеңес береді.Бұл кітап өтпелі кезеңде Қазақстанды қалай басқару, дамыту және өзіңді жетілдіру үшін әр адамға мүмкіндік беретін бағдаршам.</t>
  </si>
  <si>
    <t>00011747</t>
  </si>
  <si>
    <t>Проекты перехода к новой цивилизации</t>
  </si>
  <si>
    <t>В книге излагается видение изменившегося мира, переход на новую 7-ую формацию гуманистическо-ноосферной цивилизации, основанную на интегральном обществе, конвергентный путь развития мира. Модернизация общественного развития осуществляется на основе триады: духовности, технологии и безопасности. Предлагается новая парадигма управления государством на основе 5-ной спирали.В ХХІ веке приоритет необходимо отдавать духовному развитию, и, как точка роста, предлагается проект духовно-технологического кластера, возрождения Туркестана на Великом Шелковом пути. Биотехнология и IT технология изменят мир и, в связи с этим, рекомендуется концепция будущего.Книга предназначена для модернизации общественного развития.</t>
  </si>
  <si>
    <t>00011748</t>
  </si>
  <si>
    <t>978-601-330-914-9</t>
  </si>
  <si>
    <t>Умаров Б.Д., Биязбаев А.А.</t>
  </si>
  <si>
    <t>Цепи управления, защита и сигнализация электроприводов</t>
  </si>
  <si>
    <t>В учебном пособии рассматривается электрические схемы электроприводов, правила их выполнения и начертания. Излагаются принципы автоматического управления пуском, реверсом и торможением электродвигателей постоянного и переменного токов. Рассмотрены принципы построения автоматических систем управления электроприводов. Учебное пособие предназначена для студентов нефтегазовых, строительных, электроэнергетических и электротехнических специальностей.</t>
  </si>
  <si>
    <t>00011749</t>
  </si>
  <si>
    <t>Сабден О., Аширов А.</t>
  </si>
  <si>
    <t>Концепция стратегии выживания человечества в ХХI веке и продовольственная безопасность</t>
  </si>
  <si>
    <t>На рубеже третьего тысячелетия мир бушует, быстро меняется. Стало трудно предвидеть, что ожидает нас завтра. Самыми важными становятся вопросы выхода из кризиса и спасения человечества от предстоящих глобальных изменений: потепления климата, водных и продовольственных проблем, сотрясающих мир социально-экономических, политических конфликтов и других различных катаклизмов, катастроф, негативных процессов. Это ставит перед человечеством проблемы, которые до сих пор не приходилось решать земной цивилизации. Все это обусловлено игнорированием объективных экономических законов, законов живой природы, а также нарушением законов управления циклическим развитием.Пришло время перемен, прежде всего, в сознании людей, изменения мировой психологии, возрождения духовно-моральных ценностей. Человечеству пора навести порядок в собственном доме!Настоящий мегапроект – это научная гипотеза для лучшего будущего. Здесь нет ни футурологии, ни предсказаний, ни фантазий, а есть разработка реальной концепции стратегии выживания человечества в ХХI и последующих веках, принципов построения планетарного дома общечеловеческой цивилизации постиндустриального мира, основанных на духовности, научно-технологической революции, экологии, освоении космоса, экономике и мировой безопасности. Только системные, согласованные меры по данным шести базовым компонентам могут обеспечить мир и устойчивую жизнь в этом доме. Жизненно важно, чтобы данная судьбоносная, прорывная новая системная идея в науке, рожденная в центре Евразии, реализовалась в ХХІ веке как альтернативный вариант, способный дать человечеству шанс выжить в условиях глобализации. С учетом того, что 1,3 млрд. населения мира голодают, особое внимание уделено их продовольственному обеспечению, внедренному в ряда стран мира.Для широкого круга читателей, членов ООН, международных общественных организаций, научных центров, корпораций, СМИ и всех, кому небезразлично будущее человеческой цивилизации.</t>
  </si>
  <si>
    <t>00012101</t>
  </si>
  <si>
    <t>978-601-330-861-6</t>
  </si>
  <si>
    <t>Қажыбай А</t>
  </si>
  <si>
    <t>Тағылым толғауы (Белгібай Шалабаевтың ғылыми-көркем шығармашылығы) 1 Том 1 бөлім</t>
  </si>
  <si>
    <t>Филология, журналистика</t>
  </si>
  <si>
    <t>Зерттеуші Аян Төлегенұлының бұл ғылыми еңбегі бүкіл саналы ғұмырын қазақ әдебиетін жете зерделеуге арнаған ғалым, филология ғылымдарының докторы, профессор, Қазақ КСР-нің еңбек сіңірген ғылым қайраткері Белгібай Айсинұлы Шалабаевтың ғылыми сын, әдеби мұрасын қазіргі тәуелсіздік талаптары биігінен қарап, бағалауға арналған. Әдебиет сынын, фольклорын, қазақ прозасының тууы мен қалыптасу тарихын (оның ішінде қазақ романы жанрындағы сюжет және характер, типология және поэтика, дәстүр және жаңашылдық мәселелері), абайтану, сұлтанмахмұттану, көркем аударма мәселелерін зерттеген ғалым еңбектері қазақ әдебиетінің тарихы, қазақ әдебиеті сынының тарихы, фольклортану, салыстырмалы әдебиеттану ғылымдарымен тығыз байланыста қарастырылған. Қазақ әдебиеттану ғылымына елеулі үлес қосқан білікті сыншы, талантты әдебиетші Б.Шалабаевтың ұлт әдебиетіне сіңірген еңбектері тың көзқарас, парасатты пайым тұрғысынан ой сүзгіден өтіп, іргелі ізденісіне, ғылыми ой-тұжырымдарына, дәйекті-деректі пікірлеріне кең орын берілген.Ұсынылып отырған монографияда әдебиетші ғалымның ғылыми-ғұмырнамалық биобиблиографиялық көрсеткіші де қоса берілген. Б.Шалабаевтың өмірі мен ғылыми-шығармашылығын арқау ете отырып, оның еңбектері сараланады, зерттеулер мен естеліктерінің хронологиялық көрсеткіші және өмірі мен еңбектері туралы әдебиеттер тізімі енгізілген. Көрсеткіштегі материалдар хронологиялық ретпен әр жылға сәйкес жүйеленген. Өмірбаяндық библиография негізінен қазақ және орыс тілдеріндегі деректердің басын құрағандықтан да, екі бөлімге топтастырылып отыр.Монографияны жоғары оқу орындары филология, журналистика факультеттерінде арнаулы курстарды оқыту барысында пайдалануға болады. Сондай-ақ кітап әдебиетіміздің жанашырларына, ғылыми қызметкерлерге, кітапханашылар мен көпшілік оқырман қауымға арналған.</t>
  </si>
  <si>
    <t>00012102</t>
  </si>
  <si>
    <t>978-601-330-862-3</t>
  </si>
  <si>
    <t>Тағылым толғауы (Белгібай Шалабаевтың ғылыми-көркем шығармашылығы) 1 Том 2 бөлім</t>
  </si>
  <si>
    <t>00011751</t>
  </si>
  <si>
    <t>Тағылым толғауы (Белгібай Шалабаевтың ғылыми-көркем шығармашылығы) 2 Том</t>
  </si>
  <si>
    <t>00011752</t>
  </si>
  <si>
    <t>978-601-330-543-1</t>
  </si>
  <si>
    <t>Yessimova Z.K / Есимова Ж.К</t>
  </si>
  <si>
    <t>History of political life in the middle of XX century in Kazakhstan</t>
  </si>
  <si>
    <t>История, политология</t>
  </si>
  <si>
    <t>The materials and conclusions generated by this research are useful for writing generalisations and private works on Kazakhstan's contemporary history and nearby regions, as well as in the advancement of instructional media and lecture classes at universities historical and non-historical faculties.The reformation of Soviet society in 1950s - 1960s, a period that went down in history as a "thaw", has had its roots in the last, post-war years of Stalin's rule. After emerging triumphant from the bloodiest conflict in human history, the Soviet people recognized the need for reform the transition to a more dignified life. Such sentiments pervaded the consciousness of all strata of society. It was during this period that attempted to formulate certain ideological innovations made them known. Many political turns appeared following Stalin's death. A postwar perspective on Khrushchev's reforms allows for greater clarity and comprehension of some crucial issues in the evolution of post-Stalin society. The topic of this study is of practical interest to researchers, practitioners, and civil servants.Its conclusions can be used to write summarizing works on state-political ideology.</t>
  </si>
  <si>
    <t>00011753</t>
  </si>
  <si>
    <t>978-601-330-521-9</t>
  </si>
  <si>
    <t>Баялы Ә.Т</t>
  </si>
  <si>
    <t>3D mapping негізінде жарнамалық-таныстыру бейнеролигін әзірлеу</t>
  </si>
  <si>
    <t>3D mapping технологиясын пайдалану. 3D mapping негізінде жарнамалық-таныстыру бейнеролигін әзірлеуде проектормен жұмыс.Компанияны сату фактісі болып табылады, ноутбук пен планшеттерге арналған бөлшектер коммерциялық іске қосылғаннан кейін мүмкін болады. Көптеген бәсекелестер арасында ерекшеленеді және назар аударады. Оларға жауап беретін жарнамалық өнімді әзірлеу қажет.3D mapping технологиясы негізінде, проектор мүмкіндіктерін қолданып жарнамалық-таныстыру бейнеролигін жасау ұсынылды. Әртүрлі арнайы әсерлермен қызықты және ауқымды жұмыстар жасау және жарнамаланатын объектінің артықшылықтарын көрнекі көрсету.Құрылған жарнамалық-таныстыру бейнеролигін Кентау трансформатор зауытының мүмкіндіктерін таныстыру арқылы, 3D mapping технологиясы көмегімен жарнамаланатын обьектінің геометриясын және кеңістікте орналасуын ескере отырып, қоршаған орта объектісіндегі 3D проекциясы болып табылатын дыбыс-бейнелеу өнеріндегі бағытының артықшылықтарын көрнекі көрсету.3D mapping негізінде жарнамалық-таныстыру бейнеролигін жобалаудың теориясы мен әдістері, 3D mapping технологиясын қолдану тәсілдері болып табылады.</t>
  </si>
  <si>
    <t>00011754</t>
  </si>
  <si>
    <t>978-601-330-522-6</t>
  </si>
  <si>
    <t>Python тілінің заманауи бағдарламалау стилі</t>
  </si>
  <si>
    <t>«Python тілінің заманауи бағдарламалау стилі» оқу құралында Python синтаксисі, ол қолдайтын деректер типі, кластармен, объектілермен жұмыс істейтін басқару құралдары сипатталған. ¥сынылып отырған құралда Python тілінің негізгі ұғымдары – өрнек, оператор, функция, айнымалы, сан, жол, тізім, логикалық шамалар, типтерді түрлендіру, кодтың орындалуын басқару, блок, шартты өрнек, цикл, шартты цикл, тізім циклі, кластар, объектілер, түсініктемелер, модуль, пакеттер, импорттау, стандартты кітапханалар, сыртқы кітапханалар негізінде талданған Python – меңгеруге жеңіл программалау тілі. Деректер құрылымдарын жоғары деңгейде тиімді етіп көрсетуге мүмкіндік береді, объектілі-бағытталған программалау тіліне үйренудің тиімді жолы. Синтаксисі мен динамикалық типтендіру, сонымен катар интрепретаторлы болуы әртүрлі саланың қосымшаларын көптеген платформаларда жылдам жасауға мүмкіндік береді. Мұнда қарапайым командалық скриптерді де, күрделі үстелдік және веб- қосымшалар жасауға да болады. Сонымен бір жинақта өте бай стандартты кітапхана беріледі. Онда мәтінді өңдеудің күрделі құралдары, шифрлеу, файлдармен жұмыс, интернет арқылы деректер алмасу және т.б. көптеген күрделі құрал-саймандар бар.</t>
  </si>
  <si>
    <t>00011755</t>
  </si>
  <si>
    <t>978-601-330-464-9</t>
  </si>
  <si>
    <t>Хамзина Ш.Ш., Алтайбаева Ж.К., Нарынбаева А.С.</t>
  </si>
  <si>
    <t>Зеленая экономика, история, перспективы</t>
  </si>
  <si>
    <t>Экология, БЖД, Экономика, Менеджмент</t>
  </si>
  <si>
    <t>В данном учебном пособии рассматриваются основные положения «зеленой» экономики – предпосылки, цели, задачи, пути реализации, международные соглашения по вопросам становления зеленой экономики в рамках устойчивого развития, позиция Казахстана касательно перехода к зеленой модели экономики, ключевые сектора развития зеленой экономики, меры и механизмы по озеленению экономики.Настоящее учебное пособие составлено с учетом последних изменений нормативной правовой базы Казахстана в области охраны окружающей среды. В учебном пособии содержатся контрольные вопросы и тестовые задания к темам, позволяющие закрепить изученный материал.Учебное пособие предназначено для студентов и магистрантов, обучающихся по специальностям «Экология» и «Безопасность жизнедеятельности и защита окружающей среды», «Экономика», «Менеджмент».</t>
  </si>
  <si>
    <t>00011756</t>
  </si>
  <si>
    <t>978-601-330-463-2</t>
  </si>
  <si>
    <t>Хамзина Ш.Ш., Хасенова М.Т., Сулейменов О.А.</t>
  </si>
  <si>
    <t>Основы экологического нормирования и экспертизы</t>
  </si>
  <si>
    <t>Экология, БЖД</t>
  </si>
  <si>
    <t>В данном учебном пособии произведено обобщение основных теоретических положений современного экологического нормирования на основе представлений об устойчивости природных систем. Рассматриваются стадии становления системы экологического нормирования и экологической стандартизации в Республике Казахстан. Раскрыты наиболее важные направления нормирования антропогенного воздействия на компоненты окружающей природной среды. Проведен анализ экономических аспектов экологического нормирования.В учебном пособии рассматриваются понятие, цели, объекты и виды экологической экспертизы в Республики Казахстан. Подробно раскрываются основные аспекты, касающиеся порядка проведения экологической экспертизы в стране.При составлении и написании тем использовались актуальные нормативные и правовые акты в сфере экологического нормирования и экологической экспертизы, а также прочие достоверные источники литературы, связанные с темой.Учебное пособие предназначено для студентов высших учебных заведений, обучающихся по специальностям «Экология» и «Безопасность жизнедеятельности и защита окружающей среды.</t>
  </si>
  <si>
    <t>00011757</t>
  </si>
  <si>
    <t>978-601-352-563-1</t>
  </si>
  <si>
    <t>Қара қылды қақ жарған қайран, әкелер-ай..</t>
  </si>
  <si>
    <t>Философия, педагогика</t>
  </si>
  <si>
    <t>Қазақ отағасын асқар тауға, алып байтерекке теңеген. Осы арқылы алдыңғы ұрпақ бізге әке қадірінің қаншалықты биік екенін аңғартса керек. Алайда бүгінгі таңда қоғамымызда аталған қауымның беделі төмендеп, еңселері түсіңкірегенін байқайтын көріністер қылаң беріп жүргендей. Сондықтан да, кешегі аталарымыздың өнеге – тағлымын еске ала отырып, олардың жүріс-тұрысын, болмыс-бітімін, тұлғалық қасиеттекрін аңсайсын сағынасың. Ол қандай қасиеттер еді?...Бұл оқу құралы Философия,Педагогика мамандығы бойынша білім алатын студенттерге арналған.</t>
  </si>
  <si>
    <t>00011758</t>
  </si>
  <si>
    <t>978-601-352-564-8</t>
  </si>
  <si>
    <t>Менің ардақты ағаларым</t>
  </si>
  <si>
    <t>Автор оқырманға ұсынып отырған бұл кітабында уақыт, қоғам, адамдар арасындағы қарым-қатынас, адамгершілдік пен әділеттілік, мемлекенттікидеология және ішкі саясат жөнінде ой толғайды.Бұл оқу құралы Философия,Педагогика мамандығы бойынша білім алатын студенттерге арналған.</t>
  </si>
  <si>
    <t>00011759</t>
  </si>
  <si>
    <t>Жеке тұлға диагностикасы</t>
  </si>
  <si>
    <t>Психология,Педагогика</t>
  </si>
  <si>
    <t>Оқу-әдістемелік құралда психодиагностикалық әдістердің классификациясы, бала психикасы дамуының негізгі заң-дылықтары, оның психикалық даму ерекшеліктері қарастырылған. Сонымен қатар, практикалық психологтың қызметіндегі психодиагностика және балаларды зерттеуге арналған әдістемелер сипатталған.Оқу-әдістемелік құрал педагогика-психология, әлеуметтік педагогика және өзін-өзі тану, дефектология мамандықтарында оқитын студенттерге арналған.</t>
  </si>
  <si>
    <t>0001176</t>
  </si>
  <si>
    <t>9965-498-70-9</t>
  </si>
  <si>
    <t>Бакиров Р. Б.</t>
  </si>
  <si>
    <t>Машина жасау технологиясы</t>
  </si>
  <si>
    <t>00011760</t>
  </si>
  <si>
    <t>978-601-352-561-7</t>
  </si>
  <si>
    <t>Диктанттар жинағы</t>
  </si>
  <si>
    <t>Бұл еңбек V-X сыныптарға арналған бағдарлама негізінде дайындалған. Әр сынып бойынша қажетті материалдар ғылыми тұрғыдан іріктеліп, тәрбиелік мәні бар мәтіндер ұсынылып отар. Бұл еңбек мектеп мұғалімдері мен жоғары педагогикалық оқу орындарының студенттеріне арналған.</t>
  </si>
  <si>
    <t>00011761</t>
  </si>
  <si>
    <t>978-601-330-558-5</t>
  </si>
  <si>
    <t>Мазмұндама мәтіндерінің жинағы</t>
  </si>
  <si>
    <t>Бұл Оқу-әдістемелік құралда мектепте мазмұндама жаздырудың тиімді әдіс-тәсілдері қарастырылған. Мұнда оқушылардың тілін байытуға, сауаттылыққа, әдеби тіл нормаларын игеруге, күрделі ой формасын қалыптастыруға ықпал ететін, сонымен бірге ойды логикалық жүйеде бере білуге және ой қорытындысын жасай білу икемділігін жетілдірудің әдістемесі ұсынылады,Бұл еңбек жоғары оқу орындарының қазақ тілі мен ідебиет мамандығын меңгеруші студенттер мен мектеп мұғалімдеріне арналған.</t>
  </si>
  <si>
    <t>00011762</t>
  </si>
  <si>
    <t>Хведелидзе Т.Б., Толеубекова Б.Х., Сайлибаева Ж.Ю.</t>
  </si>
  <si>
    <t>Основы административного права Республики Казахстан</t>
  </si>
  <si>
    <t>Педагогика, право</t>
  </si>
  <si>
    <t>Учебное пособие подготовлено в рамках административного права Республики Казахстан и посвящено раскрытию основных положений одной из частей административного права, представленного Административным процедурнопроцессуальным кодексом Республики Казахстан, принятым 29 июня 2020 года, и другими нормативными правовыми актами, действующими по состоянию на 1 января 2023 года. В содержательном отношении учебное пособие состоит из логически последовательных тем, в которых раскрываются институты административного судопроизводства на базе современных концептуальных, законодательных и правоприменительных подходов. Учтены последние изменения и дополнения, внесенные в АППК РК и КоАП РК. Издание предназначено для студентов, магистрантов и преподавателей высших учебных заведений, реализующих образовательные программы «6В014 - Подготовка учителей с предметной специализацией общего развития (Основы права и экономики)», а также для магистрантов и всем, кто заинтересован в получении необходимых и полезных знаний об административно-процессуальной деятельности, являющейся одним из важнейших элементов в общей структуре административного права.</t>
  </si>
  <si>
    <t>00011763</t>
  </si>
  <si>
    <t>Тогизбаева Б.Б., Балабекова К.Г., Бектаев Б.Б.</t>
  </si>
  <si>
    <t>Көлік техникасын solidworks-те модельдеу</t>
  </si>
  <si>
    <t>Оқулықта Solidworks ортасында үшөлшемді модельдеудің негіздері көрсетілген. Берілген оқу құралы арқылы студенттер автоматтандырылған басқару негіздері бойынша Solidworks – те жобалап, құрылымдарды есептеуге мүмкіндік береді</t>
  </si>
  <si>
    <t>00011764</t>
  </si>
  <si>
    <t>Әділбеков М.Ә., Сыдықбаев Ж.Т., Оралбаев С.Ж</t>
  </si>
  <si>
    <t>Жылу процестерінің машиналары және жабдықтары</t>
  </si>
  <si>
    <t>Энергетика, транспорт, теплоэнерг</t>
  </si>
  <si>
    <t>Оқу құралында аспаздық өнімдерді өндіру технологиясын жетілдіруде көп уақытты, еңбекті, отын-энергетикалық ресурстарды қажет ететін жылу процестерін (пісіру, қуыру және т.б.) қарқындату маңызды орын алатыны көрсетілген. Сондықтан кез-келген жылу аппаратының құрылымы өнімдерді термиялық өңдеудің технологиялық талаптарына мүмкіндігінше толық сәйкес келуі керек. Өнімдерді термиялық өңдеу ұзақтығын қысқарту, өнімдерге әсер етудің ұтымды температуралық режимдерін табу өнім сапасын жақсартудың және өндірісті қарқындатудың негізгі жолы болып табылады.Оқу құралы тамақ өндірісіндегі жылу процестеріне арналған машиналар мен жабдықтарды жобалаумен айналысатын инженерлік-техникалық қызметкерлерге және жоғары оқу орнының магистранттары мен студенттеріне арналған.</t>
  </si>
  <si>
    <t>00011765</t>
  </si>
  <si>
    <t>978-601-13-0170-1</t>
  </si>
  <si>
    <t>Технологиялық процестерді модельдеу</t>
  </si>
  <si>
    <t>Механика. Автоматизация</t>
  </si>
  <si>
    <t>Оқу құралы "Технологиялық процестерді модельдеу" пәнінің негізгі бөлімдері бойынша теориялық материалдан тұрады және студенттерге модельдеудің негіздері мен әдіснамасы туралы, тамақ өндірісінің технологиялық процестерінде модельдерді құру және қолдану туралы білім мен түсінік алуға мүмкіндік береді."Технологиялық процестерді модельдеу" курсын зерделеу нәтижесінде студенттердің модельдеу теориясының негізгі ұғымдары мен анықтамаларын, модельдер мен түрлерін жіктеуді, әртүрлі модельдер мен математикалық модельдеуді қолдану ерекшеліктерін, модельдерді құру алгоритмдерін, бір факторлы және көп факторлы регрессиялық модельдерді құру және зерттеу негіздерін меңгеруі болып табылады.Оқу құралы технологиялық жоғары оқу орны студенттері мен магистранттарына арналған.</t>
  </si>
  <si>
    <t>00011766</t>
  </si>
  <si>
    <t>978-601-13-0179-4</t>
  </si>
  <si>
    <t>Адилбеков М.А., Сабралиев Н.С.</t>
  </si>
  <si>
    <t>Автомобильдерді диагностикалау</t>
  </si>
  <si>
    <t>Оқу құралында автомобильдердің жұмыс қабілеттілігі қарастырылған. Сонымен қатар оларды диагностикалау операциясына баса көңіл аударылған. Кешенді диагностика жүргізу арқылы автомобильдердің жұмыс жасау мерзімін анағұрлым ұзартуға болатыны анықталған. Диагностикалау құралдары мен диагностика жасау жұмыстарын ұйымдастыру мәселелері кеңінен қамтылған.Оқу құралы технологиялық жоғары оқу орны студенттері мен колледж оқушыларына арналған.</t>
  </si>
  <si>
    <t>00011768</t>
  </si>
  <si>
    <t>978-601-330-931-6</t>
  </si>
  <si>
    <t>Әділбеков М.Ә., Шамбулов Е.Д.</t>
  </si>
  <si>
    <t>Тоңазытқыш жүйелерінің жылуалмасу аппараттары</t>
  </si>
  <si>
    <t>Оқу құралында буландырғыштардың заманауи дизайны туралы мәліметтер және тоңазытқыш техникасындағы әртүрлі мақсатта қолданылатын конденсаторлар мен жылуалмастырғыштар жөнінде ақпарлар келтірілген. Олардың жылулық, гидравликалық және беріктікке арналған есептеулері беріліп, жылуалмасу аппараттарының әртүрлі құрылымдық түрлері салыстырмалы түрде көрсетілген.Сонымен бірге буландырғыштар мен конденсаторлардың жылу алмасу процестері туралы, аппараттарды сынау туралы материалдар енгізілді. Нақты аппараттарды интенсификациялау туралы пікірлер келтірілген.Оқу құралы тоңазытқыш қондырғыларын жобалаумен және пайдаланумен айналысатын инженерлік-техникалық қызметкерлерге және «Тоңазытқыш машиналары мен ауаны кондициялау жүйесі» мамандығы бойынша жоғары оқу орны мен колледж студенттеріне арналған.</t>
  </si>
  <si>
    <t>00011769</t>
  </si>
  <si>
    <t>Сапаров К.Т.</t>
  </si>
  <si>
    <t>Екібастұз өңірінің топонимикасы</t>
  </si>
  <si>
    <t>Монографияда Екібастұз өңірінің топонимиясының қалыптасуы мен ақпараттық мазмұны, табиғатты қорғау және табиғи ресурстарды ұтымды пайдалану дәстүрлері-нің табиғат жағдайларында бейнелену дәрежесі географиялық, этноэкологиялық тұрғысынан жан-жақты байланыстыра қарастырылады. Жергілікті топонимдерде аумақтағы қоныстанудың тарихи кезеңдері, этностардың ареалдары мен ғасырлар бойы қалыптасқан тарихи және әлеуметтік және экологиялық жағдайлар топонимикалық деректерде көрініс тапқан. Сонымен қатар Екібастұз өңірінің топонимдер топтамасы жүйеленіп, олардың этимологиясы анықталған. Монографияның деректері географтарды дайындау барысында мамандыққа қажет мөлшерде топонимикалық білім қалыптастыруға мүмкіндік береді. Монография жоғары оқу орындарының студенттері мен магистранттарына, географ, эколог, лингвист, тарихшы, өлкетанушы мамандықтарының білім алушыларына және жалпы оқырман қауымға арналған.</t>
  </si>
  <si>
    <t>00011770</t>
  </si>
  <si>
    <t>978-601-330-807-4</t>
  </si>
  <si>
    <t>Айткалиева К.Д</t>
  </si>
  <si>
    <t>Қазақ хореографиясының көшбасшысы - Дәурен Әбіров</t>
  </si>
  <si>
    <t>«Қазақ және шетел хореография тарихы», «Қазақ биін оқытудың әдістемелік негіздері» пәндерінің бөлімдерін толықтыратын қосымша құрал.Оқу құралында қазақ би өнерінің дербес дамуына үлес қосқан балетмейстер Д.Т.Әбіровтің шығармашылық өмір жолы, ізденістері қамтылған.Оқу құралы жоғары оқу орындарындағы бакалавриат «Хореография» білім беру бағдарламасының студенттері және хореограф-оқытушылары пайдалана алады. Сонымен қатар, бұл еңбек би ұжымдарының жетекшілеріне, жалпы би өнеріне қызығатын қауымға тиісті көмегін тигізеді.</t>
  </si>
  <si>
    <t>00011771</t>
  </si>
  <si>
    <t>Иргебаев Г.Д</t>
  </si>
  <si>
    <t>Дала өркениеті</t>
  </si>
  <si>
    <t>Грек ойшылының «Өзіңді-өзің таны» - деген сөзі бар. Танымның өзегі - Ұлттық болмыс. Ұлттық болмыс бабаларымыздан өткен уақыттан бізге жалғасқан дәстүрлі өмір сүру тәсілі. Өткенді терең зерттеп, дұрыс түсінуді мектеп балалары, бүкіл жастар өздеріне зор міндет деп санауға тиіс. Өткенді білмей, оны қоғам пайдасына жарату мүмкін емес.Тарих – қоғам мен табиғаттың уақыт кеңістегіндегі үйлесімі. Тарих ғылымында көне өркениет біздің жыл санауымызға дейінгі ерте заманда Ніл өзені бойында – Мысырда (Египет), жалпы Алдыңғы Азияны мекендеген елдерде пайда болды деген түсінік қалыптасқан. Ол жерлерде алғашқы егіншіліктің қалыптасып өркениеттің дамығандығын археологиялық және көне жазба деректер де растайды. Солармен қатар өркендеп дамыған, Орталық Азия тұрғындардың көшпелі өркениеті көп айтыла бермейді. Орталық Азия тұрғындарының жылжымалы өмір салтына байланысты, құнды жәдігерлердің сақталмай қалуы да оған көп мүмкіндік бермей отыр. Бірақ оған қарап, көшпелілер адамзат көшінен кенже дамыған деген түсінік қалыптаспау керек. Көне Нілдіктер адамзат тарихында алғашқы болып, егіншіліктің дамуына үлес қосса,Орталық Азия тұрғындары алғашқы болып көшпелі мал шаруашылығын дамытумен, адамзат өркениетінің игілігіне көп үлестерін қосты.Адамзат өркениеті барша жұртқа ортақ. Өркениет табысына адамзаттың даму сатысындағы жеке халықтардың да үлесі бар. Дала өркениеті деп аталатын осы кітапта ежелгі көшпелілер өркениеті сөз болады. Көшпелі өркениетті баяндағанда, біз өз тарихымызды басқалардан жоғары қою үшін емес және басқа халықтардан кем емес те екендігімізді көрсету.Алғашқы терімшілер мен аңшылар, жылқы өсірушілер, қола дәуіріндегі таста таңбалаңған суреттер, сақ зергерлері, ежелгі қорғандар мен кесене тұрғызушылар, руналық мәтіндер, отқа, күнге, жерге (Отан-Ана) табыну. Халықтың өнегелік құндылықтарға толы ырымдары, мақал-мәтелдері, эпосы пен тарихи мұралары дала кеңістігіндегі бір-бірін алмастырған мәдениеттер толқынымен бұрыңғы мәдениетті жетілдіре отырып бүгінге алып келді. Отқа, күнге табыну т.б. өткен дүние туралы кейбір түсініктер өзгеруі мүмкін. Көнергенмен олар Ұлт өмірінің негізін құрайтын ата-бабалардың аса бағалы мұрасы, тарихы. Өз ұлтының мәдениеті мен өткенін, тілін, дәстүрлерін құрметтемесе, өз мәдениетін түсінбесе ұлттық ниглизм.Тарих ғылымы адам баласының пайда болуынан басталып, оның өсіп өнуімен, адамзат өркениетінің қалыптасуымен тығыз байланысты. Ұсынылып отырған кітап, ғылыми еңбек емес, соған орай бұл жерде ғылыми сілтемелер берілмейді, тек тарихи таным есебінде қарастырылады.Кітап, 4 – бөлім және қорытындыдан тұрады. Кітап мектеп және орта білім оқу орындарының оқушыларына, мұғалімдерге сонымен бірге көпшілік оқырманға арналады.</t>
  </si>
  <si>
    <t>00011772</t>
  </si>
  <si>
    <t>Ибрагимова С.В.</t>
  </si>
  <si>
    <t>Қосалқы станциядағы жабдықтары</t>
  </si>
  <si>
    <t>Электр, Энергетика</t>
  </si>
  <si>
    <t>Оқу құралында "Қосалқы станциядағы жабдықтары" пәні бойынша оқытылатын мәселелер қаралды. Теориялық материал "Электр энергетикасы" мамандығының студенттері үшін оқылатын курс тақырыптарын қамтиды: электр қосалқы станцияларының тарату құрылғыларының электр жабдықтарының түрлері мен құрылымы; кернеудің әртүрлі класындағы электр жабдықтарын таңдауға негізделген теориялық мәліметтер. Қосымшада бүгінгі күні отандық және шетелдік өнеркәсіп шығаратын электр аппараттарының кейбір түрлерінің техникалық мәліметтері келтірілген. Техникалық мамандықтардың бакалавр - студенттері мен магистранттарына, сондай-ақ колледждердің, жоғары оқу орындарының оқытушыларына және электр энергетикасы саласында жұмыс істейтін мамандарға арналған.</t>
  </si>
  <si>
    <t>00011773</t>
  </si>
  <si>
    <t>978-601-330-596-7</t>
  </si>
  <si>
    <t>Исмаилова Ф.К.</t>
  </si>
  <si>
    <t>Қазақ дипломатиялық дискурсының когнитивті-прагматикалық аспектісі</t>
  </si>
  <si>
    <t>Ұсынылған монграфия қазақтың дипломатиялық дискурсы когнитивтік және прагматикалық аспектіде зерттеліп, қазақтың төл дипломатиясына тән тілдік, мәдени, тарихи ерекшеліктерге сай ұлттық дипломатиялық құндылық анықтайды. Саяси дипломатия мен халықтық дипломатия дискурсының айырмашылықтары көрсетіледі. Қазақтың халықтық дипломатиясының дискурстық белгілері айқындалады. Қазақ тарихындағы көне дипломатия мен қазіргі саяси дипломатиялық қатынастардың тілі салыстырылып, тілдік деңгейінің аражігі көрсетіледі. Ұлттық мінезде кездесетін ымырашылдық (дипломатичность) әдебінің деңгейі мен мәртебесі дипломатиялық қарым-қатынастағы мінезден айқын көрінетіні, соған орай мемлекеттің мәртебесі мен мінезі анықталатыны дәйектелінеді. Сәтті дипломатиялық қатынасқа жету үшін ұсынылатын прагматикалық қасиеттер көрсетіледі.</t>
  </si>
  <si>
    <t>00011775</t>
  </si>
  <si>
    <t>978-601-330-500-4</t>
  </si>
  <si>
    <t>Жумагулова А.К</t>
  </si>
  <si>
    <t>Бизнесті бағалау</t>
  </si>
  <si>
    <t>Оқу құралында «Бизнесті бағалау» пәнінің оқу жоспары берілген. Онда оқу процесін жүргізетін кафедра мен оқытушы, курсты оқитын орын мен уақыт туралы ақпарат бар. «Бизнесті бағалау» курсының қысқаша сипаттамасы, міндеттері мен мақсаттары, білім алушыларға қойылатын талаптар мен олардан күтілетін нәтижелер көрсетілген. Оқу құралында дәріс және тәжірибе сабақтарының, оқытушының жетекшілігімен орындалатын білім алушылардың өзіндік жұмыстарының жоспарлары берілген, сондай ақ «Бизнесті бағалау» пәнінің курсын оқып меңгеруге қажетті негізгі және қосымша әдебиеттердің тізімі ұсынылған.</t>
  </si>
  <si>
    <t>00011777</t>
  </si>
  <si>
    <t>978-601-330-530-1</t>
  </si>
  <si>
    <t>Азамат Тілеуберді</t>
  </si>
  <si>
    <t>Сал-серілік дәстүр арқылы этномәдени тәрбие берудің тарихы</t>
  </si>
  <si>
    <t>Оқу әдістемелік құралдың көкейкестілігі мен оның жалпы ғылыми бағыты өнер арқылы ізгілендіру, білім беру процесін бүгінгі заман ұстанымына бейімдеу тұрғысына негізделген.Жалпы өнер кеңістігінен, қазақ халқының бастапқы тәңірлік ұстанымындағы дәуірінен ескерткіш ретінде қалған тұрмыс-салт жырларынан төрт түлік мал, күнтізбе, жасқа қатысты бірте-бірте өрлеу қағидасымен сал-серілік дәстүрге ұштасуын дәйекті ой-пікірлерімен түйіндеп келтірілген.Сал-серілік дәстүр арқылы этномәдени тәрбие берудің тұжырымдамасы мен моделі ұсынылып отыр. Сонымен бірге «Біржантану» арнаулы курсының бағдарламасы ұсынылған. Оқу құралы Қазақ музыкасының тарихы, музыка педагогикысы, қазақ музыкалық мәдениеті,сондай-ақ мектептегі музыка пәндерінің мұғалімдеріне арналған.</t>
  </si>
  <si>
    <t>00011778</t>
  </si>
  <si>
    <t>Картбаева Г.Т</t>
  </si>
  <si>
    <t>Орталық Қазақстан жануарларының экологиясы</t>
  </si>
  <si>
    <t>Биология, ветеринария, экология</t>
  </si>
  <si>
    <t>Оқу әдістемелік құралында Орталық Қазақстанның фаунасы және оның қысқаша сипаттамасы, түрлік құрамы, жануарлардың қазіргі жағдайы, таралуы, сандық динамикасы қарастырылады. Сондай ақ жануарлардың тіршілік ортасымен қарым қатынасы, қоректенуі, сыртқы орта факторларының оларға әсері, көбеюі, өсімталдылығы сипатталады.Сирек және эндемик түрлеріне аса назар аударылады.Оқу құралы жаратылыстану факультетінің оқытушылары мен магистранттарына және студенттеріне арналған</t>
  </si>
  <si>
    <t>00011779</t>
  </si>
  <si>
    <t>978-601-330-831-9</t>
  </si>
  <si>
    <t>Юминова Е.И.</t>
  </si>
  <si>
    <t>Применение стилистической цветовой системы в обучении живописи</t>
  </si>
  <si>
    <t>Учебное пособие «Применение стилистической цветовой системы в обучении живописи» предназначено для студентов и преподавателей дисциплин художественного профиля. Учебное пособие содержит вспомогательные рекомендации в преподавании цветоведения и живописи так как предлагает определенную систему классификации цвета, для определения колорита художественных работ и в рекламной продукции дизайна. Учебное пособие разработано в соответствии с современными технологиями обучения изобразительному искусству, полезно при выполнении обучающимися учебных, курсовых и дипломных работ</t>
  </si>
  <si>
    <t>0001178</t>
  </si>
  <si>
    <t>Бакирова Д.Г., Аяпбергенова Б.Е.</t>
  </si>
  <si>
    <t>Құрылыс конструкцияларының автоматтандырылған есептеулері</t>
  </si>
  <si>
    <t>«Құрылыс конструкцияларының автоматтандырылған есептеулері», «Құрылыс конструкциялары» пәндеріне арналған жобалау мен есептеуден курстық жұмысты орындау үшiн қажеттi әдебиеттерді пайдалана отырып, оқу құралы оқу жоспарының талаптарына сәйкес жасалынған.Оқу құралы оқу жоспарына сәйкес 5В072900 «Құрылыс», 5В074500 «Көлiк құрылысы», 5В073000 «Құрылыс материалдарын, бұйымдарын және конструкцияларын өндіру» мамандықтары бойынша бакалаврлар дайындауға арналған, сондай-ақ, бұл оқу құралынан студенттермен қатар, магистранттар, докторанттар, ғылыми – педагогикалық, инженерлік –техникалық мамандар да өздеріне керекті мағлұматтар мен кеңестер табады.</t>
  </si>
  <si>
    <t>00011780</t>
  </si>
  <si>
    <t>978-601-330-468-7</t>
  </si>
  <si>
    <t>Үш Арыс: Тұрар Рысқұлов, Дінмұхамед Қонаев, Асанбай Асқаров: мемлекет және қоғам қайраткерлері</t>
  </si>
  <si>
    <t>Бұл кітапта қазақ халқын 20-30 жылдардағы нәубеттен аман алып қалу жолында жанқиярлықпен еңбек етіп еліміздің іргесінің қалыптасуымен, дамуына шексіз үлес қосқан аса ірі тұлға Т. Рысқұловтың, ширек ғасыр КазССР басқарып, қазақ ұлтының, еліміздің өркендеп өсуіне қалтқысыз қызмет еткен Д. Қонаевтың, және де Жамбыл, Алматы, Шымкент облыстарын басқарып еліміздің экономикасын мәдениеті мен халық шаруашылығын дамытуға зор үлес қосқан А. Асқаровтың қызметіне қысқаша талдау жасалынады.</t>
  </si>
  <si>
    <t>00011781</t>
  </si>
  <si>
    <t>Veklenko G.V. / Векленко Г.В.</t>
  </si>
  <si>
    <t>The objective structured clinical examination for clinical scills assessment in internal medicine</t>
  </si>
  <si>
    <t>educational and methodical manual</t>
  </si>
  <si>
    <t>Внедрение на кафедре пропедевтики внутренних болезней ЗКМУ имени Марата Оспанова ОСКЭ позволило получить реальную картину клинической компетентности студентов 3 курса факультета «Общая медицина», выявить просчеты обучения и, следовательно, улучшить его. В методическом пособии представлены рекомендации по проведению экзамена и составлению оценочных критериев, оценочного листа экзаменаторов, даны пошаговые инструкции для студентов. Третье издание пособия содержит материалы для проведения ОСКЭ на трех языках (казахском, русском и, впервые, на английском языке), что позволит широко использовать его в учебном процессе как обучающимся, так и преподавателям.</t>
  </si>
  <si>
    <t>00011783</t>
  </si>
  <si>
    <t>Электржетек және автоматтандыру</t>
  </si>
  <si>
    <t>"Электржетек және автоматтандыру " пәні Электротехника және өндірісті автоматтандыру саласындағы негізгі және маңызды бөлігі болып табылады. Ол электр жетектерін басқару және өндірістік процестерді автоматтандыру үшін қолданылатын негізгі принциптер мен технологияларды зерттеуге бағытталған. Электр жетегінің әртүрлі жұмыс режимдерінде жұмыс істеген кезде тұрақты және айнымалы ток электр қозғалтқыштарының электромеханикалық қасиеттері қарастырылады, олардың математикалық сипаттамасы берілген. Тұрақты және айнымалы ток жетегінің жылдамдығын реттеудің негізгі әдістері ұсынылған. Қозғалтқыштарды есептеу және таңдау, сондай-ақ оларды жылытуға тексеру туралы ақпарат берілген.Оқу құралы техникалық жоғары оқу орындарының студенттеріне, "Электр энергетикасы"білім беру бағдарламасына арналған.Бұл автоматтандырылған электр жетегі мәселелеріне қызығушылық танытатын пайдаланушылар мен оқырмандар үшін пайдалы болуы мүмкін.</t>
  </si>
  <si>
    <t>00011784</t>
  </si>
  <si>
    <t>Электрлік аппаратары</t>
  </si>
  <si>
    <t>"Электр аппараттары" оқу құралында электр машиналары саласындағы негізгі ұғымдар мен анықтамалар, сондай-ақ әртүрлі типтегі машиналардың жіктелуі мен қолданылуы келтірілген. Нұсқаулық электр машиналарының жұмыс принциптерін түсіну үшін қажетті Электромагнетизм мен Электротехниканың негіздерін қамтиды.Нұсқаулықта тұрақты токтар, асинхронды және синхронды электр машиналары қарастырылады. Есептеу және жобалау әдістері, сондай-ақ осы машиналарды басқару және реттеу ерекшеліктері ұсынылған. Жәрдемақы Электр энергетикасы саласындағы мамандықтарды оқитын студенттерге арналған</t>
  </si>
  <si>
    <t>00011785</t>
  </si>
  <si>
    <t>978-601-330-487-8</t>
  </si>
  <si>
    <t>Калимжанова Р.Л.</t>
  </si>
  <si>
    <t>Речевая культура и ИКТ культура будущих педагогов (Синхронный подход)</t>
  </si>
  <si>
    <t>В монографии рассматривается проблема синхронности развития речевой культуры и ИКТ-культуры в условиях внедрения информационно – коммуникационных технологий обучения путем выявления особенностей речевой и ИКТ - культуры будущих педагогов. Используются результаты собственных исследований. Адресована всем тем, кого интересует проблема речевой культуры в условиях бурного развития цифровых и компьютерных технологий.</t>
  </si>
  <si>
    <t>00011786</t>
  </si>
  <si>
    <t>978-601-330-474-8</t>
  </si>
  <si>
    <t>Нуржаубаева Р.Б, Казагачев В.Н.</t>
  </si>
  <si>
    <t>Модернизация ПК и сети</t>
  </si>
  <si>
    <t>Инвормационные технологии</t>
  </si>
  <si>
    <t>Учебное пособие предназначено для формирования у студентов готовности к профессиональной деятельности по техническому обслуживанию и ремонту компьютерных систем и комплексов, по сопровождению типового программного обеспечения вычислительной техники и компьютерных сетей в организациях (на предприятиях) различных организационно-правовых форм. Рассмотрены состав и структура программного обеспечения, периодичность и способы обновления системного и прикладного программного обеспечения, способы оптимизации работы компьютера. Уделено внимание совместимости оборудования с операционной системой и обновлению драйверов. Для студентов специальностей 6В01707 - "Английский язык и информатика", а также других специальностей педагогического направления.</t>
  </si>
  <si>
    <t>00011787</t>
  </si>
  <si>
    <t>978-601-330-469-4</t>
  </si>
  <si>
    <t>Каипова А.Д., Сартабанова Ж.Е., Урдабаева Г.Ж.</t>
  </si>
  <si>
    <t>Алгоритмизация и программирование</t>
  </si>
  <si>
    <t>В пособии рассмотрены основные понятия алгоритмизации и программирования, свойства алгоритмов. Основу пособия содержит материал, предназначенный для изучения языка программирования С++, в том числе основные конструкции языка, типы и структуры данных, работа с файлами и строками, реализация алгоритмов с использованием функций пользователя и рекурсии. Имеются методические указания к проведению практических и лабораторных работ. Пособие предназначено для студентов образовательной программы 6В06103 - Вычислительная техника и программное обеспечение, преподавателей, а также всех, кто заинтересован в изучении языка программирования С++.</t>
  </si>
  <si>
    <t>00011788</t>
  </si>
  <si>
    <t>978-601-330-480-9</t>
  </si>
  <si>
    <t>Есберген Р.Ә.</t>
  </si>
  <si>
    <t>Адам ресурстарын басқару</t>
  </si>
  <si>
    <t>«Адам ресурстарын басқару» монографиясында адам ресурстарын басқарудың теориялық негіздері мен кейбір практикалық сұрақтары көрсетілген. Отандық және шетелдік тәжірибе негізінде қазіргі жағдайда қызметкерлермен жұмыс жасаудың тиімді тәсілдері қарастырылады. Адам ресурстарын басқаруды ұйымдастыру негіздері, тұжырымдамалары, стратегиялары, адам ресурстарын басқару технологиялары мен әдістері қарастырылады.Монография адам ресурстарын басқару сұрақтарымен айналысатын білім берушілерге, практик-мамандарға ұсынылады, сонымен қатар жас мамандар мен біліктілігін арттыратын менеджерлерге пайдалы болуы мүмкін.</t>
  </si>
  <si>
    <t>00011789</t>
  </si>
  <si>
    <t>Бухарбаев М.А., Ансапов А.Е., Казагачев В.Н.</t>
  </si>
  <si>
    <t>Электрические машины</t>
  </si>
  <si>
    <t>В учебном пособии "Электрические машины" представлены основные понятия и определения в области электрических машин, а также классификация и применение различных типов машин. Пособие охватывает основы электромагнетизма и электротехники, необходимые для понимания принципов работы электрических машин.В пособии рассматриваются постоянные токи, асинхронные и синхронные электрические машины. Представлены методы расчета и проектирования, а также особенности управления и регулирования этих машин.Пособие рассчитано на студентов, изучающих специальности в области электроэнергетики.</t>
  </si>
  <si>
    <t>00011790</t>
  </si>
  <si>
    <t>978-601-330-473-1</t>
  </si>
  <si>
    <t>Нұржаубаева Р.Б, Казағачев В.Н.</t>
  </si>
  <si>
    <t>ДК және желіні жаңғырту</t>
  </si>
  <si>
    <t>Оқытубасқа жәрдемақы арналғано студенттердің компьютерге техникалық қызмет көрсету және жөндеу бойынша кәсіби қызметке дайындығын қалыптастырурәртүрлі ұйымдық-құқықтық ұйымдардағы (кәсіпорындардағы) есептеу техникасы мен компьютерлік желілердің типтік бағдарламалық қамтамасыз етуін қамтамасыз ету бойынша техникалық жүйелер мен кешендердің нысандар. Бағдарламалық қамтамасыз етудің құрамы мен құрылымы, жүйелік және қолданбалы бағдарламалық қамтамасыз етуді жаңарту жиілігі мен әдістері, компьютердің жұмысын оңтайландыру жолдары қарастырылады. Жабдықтың операциялық жүйемен үйлесімділігіне және драйверлерді жаңартуға назар аударылады. Студенттер үшін мамандықтар 6В01707 - "Ағылшын тілі және информатика", сондай-ақ педагогикалық бағыттағы басқа мамандықтар.</t>
  </si>
  <si>
    <t>00011791</t>
  </si>
  <si>
    <t>978-601-330-508-0</t>
  </si>
  <si>
    <t>Ерниязова Б. Б.</t>
  </si>
  <si>
    <t>Гендік инженерия</t>
  </si>
  <si>
    <t>Оқу құралында іn vivo гендік инженерия, прокариот және эукариот жасушаларының геном құрылымы, гендік инженерия ферменттері, клон алу үшін қажетті векторлар, іn vitro ДНҚ молекулаларын құрастыру әдістері қарастырылған. 2-басылымда негізгі тараулар бойынша материалдар жаңа мәліметтермен, суреттермен толықтырылды.Оқу құралы 6В05102 – «Биотехнология» білім беру бағдарламасының білім алушыларына арналған.</t>
  </si>
  <si>
    <t>00011792</t>
  </si>
  <si>
    <t>Жапанова Р.Н, Лапиева Г.К, Ишанов П.З.</t>
  </si>
  <si>
    <t>Саулық сыры</t>
  </si>
  <si>
    <t>Ұсынылған әдістемелік құрал қазіргі кездегі білім беретін мектептердің бастауыш сынып оқушыларына таңдау пәні бойынша сабақта салауатты өмір салты дағдыларын қалыптастырудағы практикалық тапсырмаларды шешуге бағытталған. Әдістемелік құралда оқушыларға салауатты өмір салты дағдыларын қалыптастырудағы ғылыми-әдістемелік жолдары жан-жақты қарастырылып, әдіс-тәсілдері практикалық тұрғыда сұрыпталып берілген. «Саулық сыры» әдістемелік құралы жалпы білім беретін 11 жылдық мектептің бастауыш сынып мұғалімдеріне арналған.</t>
  </si>
  <si>
    <t>00011793</t>
  </si>
  <si>
    <t>978-601-330-585-1</t>
  </si>
  <si>
    <t>Жапанова Р.Н,Тусенова Ж.Б, Ишанов П.З.</t>
  </si>
  <si>
    <t>Бастауыш мектеп оқушыларының салауатты өмір салты дағдыларын қалыптастыру</t>
  </si>
  <si>
    <t>Ұсынылған оқу-әдістемелік құралдың мақсаты - бастауыш сынып мұғалімдерііне балалардың салауатты өмір салтын қалыптастыруға көмектесу. Әзірленген тәрбие жоспарларын осы нұсқаулықта көрсетілгендей және мұғалім шығармашылықпен дамыта алатын үлгі ретінде қолдануға болады. Жалпы білім беретін мектептің бастауыш сынып мұғалімдеріне арналған.</t>
  </si>
  <si>
    <t>00011794</t>
  </si>
  <si>
    <t>Дайрабаева Г.Б., Шадинова Г.А., Малдыбек А.Ж.</t>
  </si>
  <si>
    <t>Әлеуметтік философия</t>
  </si>
  <si>
    <t>Бұл оқу құралда әлеуметтік философияның негізгі тарихи даму кезеңдері, оның негізгі теориясы және заңдылықтары мен принциптері қарастырылады. Адамның адамгершілікке және мамандануға, ақыл-ой дамуына тигізетін әлеуметтік философияның әсерімен таныстырады. Бұл оқу құрал мемлекеттік білім стандартына сәйкес жасалынған. Студенттер мен магистранттарға арналған.</t>
  </si>
  <si>
    <t>00011795</t>
  </si>
  <si>
    <t>978-9965-840-61-6</t>
  </si>
  <si>
    <t>Шадинова Г.А</t>
  </si>
  <si>
    <t>Әлеуметтік-философиялық талдаудағы руханилық және интеллект</t>
  </si>
  <si>
    <t>Бұл оқу құралы әлеуметтік философиялық талдаудағы руханилық және интеллект кypcының нeгіздepінe apнaлғaн. Бұл eңбeктe сол заман философиясының руханилық және интеллект мәceлeлepінe қысқаша мәлімет берілді.</t>
  </si>
  <si>
    <t>00011796</t>
  </si>
  <si>
    <t>978-601-330-147-1</t>
  </si>
  <si>
    <t>Асанбаева С. А. Озгамбаева Р. О.</t>
  </si>
  <si>
    <t>Жарнаматану негіздері</t>
  </si>
  <si>
    <t>Журналистика, Реклама и связи с общественностью, филология</t>
  </si>
  <si>
    <t>Ұсынылып отырған "Жарнаматану негіздері" атты монография - қазақ жарнамасының даму тарихы, түрлері, қазіргі заманғы экономикадағы жарнаманың рөлі, жарнаманы жоспарлаудың негізгі кезеңдері, мазмұны, жарнамалық ақпаратты тарату арналарының ерекшеліктері және жарнама тілі мен оның қоғамдық өмір салаларындағы қызмет көлемі жөнінде және мемлекеттік тілдің жарнама сааласында қолданылуы мен даму бағыттары жөніндегі алғашқы зерттеулердің бірі. Бұл монография филология мамандықтары мен «Жарнама және қоғаммен байланыс», «Экономика», «Менеджмент» және «Сауда» мамандықтары бойынша білім алатын бакалавриат студенттері мен магистранттарға, тілші ғалымдарға, ізденушілерге сонымен қатар жарнама саласында жұмыс істейтін мамандарға арналған.</t>
  </si>
  <si>
    <t>00011797</t>
  </si>
  <si>
    <t>978-601-224-005-4</t>
  </si>
  <si>
    <t>Мұқашева М.Б. / Мукашева М.Б</t>
  </si>
  <si>
    <t>Кітапханалық қызмет: теория және тәжірибе</t>
  </si>
  <si>
    <t>Библиотечное дело</t>
  </si>
  <si>
    <t>Оқу құралында кітапханалық кызмет көрсетудің теориясы мен әдістерінің негізгі мәселелері камтылған. Кітапханалық қызмет көрсетудің маңызы мәдени-әлеуметтік кұбылыс ретінде ашылып көрсетілген. Кітапханалық қызмет көрсетудің негізгі формаларына, жекелей және көпшілік кітапханалық жұмыстарына ерекше көңіл бөлінген. Оқу құралы жоғарғы оқу орындарындағы «Кітапханатану және библиография» мамандығының студенттеріне, оқытушыларына, аспиранттар мен кітапхана-библиографиятану саласының ғылыми ізденушілеріне және кітапхана қызметкерлеріне арналған. Оқу құралы жогары оку орындары бағдарламасына сай жазылған.</t>
  </si>
  <si>
    <t>00011798</t>
  </si>
  <si>
    <t>978-601-13-0076-6</t>
  </si>
  <si>
    <t>Женсхан Д.</t>
  </si>
  <si>
    <t>Аграрлық менеджмент</t>
  </si>
  <si>
    <t>Агро, менеджмент</t>
  </si>
  <si>
    <t>Оқу құралында аграрлық менеджменттің мәні, оның ауыл шаруашылығын болжау мен жоспарлаудағы маңызы, жұмыс жасау принциптері, қазіргі ауыл шаруашылығы саласын басқарудағы қажеттілігі, ауыл шаруашылығы саласының ұлттық экономиканы дамытудағы маңыздылығы, аталмыш саланы дамыту бойынша мемлекет тарапынан жасалып отырған қолдаулар қарастылыған. Сонымен қатар, ауыл шаруашылығы кәсіпорындарының ұйымдық-құқықтық нысандары, еңбек ресурстарын басқару мен ынталандыру, АӨК саласын ағымдық және стратегиялық жоспарлаудың, ауыл шаруашылығындағы жер ресурстары мен негізгі және айналым қорларын, өнім сапасын басқару т.б. бойынша тақырыптар кеңінен ашылып көрсетілген. Әр тақырыптың соңында бақылау сұрақтары келтірілген. Оқу құралы экономикалық мамандықтарды даярлайтын жоғары оқу орындарының студенттеріне, магистранттарға, аграрлық менеджмент пәнінен сабақ беретін оқытушыларға және ауыл шаруашылығын басқаратын өз бетінше үйренушілерге арналған.</t>
  </si>
  <si>
    <t>0001180</t>
  </si>
  <si>
    <t>Бакишев А.К., Сатпаева З.З., Ергалиев Е.К.</t>
  </si>
  <si>
    <t>Функцияның графигін түрлендіру мен салу</t>
  </si>
  <si>
    <t>Оқу-әдістемелік құралында мектеп курсы бағдарламасында кездесетін функцияның графигін түрлендіру мен салу әдістемесі берілген. Бұл құрал Математика мамандығында оқитын студенттерге, математика пәнінің мұғалімдеріне және де математикаға деген қызығушылығы жоғары өз бетімен білім алушыларға арналған.</t>
  </si>
  <si>
    <t>00011805</t>
  </si>
  <si>
    <t>978-601-330-811-1</t>
  </si>
  <si>
    <t>Дарибаев Ю.А., Дарибаев Н.Ю., Исаева Д.</t>
  </si>
  <si>
    <t>Мұнай өндірудің технологиясы мен техникасы</t>
  </si>
  <si>
    <t>"Мұнай өндірудің технологиясы мен техникасы" пәні 6В07216 - «Мұнай-газ инженериясы», 6В07213-«Мұнай және газ ұңғымаларын бұрғылау» білім беру бағдарламасы бойынша білім алатын студенттерге және мұнай өндірісінің инженерлік техникалық қызметкерлеріне арналған. Оқулықта – жалпы мәлімет, ұңғыманың жабдықталуы, атқылау ұңғымасын өндіру кезіндегі жабдықталуы, газлифт әдісімен ұңғымаларды пайдалануға арналған жабдықтар, штангалы ұңғыма сораптарын пайдалану үшін ұңғымаларды жабдықтау, ұңғымаларды штангасыз сораптармен жабдықтау, бұрандалы және диафрагмалық сораптарды орнату, ағынды ұңғыма сораптарының конструкциялары, ұңғымаларды жерасты жөндеуге арналған жабдықтарды жіктеу, жер асты жөндеуге және ұңғымаларды игеруге арналған шығырлар, көтергіштер мен агрегаттардың қолданылуы туралы мәліметтер сонымен қатар, көтергіштерді, сорғыларды есептеу, тұз қышқылымен өңдеуді жобалау және қабатты гидравликалық жару процессін жобалау есептері келтірілген.</t>
  </si>
  <si>
    <t>00011807</t>
  </si>
  <si>
    <t>978-601-330-557-8</t>
  </si>
  <si>
    <t>Альмухамбетова Б. Ж.</t>
  </si>
  <si>
    <t>Исследование эмоционального состояния слабослышащих обучающихся ВУЗа и колледжей</t>
  </si>
  <si>
    <t>Педагогика,инклюзив. Образование,психология,дефектология</t>
  </si>
  <si>
    <t>В монографии изложены теоретические и методические аспекты организации исследования эмоционального состояния обучающихся с особыми образовательными потребностями в высших учебных заведениях и колледжах: анализ формы, методов, средств обучения слабослышащих обучающихся в вузе и колледже обычного типа, характеристика методики исследования эмоционального состояния обучающихся с особыми образовательными потребностями в высших учебных заведениях и колледжах, в частности, методические подходы в организации занятий. В монографии представлен собственный анализ исследований автора по проблеме эмоционального состояния обучающихся с особыми образовательными потребностями, психолого-педагогическим особенностям слабослышащих обучающихся ВУЗа и колледжей, имеется глоссарий по предмету изучения, библиографический список.Издание предназначено для методического обеспечения дисциплины «Инклюзивное образование», изучаемой по образовательной программе 7М01101 - «Педагогика и психология». Монография также может использоваться преподавателями вузов, обучающимися, учителями школ, специалистами в области инклюзивного образования.</t>
  </si>
  <si>
    <t>00011808</t>
  </si>
  <si>
    <t>978-601-216-889-1</t>
  </si>
  <si>
    <t>Мамекова А.Т.</t>
  </si>
  <si>
    <t>Студенттердің тұлғалық өсуіндегі мотивация</t>
  </si>
  <si>
    <t>Моногрaфия</t>
  </si>
  <si>
    <t>Монографияда студенттердің тұлғалық өсуіндегі кәсіби даярланудың мотивациясының педагогикалық-психологиясының теориялық негіздері және кәсіби даярланудағы мотивациясының қалыптасу ерекшеліктері зерделеніп, талдау жүргізілді, Қазақстандық және шетел зерттеулеріндегі студенттердің тұлғалық өсуіндегі кәсіби даярланудың психологиялық теориялары, мотивация механизмдеріндегі белсенділік деңгейін жоғарылату мәселесі қарастырылды, студенттердің тұлғалық өсуіндегі кәсіби даярланудың мотивациясының педагогикалық-психологияның қолданбалы мүмкіндіктері анықталды, студенттердің тұлғалық өсуіне кәсіби даярлану үрдісіндегі мотивацияның психологиялық әсерін жоғарылату бойынша ұсыныстар берілді.Моногрaфия педагогикалық білім саласы бойыншa бiлiм aлaтын білімгерлерге, жоғaры оқу орындaрының оқытушылaрына, әдіскерлеріне және осы салада зерттеу жүргізіп жатқан немесе осы мәселеге қатысты қызығушылық білдірген кез-келген қолданушыларға арналған.Ұсынылып отырған монография «Тұлға психологиясы» және «Тренингтің психологиялық негіздері» пәндерін қамтамассыз етеді.</t>
  </si>
  <si>
    <t>00011809</t>
  </si>
  <si>
    <t>978-601-330-525-7</t>
  </si>
  <si>
    <t>Бухгалтерлік есеп</t>
  </si>
  <si>
    <t>Экономика,бух. Учет</t>
  </si>
  <si>
    <t>"Бухгалтерлік есеп" оқулығы теориялық оқытудың барлық курсын қамтиды, "Бухгалтерлік есеп" курсының модульдік білім беру бағдарламаларына (БББ) сәйкес барлық бөлімдер көрсетілген.Қазіргі уақытта барлық кәсіпорындарда компьютерлік есеп жүргізілетінін ескере отырып, тақырыптардың көпшілігі компьютерлендірумен байланысты, өйткені кәсіпорындарда көптеген операциялар онлайн форматта жүзеге асырылады: есептіліктің барлық нысандарын автоматты түрде қалыптастыру,электрондық шот-фактуралар, клиенттік қосымшалар және т. б. қолданылды.
 "Бухгалтерлік есеп" оқулығы экономикалық бағыттағы білім беру бағдарламаларының студенттері мен магистранттарына, оқытушыларға, практик бухгалтерлерге арналған.</t>
  </si>
  <si>
    <t>00011810</t>
  </si>
  <si>
    <t>978-601-330-524-0</t>
  </si>
  <si>
    <t>Бухгалтерский учет</t>
  </si>
  <si>
    <t>Учебник «Бухгалтерский учет» охватывает весь курс теоретического обучения, отражены все разделы согласно модульных образовательных программ (МОП) курса «Бухгалтерский учет».Учитывая, что в настоящее время практически на всех предприятиях ведется компьютерный учет, большинство тем связаны с компьютеризацией, так как на предприятиях многие операции проводятся в онлайн-формате: автоматическое формирование всех форм отчетности, применение электронных счетов-фактур, клиентские приложения и др.Учебник «Бухгалтерский учет» предназначен для студентов и магистрантов образовательных программ экономического направления, преподавателей, практикующих бухгалтеров</t>
  </si>
  <si>
    <t>00011811</t>
  </si>
  <si>
    <t>978-601-330-536-3</t>
  </si>
  <si>
    <t>Sh.Daurenbekova., B.Oksikbayev., S.Kabdyganieva.</t>
  </si>
  <si>
    <t>Professional-оriented English language (Biology)</t>
  </si>
  <si>
    <t>еducational manual</t>
  </si>
  <si>
    <t>Данное учебное пособие «Профессионально-ориентированный английский язык (биология)» составлено в соответствии с рабочей программой для студентов и магистрантов полиязычных групп естественного факультета университета. Пособие состоит из 20 глав, посвященных некоторым базовым проблемам биологии, содержит тексты для дополнительного чтения, а также глоссарий основных биологических терминов и тестов. Оно предназначено для экономии времени студентов и оптимизации их практической работы.</t>
  </si>
  <si>
    <t>00011812</t>
  </si>
  <si>
    <t>978-601-330-748-0</t>
  </si>
  <si>
    <t>Daurenbekova Sh., Oksikbayev B.K. Alem Abdildauly., Anuar Serdalin</t>
  </si>
  <si>
    <t>Molecular biology</t>
  </si>
  <si>
    <t>Этот учебник по молекулярной биологии на английском языке составлен в соответствии со стандартной рабочей программой для студентов многоязычных групп факультета естественных наук университета. Он разработан с целью экономии времени студентов и оптимизации их практической работы.</t>
  </si>
  <si>
    <t>00011813</t>
  </si>
  <si>
    <t>978-601-330-534-9</t>
  </si>
  <si>
    <t>Sholpan Daurenbekova, Berikzhan Oksikbayev, Sagdana Kabdygaliyeva</t>
  </si>
  <si>
    <t>Bioresources of Kazakhstan for students of Biology speciality</t>
  </si>
  <si>
    <t>Настоящее учебно-методическое пособие «Биоресурсы Казахстана» на английском языке составлено в соответствии с типовой рабочей про-граммой для студентов полиязычных групп естественного факультета университета. Оно предназначено для экономии времени студентов и оп-тимизации их практической работы.</t>
  </si>
  <si>
    <t>00011814</t>
  </si>
  <si>
    <t>Түгелбаева Г.Т. / Тугелбаева К., Байкадамова Л.С.</t>
  </si>
  <si>
    <t>Экология және физика</t>
  </si>
  <si>
    <t>Экология,физика</t>
  </si>
  <si>
    <t>«Экология және физика» атты оқу құралы элективті пәннің бағдарламасына сәйкес құрылған. Онда жаратылыстану пәндерінің мазмұнын экологизациялаудың негізгі принциптері, физиканы оқытуда білім алушыларға экологиялық білім және тәрбие берудің жолдары келтірілген. Оқу құралы докторанттар мен магистранттарға және физика, экология білім беру бағдарламаларының студенттеріне және орта мектеппен жоғары оқу орындарының оқытушыларына арналған.</t>
  </si>
  <si>
    <t>00011815</t>
  </si>
  <si>
    <t>978-601-13-0637-9</t>
  </si>
  <si>
    <t>Унаева А.З</t>
  </si>
  <si>
    <t>Экономиканың базалық білімін және кәсіпкерлік негіздерін қолдану модульі</t>
  </si>
  <si>
    <t>Оқу – әдістемелік кешені</t>
  </si>
  <si>
    <t>Ұсынылып отырған оқу-әдістемелік кешен БМ.“Экономиканың базалық білімін және кәсіпкерлік негіздерін қолдану ” пәні бойынша барлық мамандықтар студенттеріне арналған. Оқу-әдістемелік кешен студенттерге пәнді игеру үшін қажетті материалдармен толықтырылған. Әр тақырыпты дәріс сабақтарында зерделегеннен кейін, алған білімін бекіту үшін тақырыптарға қатысты негізгі түсініктер, тест тапсырмаларберілген.БМ.“Экономиканың базалық білімін және кәсіпкерлік негіздерін қолдану” пәні бойынша оқу – әдістемелік кешен құралының негізігі міндеттері:студенттің алған білімін бекіту және тереңдету;әдебиетпен дербес жұмыс істеу дағдысын қалыптастыру және бекіту;студенттің өз білімін тәжірибеде қолдана білу дағдысықалыптастыру:студенттердің мерзімді және шетелдік әдебиеттерімен дербес жұмыс жасауға дағдыларын дарыту;қаржылық талдау мәселелерін талдауда өз ойларын нақты, бірізділікпен және экономикалық сауатты баяндай білуге икемдеу;компьютермен жұмыс дағдыларын дарыту. “Экономика негіздері” пәні бойынша барлық мамандықтар студенттеріне ғылыми-зерттеу жұмысқа үйретеді және оны жүргізуге тәжірибе алуға көмектеседі. Кешен студенттердің дербес жұмысының маңызды бөлігі және оларды өздігімен әдебиеттерді, анықтамалық және статистикалық материалдарды табуға және пайдалануға үйретеді. Студенттер лекция жинақтарын берілген тапсырмаларды орындау кезінде берілген тақырыптың теориялық негіздерін терең оқып-білуі тиіс.</t>
  </si>
  <si>
    <t>00011816</t>
  </si>
  <si>
    <t>Каршалова Д.Г., Карбаев Н.К., Ажимгереева А.Б.</t>
  </si>
  <si>
    <t>Құрылысты метрологиялық қамтамасыз ету</t>
  </si>
  <si>
    <t>Метрология, стандартизация и сертификация</t>
  </si>
  <si>
    <t>Оқу құралында метрологияның даму тарихы, өлшем бірлігін қамтамасыз етудің мемлекеттік жүйесінің құрылымы, құрылысты метрологиялық қамтамасыз етудің ғылыми, техникалық және нормативтік базасы, физикалық шамалар жүйесі және құрылыста қолданылатын нормативтік құжаттар, құрылыс бақылауын метрологиялық қамтамасыз ету және құрылыс материалдарының сапасын бақылау негіздері мәселелері қаралады. Сонымен қатар, қазіргі уақытта метрологиялық қызметтің ұйымдастырушылық, әдістемелік және құқықтық негіздерін нормативтік реттеу жоқ екенін ескере отырып, осы оқу құралында құрылыс ұйымдарында осындай қызметтерді бақылау-өлшеу құралдарының минималды жиынтығымен жабдықтау бойынша ұсыныстар берілген.</t>
  </si>
  <si>
    <t>00011817</t>
  </si>
  <si>
    <t>Ботабаева А. Е.</t>
  </si>
  <si>
    <t>Педагогтардың коммуникативтік құзыреттілігі</t>
  </si>
  <si>
    <t>«Педагогтардың коммуникативтік құзыреттілігі» атты оқу құралында педагогтардың коммуникативтік құзыреттілігін қалыптастырудың теориялық және әдістемелік негіздері қарастырылып, болашақ педагогтардың коммуникативтік құзыреттілігін қалыптастырудың әдістері мен ұйымдастыру формалары берілген. Оқу құралын педагогтарға, студенттерге, магистранттарға, докторанттар мен жалпы оқырман жұртшылықтың пайдалануына болады</t>
  </si>
  <si>
    <t>00011818</t>
  </si>
  <si>
    <t>978-601-330-414-4</t>
  </si>
  <si>
    <t>Хаймулдинова А.К., Искаков Р.М., Асиржанова Ж.Б.</t>
  </si>
  <si>
    <t>Өндірістегі метрологиялық қамтамасыз ету</t>
  </si>
  <si>
    <t>Стандартизация, сертификация</t>
  </si>
  <si>
    <t>Оқу құралында Қазақстан Республикасында метрологияның қадағалау қызметінен бастап, метрологиялық қызметінің өндірістік жəне салыстырып тексеру бөлімдері, өлшеу нәтижелерін өңдеу және оларды көрсету формасы, өндірісті метрологиялық тұрғыда қамтамасыз етудің басты мәселелері, өнімді сынаудың метрологиялық қамтамасыздандырылуы қарастырылған. Оқу құралында тұтынушы құқығын қорғау, өнім сапасы мен қауіпсіздігін қамтамасыз ету туралы заңнамалар, қоршаған ортаны қорғау жағдайын бақылауды метрологиялық қамтамасыз ету келтірілген. Осы оқу құралы «7M07532 – Стандарттау және сертификаттау» мамандығы бойынша білім алушы студенттерге, магистранттарға арналады</t>
  </si>
  <si>
    <t>00011819</t>
  </si>
  <si>
    <t>978-601-330-799-2</t>
  </si>
  <si>
    <t>Қожас А.К. ( Кожас )</t>
  </si>
  <si>
    <t>Организация строительного производства</t>
  </si>
  <si>
    <t>В учебном пособии «Организация строительного производства» изложены основы проектирования строительного генерального плана; методы расчета основных элементов стройгенплана по курсовому проектированию: временного водоснабжения, электроснабжения, освещения, выбор и количество бытовых помещений; расчет площади склада, определение радиусов действия опасной и монтажной зоны крана, поперечная и продольная привязка крана, разработаны тестовые и ситуационные вопросы. Предназначено для студентов, обучаемых по ОП «Промышленное и гражданское строительство», «Расчет и проектирование зданий и сооружений»</t>
  </si>
  <si>
    <t>00011820</t>
  </si>
  <si>
    <t>978-601-13-0479-5</t>
  </si>
  <si>
    <t>Сембаев Н.С., Умарова Б.А., Жанбиров Е.Ж., Жанбиров Ж. Г</t>
  </si>
  <si>
    <t>Автокөліктерге техникалық қызмет көрсету</t>
  </si>
  <si>
    <t>Транспорт, Механика</t>
  </si>
  <si>
    <t>Арнаулы орта және жоғарғы оқу орындарындағы студенттерге арналған автокөліктер бойынша тәжірибелік оқулық британдық жетекші маман Том Дэнтонның әдістемесі негізінде дайындалған.</t>
  </si>
  <si>
    <t>00011822</t>
  </si>
  <si>
    <t>Нурмухамедова Ш.С., Нахипбекова С.А.</t>
  </si>
  <si>
    <t>Туризмдегі персоналды басқару психологиясы</t>
  </si>
  <si>
    <t>Туризм, Менеджмент, Психология</t>
  </si>
  <si>
    <t>Оқу құралында туризмде персоналды басқару психологиясын дамытудың теориялық- әдістемелік негізіне анықтама берілген. Туризмде персоналды басқарудағы заманауи көзқарастар, қызметкерлердің қазіргі заман ұйымындағы рөлі мен олардың дарындарын басқару жолдары, адам ресурстарын стратегиялық басқарудағы заманауи үдерістер қарастырылған.Адам ресурстарын стратегиялық дамытудың отандық және шетелдік тәжірибесі зерттелген. Әр тараудан кейін бақылау сұрақтары мен тест тапсырмалары берілген.Оқу құралы академиялық бағытта білім алып жатқан студенттерге, соның ішінде туризм, жалпы бизнес және басқару мамандығында оқитын білімгерлерге арналған. Оқу құралы кең ауқымды оқырмандар шеңберіне, туризм және экономикалық мамандық оқытушыларына, докторанттары мен магистранттарға және студенттерге қызықты.</t>
  </si>
  <si>
    <t>00011823</t>
  </si>
  <si>
    <t>978-601-13-0014-8</t>
  </si>
  <si>
    <t>Битилеуова З.К.,Сембаев Н.С.,Умарова Б.А.,Жанбиров Ж.Г</t>
  </si>
  <si>
    <t>Интеллектуалды көлік жүйелері</t>
  </si>
  <si>
    <t>Бұл оқулықтың мақсаты болашақ мамандардың жол қозғалысын моделдеу мен ұйымдастыру және стандарттау жөніндегі стратегиялық құжаттарды, нормативтік база, бағдарламаларды басқару, тұжырымдамалық құжаттардың мазмұны мәселелерін қоса алғанда, көлік жүйелерін құрудың озық шетелдік тәжірибесіне жеткілікті талдау жүргізілген. Оқулық барлық бакалаврлар мамандығына, сондай-ақ, жоғары оқу орындарының магистранттарына арналған</t>
  </si>
  <si>
    <t>00011825</t>
  </si>
  <si>
    <t>978-601-13-0099-5</t>
  </si>
  <si>
    <t>Байбекова М.М</t>
  </si>
  <si>
    <t>Жоғары оқу орнындағы оқытудың интерактивті әдістері</t>
  </si>
  <si>
    <t>Аталған оқу құралы білім беру процесінде қолданылатын интерактивті оқытудың әдістерін сипаттайды. Жоғары оқу орнының оқытушылары, магистранттар, студенттерге арналған.</t>
  </si>
  <si>
    <t>00011826</t>
  </si>
  <si>
    <t>978-601-330-839-5</t>
  </si>
  <si>
    <t>Психологиялык кенес беру</t>
  </si>
  <si>
    <t>Оқырманға ұсынылып отырған бұл монографияда психологиялық қызмет көрсету саласындағы маңызды әрекеттің бірі- кәсіби тұрғыдан кеңес берудің жеке ғылым саласы ретіндегі теориялық мазмұны және әдістемелік негізі қарапайым, ұғынымды тілде баяндалады. Оқырман психологиялық кеңес берудің терең қыр-сырларымен танысады, жаңа терминдер мен ұғымдарды меңгеретін болады және де кәсіби кеңес берудегі техникалар мен шеберлік-дағдыларды меңгеретін болады. Жоғары оқу орындарының оқытушылары, магистранттар мен студенттерге, барлық саладағы психологтарға,жалпы психология ғылымына,адам жанының табиғатын түсінуге қызығушылығы бар өресі озық азаматтарға арналған.</t>
  </si>
  <si>
    <t>00011827</t>
  </si>
  <si>
    <t>978-601-330-854-8</t>
  </si>
  <si>
    <t>Байбекова М.М, Абдрахман А.О, Алибекова С.Н</t>
  </si>
  <si>
    <t>Мектеп жағдайында суицид жағдайларын болдырмаудың ғылыми-әдістемелік негіздері.</t>
  </si>
  <si>
    <t>Жоғары оқу орнының студенттері,оқытушылары, педагог-псхолог мамандарға,мектеп мұғалімдері мен оқушылары,халыққа білім беру жүйесі мамандарына,бала тәрбиесі толғандыратын кез-келген ересек,ата-аналар мен жалпы оқырман қауымға арналған практикалық-әдістемелік оқу құралы.</t>
  </si>
  <si>
    <t>00011828</t>
  </si>
  <si>
    <t>Байбекова М.М, Ибраева П.М</t>
  </si>
  <si>
    <t>Әлеуметтік-психологиялық тренингтер, әдістемелер мен жаттығулар</t>
  </si>
  <si>
    <t>Бұл оқу-әдістемелік құралда әлеуметтік-психологиялық тренингтер, релаксациялық жаттығулар, констатациялық эксперимент әдістемелері, түзету-қалыптастырушы жаттығулардың кешенді қатары ұсынылады. Ұсынылған психологиялық интерактивті әдістерді қолдану арқылы оқырман қазіргі таңда адам жанын танудың, түсінудің құпия сырларымен танысады; қарым-қатынастың түрлі стильдерін меңгереді; педагог, психологқа аса қажетті практикалық шеберлік пен дағдыларды меңгереді; инновациялық психотехника мен жаңа оқыту технологияларының озық үлгілерін іс жүзінде қолдануға машықтанады; бір топта бірлесіп жұмыс істеу дағыдысын меңгереді; адамның жеке басының құндылық бағдарларын жетілдіріп, қалыптастыруға үйренеді.</t>
  </si>
  <si>
    <t>00011829</t>
  </si>
  <si>
    <t>Байбекова М.М, Нұрғалиева Ұ.С, Ахметова А.И, Гарбер А.И</t>
  </si>
  <si>
    <t>Тұлғаның психологиялық-педагогикалық диагностикасы</t>
  </si>
  <si>
    <t>Оқу құралы тұлғаның психологиялық-педагогикалық диагностикасын жүргізудің және интерпретациялаудың мақсатын, міндеттерін, әдістерін және тәсілдерін қамтиды; диагностикалық процестің барлық қатысушыларының өзекті сұраныстары мен қажеттіліктеріне сәйкес негізгі категориялары мен ұғымдарын ашады, тұлғаның психологиялық-педагогикалық диагностикасының өзекті салалары, білім алушылардың теориялық білімдерді игеру дәрежесін анықтау материалдары, білім беру саласында психологиялық-педагогикалық диагностиканы жүзеге асыру бойынша практикалық дағдыларды бекіту материалдарын қамтиды. Оқу құралы «Тұлғаның психологиялық - педагогикалық диагностикасы» пәнінің шеңберінде 6В011-7М011-«Педагогика және психология» білім беру бағдарламалары бойынша оқитын студенттер мен магистранттарға арналған.</t>
  </si>
  <si>
    <t>0001183</t>
  </si>
  <si>
    <t>Бақтыбекова Ш.М.</t>
  </si>
  <si>
    <t>География ғылымдарының тарихы</t>
  </si>
  <si>
    <t>Оқу құралында география тарихының түрліше кезеңдегі дамуы, географияның методолгиялық негіздері, объективті дүниені танудағы географиялық зерттеулердің рөлі, география ғылымының қалыптасуы мен дамуы айтылады. Оқу құралы жоғары оқу орындарындағы «География» мамандығының білімгерлеріне арналған.</t>
  </si>
  <si>
    <t>00011830</t>
  </si>
  <si>
    <t>Кикілжің психологиясы</t>
  </si>
  <si>
    <t>Бұл оқу құралында конфликтология ғылымының теориялық мазмұны талданады. Оқырман кикілжің психологиясы ғылымының қыр-сырларын ұғынады, тест сұрақтарын, жаңа терминдер мен ұғымдарды меңгеретін болады. Жоғары оқу орындарының оқытушылары, аспиранттар мен студенттерге әрі ізденушілерге, мамандарға арналған.</t>
  </si>
  <si>
    <t>00011831</t>
  </si>
  <si>
    <t>978-601-13-0700-0</t>
  </si>
  <si>
    <t>Мусаев Ж.С.</t>
  </si>
  <si>
    <t>Автоматты басқару теориясының негіздері</t>
  </si>
  <si>
    <t>Бұл кітапта автоматты басқару теориясы негіздерінің мәселелері, АБЖ математикалық үлгілері, АБЖ сызықты және сызықты емес зерттеу әдістері, сызықты АБЖ зерттеу әдістері автоматты басқару жүйесінің тұрақтылығы мен сапасы, сызықты АБЖ–гі кездейсоқ әсерлері, оңтайлы басқару және басқару жүйенің қазіргі даму тенденциясы жете қарастырылған. Дайындық бағыты: 6B071 «Инженерия және инженерлік іс»бойынша студенттерге арналған оқулық ретінде ұсынылды.</t>
  </si>
  <si>
    <t>00011832</t>
  </si>
  <si>
    <t>978-601-13-0379-8</t>
  </si>
  <si>
    <t>Вагон шаруашылығының жұмысын басқару</t>
  </si>
  <si>
    <t>Қазақстан Республикасының теміржолының вагон шаруашылығының қалыптасуы мен даму тарихы баяндалған. Вагон шаруашылығының бүгінгі жай күйі жан-жақты талқыланған. Теміржол вагондарын жөндеу жұмыстарының түрлері, ерекшеліктері және экономикалық көрсеткіштері сипатталған. Жөндеу жұмыстарын басқару мен ұйымдастырудың теориялық тұстары талданған. Темір жол вагондарын жөндеу жұмыстарын басқару мен ұйымдас-тырудың тиімді жолдары ұсынылған.
 Оқу құралы темір жол саласында жұмыс атқаратын мамандарға және осы сала бойынша даярланып жатқан студенттер мен магистранттарға арналған.</t>
  </si>
  <si>
    <t>00011833</t>
  </si>
  <si>
    <t>9965-750-86-6</t>
  </si>
  <si>
    <t>Вагондар динамикасы 2-ші басылым</t>
  </si>
  <si>
    <t>Оқулықта механикалық жүйенің тербеліс процесстері қарастырылған: тербеліс кезінде әсер ететін күштер топтамасы, тербеліс түрлері, қозғалыстағы дифференциалды теңдеулерді алу әдістері, теміржол жылжымалы құрамның тербелісінің физикасы және динамикалық жүйелердің тербеліс үрдістерінің негізгі заңдылықтары қарастырылған. Динамикалық үрдістерін компьютерлік модельдеудің негіздері келтірілген және әр түрлі типті жылжымалы құрамның динамикалық ерекшеліктері талданған. Жылжымалы құрамның элементтеріндегі діріл параметрлерін және соққылы әсерлерді өлшеу технологияларының негіздерімен жылжымалы құрамның құрама бөлшектерінің динамикалық сипаттамаларын жөндеу кәсіпорындарында бақылау құралдарын шолу жүргізіледі. Жылжымалы құрамды сынау әдістері және діріл өлшеу аспаптарының олардың метрологиялық қызмет көрсетуі кезінде тексеруге арналған стенділер сипатталады. 6B071 «Инженерия және инженерлік іс» дайындық бағыты бойынша студенттерге арналған оқулық ретінде ұсынылды.</t>
  </si>
  <si>
    <t>00011834</t>
  </si>
  <si>
    <t>978-601-207-868-8</t>
  </si>
  <si>
    <t>Динамика транспортной техники</t>
  </si>
  <si>
    <t>В учебнике освещаются основные положения динамики транспортной техники. Рассматриваются эксплуатационные свойства транспортной техники на примере автомобилей и тракторов. Дается анализ тягово-скоростных, тормозных свойств и топливной экономичности автомобилей и тракторов. Раскрыты основные понятия плавности хода, управляемости, устойчивости и проходимости транспортной техники, а также экспериментального определения характеристик колебательных процессов автомобилей и тракторов. Учебник предназначен для обучающихся по направлению подготовки 6B071 Инженерия и инженерное дело.</t>
  </si>
  <si>
    <t>00011835</t>
  </si>
  <si>
    <t>978-601-207-485-7</t>
  </si>
  <si>
    <t>Вагондардың техникалық диагностикасының негіздері</t>
  </si>
  <si>
    <t>Оқу құралында көлік техникасы жылжымалы құрамына техникалық бақылау өткізгенде негізгі әдістері және пайдаланатын жабдықтары қарастырылады. 
 Вагондар мамандығы бойынша студенттерге арналған оқу құралы ретінде ұсынылды.</t>
  </si>
  <si>
    <t>00011837</t>
  </si>
  <si>
    <t>978-601-207-047-7</t>
  </si>
  <si>
    <t>Көлік техникасын автоматтандырылған жобалау жүйелері</t>
  </si>
  <si>
    <t>5В071300 – «Көлік, көлік техникасы және технологиясы» мамандығы студенттері, және дайындық бағыты - 6B071 «Инженерия және инженерлік іс» үшін оқу құралығың бірінші бөлімінде көріну қысқаша тарихи шолуы тап осы және автоматты жобалау жүйелерінің дамуының, және АЖЖ ғылым ұқсауында толық жетілдіруінің жасаулар.Сонымен қатар, жәрдемақыда жобалау автоматтандыруы принциптары туралы жалпы мәлімдеулерді келтірілген және АЖЖ жасаулары, жақын және алыс шетел елдерінің- кәсіпорындарында АЖЖ қолданулары толық тәжірибе баяндалған. APM WinMachine, AutoCAD және КОМПАС-3D бағдарламалық кешендер туралы қысқаша ақпарат берілген.
 КОМПАС-3D үш өлшемдi қатты денелi модельдеу жүйеде тәжірибелік жұмыс iстеуге әдістемелік нұсқаулар келтiрілген.</t>
  </si>
  <si>
    <t>00011838</t>
  </si>
  <si>
    <t>Теоретические основы технической диагностики вагонов</t>
  </si>
  <si>
    <t>В учебном пособии освещены основные положения технической диагностики транспортной техники. Рассматриваются основные факторы, влияющие на безотказную, долговечную работу объектов транспортной техники,приводящее к его изменению в процессе эксплуатации. Приводятся общие принципы диагностики и технического обслуживания объектов транспортной техники, описываются процессы восстановления работоспособного состояния транспортной техники и расчет их показателей. Рассмотрены основные современные методы и средства техниче¬ской диагностики и неразрушающего контроля деталей и узлов вагонов.</t>
  </si>
  <si>
    <t>00011839</t>
  </si>
  <si>
    <t>978-601-325-052-6</t>
  </si>
  <si>
    <t>Теоретические основы восстановления работоспособности деталей 
 и узлов транспортной техники</t>
  </si>
  <si>
    <t>В учебном пособии рассмотрены вопросы анализа себестоимости восстановления и экономической эффективности восстановления деталей транспортной техники на примере железнодорожного подвижного состава.В содержании пособия достаточно полно изложен материал по технологии восстановления и продления ресурса узлов и деталей транспортной техники, раскрывает причины образования и характерные неисправности, показана классификация и методики разработки восстановления деталей и узлов. На основе отраслевых нормативов технологических процессов и нормативно-техническую документацию. В пособии раскрыты принципы организации и планирования восстановления узлов подвижного состава и средств технического оснащения процесса восстановления и контроля качества восстанавливаемых деталей.Предназначена для докторантов по направлению подготовки 8D071 - Инженерия и инженерное дело, а также для научных сотрудников и инженерно-технических работников, связанных с восстановлением деталей и узлов транспортной техники.</t>
  </si>
  <si>
    <t>0001184</t>
  </si>
  <si>
    <t>Картография және топография негіздері</t>
  </si>
  <si>
    <t>Бұл оқу-әдістемелік құрал жоспарға сәйкес жазылып, сағат санына қатысты практикалық жұмыстар енген. Практикалық сабаққа карталар мен кестелер берілген.</t>
  </si>
  <si>
    <t>0001189</t>
  </si>
  <si>
    <t>Балабаев О.Т., Акашев А.З., Рожков А.В.</t>
  </si>
  <si>
    <t>Спецкурс конвейерного транспорта</t>
  </si>
  <si>
    <t>В книге изложены вопросы теории и расчета конвейерного транспорта для горнорудных предприятий. Даны общие сведения, основные направления развития и требования к проектируемым конвейерам. Приведены структурный и сравнительный анализ, а также предпосылки к изысканию и созданию принципиально новых, перспективных схем конвейеров. Описан прочностной расчет конструкции отклоняющих барабанов грузовой ветви рудных ленточных конвейеров. Предназначено для магистрантов траектории «Промышленный транспорт» специальности 6М090100 – «Организация перевозок, движения и эксплуатация транспорта», изучающих дисциплину «Спецкурс конвейерного транспорта». Может быть рекомендовано докторантам, инженерно-техническим и научным работникам, желающим ознакомиться с исследованиями в области конвейерного транспорта</t>
  </si>
  <si>
    <t>0001194</t>
  </si>
  <si>
    <t>Балабеков К. Н., Алтеев Ж. Жалгасбекова Ж.К.</t>
  </si>
  <si>
    <t>Физикалық процестерді программалау ортасында модельдеу</t>
  </si>
  <si>
    <t>Оқу құралында модель және компьютерлік модельдеу ұғымына жалпы түсінік беріліп, физикалық процестерді MS.Excel электрондық кесте көмегімен модельдеу және программалау ортасын қолданып модельдеуді орындауға қажетті негізгі мағлұматтар берілген. Компьютерлік программаларды қолдану (Excel, С++), моральдық тұрғыдан ескірген немесе жетіспейтін зертханалық қондырғыларды, атап айтсақ физика пәні бойынша, толықтыруға мүмкіндік береді. Сонымен қатар, модельдеуді қолдану алгоритмдік және логикалық ойлануды дамытуға, елестетуге, ақтық нәтиже алуға көмек көрсетеді. 
  Оқу құралы жоғары оқу орындарының жаратылыстану – техникалық бағыттағы және «Информатика», «Ақпараттық жүйелер», «Есептеу техникасы», «Математикалық және компьютерлік модельдеу» мамандықтарының студенттеріне, оқытушыларына және өзінің білім деңгейін көтергісі келетін барлық білім алушыларға, программалауды өз бетінше оқып-үйренушілерге арналған.</t>
  </si>
  <si>
    <t>0001195</t>
  </si>
  <si>
    <t>Балабеков К.Н. Жалгасбекова Ж.К., Жармакин Б. К.</t>
  </si>
  <si>
    <t>Физикалық процестерді компьютерлік модельдеу бойынша практикум</t>
  </si>
  <si>
    <t>0001196</t>
  </si>
  <si>
    <t>Балабеков К.Н., Балахаева Р.К., Қайнарбай А.Ж.</t>
  </si>
  <si>
    <t>Молекулалық физика және термодинамика. 1 білім</t>
  </si>
  <si>
    <t>Ғылым мен ақпараттық технологиялардың дамуы білім алушыларға қажет барлық білім беру пәндерін жоғары деңгейде жүргізуді талап етіп отыр. Бүгінгі таңда білім алушылар үшін мамандықтың типтік оқу бағдарламасына сәйкес жоғары оқу орындарының оқытушылары дайындайтын пәннің оқу әдістемелік кешенінің дайындалу сапасына және олардың санының, әсіресе мемелекеттік тілде көп болуына көп көңіл бөлінуде. Сол себепті осындай сапалы да, жүйелі даярланған оқу әдістемелік кешендерді білім алушылармен меңгеру жоғары және орта оқу орындарында жүйелі түрде жүзеге асып жатса, ол үлкен бір жетістік болар еді. Осы орайда терең меңгеруге мүмкіндік беретін оқу бағдарламасының құрамына енетін оқу құралы физика пәнін оқитын білім алушыларға арналып жазылған. Бұл ұсынылып отырған оқу құралы кіріспеден, молекулалық физика негіздерін баяндайтын он бес дәрістен,он бес практикалық сабақтан, пән бойынша өткізілетін аралық бақылау (бірінші және екінші), глоссарийден және қосымшалардан тұрады. Әр дәріс соңында бақылау сұрақтары, ал әр практикалық сабақта білім алушылардың өздері орындауға арналған тапсырмалар келтірілген, оларды білім алушылар өз беттерімен орындап, келтірілген мысалдармен салыстыра алады.Оқу құралының мазмұны жоғары оқу орындарының білім алушыларының сұранысына сай келеді, тілі жатық, білім алушыларға түсінікті. Оқу құралының негізгі ерекшелігі - оның жүйелілігі.</t>
  </si>
  <si>
    <t>0001197</t>
  </si>
  <si>
    <t>Молекулалық физика және термодинамика. 2 білім</t>
  </si>
  <si>
    <t>0001199</t>
  </si>
  <si>
    <t>Балабекова М.О.</t>
  </si>
  <si>
    <t>Цифровые устройства и микропроцессоры</t>
  </si>
  <si>
    <t>В учебном пособии рассматриваются следующие разделы курса: арифметические и логические основы синтеза цифровой техники; методы проектирования и работы комбинационных и последовательностных устройств; общие принципы проектирования микропроцессорных систем; структура однокристального микропроцессора, примеры его программирования на языке ассемблера; построение модулей памяти и системы ввода/вывода. После каждой главы приводятся контрольные вопросы и задания. Содержание теоретического материала учебного пособия соответствует программе подготовке бакалавриата по курсу «Цифровые устройства и микропроцессоры» для специальности 5В071900 - «Радиотехника, электроника и телекоммуникации», «Цифровая техника и микроконтроллеры» для специальности 5В070200 - «Автоматизация и управление».</t>
  </si>
  <si>
    <t>0001201</t>
  </si>
  <si>
    <t>Балажигитова Н.К., Бейбитов Б.С.</t>
  </si>
  <si>
    <t>Физика пәнінен зертханалық және тәжірибелік жұмыстарға арналған көмекші құрал</t>
  </si>
  <si>
    <t>Физика пәні бойынша зертханалық және тәжірибелік жұмыстарға арналған оқу құралы жалпы білім беретін мектептердің 7-11 сыныптарына арналған физика пәні бойынша оқу бағдарламасына сәйкес жасалған. Бұл көмекші құрал оқушылардың өзіндік ойлау қабілетін арттыруға және өз бетінше білім алу дағдыларын дамытуға көмектеседі деп үміттенеміз.</t>
  </si>
  <si>
    <t>0001204</t>
  </si>
  <si>
    <t>Балапанов Е.К, Бурибаев Б., Даулеткулов А.Б.</t>
  </si>
  <si>
    <t>Новые информационные технологии: 30 уроков по информатике</t>
  </si>
  <si>
    <t>Данная книга является учебником по новым информационным технологиям. Центральное место уделено изучению идеологии работы в системе MS Windows, а также приложений Windows: Paint, Microsoft Word, Microsoft Excel. Важную роль играет включение в учебник материалов по компьютерной сети Internet, электронной почте и компьютерным сетям.
 Учебник адресован учащимся и преподавателям школ, техникумов, колледжей, а также может быть использован для самообразования всеми желающими.</t>
  </si>
  <si>
    <t>0001206</t>
  </si>
  <si>
    <t>Балбекова Б.К., Сұлтамұрат Г.И.</t>
  </si>
  <si>
    <t>Физикалық материалтану</t>
  </si>
  <si>
    <t>«Физикалық материалтану» оқу құралы бакалавр студенттердің ғылыми білімдерін металдар мен қорытпалардың қасиеттері туралы және олардың құрамы мен құрылымдарының байланыстарын, қыздыру мен суыту кезінде жүретін фазалық және құрылымдық түрленудің теориялық негіздерін түсініп білуге мүмкіндік береді. Оқу құралы, материалдардың физикалық қасиеттерi, рентгенография, электронды микроскопия, металдарды термиялық өңдеудiң теориясы мен технологиясын терең меңгеру үшiн практикалық қажеттіліктен - «Физикалық материалтану» пәнiнің міндеті зор. Оқу құралы «Материалтану және жаңа материалдар технологиясы», соның ішінде «Конструкциялық материалдар» мен «Композиттік материалдар» мамандықтарының оқу жоспарымен сәйкес бакалаврларды дайындау деңгейіне сай құрастырылған, «Физикалық материалтану» машинажасау және металлургиялық өнеркәсіптің инженерлі-техникалық жұмыскерлерімен және студенттері үшін пайдалы</t>
  </si>
  <si>
    <t>0001215</t>
  </si>
  <si>
    <t>Балгабеков Т.К.</t>
  </si>
  <si>
    <t>Транспортные системы и перевозочный процесс</t>
  </si>
  <si>
    <t>логистика</t>
  </si>
  <si>
    <t>Учебное пособие рассматривает актуальные вопросы транспорта. Транспортная система в ее нынешнем состоянии не может обеспечить в полной мере потребности экономики, учитывая огромную территорию Казахстана и амбициозные планы Правительства по перспективному развитию экономического потенциала республики. Задачи предстоящего этапа развития транспортной отрасли Казахстана предусматривают повышение эффективности деятельности, новое строительство объектов транспортной инфраструктуры, модернизацию действующей инфраструктуры, ускорение товародвижения и снижение транспортных издержек, повышение безопасности и устойчивости деятельности отрасли, а также доступности транспортных услуг для населения. Казахстан развивает международное сотрудничество в сфере транспорта, благодаря которому в страну поступает новая техника и технологии, осуществляется внедрение международного опыта.</t>
  </si>
  <si>
    <t>0001217</t>
  </si>
  <si>
    <t>Балгерей М. А.</t>
  </si>
  <si>
    <t>0001218</t>
  </si>
  <si>
    <t>Балгимбеков Д.У., Минжанов Н.Н., Сейтхожин Б.У.</t>
  </si>
  <si>
    <t>Тактические особенности допроса по делам об экономической контрабанде</t>
  </si>
  <si>
    <t>В монографии раскрываются тактические особенности допроса по делам об экономической контрабанде и возможности получения достоверных сведений при производстве такого следственного действия. Кроме того, рассматривается правовые основы и организационно – тактические аспекты использования полиграфа. Монография предназначена для преподавателей, магистрантов и слушателей, научных и практических работников.</t>
  </si>
  <si>
    <t>0001220</t>
  </si>
  <si>
    <t>Балгынова А.М.</t>
  </si>
  <si>
    <t>Исследование конструктивно-технологических параметров и режимов работы роторной центрифуги для обезвоживания кормовой пивной дробины</t>
  </si>
  <si>
    <t>Инженерно - технический</t>
  </si>
  <si>
    <t>В монографии рассмотрены результаты исследований роторной центрифуги для обезвоживания жидкой пивной дробины, обоснованы конструктивные параметры и технологические режимы, разработана рекомендации по методике инженерного расчета рабочих параметров.По результатам исследований усовершенствована технология и конструкция установки для обезвоживания пивной дробины, основанная на увеличении площади контакта обрабатываемого продукта с рабочей поверхностью центрифуги. Также определены закономерности процесса отделения пивной дробины от жидкой составляющей в новой конструкции центрифуги - скоростного режима работы (интенсивности процесса), интенсивности выхода жидкой фракции, суммарной мощности привода центрифуги;По результатам экспериментальных исследований получены зависимости интенсивности обезвоживания материала от проходного сечения фильтрующих отверстий, параметров подпорного участка рабочей камеры, нагрузочные характеристики центрифуги. Предложены техническое и функциональное решение формирования центрифуги для достижения максимальной степени обезвоживания дробины центробежным способом.По результатам исследований установлен метод интенсификации процесса обезвоживания жидкой пивной дробины центробежным способом в хозяйственных условиях, позволивший за счет вторичного использования зернового компонента дробины в качестве кормовой добавки к рациону кормления сельскохозяйственных животных.Рекомендуется докторантам, магистрантам и студентам вузов технического профиля, а также может оказаться полезной инженерно-техническим и научным работникам.</t>
  </si>
  <si>
    <t>0001222</t>
  </si>
  <si>
    <t>Балтабаев Е.С., Куватов А.Ж.</t>
  </si>
  <si>
    <t>Дзюдо</t>
  </si>
  <si>
    <t>0001230</t>
  </si>
  <si>
    <t>Балтымова М.Р.</t>
  </si>
  <si>
    <t>Қазақ әдебиетіндегі тарихи проза</t>
  </si>
  <si>
    <t>Оқу құралында қазақ тарихын көркемдікпен бейнелеп, ұлттық мемлекеттіліктің бастауында тұрған көрнекті тұлғалар образын сомдау арқылы тарихи танымды тереңдетуге ұмтылған қаламгерлеріміздің көркем шығармалары талданған. Бұл ретте әдебиет пен тарихтың байланысын түсіндіре отырып, әдебиеттің қоғам тарихының көркемдік бейнесі екенін ұғындыру, тарихи шығармалардың әдебиет тарихында алатын орнын көрсету, тарихи шындық пен көркемдік шындықтың арақатынасын түсіндіру, тарихи проза поэтикасын зерделеу мақсаты қойылған. Оқу құралы студенттерге, магистранттарға, оқытушыларға, көпшілік оқырманға арналады</t>
  </si>
  <si>
    <t>0001232</t>
  </si>
  <si>
    <t>Бапаева М.К., Нығметова Қ. Н., Шерьязданова Х.Т.</t>
  </si>
  <si>
    <t>Жалпы және балалар психологиясынан танымдық жаттығулар мен тапсырмалар жинағы</t>
  </si>
  <si>
    <t>Оқу құралында жоғарғы оқу орнында психологиялық білімдер жүйесін студенттердің жүйелі меңгеруін әрі қызығушылығын арттыру мақсатында оқу тапсырмалары мен жаттығулар қатары берілген. Сондай-ақ логикалық ойлау деңгейін жетілдіру үшін жұмбақтар, танымдық ойындар мен жаттығулар топтастырылған. Оқу құралы педагогикалық жоғарғы оқу орындарында білім алатын 5В050300 «Психология», 5В050300 «педагогика және психология», 5В010100 «Мектепке дейінгі тәрбие мен оқыту» мамандықтарының студенттеріне арналған.</t>
  </si>
  <si>
    <t>0001233</t>
  </si>
  <si>
    <t>Бараев Х.А., Искаков И.Б., Осколков В.А., Габдулов Э.Х.</t>
  </si>
  <si>
    <t>Обучение и тренировка в современном боксе</t>
  </si>
  <si>
    <t>В учебном пособии рассматриваются вопросы классификации техни-ки, техническо- тактической и физической подготовки боксеров новичков, вопросы обучения и составления документов планирования. Подробно рас-сматривается последовательность прохождения материала на первых заня-тиях и в течение первого года регулярных занятий боксом, обучение боксе-ра-левши. Вторая половина пособия посвящена тренировке квалифицированных боксеров. Рассматриваются вопросы: периодизации спортивной подготов-ки, построение макро-, мезо- и микроциклов; особенности технической подготовки и развития физических качеств; дается программа педагогиче-ского тестирования; рассматриваются этапы многолетней подготовки еди-ноборцев; приводится нестандартное оборудование залов бокса. Особенность деятельности в боксе заключается в постоянно изменяющейся интенсивности действий, которые в каждом раунде и на протяжении всего боя распадаются на большее число эпизодов и периодов, перемежаемых небольшими отрезками отдыха. Интенсивности действий боксеров в каждом эпизоде боя варьируется от малой по предельно возможной. Поэтому для боксера существенное значение приобретает уровень его общей и специальной выносливости. Выносливость боксера играет первостепенную роль в достижений победы над противником. В данном учебном пособие рассматриваются вопросы совершенствования развитие выносливости в боксе. Поставлены основные задачи обучения развития выносливости. Пособие предназначено для студентов ВУЗов, тренеров и большого круга специалистов в области бокса.</t>
  </si>
  <si>
    <t>0001234</t>
  </si>
  <si>
    <t>Баракбаев Б.</t>
  </si>
  <si>
    <t>Сүт және сүт тағамдары</t>
  </si>
  <si>
    <t>Кітапта сүттің құрамы мен қасиетінен бастап күнделікті пайдаланып жүрген дайын қалпына жеткізу аралығындағы процестері сөз болады. Сондай-ақ сүт және сүт өнімдерінен жасалатын тағамдар технологиясы да кеңінен әңгімеленеді. Кітап сүт өнімдерін жасайтын кәсіпорындардың қызметкерлеріне, көпшілік оқырман қауымға арналған.</t>
  </si>
  <si>
    <t>0001235</t>
  </si>
  <si>
    <t>Баранов Ю.С., Серикбаева А.Д., Бупебаева Л.К.</t>
  </si>
  <si>
    <t>Методы контроля микроколичества пестицидов в продуктах питания и объектах окружающей среды</t>
  </si>
  <si>
    <t>Методы контроля микроколичества пестицидов в продуктах питания и объектах окружающей среды в качестве учебника предназначена для обучения магистрантов, докторантов специальности: Пищевая безопаснсоть; Экология; Технология перерабатывающих производств; Технология продовольственных продуктов; Стандартизация и сертификация (по отраслям).
 В данном учебном пособии рассмотрены классификации и свойства пестицидов, экологические последствия применения пестицидов, способы извлечения и концентрирования пестицидов и современные методы определения и идентификации пестицидов.</t>
  </si>
  <si>
    <t>0001239</t>
  </si>
  <si>
    <t>Баримбеков Ж.Ш.</t>
  </si>
  <si>
    <t>Казахский орнамент</t>
  </si>
  <si>
    <t>Книга может быть полезна для все, кто интересуется народным орнаментом, имеющее необычную духовную ценность, пробуждающее чуство национальной гордости и поистине являющееся летописью казахской этнокультуры. В орнаменте запечатлено мироощущение народа, его представления об окружающем мире и красоте. Внимтельно рассматривая предлагаемые элементы орнамента любители могут анализировать особенности ритма, композиции, симметрии различать мотивы орнамента: зооморфный, растительный космогонический и геометрический. В книге автор поднимает важные вопросы орнаментального искусства, определяет роль в поликультурной мозайке современного мира с учетом новых, прогрессивных тенденций современности и о необходимости формирования интереса и более глубоко приобщения детей дошкольного и младшего школоьного возраста к духовным ценностям народа к его национальной культуре, традициям.</t>
  </si>
  <si>
    <t>0001244</t>
  </si>
  <si>
    <t>Батырмухамедов Ж. К.</t>
  </si>
  <si>
    <t>Конструкция негіздері және машина бөлшектерінің зертханалық  – практикалық жұмыстарын орындау</t>
  </si>
  <si>
    <t>0001245</t>
  </si>
  <si>
    <t>Батырова К.И.</t>
  </si>
  <si>
    <t>Паразитические беспозвоночные, их жизненные циклы.</t>
  </si>
  <si>
    <t>Учебное пособие составлено по программе курса «Паразитология» и стоит их четырех глав. В первой главе излагаются основные вопросы паразитологии, особенности приспособления животных к паразитированию, а также взаимоотношения в системе паразит-хозяин. В последующих главах описываются основные паразитические группы животных, их строение. Подробно описываются жизненные циклы паразитических беспозвоночных. Рассматриваются также вопросы профилактики. Учебное пособие предназначено для биологов с продолжающейся формой обучения – магистрантов по специальности 6М011300 – Биология.</t>
  </si>
  <si>
    <t>0001246</t>
  </si>
  <si>
    <t>Батяшова И. В., Кривец О.А.</t>
  </si>
  <si>
    <t>Спортивная метрология</t>
  </si>
  <si>
    <t>В учебно-методическом пособие изложены метрологические основы современной теории педагогического контроля в физическом воспитании и спорте, математико-статистические методы и их применение для обработки и анализа результатов контроля и планирования учебно-тренировочного процесса. Материал изложенный в учебно-методических пособии можно использовать на занятиях физической культурой и самостоятельных занятиях, как педагогам,так и студентам специальности 5В0108001 «Физическая культура и спорт»</t>
  </si>
  <si>
    <t>0001247</t>
  </si>
  <si>
    <t>Основы возрастной и конституциальной антропологии</t>
  </si>
  <si>
    <t>Учебно-методическое пособие представляет собой краткое изложение основных понятий и определений возрастной и конституциональной антропологии, пути применения антропологического знания в области физического воспитания. Материал изложенный в учебно-методических пособии можно использовать на занятиях физической культурой и самостоятельных занятиях, как педагогам,так и студентам специальности 5В010801 «Физическая культура и спорт»</t>
  </si>
  <si>
    <t>0001248</t>
  </si>
  <si>
    <t>Основы обучения гимнастике школьников</t>
  </si>
  <si>
    <t>В учебном пособии изложены теоретические и методические основы преподавания гимнастики на уроках физической культуры в средних учебных заведениях. Материал изложенный в учебном пособии можно использовать на занятиях физической культурой и самостоятельных занятиях, как педагогам, так и студентам специальности 5В010801 «Физическая культура и спорт»</t>
  </si>
  <si>
    <t>0001249</t>
  </si>
  <si>
    <t>Батяшова И.В., Кривец О.А.</t>
  </si>
  <si>
    <t>Методы определения и оценки физического развития студентов специальной медицинской группы</t>
  </si>
  <si>
    <t>0001250</t>
  </si>
  <si>
    <t>Основы общей физической подготовки</t>
  </si>
  <si>
    <t>0001251</t>
  </si>
  <si>
    <t>Баубек А.А., Арпабеков М.И., Жумагулов М.Г., Сулейменов Т.Б.</t>
  </si>
  <si>
    <t>Инновационная технология сжигания водотопливной эмульсии</t>
  </si>
  <si>
    <t>транспорт</t>
  </si>
  <si>
    <t>Задача о чистом сжигании углеводородных топлив решается не один десяток лет, в результате чего был накоплен огромный научный и экспериментальный опыт, однако научно-исследовательские работы в этом направлении не прекращаются. Данный факт очень легко объясняется тем, что даже небольшой успех, например, снижение недожога на промышленной горелке примерно на 3-5% дает в валютном отношении очень ощутимую цифру. Снижение вредных выбросов даже на единицы процентов означает снижение антропогенных влияний на окружающую среду в миллионы тонн только в масштабе одной страны. Это объясняется тем, что каждый день только на одной ТЭЦ средней мощности сжигается порядка десятков тысяч тонн топлива. Поэтому этот вопрос затрагивает не только экологический аспект, но и экономически.</t>
  </si>
  <si>
    <t>0001252</t>
  </si>
  <si>
    <t>Баубек А.А., Арпабеков М.И., Касимова Б.Р.</t>
  </si>
  <si>
    <t>Электрофильтр с улучшенной регенерацией осадительных электродов для повышения эффективности пылеулавливания на промышленных предприятиях</t>
  </si>
  <si>
    <t>Загрязнение окружающей среды по отношению к увеличению населения Земли растет в геометрической прогрессии. И если в Казахстане наметился некоторый спад количества выбросов в окружающую среду, то это связано со спадом производства и в ближайшем будущем «наверстает» упущенное. В этой связи усиление давление на природу техногенных газовпромышленностиможет привести к необратимым последствиям. В настоящее время с ростом и бурным развитием промышленности большое внимание уделяется ее экологической безопасности, а именно проблеме очистке дымовыхгазовых при выбросе их в атмосферу. В монографии рассматривается разработанный инновационный электрофильтр для очистки промышленных газов промышленных предприятий с вращающимся осадительных электродов</t>
  </si>
  <si>
    <t>0001254</t>
  </si>
  <si>
    <t>Баубек Н.А., Арпабеков М.И.</t>
  </si>
  <si>
    <t>Пути развития эффективной системы сбора и утилизации, переработки и использования отходов в качестве вторичного сырья</t>
  </si>
  <si>
    <t>В настоящее время обращение с отходами – это одна из злободневных проблем, требующих тщательного изучения и комплексного правового урегулирования. Действующее законодательство в данной области до сих пор не получило достаточного развития и поэтому не отвечает требованиям сегодняшнего дня. Нормативные правовые акты, которые на данный момент регламентируют отношения в области отходов, также далеки от идеала и требуют соответствующей правовой корректировки. Основной их недостаток состоит в том, что они не всегда последовательно регламентируют вопросы, связанные с проблемой обращения с отходами. В практике применения этих нормативных правовых актов имеют место нестыковки и противоречия их правовых норм друг другу. Как показывает практика, внесение отдельных изменений и дополнений в действующее законодательство об отходах не снимает проблемы его применения. В монографии рассматривается вопросы последовательного развития всей нормативно-правовой базы в области обращения с отходами.</t>
  </si>
  <si>
    <t>0001255</t>
  </si>
  <si>
    <t>Баубеков С. Ж.</t>
  </si>
  <si>
    <t>Жеңіл өндірісінің машиналарын жобалау</t>
  </si>
  <si>
    <t>0001256</t>
  </si>
  <si>
    <t>Стандарттау, сертификаттау және метрология</t>
  </si>
  <si>
    <t>0001257</t>
  </si>
  <si>
    <t>Типтік машиналарды есептеу және құрамдау</t>
  </si>
  <si>
    <t>Оқу құралында типтік машиналарды есептеу және құрамдау курсының негіздері баяндалған. Оқу құралы жоғарғы оқу орындарының технологиялық мамандықтарының білімгерлері мен ғылыми-техникалық мамандарына арналған.</t>
  </si>
  <si>
    <t>0001258</t>
  </si>
  <si>
    <t>Баубеков С..Д., Таукебаева К.С.</t>
  </si>
  <si>
    <t>Агробизнесті ұйымдастыруға арналған есептер жиынтығы</t>
  </si>
  <si>
    <t>Оқу құралының бірінші бөлімінде маркетинг, менеджмент және агробизнесті ұйымдастыру түсініктері келтірілген. Екінші бөлімінде маркетинг бойынша теориялық материалдарды дұрыс меңгеруі үшін тапсырмалар, менеджмент және агробизнесті ұйымдастыру жөнінде қысқаша әдістемелік түсініктемелер және осы тапсырмаларды орындау үшін мысалдар қарастырылған.
 Оқу құралы колледждерге және экономикалық кәсіптік мектептердегі фермерлік ісі мамандықтарына арналған.</t>
  </si>
  <si>
    <t>0001259</t>
  </si>
  <si>
    <t>Баубеков С.Д.</t>
  </si>
  <si>
    <t>Ет өнімдерін өңдеу тәсілдері</t>
  </si>
  <si>
    <t>Оқулықта ет өнімдерінің тағамдық құндылығын анықтау, ет өнімдерінің сапасына стандарт бойынша қойылатын талаптар және олардың сапа көрсеткіштерінің анықтау әдістері келтірілген. 
 Оқулық орта кәсіби мамандар дайындайтын оқу орындарына арналған оқу жоспарларының бағдарламасына сәйкес жазылған, негізінен фермерлермен орта буын мамандарына арналады. Сонымен қатар, жоғарғы оқу орнында осы мамандықта оқитын білімгерлеріне де пайдалы.</t>
  </si>
  <si>
    <t>0001260</t>
  </si>
  <si>
    <t>978-601-640-210-5</t>
  </si>
  <si>
    <t>Оборудование для вырубания деталей</t>
  </si>
  <si>
    <t>0001261</t>
  </si>
  <si>
    <t>Основы автоматизации производства (для студентов, магистрантов, докторантов и инжено-технических работников специализирующихся в данной области науки)</t>
  </si>
  <si>
    <t>Книга может быть использована как учебник при изучении автоматизации производства. Приведенные в учебнике материалы могут быть использованы при проведении практических занятий, выполнении типовых расчетных заданий, учебных исследовательских работ, курсовых и дипломных проектов, а также при выполнении лабораторных работ.
 Учебник предназначен для студентов, магистрантов, докторантов и инжено-технических работников специализирующих-ся в данной области науки.</t>
  </si>
  <si>
    <t>0001262</t>
  </si>
  <si>
    <t>Основы стандартизации и сертификации мясной продукции</t>
  </si>
  <si>
    <t>0001263</t>
  </si>
  <si>
    <t>Кормление сельскохозяйственных животных</t>
  </si>
  <si>
    <t>Оценка энергетической питательности кормов, имеющая важное значение как при сравнении отдельных кормов, так и в нормировании кормления, не может дать полной характеристики питательной ценности корма и физиологических потребностей животного. Правильная, биологически обоснованная оценка корма может быть сделана только при разносторонней характеристике его питательных свойств, определяемой наличием в нем (количественно и качественно) всех необходимых для жизнедеятельности животного веществ: белка, жиров, углеводов, минеральных веществ, витаминов.
  В учебном пособии приведены основы методов решения проблем К. с. ж. как: изучение потребности животных в питательных веществах, определение питательной ценности кормов, установление норм кормления, составление кормовых рационов, разработка правильной техники и организации кормления.</t>
  </si>
  <si>
    <t>0001264</t>
  </si>
  <si>
    <t>Обработка резиновых изделий</t>
  </si>
  <si>
    <t>Профессиональное обучение</t>
  </si>
  <si>
    <t>Обработка резиновых изделий осуществляется, в зависимости от вида материала, разными способами.
 Приведенные в учебном пособий материалы могут быть использованы при изучений технология пошива деталей изделия резинотехнического производства на лекционных и практических занятиях, выполнении типовых расчетных заданий, самостоятельной работы студентов, учебных исследовательских работ, курсовых и дипломных проектов. 
 Для учащихся колледжей всех форм обучения по специальности 0812000 «Резинотехническое производство» и 5В012000 «Профессиональное обучения», а также оно полезно для технических работников имеющих отношения к технологий обработки резины.</t>
  </si>
  <si>
    <t>0001265</t>
  </si>
  <si>
    <t>Киіз үй және оның жабдықтары</t>
  </si>
  <si>
    <t>Оку құралы</t>
  </si>
  <si>
    <t>Бұл оқу әдістемелік құралы жоғарғы кәсіптік мамандар дайындайтын техникалық оқу орындарының күндізгі және сыртай оқитын бөлімдерінің оқу жоспарлары мен пәннің типтік бағдарламаларына сәйкес даярланған. 
 Қоғамның дамуы адамдардың ой-санасының, мінез-құлқынын өзгеруімен қоса ұлттық технологияны игеріп оларды көптеп шығарып халық игілігіне жаратуды мақсат ету заман талаптарынан туындап отырған мәселелердің бірі деуге болады. Себебі, қазақ халқының ұлттық технологиясын өзгелер үйреніп, қазір әлем нарығына шығаруда. 
 Қорқыныштысы сол, жаһандану процесі қазақтың дәстүрлі технологиясын жалмап кету қаупі бар. Ал қолөнерге қызығушылықты арттыру — мәдени мұрамызды сақтап, қайта түлету мүмкіндігі. Ендеше бұл саланы дамыту үшін қолөнер шеберлерін даярлауға назар аударып, оларды теория мен практиканы ұштастыруға машықтандыру қажет. Ұсынылған оқу құралы осы мақсатқа арналған</t>
  </si>
  <si>
    <t>0001266</t>
  </si>
  <si>
    <t>Баубеков С.Д., Ақтаев Е.Қ.</t>
  </si>
  <si>
    <t>Механика пәнінің практикумы. Жоғары кәсіптік мамандар дайындайтын техникалық оқу орындарының студенттеріне арналған</t>
  </si>
  <si>
    <t>Бұл оқу әдістемелік құралы жоғарғы кәсіптік мамандар дайындайтын техникалық оқу орындарының күндізгі және сыртай оқитын бөлімдерінің оқу жоспарлары мен пәннің типтік бағдарламаларына сәйкес даярланған. Ол күндізгі оқитын студенттердің есептеу–сызба жұмыстарын, ал сырттан оқитын студенттердің бақылау жұмыстарын мезгілінде орындап, теория мен жаттығуды ұштастыруға машықтандырады.</t>
  </si>
  <si>
    <t>0001268</t>
  </si>
  <si>
    <t>Баубеков С.Д., Белик В.Ф.</t>
  </si>
  <si>
    <t>Бахчеводство</t>
  </si>
  <si>
    <t>В учебном пособии освещены народнохозяйственное значение бахчевых культур, их классификация, наиболее распространенные сорта. Дана технология возделывания и уборки арбуза, дыни, тыквы. Рассмотрены приемы получения ранней продукции бахчевых культур в открытом и защищенном грунте, способы транспортировки и хранения плодов.Специальный раздел отведен семеноводству бахчевых</t>
  </si>
  <si>
    <t>0001269</t>
  </si>
  <si>
    <t>Баубеков С.Д., Джураев А.Д.</t>
  </si>
  <si>
    <t>Виброзащита машин и механизмов</t>
  </si>
  <si>
    <t>В книге рассмотрены основные причины вибрации и ее влияние на механизмы и машины полезна для магистров и инженеров. , а также предусмотрены методы защиты от вибрации. Описаны способы решения инженерной задачи локализации источников вибрации и их влияние на машин и механизмов, приведены методы средства виб-родиогностики</t>
  </si>
  <si>
    <t>0001270</t>
  </si>
  <si>
    <t>Динамика машин и механизмов</t>
  </si>
  <si>
    <t>В книге рассмотрены основные стадии проектирования и исследования динамики машин и механизмов. Описаны способы решения инженерной задачи проектирования и эксплуатации машин и механизмов. Приведены описания работы роботов и манипуляторов. 
 Представлены современные способы повышения производительности и качества работы машин. 
 Книга предназначена в качестве учебника для студентов технических специальностей ВУЗов, а также полезна для магистров и инженеров.</t>
  </si>
  <si>
    <t>0001271</t>
  </si>
  <si>
    <t>Квалиметрия и диагностика машин</t>
  </si>
  <si>
    <t>0001272</t>
  </si>
  <si>
    <t>Механизмы с гибкими звеньями</t>
  </si>
  <si>
    <t>0001273</t>
  </si>
  <si>
    <t>Механика роботов и манипуляторов</t>
  </si>
  <si>
    <t>0001274</t>
  </si>
  <si>
    <t>Теория машинных агрегатов</t>
  </si>
  <si>
    <t>0001275</t>
  </si>
  <si>
    <t>Теория механизмов с гибкими звеньями</t>
  </si>
  <si>
    <t>В большинстве отраслей техники широко применяются механизмы с гибкими звеньями. Методы анализа и синтеза механизмов с гибкими звеньями являются специфическими, имеют свои подходы. Поэтому специалистам по теории машин и механизмов необходимо знать эти методы при конструировании и проектировании технологических машин имеющие механизмы с гибкими звеньями.
  Учебник предназначен для магистрантов, аспирантов, докторантов и специалистов по теория механизмов и машин, а также студентов технических специальностей ВУЗов.</t>
  </si>
  <si>
    <t>0001276</t>
  </si>
  <si>
    <t>Баубеков С.Д., Джураев А.Д.,</t>
  </si>
  <si>
    <t>Механизмы с переменными передаточными отношениями</t>
  </si>
  <si>
    <t>Данные учебное пособие по механизмам с переменными передаточными отношениями может быть полезном аспирантом и докторантом специализирующихся в данной области науки</t>
  </si>
  <si>
    <t>0001277</t>
  </si>
  <si>
    <t>Переходные процессы в машинах</t>
  </si>
  <si>
    <t>В книге изложены вопросы переходных процессов. Изучение пере-ходных процессов весьма важно, так как позволяет установить, как деформируется по форме и амплитуде сигнал, выявить превышения напряжения на отдельных участках цепи, которые могут оказаться опасными для изоляции установки, увеличения амплитуд токов, которые могут в десятки раз превышать амплитуду тока установившегося периодического процесса, а также определять продолжительность пере-ходного процесса. С другой стороны, работа многих электротехнических устройств, особенно устройств промышленной электроники, основана на переходных процессах.
 Книга предназначена для студентов, изучающих курсы электро-техники и и электрических приводов машин, а именно раздел переходные процессы в машинах и выполняющих курсовые, дипломные проекты по дисциплинам из области автоматизированные электроприводы, магистран-там и докторантом специализирующихся в данной области науки, а также для конструкторов и технических работников заводов и фабрик различных отраслей промышленности.</t>
  </si>
  <si>
    <t>0001278</t>
  </si>
  <si>
    <t>Баубеков С.Д., Джураев А.Д., Таукебаева К.С.</t>
  </si>
  <si>
    <t>Проектирование машинных агрегатов</t>
  </si>
  <si>
    <t>В книге приведены теоретические материалы и практические результаты по проектированию машинных агрегатов. Доступным образом описаны классификация сил, методы составления динамических и математических моделей машинных агрегатов с различными механизмами технологических машин. Пособие может быть полезным для широкого круга научных работников, магистрантов, докторантов и конструкторов, разрабатывающие новые технологические машины.</t>
  </si>
  <si>
    <t>0001279</t>
  </si>
  <si>
    <t>Баубеков С.Д., Дуйсенбаева С.Т.</t>
  </si>
  <si>
    <t>Табиғатты қорғаудағы экология негіздері</t>
  </si>
  <si>
    <t>Оқулықта экология ғылымынң мақсаты мен міндеттері, қалыптасу кезеңдері, заңдылықтары, организм мен орта, табиғи бірлестіктер, эко-жүйелер туралы Қазақстан материалы негізінде жан-жақты баяндалады. Қазақстанда қалыптасқан экологиялық жағдайлар, антропогендік фак-торлар адамның іс-әрекетімен байланыста қарастырылады және табиғат қорғаудың экология-лық негіздері, болашақ ұрпақтарға экологиялық білім мен тәрбие берудің бүгінгі кезеңдегі мәселелері терең талданады. 
 Оқулық орта кәсіби мамандар дайындайтын оқу орындарына ар-налған. Сонымен қатар, жоғарғы оқу орнында оқитын білімгерлеріне де пайдалы.</t>
  </si>
  <si>
    <t>0001281</t>
  </si>
  <si>
    <t>Баубеков С.Д., Мержаниан А.С.</t>
  </si>
  <si>
    <t>Виноградарство 1 том</t>
  </si>
  <si>
    <t>0001282</t>
  </si>
  <si>
    <t>Виноградарство 2 том</t>
  </si>
  <si>
    <t>0001283</t>
  </si>
  <si>
    <t>Баубеков С.Д., Мұсабеков Е. С.</t>
  </si>
  <si>
    <t>Электр құрылғылары</t>
  </si>
  <si>
    <t>Оқу құралы 0104000 - «Кәсіптік білім» (Салалар бойынша) мамандығы бойынша дайындалды.
 Құрал кәсіптік және техникалық оқу орындарының студенттеріне арналған.</t>
  </si>
  <si>
    <t>0001284</t>
  </si>
  <si>
    <t>Баубеков С.Д., Неклепаев Б.Н., Крючков И.П.</t>
  </si>
  <si>
    <t>Электрическая часть электростанций и подстанций</t>
  </si>
  <si>
    <t>Приведены основные данные о параметрах и характеристиках электрических машин, силовых трансформаторов, электрических аппаратов и проводников, а также материалы для разработки главных схем, схем собственных нужд и конструкций РУ электростанций и подстанций. Издание переработано с учетом новых ГОСТ, прейскурантов и других нормативных документов. Для студентов электроэнергетических специальностей вузов, может быть полезна инженерно-техническим работникам энергосистем</t>
  </si>
  <si>
    <t>0001286</t>
  </si>
  <si>
    <t>Баубеков С.Д., Немеребаев М., Казахбаев С.З.</t>
  </si>
  <si>
    <t>Охрана труда и безопасность</t>
  </si>
  <si>
    <t>Учебник пособие содержит тематику по охране труда и безопасность, последовательность выполнения лабораторных работ, перечень контрольных вопросов для сдачи зачета, список рекомендуемой учебно-методической литературы для студентов всех форм обучения технических специальности колледжей, а также оно полезно для технических работников имеющих отношения к охрана труда и безопасность.</t>
  </si>
  <si>
    <t>0001287</t>
  </si>
  <si>
    <t>Техника қауіпсіздігінің негізі</t>
  </si>
  <si>
    <t>Бұл кітапта еңбек қауіпсіздігі – еңбек қызметі үрдісінде қызметкер-лерге зиянды және (немесе) қауіпті өндірістік факторлардың әсерін бол-ғызбайтын іс-шаралар кешенімен қамтамасыз етілген қызметкерлердің қорғалу жай-күйі баяндалады. 
 Қауіпсіздік техникасы – бұл адамға әсер ететін қауіпті өндірістік факторларды болдырмайтын ұйымдастырушылық іс-шаралары мен техни-калық амалдары.</t>
  </si>
  <si>
    <t>0001288</t>
  </si>
  <si>
    <t>Баубеков С.Д., Немеребаев М., Қазақбаев С.З.</t>
  </si>
  <si>
    <t>Өмір қауіпсіздігі негіздерін оқытудың әдістемесі</t>
  </si>
  <si>
    <t>Адам табиғаттағы, өндірістегі, көлік апаттарының төтенше жағдайының басы-қасында болғанда оқиғаны әртүрлі бағалайды әрі оған психологиялық кері әсер етуі мүмкін. Мұның өзі сол адамдардың апат зардабын бағалауды, қиын-қыстау жағдайда қалай қимылдауды білмегендігінен болады. 
 Бұл кітапта адам өміріне қауіп төндіретін факторлар, олармен сауатты күресуді оқыту әдістемелері қамтылған. 
 Оқу құралы кәсіби мамандар дайындайтын оқу орындарына арналған.</t>
  </si>
  <si>
    <t>0001290</t>
  </si>
  <si>
    <t>Баубеков С.Д., Петров Е.Ф., Соловьев В.А., Черных А.А.</t>
  </si>
  <si>
    <t>Лиманное орошение и влагонакопление</t>
  </si>
  <si>
    <t>Книга «Лиманное орошение и влагонакопление» освещает методы комплексного использования местного стока для накопления влаги в почве, лиманного орошения и обводнения. В книге дана характеристика различных видов лиманного орошения полей, сенокосов и лесных полос, рекомендованы нормы лиманного орошения, способы производства земляных работ при строительстве лиманов и приемы ухода за участками лиманного орошения. Книга может служить практическим пособием для агрономов, мелиораторов и бригадиров полевых и тракторных бригад в южных и юго-восточных районах страны.</t>
  </si>
  <si>
    <t>0001291</t>
  </si>
  <si>
    <t>Баубеков С.Д., Сейтбаев К.Ж.</t>
  </si>
  <si>
    <t>Рыбоводство</t>
  </si>
  <si>
    <t>В книге рассмотрены основные вопросы рыбоводства. Например, Ихтиология, где изучается внешние признаки и внутреннее строение рыб (морфологию и анатомию), отношение рыб к внешней среде – неорганической и органической (экологию, иногда называемую биологией), историю развития–индивидуальную (эмбриологию) и историю развития видов, родов, семейств, отрядов и т.д. (эволюцию или филогению), наконец, географическое распространение рыб (зоогеографию). Известно, что из ихтиологии выделились такие науки и дисциплины, как физиология рыб, эмбриология рыб, рыбоводство, промышленное рыбоводство, сырьевая база рыбной промышленности, технология рыбных продуктов, болезни рыб.
 Описаны методы ихтиологических исследовании рыб. Представлены современные способы обработки рыбных продуктов, безопасность рыбных продуктов, современные тенденции развития и формирования ассортимента рыбной кулинарии, факторы, влияющие на формирование ассортимента рыбной кулинарии.</t>
  </si>
  <si>
    <t>0001292</t>
  </si>
  <si>
    <t>Баубеков С.Д., Талипов А.Ж., Таукебаева К.С.</t>
  </si>
  <si>
    <t>Методика преподавания дисциплины «Технология»</t>
  </si>
  <si>
    <t>В книге приведены. Педагогические основы обработки материалов на уроках технологии, Формы и методы обучения учащихся по курсам: «Технология обработки ткани», «Технология обработки конструкционных материалов, Элементы машиноведения», "Художественная обработка материалов", «Эвристический метод обучения», «Активные методы обучения на уроках технологии». Доступным образом описаны инновационные авторские программы по технологии. 
 Пособие может быть полезным для широкого круга специалистов, разрабатывающие новые технологий обучения предмета Технология.</t>
  </si>
  <si>
    <t>0001293</t>
  </si>
  <si>
    <t>БАУБЕКОВ С.Д., ТАУКЕБАЕВА К.С.</t>
  </si>
  <si>
    <t>Научные основы расчета рычажно-шарнирных муфт с упругими элементами карданных механизмов</t>
  </si>
  <si>
    <t>МОНОГРАФИЯ</t>
  </si>
  <si>
    <t>В учебнике рассмотрен анализ конструктивных особенностей рычажно-шарнирных муфт с упругими элементами. Приведены методы и результаты структурного, кинематического и динамического анализа рычажно - шарнирных муфт с упругими шарнирами карданных механизмов. Даны результаты экспериментальных исследований по определению нагруженности валов полумуфт при различных значениях углов расхождения валов и технологических нагрузок.
 Для научных работников, магистров и студентов.</t>
  </si>
  <si>
    <t>0001294</t>
  </si>
  <si>
    <t>Баубеков С.Д., Таукебаева К.С.</t>
  </si>
  <si>
    <t>Әр түрлі бұрғылау әдістеріне арналған ұңғыма құрылымдарын жобалау негіздері мен жалпы мәліметтер</t>
  </si>
  <si>
    <t>Бұл оқу әдістемесі, әр түрлі бұрғылау әдістеріне арналған ұңғыма құрылымдарын жобалау негіздері мен жалпы мәліметтер және жер асты тәсілімен барлайтын кен өндіру кәсіпорындарын технологиялық жобалау нормалары, әр түрлі бұрғылау әдістері, бұрғылау режимі параметрлерін жобалау нұсқаулары, ұңғымаларды зерттеудің радиоактивті әдістері, оларды игеру методикасы туралы білімгерлерге нақты мағұлымат беру мақсатын алға қояды. Оқу әдістемесі орта кәсіби мамандар дайындайтын оқу орындарына арналған. Сонымен қатар, жоғарғы оқу орнында оқитын білімгерлеріне де пайдалы.</t>
  </si>
  <si>
    <t>0001296</t>
  </si>
  <si>
    <t>Стандартау негізі, рұқсат ету</t>
  </si>
  <si>
    <t>0001297</t>
  </si>
  <si>
    <t>Стандарттау метрология және сертификаттауды қоғамдық тамақ саласында қолдану</t>
  </si>
  <si>
    <t>Бұл оқулық Қазақстан Республикасының Мемлекеттік жалпыға міндетті білім беру стандартының (ҚР МЖМБС 4.05.049-2008) оқу бағдарламасы бойынша әзірленген.
 Стандарттау, сертификаттау және метрология, пәні бойынша білімгер-лердің өздік білім деңгейін шыңдауға, метрологияның теориясы мен практикасы, метрологиялық қамтамасыз ету, стандарттау мен сертификаттау жүйесінде жаңа материалды оңай меңгеруіне мүмкіндік жасайды. студенттердің өз бетінше экспериментті жоспарлауға, керекті дәлдікпен өлшеу құралдарын таңдап алуға көмектеседі.
 Оқулық орта кәсіби мамандар дайындайтын оқу орындарына арналған. Сонымен қатар, жоғарғы оқу орнында оқитын білімгерлеріне де пайдалы.</t>
  </si>
  <si>
    <t>0001298</t>
  </si>
  <si>
    <t>Машинатанудағы инновациялар. Теория және практикасы</t>
  </si>
  <si>
    <t>Оқулықта машинатанудағы инновациялар берілген. Атап айтсақ қазақстанда жасыл экономиканы дамыту аясында машинатанудың перспективасы мен маңызы, жаңартылатын энергия немесе жаңартылмалы энергия оларды алу әдістері, металтанудағы инновациялар, нанотехнология, композит материалдар, композит материалдан жасалған тор көзді пластиналар теориясы қарастырылған.
  Жеңіл өндірісінің тігін машиналарын автоматтандырудағы инновациялық әдістер мен құрылымдар, олардың жұмыс істеу қабылетін зерттеуге ерекше көңіл бөлінген. 
 Металды механикалы өңдеудегі құрал-саймандарды механикаландыру және автоматтандыру қарастырылған.
 Машиналардың қасиеттерін бағалау әдістеріне, технологиялық машиналар мен жабдықтардың тозуы және оларды анықтау әдістері, олардың функционалды және экономикалық ескіруін (тозу) зерттеу, машиналар мен жабдықтарды іс жүзінде бағалауға практикалық сабақтар келтірілген. 
 Металды өңдеудегі инновациялар - бағдарламалық басқару жүйелері, илемді термиялық беріктендіру туралы зертханалық жұмыс тар берілген.
  Оқулық ЖОО мен кәсіптік оқыту ұжымдарының техникалық мамандықтар бойынша білім алатын студенттеріне арналған</t>
  </si>
  <si>
    <t>0001299</t>
  </si>
  <si>
    <t>Сурет (техникалық)</t>
  </si>
  <si>
    <t>Сурет өнеріне оқытудың негізгі мақсаты – шындық объектілері мен заттар пішінін, құрылымын, пропорциялық үйлесімін, түсін, материалы мен оның фактуралық ерекшелігін т.б. қасиеттерін зерттей отырып, жазықтық бетінде суреттеп бейнелеудің өнерге тән заңдылықтарын, әдіс-тәсілдерін, бейнелеудің мәнерлілік құралдарын игерту арқылы көркемдік дағдыларды шығармашылық қабілеттікке көтеру. Сондықтан, шығармашылық сипаттағы суреттер салудағы қабілеттілік пен шеберліктің дамуы, оқу жүйесінің дидактикалық принцип-терімен бірге, бейнелеу өнерінің танымдық ерекшелігіне тән психологиялық факторлардың белсенді қатынастарына тікелей байланысты ұзақ та күрделі үрдіс саналады. 
 Оқу-әдістемелік құрал 01070000 - Технология мамандарын даярлайтын кәсіптік – техникалық орта буын оқу орындарының оқушыларына арналған, сонымен қатар ЖОО білімгерлері мен өндірістің инженерлік-техникалық мамандарына да пайдалы.</t>
  </si>
  <si>
    <t>0001300</t>
  </si>
  <si>
    <t>Технология получения двухниточного цепного стежка для изготовления швейных изделий</t>
  </si>
  <si>
    <t>Дизайн Швейное производство</t>
  </si>
  <si>
    <t>В учебнике рассмотрен анализ конструктивных особенностей рабочих органов швейных машин, пути их совершенствования. Приведены способы получения двухниточных цепных стежков для изготовления швейных изделий из деформирующихся материалов. Рассмотрены методы расчета расхода верхней и нижней нити для получения двухниточных цепных стежков. Приведены расчеты натяжения нитей. Экспериментальными исследованиями получены качественных характеристики швейных строчек из двухниточных цепных стежков при изготовления изделий из деформирующихся материалов. Рекомендован двухниточный цепной стежок с затяжкой петли верхней нити за два цикла для плотных материалов. 
  Для научных работников, стажеров соискателей и студентов. Табл 19, илл 52, библ. 112 назв.</t>
  </si>
  <si>
    <t>0001301</t>
  </si>
  <si>
    <t>Тамақ және сауда жабдықтарын жөндеудің алдын алу әдістері</t>
  </si>
  <si>
    <t>Оқу құралы техникалық және кәсіптік білім беру орындарында білім алатын «Тамақ және ет өнеркәсібінің өндіріс жабдықтары» пәнінің бағдарламасына сәйкестендіріліп жазылған. Мұнда қазіргі замандағы республикамыздың кәсіпорындарында кең тараған тамақ және сауда жабдықтарын жөндеудің алдын алу әдістері жайлы айтылған.
 Құрал 1118000- «Тамақ және ет өнеркәсібінің өндіріс жабдықтары» мамандығы бойынша дайындалған және орта және кәсіптік оқу орындарының оқушылары мен колледж студенттеріне арналған.</t>
  </si>
  <si>
    <t>0001302</t>
  </si>
  <si>
    <t>Баубеков С.Ж., Мұсабеков Е. С.</t>
  </si>
  <si>
    <t>Электрлік машиналар мен аппараттар</t>
  </si>
  <si>
    <t>0001303</t>
  </si>
  <si>
    <t>Баубеков С.Ж., Таукебаева К.С.</t>
  </si>
  <si>
    <t>Апаттан қорғау</t>
  </si>
  <si>
    <t>Оқу құралы «Бастапқы әскери» мамандығының білімгерлеріне арналған «Төтенше жағдай және азаматтық қорғаныс» нәнінің типтік жоспарының материалдарында азаматтық қорғаныс (АҚ) ұйымының кейінгі жылдары қол жеткізген теориялық және іс-жүзінде атқарылатын шараларын білімгерлерге жан-жақты жеткізу қарастырылған.
 Оқу құралы «Бастапқы әскери» мамандарын даярлайтын кәсіптік – техникалық орта буын оқу орындарының оқушыларына арналған, сонымен қатар ЖОО білімгерлері мен өндірістің инженерлік-техникалық мамандарына да пайдалы</t>
  </si>
  <si>
    <t>0001305</t>
  </si>
  <si>
    <t>Бахов Ж.К., Утебаев А.А.</t>
  </si>
  <si>
    <t>Биогеохимия және биосфераның тұрақтылығы</t>
  </si>
  <si>
    <t>Оқу құралында биогеохимияның базалық концепциялары қарастырылған, осы ғылым бағытының даму мәселелері, кезеңдерде химиялық элементтердің бөлінуінің ерекшеліктері, олардың миграциясы, химиялық элементтердің геохимиялық классификациясы туралы маңызды ақпарат берілген. Биосферағаның аса маңызды қасиеттерінің бірі - тұрақтылығы туралы, сонымен қатар тірі ағзалардың зат миграциясындағы, биогеохимиялық процестердегі ролі, биогеохимиялық циклдардың қалыптасу ерекшеліктері туралы маңызды ақпараттар берілген. Оқу құралы «Экология» мамандығы бойынша оқитын студенттерге және экология саласына қатысы бар мамандар үшін маңызды қосымша оқу құралы ретінде ұсынылады</t>
  </si>
  <si>
    <t>0001306</t>
  </si>
  <si>
    <t>Экология почв</t>
  </si>
  <si>
    <t>В учебном пособии приведены основные понятия о почве и вопросы ее охраны в условиях интенсивного земледелия и антропогенной нагрузки. Рассмотрены состав и свойства почв, основные экологические функции почвы и их изменения под влиянием антропогенного воздействия, проблемы эрозии, заболачивания и засоления, загрязнения и аридизации почв. Почва рассматривается как экологический фактор, определяющий функционирование растительности, почвенных микроорганизмов и почвенных животных</t>
  </si>
  <si>
    <t>0001309</t>
  </si>
  <si>
    <t>Бахтыбекова Ш.М.</t>
  </si>
  <si>
    <t>Минералды анықтағыш</t>
  </si>
  <si>
    <t>Оқу құралы жоғарғы оқу орындарындағы 050116 – «География» мамандығындағы қазақ тілінде оқитын топтардағы білімгерлердің геология курсын игеру мақсатында және орта мектептегі география пәні мұғалімдеріне арналып жазылған.</t>
  </si>
  <si>
    <t>0001310</t>
  </si>
  <si>
    <t>Баюк О.В.</t>
  </si>
  <si>
    <t>Методы оптимизации транспортного управления</t>
  </si>
  <si>
    <t>В данном пособии рассмотрены вопросы обработки статистических рядов случайных величин и проверки соответствия статистического распределения теоретическому с помощью критериев согласия, приведена методика решения задач линейного программирования симплекс-методом. Отдельно рассмотрена задача линейного програм-мирования о наиболее эффективном распределении грузов с помощью метода разрешающих множителей.
 В пособии приведен особый метод оптимизации решений – динамическое программирование - специально разработанный для многоэтапных операций.
 Пособие предназначено для студетов инженерно-технических специальностей и специалистов в области транспорта, транспортной техники.</t>
  </si>
  <si>
    <t>0001311</t>
  </si>
  <si>
    <t>Баялы А.Т.</t>
  </si>
  <si>
    <t>UML диaгрaммaлaры &amp; MS VISIO icкeрлiк грaфикacы</t>
  </si>
  <si>
    <t>Мoдeльдeудiң бiрыңғaйлaнғaн тiлi (Unified Modeling Language — UML) – бұл бaғдaрлaмaлық жүйeлeрдi eрeкшeлeндiру, бұрыштaмa қoю, кoнcтрукциялaу жәнe құжaттaмaлaу, coндaй-aқ мoдeльдeр бизнeci мeн өзгe дe бaғдaрлaмaлық eмec жүйeлeрдiң тiлi бoлып тaбылaды. UML бұдaн бұрын дa үлкeн жәнe күрдeлi жүйeлeрдi мoдeльдeу кeзiндe oйдaғыдaй қoлдaнылып жүргeн инжeнeрлiк әдic-тәciлдeрдiң бiрлecтiгiн көрceтeдi. Microsoft Visio – oл жүйeлeугe жәнe әр қилы мaғлұмaттaрғa көрнeкiлiк жacaуғa aрнaлғaн тexникaлық жәнe icкeрлiк диaгрaммa жacaуды шeшугe aрнaлғaн. Visio диaгрaммaлaры oңaй жoлмeн визуaлизaциялaуғa жәнe жoғaры дәрeжeдeгi aқпaрaттaрмeн aлмacуғa ceнiмдiлiк бeрeдi. Бұл бaғдaрлaмa әр түрлi oртaлaрдa қoлдaнылaды. Oл бизнec iciн бacқaру, прoeкттeрдe, жeлi icтeрiндe, бизнec-aнaлиз мaғлұмaттaрындa жәнe бeлгiлi бiр прoeктiнi жocпaрлaу кeзiндe қoлдaнылaды. Oқу құрaл жoғaрғы oқу-oрындaрының 5B070400 – eceптeу тexникacы жәнe бaғдaрлaмaлық қaмтaмacыз eту мaмaндық cтудeнттeрiнe жәнe кeз кeлгeн icкeрлiк грaфикaны үйрeнушiлeрiнe aрнaлғaн</t>
  </si>
  <si>
    <t>0001312</t>
  </si>
  <si>
    <t>Екі өлшемді графика негіздері</t>
  </si>
  <si>
    <t>Оқу-әдістемелік құрал Компьютерлік графиканы өз бетінше оқып үйренушілер мен студенттерге арналған. Бұл оқу-әдістемелік құралда Компьютерлік графиканы оқытудың процесі көрсетілген. Оқу-әдістемелік құрал студентерге ғана емес, сонымен қатар оқытушылар, аспиранттар мен магистрлерге арналған.</t>
  </si>
  <si>
    <t>0001313</t>
  </si>
  <si>
    <t>Бaғдaрлaмaны өңдеудiң құрaл жaбдықтaры</t>
  </si>
  <si>
    <t>Модельдеу aқпaрaтты өңдеудегi компьютерлiк технологияның бiрi болып тaбылaды. Компьютердiң көмегiмен жaсaлғaн aбстрaктiлi модельдеу яғни, вербaльдық, aқпaрaттық, мaтемaтикaлық модельдер - қaзiргi күнi aқпaрaттық технологияның бiрi болып отыр. Модельдеу қолдaнбaлы ғылыми-техникaлық (оның iшiнде мaтемaтикaлық модельдеу есептерi елеулi бөлiгiн құрaйтын) есептердi шешумен aйнaлысaды. Компьютердiң көмегiмен жaсaлғaн aбстрaктiлi модельдеу яғни, вербaльдық, aқпaрaттық, мaтемaтикaлық модульдеулер - қaзiргi күнi aқпaрaттық технологияның бiрi болып отыр, aл тaнымдық жоспaрдa ерекше күштi</t>
  </si>
  <si>
    <t>0001314</t>
  </si>
  <si>
    <t>Өндірістік және экономикалық процестерді моделдеу</t>
  </si>
  <si>
    <t>Қазiргi ғылыми-техникалық прогресс заманында компьютердi пайдаланбайтын сала жоқ. Объектiнiң, құбылыстың қасиеттерiн, ерекшелiктерiн және басқа сипаттамаларын жете зерттеп, оны теңдеулер жүйесi не теңсiздiктер мен функциялар арқылы өрнектеп сандық әдiстер арқылы шешуге болады.Іс жүзінде табиғат (тірі және өлі) пен қоғам туралы ғылымдардың бәрінде де модельдер кұрып, оларды пайдалану қуатты таным қаруы болып табылады. Нақты нысандар мен үдерістер барынша көпжақты әрі күрделі болып келеді. Модельдеу - модель жасау үдерісі, дәлірек айтсақ әлдебір нысанды оның моделін құрып, оны оқып білу, зерттеу; модельдерді жаңадан құрастырылатын нысандарды анықтау немесе олардың сипаттамаларын айқындау және құру тәсілдерін жетілдіру үшін пайдалану. Басқаша айтқанда, модельдеу деп модельдерді құру, зерттеу, қолданудың үшбірдей үдерісін айтамыз. Модельдеу- абстракция, ұқсастық, болжам және басқа да категориялармен тығыз байланысты. Модельдеу үдерісі міндетті түрде абстракция кұруды да, ұқсастық бойынша ой тұжырымды да және ғылыми болжамдарды құрастыруды да қамтиды</t>
  </si>
  <si>
    <t>0001315</t>
  </si>
  <si>
    <t>Бағдарламамен қамтамасыздандыруды жобалау және құрастыру технологиясы</t>
  </si>
  <si>
    <t>Компьютердің көмегімен жасалған абстрактілі модельдеу яғни, вербальдық, ақпараттық, математикалық модельдер - қазіргі күні ақпараттық технологияның бірі болып отыр, ал танымдық жоспарда ерекше күшті. Код әр типтің элементтері үшін кодты генерациялау касиеттерінде көрсетілген параметрлерден және спецификациялардан диаграммалардан алынған информацияға негізделіп құралады.Модельдеу проблемаларын талдау, барлық қызығушылығы бар жақтар арасында ақпараттардың алмасуы (қолданушылар, пәндік аумақтағы мамандар, аналитиктер, дизайнерлер және т.б.), программалық қолданбалар мен мәліметтер базасын жобалау, және документацияны дайындау үшін пайдалы құрал болып табылады. Модельдеу талаптарын жақсы қабылдауға, жүйенің дизайн сапасын жақсартуға және оны басқару деңгейін жоғарылатуға өз септігін тигізеді. UML – объекті бағдарланған жүйелермен құрастырылатын мәндердің документациясын белгілеу мен көріністендіру үшін қолданылатын тіл.</t>
  </si>
  <si>
    <t>0001316</t>
  </si>
  <si>
    <t>MS VISIO мoдeлдeу жәнe icкepлiк гpафика нeгiздepi</t>
  </si>
  <si>
    <t>Microsoft Visio – oл жүйeлeугe жәнe әp қилы мағлұматтаpға көpнeкiлiк жаcауға аpналған тexникалық жәнe icкepлiк диагpамма жаcауды шeшугe аpналған. Visio диагpаммалаpы oңай жoлмeн визуализациялауға жәнe жoғаpы дәpeжeдeгi ақпаpаттаpмeн алмаcуға ceнiмдiлiк бepeдi. Бұл бағдаpлама әp түpлi opталаpда қoлданылады. Oл бизнec iciн баcқаpу, пpoeкттepдe, жeлi icтepiндe, бизнec-анализ мағлұматтаpында жәнe бeлгiлi бip пpoeктiнi жocпаpлау кeзiндe қoлданылады. Oқу құpал жoғаpғы oқу-opындаpының 5B070400 – eceптeу тexникаcы жәнe бағдаpламалық қамтамаcыз eту мамандық cтудeнттepiнe жәнe кeз кeлгeн icкepлiк гpафиканы үйpeнушiлepiнe аpналған</t>
  </si>
  <si>
    <t>0001317</t>
  </si>
  <si>
    <t>Rational Rose визуалды модельдеудің құрал сайманы</t>
  </si>
  <si>
    <t>Компьютердің көмегімен жасалған абстрактілі модельдеу яғни, вербальдық, ақпараттық, математикалық модельдер - қазіргі күні ақпараттық технологияның бірі болып отыр, ал танымдық жоспарда ерекше күшті. RATIONAL ROSE программасында генерациялау осындай типті әдістерді қосуға мүмкіндік береді. RATIONAL ROSE программасының кодты генерациялау үшін әр түрлі құралдары бар. Код әр типтің элементтері үшін кодты генерациялау касиеттерінде көрсетілген параметрлерден және спецификациялардан диаграммалардан алынған информацияға негізделіп құралады. Оқу әдістемелік құрал жоғарғы оқу-орындарының 5B070400 – есептеу техникасы және бағдарламалық қамтамасыз ету мамандық студенттеріне арналған</t>
  </si>
  <si>
    <t>0001318</t>
  </si>
  <si>
    <t>WEB бағдарламалау негіздері</t>
  </si>
  <si>
    <t>Бұл оқу құралда WEB бағдарламаудың негізгі принциптері берілген. Еңбектің басты мақсаты Html, Javascript, PHP, ASP, Perl тілдерінің мүмкіндіктерімен таныстыру. Оқу құрал жоғарғы оқу-орындарының 5B070400 – есептеу техникасы және бағдарламалық қамтамасыз ету мамандық студенттеріне және кез келген WEB бағдарламауды үйренушілеріне арналған</t>
  </si>
  <si>
    <t>0001319</t>
  </si>
  <si>
    <t>Macromedia Flash MX анимациялық бағдарламасы</t>
  </si>
  <si>
    <t>Бұл оқу құралда Macromedia Flash MX бағдарламасы интерактивті фильмдердегі кәсіби шеберлігіңізді жүзеге асыруға көмектеседі. Бұл бағдарламаның мүмкіндіктерін үйрене отырып, Сіз Flash MX жұмыс ортасындағы бүгінгі күнгі бар құралдарды іс жүзінде пайдалану арқылы теңдесі жоқ Web-беттер мен анимацияланған логотиптерді жасай аласыз. WEB бағдарламаудың негізгі принциптері берілген. Оқу құрал жоғарғы оқу-орындарының 5B070400 – есептеу техникасы және бағдарламалық қамтамасыз ету мамандық студенттеріне және кез келген Macromedia Flash MX-те бағдарламауды үйренушілеріне арналған</t>
  </si>
  <si>
    <t>0001320</t>
  </si>
  <si>
    <t>Oфистiк бaғдaрлaмaлaр</t>
  </si>
  <si>
    <t>Бұл oқу құрaлдa кoмпьютердiң көмегiмен aқпaрaтты түрлендiру үрдiсiмен және oлaрдың қoлдaну oртaсымен өзaрa әсерiмен бaйлaнысты. Aдaм қызметiнiң бoлмысы, сoнымен бiрге қoршaғaн әлемдi тaлдaудaғы жүйелi-aқпaрaттық тәсiлдi бейнелейтiн, aқпaрaттық үрдiстердi, aқпaрaтты aлу, түрлендiру, жеткiзiп беру, сaқтaу және пaйдaлaну әдiстерi мен құрaлдaрын зерттейтiн ғылыми бiлiмнiң iргелi oблыстaрының бiрi.Oфистiк бaғдaрлaмaны теxникaлық, бaғдaрлaмaлық және aлгoритмдiк құрaлдaрдың жиынтығы сияқты қaрaстыруғa бoлaды. Oфистiк бaғдaрлaмaлaрдың негiзгi қызметi aқпaрaтты түрлендiру құрaлдaры мен әдiстерiн жaсaу және oлaрды aқпaрaтты қaйтaдaн өңдеудiң теxнoлoгиялық үрдiсiн ұйымдaстырудa пaйдaлaну бoлып тaбылaды.«Инфoрмaтикa» курсы инфoрмaтикaның келесi: теoриялық инфoрмaтикa элементтерi, aқпaрaттaндыру құрaлдaры, aқпaрaттық теxнoлoгиялaр aспектiлерi бейнеленетiн негiзгi теoриялық және прaктикaлық мәлiметтерден тұрaды.Oқу құрaл жoғaрғы oқу-oрындaрының бaрлық мaмaндықтaрдың студенттерiне және кез келген Oфистiк бaғдaрлaмaлaрды үйренушiлерге aрнaлғaн.</t>
  </si>
  <si>
    <t>0001321</t>
  </si>
  <si>
    <t>Android жүйесінде қосымшалар құру</t>
  </si>
  <si>
    <t>iOS, Android және Windows Phone басқару жүйелерінің негізінде мобильдік құрылғыларға арналған бағдарламалық жабдықтардың кең ауқымын құруға арналған. Оқу құралының мақсаты – оқушыны мобильді құрылғыларға арналған бағдарламалар құруға, кеңірек алғанда, мобильді құрылғыларға бағдарлама құрушы тұрғысынан қарауды үйрету.Осы күндері күнделікті өмірде электронды кітаптар, органайзерлер, смартфондар, сымтетіктер, компьютерлер және т.б. сияқты көптеген мобильді құрылғыларды пайдаланамыз. Мобильді құрылғылардың көмегімен ойнауға, сөйлесуге, Интернет «кезуге» және т.б. жасауға болады. Осының арқасында мобильді құрылғыларға арналған қосымшалар құрудың маңыздылығы артуда. Аталған курсты аяқтаған кезде студент әртүрлі платформаларда және басқару жүйелерінде мобильді құрылғыларға арналған бағдарлама құра алатын болады</t>
  </si>
  <si>
    <t>0001322</t>
  </si>
  <si>
    <t>Баялы Ә.Т., Абдрахманов Р.Б.</t>
  </si>
  <si>
    <t>Перифериялық құрылғы және интерфейстер</t>
  </si>
  <si>
    <t>Перифериялық құрылғы және интерфейстер пәні компьютер сәулеті туралы жалпы ұғым беретін пән болып табылады. Бұл пәнде жады құрылғысының жалпы мәліметтері мен классификациясы, мультипроцессорлы және көпмашиналы есептеу жүйелерін ұйымдастырудың принциптері, өзара байланыс тенденциясы туралы мағлұматтар беріледі.ЭЕМ-де мәліметтерді көрсету әдістерін, есептеу құрылғыларын сипаттау тілдерін; интегралды логикалық элементтер мен түйіндердің, жадының, арифметикалық логикалық құрылғының, ендіру- шығару каналдарының құрылу принциптерінің теориялық негіздерін құру және оның практикалық қолдануын оқып білу.Компьютердің әртүрлі элементтерінің конструкциясы мен функцияларын; аппаратты бақылау және диагностика жүйелерін; мини-микро ЭЕМ логикалық ұйымдастырылуының ерекшеліктерін білулері тиіс.Мультибағдарламалы ЕЖ, сол сияқты мультипроцессорлық жүйелерде берілген құралдарды қолдануда нақты есептер қойып және оларды шеше білулері керек</t>
  </si>
  <si>
    <t>0001323</t>
  </si>
  <si>
    <t>Баялы Ә.Т., Абдрахманов Р.Б., Садыбеков Р.Ш.</t>
  </si>
  <si>
    <t>PHP және MySQL-де WEB қосымшаларды құру негіздері</t>
  </si>
  <si>
    <t>Бұл оқу құралда PHP тілінің негізгі принциптері берілген. Еңбектің басты мақсаты PHP тілінің мүмкіндіктерімен таныстыру. Оқу құрал жоғарғы оқу-орындарының 5B070400 – Есептеу техникасы және бағдарламалық қамтамасыз ету және 5B070300 – Ақпараттық жүйелер мамандықтарының студенттеріне және кез келген WEB бағдарламауды үйренушілеріне арналған</t>
  </si>
  <si>
    <t>0001324</t>
  </si>
  <si>
    <t>Баялы Ә.Т., Абдыканова Б.Т., Махатова В.Е., Молдашева Ж.Ж</t>
  </si>
  <si>
    <t>Интернетте бағдарламалау</t>
  </si>
  <si>
    <t>Бұл оқу құралда Интернет бағдарламаудың негізгі принциптері берілген. Еңбектің басты мақсаты Html, Javascript, PHP, ASP, Perl тілдерінің мүмкіндіктерімен таныстыру. Оқу құрал жоғарғы оқу-орындарының 5B070400 – есептеу техникасы және бағдарламалық қамтамасыз ету мамандық студенттеріне және кез келген Интернет бағдарламауды үйренушілеріне арналған</t>
  </si>
  <si>
    <t>0001325</t>
  </si>
  <si>
    <t>Баяндинова А.М.</t>
  </si>
  <si>
    <t>Основы гостиничного хозяйства</t>
  </si>
  <si>
    <t>0001326</t>
  </si>
  <si>
    <t>Баяндинова А.М., Подсухина О.В.</t>
  </si>
  <si>
    <t>Основы туризмологии</t>
  </si>
  <si>
    <t>Данное пособие подготовлено для широкого круга читателей и студентов высших учебных заведений и факультетов. Включает в себя две главы, в которых отражены основные теоретические основы гостиничного хозяйства , практические задания и вопросы контроля с тестовыми заданиями для самопроверки. Учебное пособие «основы туризмологии» обсуждено и рекомендовано к опубликованию на заседании кафедры</t>
  </si>
  <si>
    <t>0001327</t>
  </si>
  <si>
    <t>Баяндинова А.М., Шаимова А.С</t>
  </si>
  <si>
    <t>История международного туризма</t>
  </si>
  <si>
    <t>Данное пособие подготовлено для широкого круга читателей и студентов высших учебных заведений и факультетов. Включает в себя две главы, в которых отражены основные теоретические основы гостиничного хозяйства, практические задания и вопросы контроля с тестовыми заданиями для самопроверки. Учебное пособие «Основы гостиничного хозяйства» обсуждено и рекомендовано к опубликованию на заседании кафедры «Экономика, бизнес и туризм» Казахстанско-российского университета, протокол № 5 от 04.12.2013 г.</t>
  </si>
  <si>
    <t>0001328</t>
  </si>
  <si>
    <t>Баяндинова А.М., Шаимова А.С.</t>
  </si>
  <si>
    <t>Планирование и организация туристского бизнеса</t>
  </si>
  <si>
    <t>Данное пособие подготовлено для широкого круга читателей и студентов высших учебных заведений и факультетов. Включает в себя две главы, в которых отражены основные теоретические основы гостиничного хозяйства, практические задания и вопросы контроля с тестовыми заданиями для самопроверки.</t>
  </si>
  <si>
    <t>0001331</t>
  </si>
  <si>
    <t>Баянов Е.Б., Баянова У.Ш.</t>
  </si>
  <si>
    <t>Əкімшілік құқық. Ерекше бөлім</t>
  </si>
  <si>
    <t>Оқулық əкімшілік құқық пəнінің бағдарламасына жəне мемлекеттік білім стандартына сəйкес, Қазақстан Республикасының заңнамасының негізінде жəне осы пəн бойынша орыс тіліндегі оқулықтар пайдаланылып жазылды. Мұнда əкімшілік құқықтың негізгі институттары мен субъектілері, азаматтардың, коммерциялық жəне қоғамдық ұйымдардың мемлекеттік басқару органдарымен қарым-қатынастарындағы құқықтары мен міндеттері қаралады. Оқулықта кəсіпкерлік қызметті лицензиялау мен заңды тұлғаларды мемлекеттік тіркеу тəртібіне, мемлекеттік басқаруда заңдылықты қамтамасыз етудің тəсілдеріне, құқық бұзушылық пен жауапкершіліктің жаңа заңдық негіздеріне ерекше көңіл аударылған. Сонымен қатар, экономика, қаржы, банк жəне статистика салаларындағы басқару, өнеркəсіп, құрылыс жəне туристік қызмет салаларындағы басқару, агроөнеркəсіптік кешен саласындағы мемлекеттік реттеу, көлік байланыс жəне ақпараттандыру салаларындағы басқару негіздері, қоршаған ортаны қорғау жəне табиғи ресурстарды пайдалану саласындағы басқару, мəдениет саласын құқықтық реттеу, əлеуметтік-мəдениет саласын, білім жəне ғылым саласындағы басқару, дене шынықтыру жəне спорт саласындағы мемлекеттік реттеу жəне басқару, ішкі істер саласындағы басқару, сыртқы істер саласындағы басқаруды қамтиды.
 «Əкімшілік құқық» (жалпы жəне ерекше бөлім) оқулығы жоғары оқу орындарының білім алушыларына арналған</t>
  </si>
  <si>
    <t>0001332</t>
  </si>
  <si>
    <t>Бегiмқұл Б. К./Бегимкулов/</t>
  </si>
  <si>
    <t>Молекулалық генетика және биотехнология негіздері</t>
  </si>
  <si>
    <t>Оқу құралында организмнiң тұқым қуалаушылық заңдылықтары ген, хромосома, клетка және организм деңгейiнде қарастырылған. Клетканың генетикалық элементтерi, олардың табиғаты, ген қызметi және оның реттелу жолдары, генетикалық инженерия және рДНҚ мен клетка негiзiндегi биотехнология, сондай-ақ гендiк мутацияның, иммунитеттiң және эволюцияның молекулалық негiздерi баяндалады. Оқу құралы жоғары оқу орындары студенттерiне арналған</t>
  </si>
  <si>
    <t>0001333</t>
  </si>
  <si>
    <t>Бегаришева Г.Г.</t>
  </si>
  <si>
    <t>C# тілінің негіздері және .NET платформасы</t>
  </si>
  <si>
    <t>Оқу құралында .NET платформасында қосымшаларды өңдеуге пайдаланатын Microsoft C# .NET бағдарламалау тілінің синтаксисі, кластар жиынтығы сиапатталады. Объектті бағытталған бағдарламалау негіздері, қолданушы интерфейс элементтерін құру әдістері қарастырылған.Оқу құралы 5В070400 - «Есептеуіш техника және бағдарламалық қамтамасыз ету», 5В070300 - «Ақпаратттық жүйе» және 5В011100 - «Ақпараттану» мамандықтарының студенттеріне заманауи бағдарламалау технологиясын оқу барысында қосымша оқу құралы ретінде ұсынылады</t>
  </si>
  <si>
    <t>0001334</t>
  </si>
  <si>
    <t>Ақпараттық жүйелердегі мәліметтер базасы</t>
  </si>
  <si>
    <t>«Ақпараттық жүйелердегі мәліметтер базасы» оқу құралы 5В070300 - «Ақпаратттық жүйелер» мамандығының типтік бағдарла­масына сәйкес материалдармен қамтылған: ақпараттық жүйелердегі мәлметтер базасын құрудың теориялық негіздері, ақпараттық жүйелердегі мәлметтерге қолданатын негізгі операциялар, ақпараттық жүйелерде мәлметтерді өңдеу және іздеу әдістерін ұйымдастыру, мәлметтерді суреттейтін және қимылға келтіретін құралдар, мәлметтердің негізгі модельдерінің принциптерін құруды және олардың қазіргі кездегі заманауи МББЖ-н қолдануы баяндалған. Оқу құралы 5В070300 - «Ақпаратттық жүйелер» мамандығының студенттеріне және оқытушыларға арналған</t>
  </si>
  <si>
    <t>0001336</t>
  </si>
  <si>
    <t>Бегембеков Қ.Н., Төреханов А.Ә.</t>
  </si>
  <si>
    <t>Мал селекциясы. 2 басылым</t>
  </si>
  <si>
    <t>Бұл практикум малшаруашылығы дамыған елдер тәжірибесіндегі қазіргі заманғы селекция әдістері берілген оқу құралы болып табылады. Әрбір зертханалық-тәжірибелік сабақтың мақсаты, қажетті құрал-жабдықтары, әдістемелік нұсқауы көрсетілген. Әр тақырып бойынша теориялық тұжырымдарды игеруді пысықтауға арналған жаттығу тапсырмалары, бақылау сұрақтары, ал практикумның соңында тест сұрақтары берілген. Практикум жоғары оқу орындары ауылшаруашылығы мамандықтарының студенттері мен магистранттарына арналған. Сонымен қатар, осы бағытта ізденуші докторанттарға, ғылыми қызметкерлерге, мал селекциясымен айналысатын басқа да мамандар мен көпшілік қауымға ұсынылады. Практикумның 2013 жылғы нұсқасы қайта өңделіп, толықтырылып 2-інші басылымға ұсынылып отыр</t>
  </si>
  <si>
    <t>0001338</t>
  </si>
  <si>
    <t>Бегимбай К.М.</t>
  </si>
  <si>
    <t>Академическая живопись</t>
  </si>
  <si>
    <t>Учебное пособие «Академическая живопись» предназначен для обучения бакалавров специальности 5В042100-«Дизайн» и разработано в соответствии с ГОСО РК, квалификационной характеристикой, типовым и рабочим учебным планами специальности, с учетом направления подготовки. Содержание издании предусматривает конкретизацию методов, форм и средств учебной деятельности студента для достижения поставленных образовательных целей и задач курса академической живописи и обеспечивает формирование необходимых базовых знаний, умений и навыков студента, необходимых для усвоения дисциплин по избранной специальности</t>
  </si>
  <si>
    <t>0001341</t>
  </si>
  <si>
    <t>Бегімбай К.М.</t>
  </si>
  <si>
    <t>Академиялық кескіндеме</t>
  </si>
  <si>
    <t>0001342</t>
  </si>
  <si>
    <t>Графикалық дизайн</t>
  </si>
  <si>
    <t>Оқулықта автордың көркем өнер мен дизайннан білім берудегі жинақтаған көп жылғы тәжірибесінің нәтижесі ретінде дәстүрлі және заманауи технологияларды графикалық дизайн саласына маман даярлау үрдісінде қолдану тәсілдерінің теориялық және тәжірибелік жолдары баяндалған.</t>
  </si>
  <si>
    <t>0001343</t>
  </si>
  <si>
    <t>Дизайн және бейнелеу өнері салаларына мамандарды кәсіби даярлау мәселелері. Проблемы профессиональной подготовки специалистов для сфер дизайна и изобразительного искусства</t>
  </si>
  <si>
    <t>Сборник научно-методических публикаций</t>
  </si>
  <si>
    <t>0001344</t>
  </si>
  <si>
    <t>Компьютерлік технологияларды қолдану арқылы дизайн саласына мамандар даярлау тәсілдері</t>
  </si>
  <si>
    <t>0001345</t>
  </si>
  <si>
    <t>Методика преподавания профессиональных дисциплин</t>
  </si>
  <si>
    <t>В учебном пособии освещены основные теоретические положения методики профессионального обучения, показаны этапы ее развития. Подробно представлены аспекты методической деятельности педагога профессиональной школы. Описаны формы представления содержательной учебной информации и методы ее структурирования. Раскрыты средства, методы и организационные формы преподавания учебной дисциплины в профессиональной школе. Охарактеризованы современные педагогические технологии и изложены основы педагогического контроля в процессе профессионального обучения. Отражена специфика инновационной деятельности педагога. Данное издание может быть применено как для координации процесса обучения в профессиональном учебном заведении любого уровня, так и для личного самосовершенствования в области педагогических наук. Учебное пособие предназначено для магистрантов научно-педагогического направления.</t>
  </si>
  <si>
    <t>0001346</t>
  </si>
  <si>
    <t>Өнер тарихы және теориясы</t>
  </si>
  <si>
    <t>0001347</t>
  </si>
  <si>
    <t>Эргономика в дизайне</t>
  </si>
  <si>
    <t>0001351</t>
  </si>
  <si>
    <t>Бегімбай К.М., Аимторина С.Ж.</t>
  </si>
  <si>
    <t>ЕКСПО-17 халықаралық көрмесінің көрініс-коммуникативтік ортасын қалыптастыру әдістемесі</t>
  </si>
  <si>
    <t>0001352</t>
  </si>
  <si>
    <t>Бегімбай К.М., Серік Ә.</t>
  </si>
  <si>
    <t>Мегаполис ортасында интерактивті дизайн ортасын қалыптастыру әдістемесі</t>
  </si>
  <si>
    <t>0001353</t>
  </si>
  <si>
    <t>Бегімбай К.М./ Бегимбай</t>
  </si>
  <si>
    <t>Дизайн саласына маман даярлаудағы компьютерлік технологиялар</t>
  </si>
  <si>
    <t>Монографияда автордың көркем өнерден білім берудегі жинақтаған көп жылғы тәжірибесінің нәтижесі ретінде компьютерлік технологияларды дизайн саласына маман даярлау үрдісінде қолдану тәсілдерінің теориялық және тәжірибелік жолдары баяндалған</t>
  </si>
  <si>
    <t>0001356</t>
  </si>
  <si>
    <t>Бедыч Т.В. Глущенко Т.И.</t>
  </si>
  <si>
    <t>В учебное пособие включены методы расчета цепей постоянного, переменного токов и трехфазных цепей. Особое внимание уделено применению специализированных программ к расчету электрических цепей. Работа предоставляет теоретический материал, тестовые задания и задания для самостоятельной работы. Предназначено для студентов технических специальностей; оно может быть рекомендовано преподавателям высших учебных заведений при проведении занятий по электротехнике</t>
  </si>
  <si>
    <t>0001373</t>
  </si>
  <si>
    <t>Бейсенбаев О. К., Искендиров Б. Ж., Иса А. Б.</t>
  </si>
  <si>
    <t>Өндірістік мұнайхимиялық процестер</t>
  </si>
  <si>
    <t>Оқулық 5В072100, 6М072100, 6D072100 – «Органикалық заттардың химиялық технологиясы» және 6М073900 – «Мұнайхимия» мамандығының студенттері, магистранттары, докторанттары және мұнайхимия өндірісінің инженер-мамандарына арналған. Оқулық оқу жоспары және «Өндірістік мұнайхимиялық процестер» пән бағдарламасы талаптарына сай құрастырылған және қажетті мағұлматтардың барлығын, сонымен қатар өндірістік мұнайхимиялық процестер мен технологиялық принциптері құрастырылып, олардың теориялық, технологиялық негіздері қамтылған</t>
  </si>
  <si>
    <t>0001374</t>
  </si>
  <si>
    <t>Промышленные нефтехимические процессы</t>
  </si>
  <si>
    <t>Учебник предназначен для студентов, магистрантов и докторантов специальности 5В072100, 6М072100, 6D072100- «Химическая технология органических веществ», 6М073900 – «Нефтехимия». Учебник составлен в соответствии с требованиями учебного плана и программой дисциплины «Промышленные нефтехимические процессы» и включает все необходимые сведения, а также теоретические и технологические основы промышленных нефтехимических процессов</t>
  </si>
  <si>
    <t>0001377</t>
  </si>
  <si>
    <t>Бейсенбай А.Б.</t>
  </si>
  <si>
    <t>Қазіргі қазақ тілі</t>
  </si>
  <si>
    <t>Ұсынылып отырған оқу құралы «Қазіргі қазақ тілі» пәнін оқытуға арналып отыр. Бұл оқу құралы – бакалавриат бағдарламасы бойынша оқытылатын «Тіл біліміне кіріспе», «Жалпы тіл білімі» пәндерінiң логикалық жалғасы болып табылатын курс. Бұл пән студенттерге тілдің фонетикасынан, лексикологиядан, сөзжасамнан, морфологиядан және синтаксистен жүйелі білім беру мақсатын көздейді. Оқу құралының мазмұны білім алушының өз бетімен оқып-үйренуін бағдар етеді. Сондықтан білім алушы оқыту үдерісінде тіл білімінің салаларынан алған білімі мен білігін барынша қолданып, әрбір теориялық, практикалық сабақтардың жоспары бойынша қарастырылған сұрақтардың мәнін, мазмұнын тереңдету мақсатында ұсынылған міндетті және қосымша әдебиеттерді дұрыс пайдалана білуге дағдылануы тиіс. Ұсынылып отырған оқу құралының мақсаты – әлемді туған тіл арқылы тануға жол ашу.</t>
  </si>
  <si>
    <t>0001379</t>
  </si>
  <si>
    <t>Бейсенби М.А</t>
  </si>
  <si>
    <t>Модели и методы системного анализа и управления детерминированным хаосом в экономике</t>
  </si>
  <si>
    <t>0001380</t>
  </si>
  <si>
    <t>Бейсенбі М. А.</t>
  </si>
  <si>
    <t>Бейсызықтық автоматты басқару жүйелерінің теориясы</t>
  </si>
  <si>
    <t>Кітап бейсызықтық, стационарлы автоматты басқару жүйелері теориясының негіздеріне арналған. Онда автоматтты басқару жүйелерінің бейсызықтық теориясының негізгі іргелі тұжырымдары, бейсызықтық жүйелердегі басқарудың негізгі проблемалары мен заңдылықтары, бейсызықтық автоматты басқару жүйелері теориясының осы заманғы талдау және синтездеу тәсілдері қамтылған «Автоматты басқару теориясы» пәндерін зерделейтін техникалық мамандықтарда оқитын студенттерге арналған. Автоматты басқару теориялары негіздерін зерделеуге мүдделі ғылыми және инженерлік қызметкерлерге ұсынылады</t>
  </si>
  <si>
    <t>0001381</t>
  </si>
  <si>
    <t>Увеличение потенциала робастной устойчивости системы управления космическим летательным аппаратом (КЛА)</t>
  </si>
  <si>
    <t>Одним из главных свойств нелинейных динамических систем является порождение детерминированного хаоса, образуя «странные аттракторы» в зависимости от неопределенных параметров системы. В линеаризованных динамических системах это проявляется в виде потери устойчивости системы. В связи с этим, в условиях большой неопределенности, необходимо построить системы управления с гарантированно широкой областью робастной устойчивости.В монографии излагается метод построения систем управления процессами стабилизации и ориентации космическими летательными аппаратами в классе структурно-устойчивых отображений из теории катастроф.Для специалистов по теории управления и практиков-инженеров, а также студента и PhD докторантам, изучающим основы теории управления и систем управления космическим летательным аппаратом</t>
  </si>
  <si>
    <t>0001382</t>
  </si>
  <si>
    <t>9965-718-52-0</t>
  </si>
  <si>
    <t>Модели методы системного анализа и управления учебное пособие по курсу «Системный анализ»</t>
  </si>
  <si>
    <t>В пособии излагаются основы системного анализа и приводятся методики и постановки решения задач системного анализа с помощью основных моделей и методов оптимизаций – методов линейного и динамического программирования, методов теории игр и теории массового обслуживания. Пособие используется при проведении практических и выполнении текущих, промежуточных и самостоятельных заданий студентами по курсу «Системный анализ».Пособие предназначено для студентов следующих специальностей: «010500 - Информатика», «150100 – информационные системы», «3601 – Автоматизация и информатизация в системах управления», «3701 – компьютерные системы обработки информации и управления» и других родственных специальностей</t>
  </si>
  <si>
    <t>0001383</t>
  </si>
  <si>
    <t>Бейсенбі М.А</t>
  </si>
  <si>
    <t>Сызықтық автоматты басқару жүйелерінің теориясы</t>
  </si>
  <si>
    <t>Кітап сызықтық, стационарлы автоматты басқару жүйелері теориясының негіздеріне арналған. Онда негізгі ұғымдар мен басқару қағидаттары, математикалық сипаттамалар мен талдау және синтездеу тәсілдері келтірілген.
  «Автоматты басқару теориясы» және «Басқару теориясының негіздері» пәндерін зерделейтін техникалық мамандықтарда оқитын студенттерге арналған. Автоматты басқару теориялары негіздерін зерделеуге мүдделі ғылыми және инженерлік қызметкерлерге ұсынылады.</t>
  </si>
  <si>
    <t>0001385</t>
  </si>
  <si>
    <t>Бейсенов С.Д., Кунжигитова Г.Б.</t>
  </si>
  <si>
    <t>Перспектива</t>
  </si>
  <si>
    <t>Оқу құралы мемлекеттік жалпыға міндетті білім беру стандартына, оқу бағдарламасына сәйкес жасалынған және тәжірибелік тапсырмаларын орындауға қажетті барлық мәліметтерді қамтиды.
 Оқу құралының негізгі міндеттері - студенттердің графикалық таным, талғамның қалыптасуына ықпал жасау, пәннің арнаулы сызу әдістерін қалыптастыру, студенттердің кәсіптік шеберлігін дамыту және өз пікірін графикалық түрде көрсету қабілеттерін дамыту.
 Оқу құралы 5В041300-Кескіндеме мамандығы студенттеріне арналған.</t>
  </si>
  <si>
    <t>0001386</t>
  </si>
  <si>
    <t>978-601-330-865-4</t>
  </si>
  <si>
    <t>Бейсенова Г.А., Мамева Ж.Ж., Кривогуз А.В., Искалиев Е.К.</t>
  </si>
  <si>
    <t>Маңғыстау облысының жануарлар дүниесі</t>
  </si>
  <si>
    <t>Оқу құралында Маңғыстау облысының аймағында кездесетін жануарлар сипатталған. Олардың түрлері, биологиясы, таралуы, табиғаттағы және адам өміріндегі маңызы мазмұндалған.Сирек жойылып бара жатқан түрлер сипатталған. Оқушы қауым, сонымен қатар, Маңғыстау облысының қорғалатын аймағы, фаунасы және жануарларды зерттеу әдісімен таныса алады.Оқу құралы жалпы білім беретін мектептер үшін арнайы курсқа /факультативтік/ және орта мектептердің бағдарламасына сәйкес тараулардың тақырыптарына қосымша әдебиет ретінде де пайдалануға арналған.Оқу құралы жалпы білім беретін орта мектептердің мұғалімдері мен оқушыларына, сонымен қатар басқа да мамандарға арналады.</t>
  </si>
  <si>
    <t>0001389</t>
  </si>
  <si>
    <t>Бейсенова Л.З.</t>
  </si>
  <si>
    <t>Мемлекеттік сектордағы қаржылық бақылау</t>
  </si>
  <si>
    <t>Оқу құралында мемлекеттік қаржылық бақылаудың пайда болу және даму тарихы, теориялық негіздері қарастырылған. Қазақстан Республикасының мемлекеттік қаржылық бақылау жүйесінің сипатта­ма беріле отырып сыртқы және ішкі мемлекеттiк қаржылық бақылауды ұйымдастыру тәртібі келтірілген. Сонымен қатар, нәтижеге бағытталған бюджеттеу жағдайындағы тиімділікті бақылауды ұйымдастыру және жүргізу сұрақтары қрастырылған. Оқу кұралы «Мемлекеттік аудит» мамандығы бойынша білім алушы студент­тер мен магистранттарға арналған</t>
  </si>
  <si>
    <t>0001390</t>
  </si>
  <si>
    <t>Бейсенова Л.З., Берстембаева Р.К.</t>
  </si>
  <si>
    <t>Планирование, контроль и оценка эффективности расходов бюджета</t>
  </si>
  <si>
    <t>Учебное пособие предназначено для изучения элективного курса «Планирование, контроль и оценка эффективности расходов бюджета» для обучающихся в магистратуре и разработано на основе авторского курса лекций по данной дисциплине. В работе содержатся особенности планирования расходов бюджета в Республике Казахстан в условиях реализации бюджетирования, ориентированного на результаты, содержание и организация оценки эффективности бюджетных программ, методология и практика контроля эффективности бюджетных расходов. Для наиболее полного освоения теоретических аспектов пособие содержит контрольные вопросы и тестовые задания. Для развития у магистрантов и студентов навыков аналитического мышления и выработки умения решать конкретные управленческие задачи авторами разработаны задания для самостоятельной работы магистрантов, а также методические рекомендации по их выполнению. Пособие может представлять интерес для студентов и магистрантов экономических специальностей вузов и для широкого круга читателей. Адресуется руководителям органов государственной власти и управления, финансистам, банкирам, научным работникам, студентам, магистрантам, докторантам, слушателям финансово-банковских школ и колледжей</t>
  </si>
  <si>
    <t>0001391</t>
  </si>
  <si>
    <t>Бюджет шығындарын жоспарлау, нәтижелілігін бағалау және бақылау</t>
  </si>
  <si>
    <t>Оқу құралы «Бюджет шығындарын жоспарлау, нәтижелігін бағалау және бақылау» элективті курсы Мемлекеттік аудит мамандығының білім алушыларына арналған және осы пәннің авторлық курс дәрістері негізінде өңделген. Бұл жұмыс Қазақстан Республикасында нәтижеге бағытталған бюджеттеуді жүзеге асыру шарттарына байланысты, бюджет шығындарын жоспарлау ерекшеліктері, бюджеттік бағдарлама нәтижелігін бағалауды ұйымдастыру, бюджеттік шығындардың нәтижелігін бақылау тәжірибесі және әдістемесінен құралған.
 Оқу құралында теориялық аспектілерді толық меңгеру үшін бақылау сұрақтары мен тесттік тапсырмалар берілген. Магистранттар мен студенттердің аналитикалық ойлау қабілетін дамыту және нақты басқарушылық тапсырмаларды шешу қабілетін қалыптастыру мақсатымен авторлармен өзіндік жұмыс тақырыптыры ұсынылған, сонымен қатар оларды орындауға әдістемелік кеңестер өңделген</t>
  </si>
  <si>
    <t>0001392</t>
  </si>
  <si>
    <t>Бейсенова Л.З., Шахарова А.Е.</t>
  </si>
  <si>
    <t>Бюджетирование, ориентированное на результат: теория, методология и практика</t>
  </si>
  <si>
    <t>В монографии изучены теоретико-методологические основы бюджетирования, ориентированного на результат, проведен анализ и дана оценка применения БОР в бюджетном процессе Республики Казахстан и разработаны рекомендации по совершенствованию инструментарно-методического аппарата бюджетирования, ориентированного на результат, как метода эффективного планирования государственных финансов. Монография рассчитана на научных работников, преподавателей и обучающихся по экономическому направлению</t>
  </si>
  <si>
    <t>0001394</t>
  </si>
  <si>
    <t>Бейсенова Р.Р.</t>
  </si>
  <si>
    <t>Оқулықта «Экология және тұрақты даму» курсының негізгі түсініктері, қағидалары, экологияның заңдары, әртүрлі тіршілік орталарында мекен ететін ағзалар топтарының сипаттамалары берілген. Сондай-ақ қоршаған табиғи ортаны қорғау, табиғи қорларды сақтау және тиімді пайдалану, табиғи ортаның ластануы жайлы түсініктер берілген. Қазіргі кездегі Қазақстан Республикасының экологиялық жағдайы мен оны шешу жолдары, тұрақты даму концепциясының негізгі қағидалары берілген.</t>
  </si>
  <si>
    <t>0001395</t>
  </si>
  <si>
    <t>Экология және тұрақты даму пәнінен лекциялар жинағы</t>
  </si>
  <si>
    <t>0001399</t>
  </si>
  <si>
    <t>Бейсенова Р.Р., Зандыбай А., Рахишева А.Д., Саспугаева Г.Е.</t>
  </si>
  <si>
    <t>Биоэкологиялық мониторинг</t>
  </si>
  <si>
    <t>0001400</t>
  </si>
  <si>
    <t>Бейсенова Р.Р., Кубрина Л.В., Донец Е.В., Григорьев А.И.</t>
  </si>
  <si>
    <t>Биомониторинг состояния окружающей среды</t>
  </si>
  <si>
    <t>Учебник предназначен для студентов и магистрантов по специальности «Экология» и «Биоэкология». В пособии изложены основы методов биоиндикации и биотестирования. Книга будет полезна для специалистов экологических служб и природоохранных организаций.</t>
  </si>
  <si>
    <t>0001401</t>
  </si>
  <si>
    <t>Бейсенова Р.Р., Саспугаева Г.Е., Аубакирова Б.Н.</t>
  </si>
  <si>
    <t>Жаратылыстанудың экологиялық аспектілері</t>
  </si>
  <si>
    <t>Оқу құралы білім беру бағдарламасының базалық бөліміне кіргізілген «Жаратылыстану ғылымының экологиялық аспектілері» пәнін меңгеруге арналған. Бұл пән студенттерді казіргі экологияның негізгі мәселелерімен және даму бағыттарымен таныстыра отырып, экология ғылымының іргетастық заңдарын баяндайды</t>
  </si>
  <si>
    <t>0001403</t>
  </si>
  <si>
    <t>Бейсентай А.Б.</t>
  </si>
  <si>
    <t>Мағжан Жұмабаев шығармашылығы және орыс әдебиеті</t>
  </si>
  <si>
    <t>Монографияда М.Жұмабаевтың орыс әдебиетімен шығармашылық байланысының өзіндік ерекшеліктері, европа және орыс әдебиеттеріндегі көркемдік құбылыстарды игеру және ұлттық поэзияда жаңа мазмұнда жаңғырта қолданудағы жаңашылдық көріністері, алаш ақыны туындатқан поэзиялық аудармалардың түпнұсқамен арақатынасы және әдебиет дамуындағы маңызы, ақынның аудармашылық тәжірибесіндегі шығармашылық сипаттар саралана айқындалып, дәлел-дәйекті ой тұжырымдары ұсынылады.
 Еңбек әдебиетшілерге, жоғары оқу орнының студенттері мен магистрлеріне, жалпы әдебиетсүйер қауымға арналған.</t>
  </si>
  <si>
    <t>0001404</t>
  </si>
  <si>
    <t>Бекбаев А., Сулеев Д., Хисаров Б.</t>
  </si>
  <si>
    <t>Сызықты және бейсызықты жүйелердің автоматты реттеу теориясы</t>
  </si>
  <si>
    <t>Бұл кітап автоматты реттеу теориясын жүйелі түрде қарастыратын қазақ тілінде жарық көрген алғашқы оқулық.Кітапта автоматты реттеу теориясының принциптері мен заңдылықтары, реттеу жүйелерін құру жолдары, оларды математикалық бейнелеу және мо-дельдеу әдістері, орнықтылықты бағалау критерийлері баяндалған. Бейсы-зықты және импульстік жүйелер жөнінде көлемді түсініктер берілген.Оқулық «Автоматтандыру және басқару», «Электроэнергетика» және бас-қа да техникалық мамандықтар бойынша оқып жүрген студенттерге, магист-ранттарға, аспиранттарға, докторанттарға арналған.</t>
  </si>
  <si>
    <t>0001405</t>
  </si>
  <si>
    <t>Бекбаев А.Б., Әбітаева Р.Ш.</t>
  </si>
  <si>
    <t>Энергетикалық жүйедегі өтпелі процестер</t>
  </si>
  <si>
    <t>«Энергетикалық жүйедегі өтпелі процестер» курсы екi бөлiкке бөлiнген: бiрiншi электромагниттi өтпелi процесс, ал екiншiсі электромеханикалық процесс.
 Оқу құрал маманның біліктіліктік мінездемесінің талаптарымен, ұйымдастырудың педагогика-психологиялық негіздерімен және оқу сабақтарының өткізілуімен сәйкестендіріле құрылған.
 Осы оқу құрал өтпелі процестер бойынша келесі сүрақтар қарастырылған: энергожүйелердің жүктеме тұйіндеріндегі статикалық және динамикалық орңықтылықтары және есептеулері, кернеуі 1000В-қа дейін және одан жоғары желілерде қысқаша тұйықталу тоқтары және есептеу жолдары, электрқозғалтқыштардын өздігінен қосылатыны және есептеулері.
 Берілген оқу құрал 5В071800 - Электроэнергетика мамандығы студенттер үшін пайдалы бола алады.</t>
  </si>
  <si>
    <t>0001406</t>
  </si>
  <si>
    <t>Бекбаева Р.С.</t>
  </si>
  <si>
    <t>Алгоритмдік тілдерде бағдарламалау</t>
  </si>
  <si>
    <t>Бұл оқу құралы - 050704 «Есептеу техникасы және бағдарламалық қамтамасыз ету» мамандығы бойынша «Алгоритмдік тілдерде бағдарламалау» пәнінің типтік оқу бағдарламасы негізінде құрастырылды. Оқу құралы дәрістік материалдардан және дербес компьютерлер үшін Турбо Паскаль бағдарламалау ортасында жұмыс істеу негіздерінен тұрады. «Алгоритмдік тілдерде бағдарламалау» пәнінен студенттер алгоритмдерді құру және Турбо Паскаль бағдарламалау тілінде бағдарламаларды құру тәсілдерін үйренеді. Оқу құралын алгоритмдеу негіздерімен, бағдарламалаудың қазіргі технологиясымен танысамын, Турбо Паскаль бағдарламалау тілінде өздерінің бағдарламасын құрамын деген «Информатика», «Ақпараттық жүйелер» мамандықтарының студенттері, оқушылар, мектеп мұғалімдері және қолданушылардың кең ортасында қолдануға болады.</t>
  </si>
  <si>
    <t>0001413</t>
  </si>
  <si>
    <t>Бекботаев А. Т.</t>
  </si>
  <si>
    <t>Литология (каз.яз)</t>
  </si>
  <si>
    <t>Литология» пәні оқулығының толықтырылып өңделген екінші басылымы «Геология және пайдалы қазбалар кенорындарын барлау» мамандығы студенттеріне арналған.
 Оқулық кіріспеден және алты бөлімнен тұрады. Кіріспеде «Литологияны» оқудың мақсаттары және оның даму тарихы мен зерттеу әдістері қысқаша қарастырылған. Бірінші бөлімде шөгінді таужыныстардың қалыптасу заңдылықтары, екіншіде – олардың химиялық, минералдық және органикалық құрамы, үшіншіде – құрылысы, яғни бітімдері мен құрылымдары берілген. Төртінші, негізгі бөлім шөгінді таужыныстардың топтары мен түрлерін петрографиялық сипаттауға арналған. Бесінші бөлімде шөгінді фациялар мен олардың түрлерінің сипаттамалары келтірілген. Соңғы алтыншы бөлімде фациялық талдаудың негізгі әдістері қарастырылған.</t>
  </si>
  <si>
    <t>0001414</t>
  </si>
  <si>
    <t>Бекботаев А.Т., Бекботаева А.А.</t>
  </si>
  <si>
    <t>Микроскопия минералов</t>
  </si>
  <si>
    <t>В учебном пособии рассмотрен основной метод исследования минералов и горных пород в минералогии, петрографии, литологии и петрологии – кристаллооптика, являющаяся теоретической основой микроскопического исследования. Пособие состоит из девяти разделов. В 1 разделе даны понятия о природе света, преломлении и двупреломлении в минералах, оптических явлениях, наблюдаемых под микроскопом. 2 раздел посвящен устройству поляризационного микроскопа и методах изучения оптических свойств минералов под микроскопом. В 3 и 4 разделах приведен порядок определения оптических свойств минералов коноскопическим и иммерсионным методами. 5 раздел посвящен исследованию минералов федоровским методом. Описание определения морфологических особенностей, оптических свойств минералов горных пород дано в следующих разделах: магматических горных пород в 6 разделе, осадочных – в 7, метаморфических - в 8 разделах. Оптические свойства 104 породообразующих минералов по группам относительных показателей преломления приведены в виде таблиц в 9 разделе. 
 Учебное пособие составлено согласно программе подготовки специалистов по геологическим специальностям. Может использоваться специалистами по природным и исскуственным минералам.</t>
  </si>
  <si>
    <t>0001415</t>
  </si>
  <si>
    <t>Бекботаева А.А.</t>
  </si>
  <si>
    <t>Петрография. 1-том</t>
  </si>
  <si>
    <t>Ұсынылып отырған оқу құралын „Петрография” пәнінің оқу бағдарламасына қарай үш бөлімнен тұрады. Бірінші бөлім магмалық таужыныстарға арналған. Бұл бөлімнің басында магмалық таужыныстардың минералдық, химиялық құрамы, бітімі, құрылымы және оларды жүйелеудің негіздері берілген, оның кристалдану заңдылықтары және магмалық таужыныстардың көп түрлі болу себептері де қаралған. Екінші бөлім шөгінді таужыныстарға арналған. Бұл бөлімнің басында шөгінді таужыныстардың қалыптасу заңдылықтары, минералдық, химиялық құрамы, бітімдері мен құрылымдары қарастырылған. Бөлімнің екінші жартысы шөгінді таужыныстардың жіктемесі мен олардың петрографиялық сипаттамасына арналған. Үшінші бөлімде метаморфтық таужыныстар қаралған. Бұл бөлімде олардың құрамы, бітімі мен құрылымы баяндалған. Таужыныстардың химиялық құрамы қаралғанда, оларды зерттеуде қолданылатын петрохимиялық әдістерге баса көңіл бөлінген. Себебі мұндай әдістерді пайдаланып бастапқы таужынысты анықтау, химиялық элементтердің жылыстауын білу метаморфтық процесті терең түсінуге мүмкіндік береді. Бөлімнің соңында метаморфтық таужыныстар мен метасоматиттердің жан-жақты петрографиялық сипаттамалары - бітімі, құрылымы, минералдық құрамы, жаратылысы баяндалған. Олардың қалыптасуын қарастырғанда минералдардың химиялық реакцияларына да көңіл бөлінген.</t>
  </si>
  <si>
    <t>0001416</t>
  </si>
  <si>
    <t>Петрография. 2-том</t>
  </si>
  <si>
    <t>0001422</t>
  </si>
  <si>
    <t>Бекетова А.М.</t>
  </si>
  <si>
    <t>Учет и аудит</t>
  </si>
  <si>
    <t>Учебное пособие составлено в соответствии с требованиями учебного плана и программы дисциплины «Аудит» и включает все необходимые сведенияВ данном учебном пособии раскрываются теоретические и практические аспекты, кроме того, включены необходимые материалы для проведения семинарских занятий, СРСП, которые окажут практическую помощь в успешном усвоении материала.Учебное пособие предназначено для студентов специальности 5В050800 «Учет и аудит».</t>
  </si>
  <si>
    <t>0001424</t>
  </si>
  <si>
    <t>Бекешев А.З., Абдыгалиева Г.Б, Казагачев В.Н.</t>
  </si>
  <si>
    <t>Введение в Интернет вещей (IoT).</t>
  </si>
  <si>
    <t>Пособие составлено в соответствии с программой дисциплины и предназначены для студентов направлений информационных технологий; содержит теоретический материал, краткое описание лабораторных работ, самостоятельного изучения устройства, принципа работы, правил эксплуатации и приобретения необходимых практических навыков работы со средствами моделирования и робототехники. Направлены на формирование у студентов навыков овладения технологиями и средствами проектирования и программирования роботизированных систем на основе микроконтроллеров Arduino.</t>
  </si>
  <si>
    <t>0001425</t>
  </si>
  <si>
    <t>Бекешев А.З., Абдыгалиева Г.Б, Казагачев В.Н.,</t>
  </si>
  <si>
    <t>Основы робототехники на Arduino</t>
  </si>
  <si>
    <t>0001427</t>
  </si>
  <si>
    <t>Бекжанова С.Е.</t>
  </si>
  <si>
    <t>Грузоведение, сохранность и крепление грузов. Часть І</t>
  </si>
  <si>
    <t>0001428</t>
  </si>
  <si>
    <t>Грузоведение, сохранность и крепление грузов. Часть ІІ</t>
  </si>
  <si>
    <t>0001429</t>
  </si>
  <si>
    <t>Жүк тасымалдау мен коммерциялық жұмыстардың негіздері.- 1 том</t>
  </si>
  <si>
    <t>0001430</t>
  </si>
  <si>
    <t>Жүк тасымалдау мен коммерциялық жұмыстардың негіздері.- 2 том</t>
  </si>
  <si>
    <t>0001431</t>
  </si>
  <si>
    <t>Международные автомобильные перевозки</t>
  </si>
  <si>
    <t>Расширение международного сотрудничества, углубление интеграционных процессов и увеличение объемов международной торговли требуют благоприятных условий для беспрепятственного пропуска транзитных грузо-, и пассажиропотоков, связанных с обеспечением межгосударственных экономических связей. Активный выход перевозчиков на международный транспротный рынок, сложность и многообразие факторов, действующих в сфере международных и внутренних перевозок, вызвают потребность в подготовке высококвалифицированных специалистов, способных обеспечивать устойчивую работу предприятий в условиях жесткой конкуренции на транспортном рынке.</t>
  </si>
  <si>
    <t>0001432</t>
  </si>
  <si>
    <t>Тиеу-түсіру жұмыстарының технологиясы мен механикаландырылуы</t>
  </si>
  <si>
    <t>0001434</t>
  </si>
  <si>
    <t>Бекишев К.</t>
  </si>
  <si>
    <t>Пайдалы жәндіктер</t>
  </si>
  <si>
    <t>0001435</t>
  </si>
  <si>
    <t>Бекишев К., Асанов К.Д.</t>
  </si>
  <si>
    <t>Экологияның рухани өрісі</t>
  </si>
  <si>
    <t>0001437</t>
  </si>
  <si>
    <t>Бекқожанова Г.Қ.</t>
  </si>
  <si>
    <t>English Stylistics: theory and practice</t>
  </si>
  <si>
    <t>Оқу құралы жоғары курс студенттеріне ағылшын тілі стилистикасы пәні бойынша лекция, семинар сабақтары мен студенттердің өзіндік жұмыс тапсырмаларын орындау кезінде пайдалану үшін құрастырылды. Оқулық университет ағылшын тілі пәні оқытушыларына, магистратура және «Шет тілі: текі шет тілі (ағылшын-неміс)» және «Аударма ісі» мамандықтары бойынша күндізгі және сырттай бөлім студенттеріне арналған. 
 Оқу құралы мемлекетттік стандарт пен жоғарыда аталған мамндықтардың типтік бағдарламасы негізінде құрастырылды. 
 Оқу құралын баспаға ұсынған – Абай атындағы Қазақ ұлттық педагогикалық университетенің оқу-әдістеме бірлестігі</t>
  </si>
  <si>
    <t>0001446</t>
  </si>
  <si>
    <t>Бекнурманов Н.С.</t>
  </si>
  <si>
    <t>Дене шынықтыру және спорт педагогикасы</t>
  </si>
  <si>
    <t>Ұсынылып отырған құралдың мақсаты - өзекті педагогикалық проблемалардың теориялық негіздерін ашу және болашақ дене тәрбиесі пәнінің мұғалімдеріне, спорт түрлері бойынша жаттықтырушыларға, дене тәрбиесі және спортты ұйымдастыру бойынша қызметкерлерге қажетті кәсіби алғышарттар жасау болып табылады. Оқу құралы жалпы педагогика курсы аумағында жазылған, дене тәрбиесі және спорт бойынша педагогикалық практика өту ерекшелігін ескерумен толықтырылады.</t>
  </si>
  <si>
    <t>0001448</t>
  </si>
  <si>
    <t>Бексултанова Р.Т., Сактаганова И.С.,</t>
  </si>
  <si>
    <t>Азаматтық сот ісін жүргізудегі нормаларды қолданудың тәжірибедегі мәселелері</t>
  </si>
  <si>
    <t>Оқу құралда маңызды мәселелерін зерттеуге, сондай-ақ осы құралда баяндалған тәжірибелік тапсырмаларды орындау үшін қажетті нормативтік материалдар мен заң әдебиеттерін іздеуге және пайдалануға көмек көрсетуге арналған. Оқу құралда құқықтық жағдаяттары, және барлық тақырыптары бойынша практикалық тапсырмалары берілген, жоғарғы оқу орындарының заң факультетінің студенттері, магистранттары және оқытушыларына арналған</t>
  </si>
  <si>
    <t>0001449</t>
  </si>
  <si>
    <t>Вопросы практического применения норм гражданского процессуального законодательства</t>
  </si>
  <si>
    <t>Учебное пособие подготовлено в соответствии с Типовой учебной программой по дисциплине «Гражданское процессуальное право Республики Казахстан». Учебное пособие включает в себя правовые ситуации (казусы) по всем темам учебного курса, предназначен для студентов, магистрантов и преподавателей юридических факультетов</t>
  </si>
  <si>
    <t>0001451</t>
  </si>
  <si>
    <t>Бектанов Б. К.</t>
  </si>
  <si>
    <t>Геодезиялық өлшеу нәтижелерін математикалық өңдеу</t>
  </si>
  <si>
    <t>Оқу құралы 5В071100 - Геодезия және картография, 5В090300 - Жерге орналастыру және 5В090700 - Кадастр мамандықтарының ІІ курс студенттеріне арналған. Оқу құралында ықтималдылық теориясының элементтері, математикалық статистикадан мәліметтер келтірілген және өлшеу нәтижелерін математикалық өңдеудің кезегі және үлгісі көрсетілген. Сондай-ақ, геодезиялық жиілендіру торларын теңестіру, қосымша пунктердің координаталарын анықтау тәсілдері мен дәлдіктері, ең кіші квадраттар тәсілінің негіздері, теңестіру тәсілдері және анықтама мәліметтер берілген</t>
  </si>
  <si>
    <t>0001452</t>
  </si>
  <si>
    <t>Фотограмметрия және қашықтан бақылау</t>
  </si>
  <si>
    <t>Землеустройство. Кадастр.Геодезия и картография</t>
  </si>
  <si>
    <t>Оқулық 5В090300 – «Жерге орналастыру», 5В090700 – «Кадастр» және 5В071100 – «Геодезия и картография» мамандықтарының студенттеріне арналған. Оқулықта аэро және ғарыштық түсірулердің сапалық бағасы, суреттердің геометриялық қасиеттері, фотоплан және фотосхема дайындау тәсілдері, суреттерді өңдеудегі қолданылатын құрал түрлері және дешифрлеу тәсілдері туралы мәліметтер берілген. Ауылшаруашылық және топографиялық дешифрлеу ерекшеліктерін және аэроғарыштық суреттерді ауыл шаруашылығында қолдану және қашықтан бақылау нұсқалары келтірілген</t>
  </si>
  <si>
    <t>0001456</t>
  </si>
  <si>
    <t>Бектасова Ж.Т., Жұмашева Г.К.</t>
  </si>
  <si>
    <t>Мемлекеттік тілде іс қағаздарын жүргізу</t>
  </si>
  <si>
    <t>Пәннің міндеттері, құжат туралы түсінік. ҚР «Тіл туралы» Заңы Мемлекеттік тілде іс жүргізу пәнінің міндеттері:«Құжат» - латын тілінде «куәлік», «дәлелдеу тәсілі» деген мағына береді. Құжат – фактілер мен оқиғалар, құбылыстардың объективті шындығын және тұлғаның ойлау қызметі туралы хабарларды әртүрлі әдістермен арналған материалға түсіру. Ұйымдар мен мекемелерлің, кәсіпорындардың күнделікті жұмысында өндірістік, шаруашылық, қаржылық және қоғамдық қызметінің сан қилы мәселелері бойынша құжат ұйымдастырылады. Олардың жүргізілу барысында ығарған түрлі шешімдері, басқару істері, атқарған қызметі іс қағаздарынан анық көрінеді. Құжаттардың жазылуына, олардың тіркелуіне, қозғалысына, есепке алынуы мен сақталуына байланысты жұмыстар жиынтығы іс қағаздарын жүргізу деп аталады. Іс қағаздарын қазақша жүргізудің мемлекеттік құндылығын, әлеуметтік маңыздылығын оның қазақ тілінің мемлекеттік тіл ретінде қызмет етуінің алғы шарттарының бірі екендігін ұғындыру. Еліміздің арқа сүйер болашақ мамандық иелерін іс қағаздарын толтырудың мемлекеттік стандарттары мен толтырылу әдістері, жазылу стилдері, атқаратын міндеттері, мақсаты сияқты білім жүйесі негіздерімен қаруландырып, мемлекеттік тілдің қоғам дамуындағы ролінің күшеюіне жас мамандардың өз септігін тигізуін қамтамасыз ету.</t>
  </si>
  <si>
    <t>0001463</t>
  </si>
  <si>
    <t>Белецкая Н.П., Дмитриев П.С., Назарова Т.В., Пашков С.В., Фомин И.А.</t>
  </si>
  <si>
    <t>Рекреационный потенциал северо-казахстанской области Часть I</t>
  </si>
  <si>
    <t>Монография посвящена оценке рекреационно-туристского потенциала Северо-Казахстанской области (СКО). Территория СКО обладает разнообразными природными ресурсами, на основе которых сложился развитый сельскохозяйственный комплекс. Однако природные резервы позволяют также придать региону свойства территориальной туристско-рекреационной системы. Складывающийся в настоящее время туристско-рекреационный комплекс находится в зачаточном состоянии. Рассматривается история географических исследований и освоения территории Северного Казахстана, отраженная в многочисленных физических свидетельствах и описаниях, имеющих место в прошлом, начиная со времен покорения Сибири. Рекреационный потенциал области позволят успешно развивать практически все основные направления туризма: лечебно-курортного, спортивно-оздоровительного, развлекательного, информационно-познавательного. Приоритетным направлением для СКО объективно является развитие оздоровительного туризма, в основе которого лежит наличие Шалкар-Имантауской курортной зоны, экологической чистоты ландшафтов и возможностей различных способов укрепления здоровья, таких как запасы лечебных грязей, ценных минеральных лечебных и столовых вод. Основой информационно-познавательного направления служит наличие многочисленных природных, археологических, архитектурных, литературных памятников и многое другое, что позволяет региону стать эффективным и привлекательным для внутреннего и внешнего туризма.</t>
  </si>
  <si>
    <t>0001464</t>
  </si>
  <si>
    <t>Рекреационный потенциал северо-казахстанской области Часть II</t>
  </si>
  <si>
    <t>Во второй части монографии дифференцированно рассматриваются рекреационно-туристические ресурсы по каждому из административных районов Северо-Казахстанской области (СКО) и г. Петропавловску. Каждый район обладает своим набором природных условий и ресурсов. Авторы старались выделить специфику района, найти его «изюменку» сделать оценку его потенциала.Особое внимание уделялось направлениям туризма, которые перспективны в целом для области. Основным направлением для СКО, как ранее отмечено, является развитие оздоровительного туризма, благодаря, прежде всего, природным условиям и богатым рекреационным ресурсам - запасам лечебных грязей, ценных минеральных лечебных и столовых вод, наличием Шалкар-Имантауской курортной зоны, экологической чистоте ландшафтов и возможностях различных способов укрепления здоровья и отдыха (пляжный отдых, охота, рыбная ловля, пешие и конные прогулки и др.).Многие районы области располагают уникальными рекреационными ресурсами для успешного развития информационно-познавательного направления на основе богатого историко-культурного наследия региона, накопленного в течение тысячелетий, подтвержденного многолетними археологическими и другими научными исследованиями. СКО – родина многих героев казахского народа – батыров, отстаивавших его свободу и независимость, отважных героев современности, прославленных деятелей науки, литературы, искусства. Особо выделяется богатством историко-культурного наследия областной центр.</t>
  </si>
  <si>
    <t>0001465</t>
  </si>
  <si>
    <t>Белецкая Н.П., Дмитриев П.С., Фомин И.А., Жунусов А.Е., Кутняк А.И., Сиволап В.Н., Сыздыков А.А., Топченко А.В., Андрющенко О.Е., Темирбек А.М.</t>
  </si>
  <si>
    <t>Природные ресурсы и развитие агропромышленного комплекса Северо-Казахстанской области</t>
  </si>
  <si>
    <t>Первая часть монографии включает обзор природных ресурсов Северо-Казахстанской области (СКО), так как природно-ресурсный потенциал каждого региона в очень большой степени определяет его социально-экономическое состояние и дальнейшие перспективы развития. Вторая ее часть содержит разработки сотрудников СКГУ им. М. Козыбаева, в которых излагается их видение дальнейшего развития агропромышленного комплекса СКО, направленное на обеспечение производства востребованной на рынках конкурентоспособной продукции на принципах перехода страны к «зеленой» экономике как наиболее прогрессивному общемировому движению в соответствии с обязательствами, которые взял на себя Казахстан, подтвердивший их законодательно. Показано, что у СКО имеются уникальные возможности развития органического земледелия, которые базируются на наличии запасов местных органических (органоминеральных) удобрений для производства экологически безопасной сельскохозяйственной продукции, востребованность которой возрастает как на мировых, так и на внутренних рынках. В СКО также имеется задел повышения энергоэффективности в сфере автономного теплоснабжения социальной сферы сельской местности, как существенного вклада в развитие «зеленой» экономики.</t>
  </si>
  <si>
    <t>0001469</t>
  </si>
  <si>
    <t>Беляева Э. П., Моисеева Е. В.</t>
  </si>
  <si>
    <t>Методика преподавания иностранных языков</t>
  </si>
  <si>
    <t>Учебное пособие по курсу «Методика преподавания иностранных языков» предназначено для студентов и преподавателей языковых факультетов педагогических специальностей. Пособие содержит теоретический материал и практические задания для проверки его усвоения, а также исследовательские задания для самостоятельной работы студентов, глоссарий и примеры тестовых заданий. Пособие знакомит студентов, будущих преподавателей, с актуальными проблемами профессиональной подготовки учителей английского языка на современном этапе реформирования иноязычного образования в Республике Казахстан. В учебном пособии рассматриваются как теоретические, так и практические вопросы методики преподавания: обучение языковому материалу и коммуникативным умениям.Учебное пособие будет полезно для проведения занятий по методике преподавания английского языка, в качестве ресурса для самостоятельного изучения в период прохождения педагогической практики.</t>
  </si>
  <si>
    <t>0001470</t>
  </si>
  <si>
    <t>Бердагулова С.К.</t>
  </si>
  <si>
    <t>Евразийство: теория и практика</t>
  </si>
  <si>
    <t>0001471</t>
  </si>
  <si>
    <t>Берденов Ж.Г.</t>
  </si>
  <si>
    <t>Современное состояние и геоэкологический анализ геосистем бассейна реки Илек</t>
  </si>
  <si>
    <t>Монография написана на основе многолетних комплексных физико-географических исследований, проведенных в условиях стационарных и экспериментально-экспедиционных исследований полупустынно-степных комплексов бассейна реки Илек в период с 2010 по 2016 годы. Исследования охватили территорию Актюбинской и Западно-Казахстанской областей (РК) и Оренбургской области (РФ), относящихся к бассейну реки Илек. В работе раскрыта роль техногенных факторов непосредственно влияющих на компоненты геосистем. Дана геоэкологическая оценка природно территориальных комплексов бассейна реки Илек, применяя современные методы ГИС-технологий, на основе скоординированного геоэкологического мониторинга созданы карты ореолов загрязнения компонентов природной среды, выявлены закономерности функционирования бассейновых геосистем территории бассейна реки Илек. По результатам исследований сформирована методика прогнозирования тенденции изменения природной среды при изменении техногенной нагрузки. Книга рекомендована для исследователей в области физикой географии, геоэкологии, специалистов экологических органов, студентов высших учебных заедений, будет полезна широкому кругу читателей.</t>
  </si>
  <si>
    <t>0001473</t>
  </si>
  <si>
    <t>Применение геоинформационных систем в современной географической науке</t>
  </si>
  <si>
    <t>Учебное пособие предназначено для студентов естественнонаучных и технических специальностей университетов (бакалавриат), изучающих геоинформатику, геоинформационные системы и применение ГИС-технологий в различных сферах деятельности. Пособие может быть использовано как вводный курс для магистрантов и докторантов направлений «География, биология, экология, геодезия» и смежных специальностей, которые пользуются в своей работе географическими информационными системами.</t>
  </si>
  <si>
    <t>0001476</t>
  </si>
  <si>
    <t>Бердоңғаров К., Махмутов С.</t>
  </si>
  <si>
    <t>Қоянды қолда өсіру</t>
  </si>
  <si>
    <t>кітап</t>
  </si>
  <si>
    <t>Ауыл шаруашылығы өнімдерін өндіруді молайтуға кәсіпорынның және азаматтардың меншікті қосалқы шаруашылықтары үлкен үлес қосып отыр. Бұл міндетті орындауда қолда қоян өсірудің де маңызы зор. Кітапта қолда өсірілетін қоян тұқымдарының түрлері, биологиялық ерекшеліктері, оларды бағып-күту мәселелері және ет, тері, түбіт өнімдерін алу, өңдеу жолдары ғылыми тұрғыдан әңгіме болады. Сондай-пқ қоян етінің тағамдық қасиеті және одан тағам әзірлеу әдістері айтылады. Кітап қолда қоян өсіретін азаматтарға және кәсіпорын мен мектепте, арнаулы шаруашылықтарда қоян өсіретін мамандарға арналған.</t>
  </si>
  <si>
    <t>0001481</t>
  </si>
  <si>
    <t>Берикханова Г.Е.</t>
  </si>
  <si>
    <t>Математикалық анализдің есептік практикумы</t>
  </si>
  <si>
    <t>«Математикалық анализдің есептік практикумы» I бөлім оқу құралы мазмұны мен құрылымы 5В060100 - «Математика», 5В060200 - «Информатика», 5В060400 - «Физика» мамандықтары бойынша «Математикалық анализ» пәнінің типтік бағдарламасына сай келеді. 
 Сонымен қатар бұл оқу құралы 5В010900 - «Математика», 5B011000 – Физика, 5В011100 – Информатика және жаратылыстану бағытындағы мамандықтар мен техникалық мамандықтың студенттері үшін «Математикалық анализ», «Математика», «Жоғары математика» курсын меңгеруде өте тиімді.Мұнда шектер теориясына, бір айнымалының функциясының дифференциалдық және интегралдық есептеулері тақырыбына арналған қиындық деңгейі жоғары, әр типті, есептеуге уақытты көп талап ететін есептердің шығарылуы түсіндіріліп, толық көрсетілген. Әр тақырыптың алдында анықтамалар, теоремалар, формулалар, қысқаша теориялық мәліметтер берілген. Студенттерге өздігінен орындайтын жаттығулар берілген.</t>
  </si>
  <si>
    <t>0001486</t>
  </si>
  <si>
    <t>Берікханова Г.Е. (Берикханова Г.Е.), Нұрсұлтанова Г.К.</t>
  </si>
  <si>
    <t>Комбинаторика, ықтималдық және статистика</t>
  </si>
  <si>
    <t>«Комбинаторика, ықтималдық және статистика» оқу-әдісте-мелік құралы сегіз тараудан тұрады. Әр тарауда қысқаша теориялық материал, есептер және олардың шығару жолдары көрсетілген. Тараудың соңында өз бетімен жұмыс істеуге арналған тапсырмалар, бақылау жұмыстары мен тест тапсырмалары берілген. Бұл оқу-әдіс-темелік құрал мектеп мұғалімдеріне элективті курс ретінде ұсынылады және жоғарғы сынып оқушыларына білім жетілдіруге көмектеседі. Сонымен бірге, бұл оқу құралы 050602 –«Информатика», 050701 – «Биотехнология», 050506 – «Экономика» мамандығында оқитын студенттеріне де, колледждердің студенттеріне де пайдалы құрал болып табылады.</t>
  </si>
  <si>
    <t>0001490</t>
  </si>
  <si>
    <t>Бесимбаева О.Г.</t>
  </si>
  <si>
    <t>Экономическая оценка производства картографо-геодезических работ</t>
  </si>
  <si>
    <t>Изложены принципы организации производства, методы нормирования труда в картографо-геодезическом производстве, формы и системы оплаты труда, методы технического проектирования, приведены показатели и пути улучшения использования производственных основных фондов, показана себестоимость, прибыль и рентабельность картографо-геодезических работ; контроль качества картографической продукции; приведены методы определения производительности труда; примеры работы со сборниками единых норм времени и выработки; пример расчета заработной платы исполнителей для бригады при выполнении картографо-геодезических работ; метод составления прямого расчета сметной стоимости работ. Предназначено для студентов и магистрантов высших учебных заведений по специальностям: 5В071100 – «Геодезия и картография», 6М071100 – «Геодезия».</t>
  </si>
  <si>
    <t>0001492</t>
  </si>
  <si>
    <t>Бесимбаева О.Г., Олейникова Е.А</t>
  </si>
  <si>
    <t>Маркшейдерия при выполнении капитальных работ</t>
  </si>
  <si>
    <t>горное дело</t>
  </si>
  <si>
    <t>Рассмотрены основные задачи маркшейдерской службы при капитальных работах: подземная съемка по трехштативной схеме, горизонтальные соединительные съемки, ориентирно-соединительная съемка через один вертикальный ствол, ориентирно-соединительная съемка через два вертикальных ствола, гироскопическое ориентирование. Пособие составлено в соответствии с рабочим учебным планом.
 Предназначено для студентов и магистрантов высших учебных заведений при изучении дисциплин по специальностям: 5В070700 – «Горное дело», 6М074900 – «Маркшейдерское дело».</t>
  </si>
  <si>
    <t>0001496</t>
  </si>
  <si>
    <t>Бестереков У.</t>
  </si>
  <si>
    <t>Галургиялық үрдістер технологиясы</t>
  </si>
  <si>
    <t>0001497</t>
  </si>
  <si>
    <t>978-601-13-0513-6</t>
  </si>
  <si>
    <t>Кері осмос</t>
  </si>
  <si>
    <t>0001498</t>
  </si>
  <si>
    <t>Состав, структура и свойства воды</t>
  </si>
  <si>
    <t>0001500</t>
  </si>
  <si>
    <t>Бестереков У., Сахы М., Назарбек Ұ.Б.., Ермеков С.Р.</t>
  </si>
  <si>
    <t>Сода және азотты қосылыстар өндірістерінің технологиялық негіздері мен есептеулері</t>
  </si>
  <si>
    <t>Оқу құралы жоғары оқу орындарының химия-технологиялық мамандықтарының студенттеріне арналған. Сонымен қатар бұл оқу құралын химия өндірістерінің инженер және техник мамандары да пайдалануына болады.Оқу құралында бейорганикалық заттар технологиясы мамандығының бағдарламасына сәйкес дайындалған каустикалық және қақталған сода, азот қышқылы, аммиак, аммоний нитраты өндірістерінің технологиялық негіздері мен есептеулері келтірілген. Жинақталған мәліметтерде бейорганикалық заттар технологиясындағы соңғы жетістіктер ескеріліп, есептеулердің жаңа тәсілдері, есептеу машиналары пайдаланылған. Келтірілген есептеулер технологиялық процестердің физика-химиялық мәніне негізделіп өнім шығымын, порцестер жылдамдығын материалдық және жылулық ағындар есептеулерін, өндірістік тәртіпті тиімдендіру, технологиялық құрылғылардың қажетті саны мен өлшемдерін, өндірістік шығындар мөлшерін және т.б. технологиялық көрсеткіштерді анықтауға мүмкіндік береді.Қазақстан Республикасы білім, мәдениет және денсаулық сақтау министрлігі баспасының жоспары бойынша басылды</t>
  </si>
  <si>
    <t>0001501</t>
  </si>
  <si>
    <t>978-601-310-612-0</t>
  </si>
  <si>
    <t>Бестереков У.Б., Болысбек А.А., Назарбек У.Б., Абдуразова П.А.</t>
  </si>
  <si>
    <t>Современное состояние мембранной техники и технологии</t>
  </si>
  <si>
    <t>0001504</t>
  </si>
  <si>
    <t>Бибатыров Е.К., Джартыбаева Ж.Д., Кунжигитова Г.Б.</t>
  </si>
  <si>
    <t>Жүнді өңдеу технологиясы</t>
  </si>
  <si>
    <t>Оқу құралы 5В010700 – «Бейнелеу өнері және кескіндеме» мамандығы студенттеріне арналған. Ғылым мен білім әлі өркен жая қоймаған қазақ жерінде сонау XVIII-XIX ғасырларда қол өнері ұлттық дәстүр ала бастағаны халқымыздың өнер тарихынан аян. Ашық түсті айшықты текеметтер, қара-ала сырмақтар, қызылды-жасыл түскиіздер, алқызыл гүлдері құлпырған түкті кілемдер, қошқар мүйіз, самаурынша, құстаңдай,жапырақша өрнекті терме алашалар мен тоқылған сандыққап, асадал, аяққап, кесеқап немесе шекпен, шапан сияқты киім-кешектер о баста, сөз жоқ, тұрмыстық қажеттіліктен туған. Оқұ құралында жүннен иірілген жіп-жылу ұстағыштығымен, күннің көзін өткізбейтігін, бояу алғыштығымен жоғары бағаланғандығын, жүннен тоқылған киім, сондай-ақ киіз үйдің жабдықтары, ішкі әшекейлері түгелдей дерлік жүннен жасалу технологиясы көрсетілген.</t>
  </si>
  <si>
    <t>0001514</t>
  </si>
  <si>
    <t>Бигалиев А.Б.</t>
  </si>
  <si>
    <t>Биоэкология (каз.яз)</t>
  </si>
  <si>
    <t>Оқулықта экологияның іргелі мәселелері биология ғылымы-ның негізі ретінде қарастырылған. Сонымен қатар экологияның жалпы сұрақтары, динамикалық орта мен күрделі жағдайдағы әртүрлі деңгейдегі биологиялық жүйелердің қалыптасуындағы тұрақтылық заңдылықтары және негізгі механизмдері зерттелінген. 
 Барлық экологиялық түсініктергі және жалпы заңдылықтарға қатысты қазіргі таңдағы адамзаттың биосфераға және оның ком-понентеріне толығымен әсер ету мәселелері, табиғатты пайдала-нудың ғылыми негізгі баяндалған.</t>
  </si>
  <si>
    <t>0001515</t>
  </si>
  <si>
    <t>Биоэкология (рус.яз)</t>
  </si>
  <si>
    <t>0001516</t>
  </si>
  <si>
    <t>Экологическая генетика 1 том</t>
  </si>
  <si>
    <t>В учебнике рассматриваются основы общей и частной генетики как фундаментальной биологической науки. Излагаются механизмы мутационного процесса, мутагенных факторов внешней среды, а также основные механизмы и закономерности устойчивого существования биологических систем разного уровня в условиях изменяющейся природной среды. Все понятия экологической генетики и наиболее общие генетические закономерности увязаны с проблемами современного антропогенного влияния на биосферу в целом, так и на её компоненты, что позволяет понять научные основы рационального природопользования и охраны окружающей среды.Учебник предназначена для студентов университетов специальностей «Биология» и «Экология», аспирантов, преподавателей и научных сотрудников</t>
  </si>
  <si>
    <t>0001518</t>
  </si>
  <si>
    <t>978-601-352-552-5</t>
  </si>
  <si>
    <t>Экологическая генетика 2 том</t>
  </si>
  <si>
    <t>0001526</t>
  </si>
  <si>
    <t>Бижкенова А.Е.</t>
  </si>
  <si>
    <t>Актуальные вопросы современной лингвистики и лингводидактики (избранные труды)</t>
  </si>
  <si>
    <t>Настоящая книга содержит избранные труды автора, опубликованные в разное время в научных изданиях в стране и за рубежом. Содержание отдельных статей обновлено и дополнено. 
 В первой главе книги собраны научные работы, касающиеся актуальных направлений в развитии лингвистической науки вообще, топонимике и словообразовании, в частности. Во второй главе представлены научные разработки, посвященные концептуальным вопросам организации учебного процесса по обучению иностранным языкам в высшей школе, определению места языкового обучения в профессиональном образовании и методике обучения иностранным языкам. 
 Все изложенные материалы носят авторский характер и отмечены индивидуальным подходом к поднимаемым проблемам.</t>
  </si>
  <si>
    <t>0001527</t>
  </si>
  <si>
    <t>Имена собственные: источник семантики и словообразования</t>
  </si>
  <si>
    <t>В книге собраны избранные труды автора, опубликованные в разное время в научных и специализированных изданиях в стране и за рубежом. Содержание статей изменено, дополнено и переработано с учетом апробации. Представленные научные разработки отражают основной взгляд исследователя на проблемы содержания имен собственных, роль и их место в лексике, словообразовательный потенциал: теорию и практику деонимизации. 
 Книга представляет интерес для лингвистов и молодых ученых, занимающихся вопросами словообразования, ономастики и деономастики.</t>
  </si>
  <si>
    <t>0001528</t>
  </si>
  <si>
    <t>Современная методология лингвистических учений</t>
  </si>
  <si>
    <t>Учебное пособие подготовлено в соответствии с тематическим планом издания кафедры иностранной филологии и представляет собой учебно-методический комплекс по одноименному предмету обязательного компонента цикла профессиональных дисциплин для магистрантов специальности 6М021000 – Иностранная филология 1-го года обучения.</t>
  </si>
  <si>
    <t>0001532</t>
  </si>
  <si>
    <t>Бимендина А.У.</t>
  </si>
  <si>
    <t>Дискретті математика және математикалық логика</t>
  </si>
  <si>
    <t>Оқу әдістемелік құралда «Дискретті математика және математикалық логика» пәнінің негізгі сұрақтары қарастырылған. Графтар ұғымы мен пікірлер алгебрасы теориялық және тәжірибиелік тұрғыда толық талқыланып, оларға нақты мысалдар келтірілген. Оқу әдістемелік құрал оқырманның құралда келтірілген тақырыптардың төңірегінде білімдерін өздігімен меңгеруге мүмкіндік береді. 
 Оқу әдістемелік құрал «Математика», «Механика», «Информатика» мамандықтары үшін жоғары оқу орнының студенттеріне арналған.</t>
  </si>
  <si>
    <t>0001559</t>
  </si>
  <si>
    <t>Бишимбаев В. К., Исаева А. У.</t>
  </si>
  <si>
    <t>Технология получения экологически чистых биодизельных топлив на основе растительного сырья</t>
  </si>
  <si>
    <t>Монография предназначена для научных сотрудников, инженерно-технических работников нефтехимической и нефтеперерабатывающей промышленности, широкого круга читателей, интересующихся вопросами нефтехимии.</t>
  </si>
  <si>
    <t>0001560</t>
  </si>
  <si>
    <t>Бишимбаев У.К., Молдабеков Ш., Жантасов К.Т., Анарбаев А.А., Бестереков У.</t>
  </si>
  <si>
    <t>Бейорганикалық заттардың химиялық технологиясы. 3том. 1бөлім
 Миниралды тыңайтқыштардың химиялық технологиясы</t>
  </si>
  <si>
    <t>0001561</t>
  </si>
  <si>
    <t>Бейорганикалық заттардың химиялық технологиясы. 3том. 2бөлім
 Миниралды тыңайтқыштардың химиялық технологиясы</t>
  </si>
  <si>
    <t>0001565</t>
  </si>
  <si>
    <t>Бияров Б.Н.</t>
  </si>
  <si>
    <t>Өр Алтайдың жер-су аттары</t>
  </si>
  <si>
    <t>Языки, филология</t>
  </si>
  <si>
    <t>Оқырман назарына ұсынылып отырған бұл монография республикамыздың шығысындағы Өр Алтай (Оңтүстік Алтай) өңірінің жер – су аттарын, оның ішінде тау аттарын (оронимдерді), тілдік тұрғыдан сипаттауға арналған. Бүрын зерттеле қоймаған аймақтан 2000-нан астам атау жиналып, тарихи-лингвистикалық, этнолингвистикалық және құрылымдық жағынан жан-жақты талданған. 
 Аталмыш еңбек тіл біліміне ықылас қойған студент, аспиранттарға, мектеп оқушыларына, туған жерін танып-білемін деген көпшілік қауымға арналады.</t>
  </si>
  <si>
    <t>0001568</t>
  </si>
  <si>
    <t>Бияшев К.Б., Киркимбаева Ж.С., Анда Валдовска, Сарсембаева Н.Б.
 Е.С.Ермагамбетова</t>
  </si>
  <si>
    <t>Санитарно-микробиологические исследование в ветеринарии</t>
  </si>
  <si>
    <t>Учебное пособие «Санитарно-микробиологические исследование в ветеринарии» предназначено для магистрантов ветеринарных вузов. Содержит основополагающую информацию по занятиям санитарной микробиологии, практические задания и методические указания для их выполнения, вопросы контроля знаний по изучаемой теме. 
 Подробно описана микрофлорора объектов внешней среды, сырья и продуктов питания животного происхождения. Показаны возможные источники инфекции на производстве, профилактика и меры борьбы с микробами – возбудителями порчи сырья, полуфабрикатов и готовой продукции. Приведена схема санитарно-микробиологического исследования продуктов животноводства и птицеводства в соответствии с международными требованиями.</t>
  </si>
  <si>
    <t>0001569</t>
  </si>
  <si>
    <t>Бияшев К.Б., Тулемисова Ж.К., Бияшев Б.К.</t>
  </si>
  <si>
    <t>Основы биотехнологии</t>
  </si>
  <si>
    <t>В учебнике освещены основные разделы современной биотехнологии. В настоящее время биотехнология представляет собой биоиндустрию. Последняя влючает в себя промышленную, пищевую, сельскохозяйственную, экологическую биотехнологии, биоэнергетику и т.д. Обьединяет все эти отрасли биотехнологии одно общее свойство – все вышеупомянутые процессы основаны на использовании не искусственных, а природных систем, а именно различных прокариотических и эукариотических организмов. 
 Предназаначено для студентов специальности «Биотехнология» и практических работников.</t>
  </si>
  <si>
    <t>0001570</t>
  </si>
  <si>
    <t>Біләлов Б.Д., Копобаева А.Н.</t>
  </si>
  <si>
    <t>Мұнай және газ геологиясы</t>
  </si>
  <si>
    <t>Осы оқу құралында мұнай мен газдың жаралу тегін, олардың өзара орын ауыстыру жағдайларын, шоғырларды толықтай сипаттай келе, осы жаралу уақытында қандайда бір тектоникалық қозғалыстардың осы пайдалы қазбалардың дамуына ықпалын түсіндіреді. Мұнай мен газдың дамуындағы ерекшеліктерді жеке бөліп және ортақ ұқсастықтарын ашып көрсеткен. Олардың таралу заңдылықтары, сонымен қатар, Қазақстанның да мұнай мен газы бар облыстарына, олардың қазіргі тектоникалық жағдайларына баса назар аударған. 
  Оқу құралы 5В070600, 6М070600 «Геология және пайдалы қазбалар кен орындарды барлау» студенттері мен магистранттары және тау-кен, мұнай ісі мамандықтарының студенттеріне арналған.</t>
  </si>
  <si>
    <t>0001571</t>
  </si>
  <si>
    <t>Блисов Т.М.</t>
  </si>
  <si>
    <t>Жер кадастры</t>
  </si>
  <si>
    <t>Оқу құралында дәрістер курсы, бақылау сұрақтар және ұсынылған әдебиеттер тізімі. 5В080100 - Агрономия мамандықтар бағытында оқитын студенттеріне арналған</t>
  </si>
  <si>
    <t>0001572</t>
  </si>
  <si>
    <t>Блощицына-Лепявко А.М. , В.С. Портнов, Н.Х. Шарипов</t>
  </si>
  <si>
    <t>Анализ закономерностей изменения газоносности углей карагандинского бассейна от различных факторов</t>
  </si>
  <si>
    <t>В монографии изложены основные сведения по изучению газоносности углей Карагандинского бассейна, приведены закономерности и зависимости изменения микрокомпонентного состава углей и метаноносности угольных пластов, которые позволяют уменьшить ошибки при составлении карт прогноза газоносности. Данные вопросы представляют теоретический и практический интерес, рассматривают геологические признаки, сформировавшие угольный пласт и его метаноносность: показатель метаморфизма угля, зольность, глубина залегания пластов, их мощность, строение и петрографический состав, коэффициент нарушенности. Монография предназначена для инженерно-технических специалистов горных предприятий, а также в качестве учебного пособия студентам и магистрантам специальностей: «Геология и разведка месторождений полезных ископаемых», «Горное дело», «Маркшейдерское дело», «Безопасность жизнедеятельности и защита окружающей среды», «Обогащение полезных ископаемых».</t>
  </si>
  <si>
    <t>0001574</t>
  </si>
  <si>
    <t>Боброва В.В., Лихачева Е.Н.</t>
  </si>
  <si>
    <t>Преемственность между дошкольным и начальным школьным образованием детей, испытывающих трудности в обучении</t>
  </si>
  <si>
    <t>В монографии рассмотрены вопросы преемственного обучения и воспитания детей, испытывающих трудности при усвоении программного материала на этапах дошкольного и начального школьного обучения. Результативность предлагаемой системы преемственного образования доказана экспериментальной работой.Монография рассчитана на широкий круг специалистов в области общей педагогики и специального образования. Также будет полезна студентам педагогических специальностей и родителям детей, рассматриваемой категории</t>
  </si>
  <si>
    <t>0001575</t>
  </si>
  <si>
    <t>Богатова О.В., Карпова Г.В., Ребезов М.Б., Топурия Г.М., Клычкова М.В., Кичко Ю.С.</t>
  </si>
  <si>
    <t>Современные биотехнологии в сельском хозяйстве</t>
  </si>
  <si>
    <t>Монография посвящена изучению влияния безвредных и пригодных для массового применения кормовых средств, в частности препаратов с пробиотическими свойствами благоприятно влияющих на организм птицы. Рассмотрены и рекомендованы производству рациональные варианты введения ферментативной гидролизованной сыворотки, пептидного биорегулятора тимогена. 
 Предназначена для специалистов птицеводческой отрасли, сотрудников и специалистов сельского хозяйства, а также для преподавателей, аспирантов, магистрантов и студентов вузов.</t>
  </si>
  <si>
    <t>0001583</t>
  </si>
  <si>
    <t>Бозшатаева Г.Т.</t>
  </si>
  <si>
    <t>Өсімдіктер физиологиясы</t>
  </si>
  <si>
    <t>Оқу құралы «Өсімдіктер физиологиясы» пәнінің оқу бағдарламасы мен оқу жоспары талаптарына сәйкес және студенттердің пән бойынша теориялық білімдеріне қойылатын талаптарға қажетті барлық мәліметтер негізінде құрастырылған. 5В011300 - «Биология», 5В060700-Биология мамандықтарының студенттеріне арналған</t>
  </si>
  <si>
    <t>0001584</t>
  </si>
  <si>
    <t>Бозшатаева Г.Т., Оспанова Г.С., Тұрабаева Г.К</t>
  </si>
  <si>
    <t>Жобалық оқыту технологиясы</t>
  </si>
  <si>
    <t>Оқу-әдістемелік құрал студенттердің заманауи оқыту технологиялары мен әдістері бойынша теориялық білімдеріне қойылатын талаптарға қажетті барлық мәліметтер негізінде құрастырылған. «Жобалық оқыту технологиясы» оқу-әдістемелік құралында жобалық оқыту технологиясының заманауи білім беру үдерісіндегі орны, Республикалық деңгейде жүйелі түрде өткізілетін мектеп оқушыларының ғылыми жобалар байқауынының талаптарына сай жобаларды дайындау, ғылыми жобаны жүргізу әдістемесі, сондай-ақ авторлардың мектеп оқушыларымен және студенттермен жасаған жобаларының үлгілері ұсынылған. Оқу-әдістемелік құралды студенттердің педагогикалық іс-тәжірибесі мен ғылыми-зерттеу жұмыстарын ұйымдастыруда, сонымен қатар мектеп мұғалімдері оқушылармен ғылыми-зерттеу жұмыстары мен ғылыми жобаларды дайындау мен жүргізуде қолдануына болады</t>
  </si>
  <si>
    <t>0001585</t>
  </si>
  <si>
    <t>Бозымов К.К., Баймишев Х.Б., Есенгалиев К.Г., Сидихов Б.М., Слесаренко Н.А.</t>
  </si>
  <si>
    <t>Анатомия домашних животных 1 часть</t>
  </si>
  <si>
    <t>Учебное пособие содержит основные сведения о строении организма животных с учетом новейших научных данных российских и зарубежных ученых. В пособии изложены материалы по спланхнологии, органов пищеварения и дыхания, системы органов размножения. Учебное пособие предназначено для студентов вузов, обучающихся по специальности 5В120100 «Ветеринарная медицина», может быть полезно магистрам, аспирантам, ветеринарным специалистам</t>
  </si>
  <si>
    <t>0001586</t>
  </si>
  <si>
    <t>Анатомия домашних животных 2 часть</t>
  </si>
  <si>
    <t>0001587</t>
  </si>
  <si>
    <t>Анатомия домашних животных 3 часть</t>
  </si>
  <si>
    <t>0001588</t>
  </si>
  <si>
    <t>Бозымов К.К., Есенгалиев К.Г.</t>
  </si>
  <si>
    <t>Ауыл шаруашылығы жануарларының морфологиясы</t>
  </si>
  <si>
    <t>Жануарлар организмдері жасушаларының, ұлпаларының, мүшелері (ағзалары, органдары) мен мүшелер жүйелерінің микроскопиялық және макроскопиялық құрылысына байланысты берілген материалда морфологияның цитология, гистология және анатомия салаларындағы мәліметтер оқулық құралы мәтінінде мейлінше толығымен қамтылған. Оқулық құралы төрт бөлімнен тұрады: цитология (жалпы цитология негіздері), эмбриология негіздері (жалпы эмбриология), жалпы гистология және мүшелер мен мүшелер жүйелерінің морфологиясы (макро - және микроморфология). Оқулық құралы мәтінінде кездесетін қазақша, орысша, латынша терминдер Халықаралық гистологиялық және анатомиялық номенклатураға сәйкес жазылған. «Ауыл шаруашылығы жануарларының морфологиясы» оқу құралы «Мал шаруашылығы өнімдерін өндіру технологиясы» мамандығы бойынша мамандар дайындайтын жоғары кәсіби білім беру орындарының білім алушыларымен оқытушыларына, ауыл шаруашылығы қызметкерлеріне және барша оқырман қауымға арналған.</t>
  </si>
  <si>
    <t>0001593</t>
  </si>
  <si>
    <t>Болатова Ж.Б.</t>
  </si>
  <si>
    <t>Baking quality of composite flour</t>
  </si>
  <si>
    <t>0001594</t>
  </si>
  <si>
    <t>Болатұлы Н. Копежанова Д.Е.</t>
  </si>
  <si>
    <t>Қазіргі қазақстандағы саяси процестердің транспаренттілігі</t>
  </si>
  <si>
    <t>Политология, саясаттану</t>
  </si>
  <si>
    <t>Монографиядағы зерттелген проблеманың өзектілігі биліктің тиімділігі мен легитимділігін арттыруға бағытталған мемлекеттің кез келген саяси қайта құрулары халықтың қатысуынсыз мүмкін емес. Ал бұл мемлекеттік билік пен оның әрекеттері азаматтар үшін барынша ашық, түсінікті және қолжетімді (транспарентті) болса ғана мүмкін. Мемлекеттің қол жетімділігі мен ашықтығы мәселелері әрдайым ғылыми қоғамдастыққа қызықты болды. Бұл «транспарентті» өзара іс-қимыл тетігі, оның шекарасы мен өлшеу құралдары маңызды болды және болып қала береді. Қазіргі Қазақстан билігінің қызметіндегі "транспаренттікпен" қабылданатын мемлекеттік шешімдерге қатысты ақпараттық ағындардың ашықтығы мен қол жетімділігін, олардың негізділігі мен нәтижелілігін барынша арттырады. Биліктің ақпараттық ашықтығы деңгейінің артуы оны жаңғыртудың қазіргі заманғы процестері мен технологияларына байланысты.
 Монография саясаттану, экономика, философия, әлеуметтану мен халықаралық қатынастар салаларының сарапшылары мен ізденушілеріне, студенттері мен магистранттарына, докторанттарына және барлық оқырман қауымға арналады.</t>
  </si>
  <si>
    <t>0001595</t>
  </si>
  <si>
    <t>Бондаренко В.П., Голубев В.Г., Надиров К.С., Садырбаева А.С., Колесников А.С.</t>
  </si>
  <si>
    <t>Реагенты комплексного действия на основе модифицированных гудронов хлопкового масла для нефтегазовой отрасли</t>
  </si>
  <si>
    <t>В монографии представлены результаты теоретических и экспериментальных исследований по получению и применению реагентов комплексного действия в нефтегазовой отрасли, полученных на основе модифицированного гудрона хлопкового масла, для интенсификации процессов бурения, капитального ремонта скважин и др. Предназначено для широкого круга специалистов (ИТР), научных работников, молодых ученых и студентов, слушателей курсов и факультетов повышения квалификации, специализирующихся в области бурения и разработки нефтяных и газовых месторождений</t>
  </si>
  <si>
    <t>0001601</t>
  </si>
  <si>
    <t>Боранкулова Д.М., Бейкитова А.Н.</t>
  </si>
  <si>
    <t>Жер бедерін жүйелі талдау</t>
  </si>
  <si>
    <t>«Жер бедерін жүйелі талдау» атты оқу құралы ғылыми-педагогикалық бағыттағы география мамандығының магистратурасында оқылатын курс болып табылады. Геоморфологиялық жүйелі талдау ұғымдар анықтамасы, геоморфологиялық жүйелердің қалыптасу ерекшелігі мен даму жағдайы, басқа табиғи жүйелермен өзара байланысы авторлардың нақты зерттеулерінің мәліметтері негізінде қарастырылып, жүйелі талдау негізі тұрғысынан берілген. Оқу құралы сызбалармен, суреттермен көркемделген. Жоғары оқу орындарында білім алып жүрген география мамандықтарының магистранттарына, оқытушыларына арналған.</t>
  </si>
  <si>
    <t>0001602</t>
  </si>
  <si>
    <t>Борбасов С.М.</t>
  </si>
  <si>
    <t>Әлемдік қайшылықтар және әлемдік саясат</t>
  </si>
  <si>
    <t>0001603</t>
  </si>
  <si>
    <t>Борбасова З.Н., Улаков С.Н., Осик Ю.И., Толысбаев Б.С.</t>
  </si>
  <si>
    <t>Управление маркетингом территорий</t>
  </si>
  <si>
    <t>В учебном пособии представлена современная концепция территориального управления маркетингом. Рассмотрены основные вопросы территориального маркетинга: маркетинговая среда территории, комплекс средств территориального маркетинга, сегментация, позиционирование и дифференциация территории, конкурентные преимущества и конкурентоспособность территории, деловые стратегии развития территории. Анализируется поведение потребителей в территориальном маркетинге, представлен процесс внедрения маркетинга, значительное внимание уделяется реализации территориального маркетинга страны, региона, города, в том числе на примере Казахстана.Учебное пособие адресовано руководителям и специалистам органов государственного и местного управления, преподавателям, студентам, магистрантам, докторантам высших учебных заведений, обучающимся по экономическим специальностям, а также всем, кто интересуется вопросами маркетинга территорий</t>
  </si>
  <si>
    <t>0001604</t>
  </si>
  <si>
    <t>Борибекова Ф., Альменбетова Қ.Ж., Алпысбаева Н.С., Тажинова Г.А., Шатырбаева Г.Ж.</t>
  </si>
  <si>
    <t>Бастауыш мектеп оқушыларының шығармашылық дарындылығын дамыту</t>
  </si>
  <si>
    <t>Дарынды және талантты оқушыларды оқыту – бұл ойлауды, талқылауды және мұқият жоспарлауды талап ететін едәуір күрделі мәселе. Әр түрлі теориялар мен стратегиялар балаларды оқытудың мазмұнын анықтау үшін тиісті бағдарлама негізінде қолданылады. Дарынды және талантты балаларды әрдайым бақылауда ұстау маңызды, себебі олар педагогикалық жұмысымыздың, мектептің және еліміздің атын шығарып, дамуына үлкен үлес қосатын тұлғалар. Кембридж бағдарламасы бойынша жеті модульдің біреуінде талантты және дарынды балаларды оқыту қарастырылған. Оқу құралында дарындылық ұғымының түсініктері, дарындылықтың даму үрдісі, дарындылық белгілерін классификациялау әдістері мен дарынды бала моделін құрудағы негізгі ұстанымдар жайында баяндалады. Дарын иелерін айқындау, талантты оқушылардың білімін жетілдіру, болашағына бағыт беру – тәуелсіз еліміздің көркеюінің кепілі. Өйткені талантты, дарынды оқушылардың мемлекетімізге қосар үлесі де орасан зор болмақ. Сондықтан, ұсынылып отырған оқу құралы педагогикалық оқу орындарындағы оқытушыларға, студенттерге дарынды оқушылармен жұмыс жүргізетін мұғалімдерге, дарынды оқушылардың ата-аналарына үлкен көмегі тиеді деген пікірдеміз.</t>
  </si>
  <si>
    <t>0001606</t>
  </si>
  <si>
    <t>Бородихин В.А, Усин Ж.А., УсинаЖ.А.</t>
  </si>
  <si>
    <t>Биосоциальная реабилитация учащихся и студентов средствами непрофессионального физкультурного образования, физического воспитания и спорта</t>
  </si>
  <si>
    <t>В монографии рассматриваются методологические, организационно-методические и практические аспекты непрофессионального физкультурного образования и физического воспитания учащейся молодежи. Издание предназначено для преподавателей средних и высшей школ, слушателей ФПК, учащихся и студентов разных категорий учебных заведений.</t>
  </si>
  <si>
    <t>0001607</t>
  </si>
  <si>
    <t>Бородихин В.А.,УсинЖ.А., УсинаЖ.А.</t>
  </si>
  <si>
    <t>Здоровьесберегающая направленность физического воспитания и спорта школьников и учащейся молодёжи</t>
  </si>
  <si>
    <t>В монографии рассматриваются вопросы здоровьесбережения и здоровьеукрепления школьников и учащейся молодёжи, занимающейся физической культурой и спортом. Монография рекомендуется студентам, магистрантам, преподавателям специальности 5В010800 «Физическая культура и спорт», а также учителям, преподавателям физической культуры и тренерам различных видов спорта.</t>
  </si>
  <si>
    <t>0001616</t>
  </si>
  <si>
    <t>Ботабаева К.Г.</t>
  </si>
  <si>
    <t>Әлеуметтік экономикалық жоспарлау</t>
  </si>
  <si>
    <t>Практикум «Әлеуметтік экономикалық жоспарлау» курсының теориялық негіздері, логикалық сұрақтар мен есептер жинағы қамтылған. 
 «Мемлекеттік және жергілікті басқару» мамандығы бойынша білім алушы студенттерге арналады.</t>
  </si>
  <si>
    <t>0001617</t>
  </si>
  <si>
    <t>Ботагариев Т.А.</t>
  </si>
  <si>
    <t>Дене шынықтыру және спорт теориясы мен әдістемесі</t>
  </si>
  <si>
    <t>Оқу құралы модульдерге бөлініп теориялық, тәжірибелік материалдардан, өзін-өзі тексеру сұрақтарынан, тест тапсырмаларынан жүйеленіп білім алушыға сапалы игеруге мүмкіндік береді. Әрбір модуль өзара логикалық байланыста бірізді қалыптасып, сызбалар түрінде көрнекілік принципінің жүзеге асуын қамтамасыз етеді.Оқу құралы «Дене шынықтыру және спорт» мамандығы бойынша студенттер мен оқытушылар құрамына арналған</t>
  </si>
  <si>
    <t>0001618</t>
  </si>
  <si>
    <t>Физическое воспитание школьников в регионах.</t>
  </si>
  <si>
    <t>В монографии расскрыты современные тенденции развития системы физического воспитания. Проанализированы научно-теоретические основы программно-нормативных основ физического воспитания школьников, региональных особенностей признаков физического совершенства. Представлены результаты динамики социально-экономических и экологических условий региона и их влияния на уровень физической подготовленности, физического развития и заболеваемости школьников. На основе вскрытых противоречий разработана региональная программа физического совершенствования школьников.Для специалистов физической культуры, учителей-предметников, студентов, родителей, учащихся, магистрантов, докторантов</t>
  </si>
  <si>
    <t>0001619</t>
  </si>
  <si>
    <t>Ботагариев Т.А., Тулегенов Е.К., Мамбетов Н.М, Аралбаев А.С., Срымова Б.Ж., Кубиева С.С.</t>
  </si>
  <si>
    <t>Использование информационных технологий в учебном процессе по предмету «Физическая культура» в ВУЗе и школе</t>
  </si>
  <si>
    <t>В монографии раскрыты основные понятия информационных технологий в физической культуре и спорте. Проанализированы основные направления использования информационных технологий в физическом воспитании студентов и школьников. Представлены авторские разработки по применению информационных технологий в физическом воспитании студентов вузов и школьников общеобразовательных школ. Дано экспериментальное обоснование эффективности использования информационных технологий в учебном процессе по физическому воспитанию в общеобразовательной школе и высшем учебном заведении.</t>
  </si>
  <si>
    <t>0001620</t>
  </si>
  <si>
    <t>Ботагариев Т.А., Тулегенов Е.К., Мамбетов Н.М., Аралбаев А.С.</t>
  </si>
  <si>
    <t>Физическое воспитание в ВУЗе</t>
  </si>
  <si>
    <t>В учебном пособии в соответствии с типовой программой по предмету «физическая культура» представлен теоретический, практический материал. В теоретическом материале рассмотрены основные понятия физической культуры и спорта, расскрыты проблемы, стоящие в вузовской физической культуре и спорте на современном этапе.Данное пособие предназначено для студентов, преподавателей высших учебных заведений, атакже может быть рекомендовано для слушателей институтов повышения квалификации</t>
  </si>
  <si>
    <t>0001621</t>
  </si>
  <si>
    <t>Ботағариев Т.Ә. /Ботагариев/, Кубиева С.С.</t>
  </si>
  <si>
    <t>Дене шынықтыру теориясы мен әдістемесінің жалпы негіздері</t>
  </si>
  <si>
    <t>Бұл оқу құралында «Дене шынықтыру теориясы мен әдістемесінің жалпы негіздері» пәнінің типтік бағдарламасына сәйкес теориялық, практикалық материал ұсынылады. Материал он модуль бойынша беріледі, әрбір модульде теория, практика, тестілік тапсырмалары қарастырылған.Бұл жұмыс «денешынықтыру және спорт» мамандығы бойынша студенттер мен оқытушыларға, сонымен қатар мектептегі денешынықтыру мұғалімдері, білім жетілдіру институтындағы тыңдаушыларға, әдіскерлерге арнайы курста оқу құралы ретінде арналған</t>
  </si>
  <si>
    <t>0001622</t>
  </si>
  <si>
    <t>Ботаев Б.Ч.</t>
  </si>
  <si>
    <t>«Режиссура II»</t>
  </si>
  <si>
    <t>Оқу құралы 5В040600- Режиссура мамандығы жалпы өнер саласында; театр, кино, эстрадалық концерттер, бұқаралық, спорттық мерекелер мен салт-дәстүрлік театрландырылған көріністерді негізгі ұйымдастырушы, бүкіл өнер компоненттерін бір тақырыпқа бағындырып, көркемдік шешімін жоғарғы деңгейлік шығармашылық биікке жеткізуші маман иесі. Студенттер үшін кәсіби шеберлігін дамыту жолында режиссура пәнінен теориялық білім ұсына отырып, практикалық бағыт-бағдарын дұрыс қалыптастыруға нақты ұсыныстар береді</t>
  </si>
  <si>
    <t>0001627</t>
  </si>
  <si>
    <t>Бөрібаев Б.</t>
  </si>
  <si>
    <t>С/С++ тілдерінде программалау</t>
  </si>
  <si>
    <t>Бұл оқу құралы жоғары оқу орындарын¬дағы жаратылыстану саласында немесе техникалық бағытта білім алып жатқан студент¬терге «Алгоритмдеу және программалау тілдері», «Алгоритм¬дер және мәліметтер құрылымы» және «Прог¬рам¬ма¬лау технология¬лары» тәрізді пәндерді оқу кезінде теориялық білімдерді игеру мен зертхана-лық жұмыстар орындауды жеңіл¬детуге арналған. Мұнда С/C++ тілдерін негізге ала отырып алгоритм құру және прог¬рам¬малау тәсілдерін үйретуден практикалық мағлұматтар беріліп, әрбір тақырып бойынша жинақталған есептердің шығарылу жолдары толық көрсетілген. Зертханалық жұмыстарда студенттердің өз беттерімен орын¬дауларына арнал¬ған тапсыр¬ма¬лар келтіріл¬ген. Ұсынылып отырған оқу құралы прог¬рам¬малауды өз бетінше оқып үйренгісі келетін оқырмандардың да қажетіне жарайды деген сенімдеміз.</t>
  </si>
  <si>
    <t>0001629</t>
  </si>
  <si>
    <t>Брейдо И.В., Лапина Л.М.</t>
  </si>
  <si>
    <t>Автоматизированный электропривод типовых промышленных установок</t>
  </si>
  <si>
    <t>В данном пособии приведена классификация технологического оборудования, рассмотрены основные режимы работы электродвигателей, кинематические схемы механизмов циклического и непрерывного действия. Приведены характеристики и классификация электроприводов, применяющихся в прокатном производстве, а также характеристики и классификация машин для подземных и наземных разработок. Большое внимание уделено электроприводам конвейеров, лифтов, подъемных машин. Приведены схемы пуска и торможения. Должное внимание уделено электроприводу городского транспорта. Перспективы внедрения современных полупроводниковых систем электропривода в промышленности Казахстана.Данное пособие может быть использовано студентами специальности 050718 «Электроэнергетика», а также магистрантами и преподавателями при изучении дисциплины «Автоматизированный электропривод типовых промышленных установок»</t>
  </si>
  <si>
    <t>0001630</t>
  </si>
  <si>
    <t>Брейдо И.В., В.В. Каверин, Е.Б. Потёмкина, Г.Т. Шошымбекова</t>
  </si>
  <si>
    <t>Күштік түрлендіру құрылғылары</t>
  </si>
  <si>
    <t>Оқу құралында «Күштік түрлендіру құрылғылары» пәні бойынша дәріс курсы берілген. Берілген оқу құралында электр энергиясын реттейтін түрлендіргіштердің типтік құрылымы және құраушы модульдері, күрделі түрлендіргіштердің жіктелімі, күрделі түрлендіргіштер, сенімділікті көбейту тәсілдері, вентильдерді таңдау және есептеу негіздері, басқару жүйесінің сұлбалары, элементтерді есептік таңдау, презиционды түзеткіш, басқару жүйесі және т.б. тақырыптар қарастырылған. «Күштік түрлендіру құрылғылары» курсының оқу құралы – «Электрэнергетика» мамандығының студенттерінің, магистранттарының және докторанттарының жұмыс оқу бағдарламасына сәйкес келеді.Осы оқу құралында қолданылған терминдердің қазақша-орысша сөздігі келтірілген.</t>
  </si>
  <si>
    <t>0001631</t>
  </si>
  <si>
    <t>Брейдо И.В., Есенбаев С.Х., Сивякова Г.А., Лепехов Д.А.,</t>
  </si>
  <si>
    <t>Преобразователи частоты фирмы Mitsubishi Electric</t>
  </si>
  <si>
    <t>Автоматизация производственных процессов</t>
  </si>
  <si>
    <t>Учебное пособие предназначено для магистрантов специальностей 6М070200 – «Автоматизация и управление» и содержит материал для практического изучения микропроцессорных средств широко известной фирмы Mitsubishi Electric, используемых на предприятиях горно-металлургической промышленности Казахстана. Материал изложен в виде описания учебно-отладочных комплексов и последовательных действий для получения практических навыков по сборке, комплексированию, программированию систем контроля и управления электроприводами.</t>
  </si>
  <si>
    <t>0001632</t>
  </si>
  <si>
    <t>Системы управления электротехническими комплексами</t>
  </si>
  <si>
    <t>Пособие содержит основные понятия в области автоматического управления электротехническими комплексами, математическое описание и принципы построения систем управления, классификацию замкнутых систем регулирования скорости и момента электропривода постоянного тока, системы регулирования скорости асинхронного электропривода. Рассмотрены системы управления электроприводами различных технологических комплексов, а также программная реализация средств управления электроприводами. Данное пособие может быть использовано студентами магистрантами специальностей 6М071800 «Электроэнергетика», 6М070200 «Автоматизация и управление», а также преподавателями высших учебных заведений при изучении дисциплины «Системы управления электроприводами»</t>
  </si>
  <si>
    <t>0001633</t>
  </si>
  <si>
    <t>Брель-Киселева И.М.</t>
  </si>
  <si>
    <t>Практикум по разведению и селекции сельскохозяйственных животных</t>
  </si>
  <si>
    <t>Практикум составлен в соответствии с действующей типовой программой по дисциплине разведение и селекция сельскохозяйственных животных и предназначен для обучающихся сельскохозяйственных ВУЗов, колледжей и специалистов аграрного профиля.
 В практикуме по всем темам даны: цель, содержание и методические указания для выполнения лабораторно-практических занятий, вопросы для самоконтроля, приведены необходимые иллюстрации, таблицы, пояснения. Глубокое изучение предложенных тематик позволит обучающимся освоить и научиться комплексно, использовать имеющиеся научно-обоснованные методы и приемы организации и ведения животноводческих предприятий, одной из главных которых являятся селекционно-племенная работа, способствующая производство продукции животноводства с наименьшими затратами.</t>
  </si>
  <si>
    <t>0001634</t>
  </si>
  <si>
    <t>Бржанов Р.Т.</t>
  </si>
  <si>
    <t>Құpылыc кoнcтpукциялаpы – 1</t>
  </si>
  <si>
    <t>Oқулық</t>
  </si>
  <si>
    <t>"Құpылыc кoнcтpукциялаpы – 1" оқулығы oқу жocпаpына жәнe типтік бағдаpламаcына cәйкec құpаcтыpылған жәнe пән бoйынша cабақтаpды өткізугe аpналған баpлық қажeтті мәлімeттep кeлтіpілгeн. Әp түpлі матepиалдаpдын физика-мeханикалық қаcиeттepі, жәнe eceп әдіcтepі ,кoнcтpукциялаpдын cыpтқы жүк пeн жүктeмeлepгe каpcылаcуы қаpаcтыpылған.Әp біp дәpіc бакылау cүpақтаpымeн аяқталады.</t>
  </si>
  <si>
    <t>0001635</t>
  </si>
  <si>
    <t>Құpылыc кoнcтpукциялаpы – 2</t>
  </si>
  <si>
    <t>"Құрылыс конструкциялары – 2" оқулығы оқу жоспарына және типтік бағдарламасына сәйкес құрастырылған және пән бойынша сабақтарды өткізуге арналған барлық қажетті мәліметтер келтірілген. Әр түрлі материалдардың физика-механикалық қасиеттері, және есеп әдістері ,конструкциялардың сыртқы жүк пен жүктемелерге қарсыласуы қарастырылған. Әр бір дәріс бақылау сұрақтарымен аяқталады.</t>
  </si>
  <si>
    <t>0001636</t>
  </si>
  <si>
    <t>Бугубаева Р.О., К.С. Айнабек, Н.И. Видрицкая, Б.У. Сейтхожин</t>
  </si>
  <si>
    <t>Экономическая безопасность и проблемы ее обеспечения в Республике Казахстан</t>
  </si>
  <si>
    <t>Монография на тему: «Экономическая безопасность и проблемы ее обеспечения в Республике Казахстан» посвящена теоретической разработке проблем обеспечения экономической безопасности. 
 Авторы монографии отражают влияние теневой экономики на экономическую безопасность государства, показывают систему государственных органов, осуществляющих финансовый контроль, направленный на обеспечение экономической безопасности, обосновывают ряд научных и практических положений, направленных на совершенствование законодательства в области обеспечения экономической безопасности.
 Монография предназначена студентам, магистрантам, докторантам и преподавателям юридических ВУЗов, практическим работникам правоохранительных органов, практикующим юристам и экономистам.</t>
  </si>
  <si>
    <t>0001638</t>
  </si>
  <si>
    <t>Будникова Н.Н., Полторжицкая Г.И.,</t>
  </si>
  <si>
    <t>Развитие прикладных компетенций на занятиях по профессиональному русскому языку с использованием веб-квест технологии</t>
  </si>
  <si>
    <t>Учебно-методическое пособие «Развитие прикладных компетенций на занятиях по профессиональному русскому языку с использованием web-квест технологии» предназначено для использования в преподавании и изучении дисциплины «Профессиональный русский язык». Методический модуль посвящен рассмотрению основных понятий, связанных с использованием web-технологий в учебном процессе, технологический модуль включает в себя примеры моделирования профессионально-ориентированных веб-квестов по специальностям вуза.</t>
  </si>
  <si>
    <t>0001639</t>
  </si>
  <si>
    <t>«Организация профессиональной практики по специальностям «Русский язык и литература», «Журналистика»»</t>
  </si>
  <si>
    <t>Учебно-методическое пособие «Организация профессиональной практики по специальностям «Русский язык и литература», «Журналистика» является руководством для преподавателя и студента в организации, проведении и прохождении профессиональной практики по специальности. В пособии выявлена специфика производственной практики указанных специальностей, рассматривается планирование работы студента-практиканта, даются рекомендации по включению научно-исследовательской работы студента в процесс производственной практики, моделируется адаптивная среда в процессе организации практики, даются параметры критериального оценивания производственной практики, методические указания по работе над отчетом. Рекомендовано в качестве учебно-методического пособия Методическим советом ВКГУ им. С.Аманжолова, протокол № 4 от 17 апреля 2018 г.</t>
  </si>
  <si>
    <t>0001645</t>
  </si>
  <si>
    <t>БузауоваТ.М., Жауыт Ә.</t>
  </si>
  <si>
    <t>Тіс кескіш құралдарды жобалау</t>
  </si>
  <si>
    <t>Оқу құралында кең таралған тіс кескіш құралдар бұрамдық фреза және қашаулар, оларды есептеу жолдары, жобалауға қажетті бастапқы мәліметтері, тіс кескіш құралдардың жұмысшы сызбасы және конструкциялау мысалдары келтірілген. Оқу құралы 5В071200 «Машинажасау» мамандығы бойынша оқитын студенттерге, сонымен қатар машина жасау саласының жобалау, конструкциялаумен айналысатын мамандарға арналған.</t>
  </si>
  <si>
    <t>0001646</t>
  </si>
  <si>
    <t>Бузова О.В., Айжарикова А.К.</t>
  </si>
  <si>
    <t>Специальные технологии переработки органических веществ и нефти, газа и угля. Часть1. Переработка полимеров</t>
  </si>
  <si>
    <t>В учебном пособии изложены особенности технологии переработки пластмасс в изделия. Предназначено для студентов, обучающихся по специальности 5В072100 – «Химическая технология органических веществ» очной и заочной форм обучения.</t>
  </si>
  <si>
    <t>0001649</t>
  </si>
  <si>
    <t>Букенов М.М., Азимова Д.Н., Ракишева Д.С.</t>
  </si>
  <si>
    <t>Есептеу әдістері</t>
  </si>
  <si>
    <t>Оқу құралында классикалық сандық әдістерінің тақырыптары: интерполяциялау, сандық интегралдау, САТЖ шешу әдістері, сызықты емес теңдеулер мен теңдеулер жүйелерін, дифференциалдық және интегралдық теңдеулер, теңдеулер жүйелерін сандық шешу қарастырылады. Сонымен қатар соңғы шыққан әдістер оқулықта орын алған. Әр тақырыпқа сәйкес бақылау сұрақтары мен тесттер келтіріліген. Кітап жоғары оқу орындарының студенттері мен оқытушыларына арналған</t>
  </si>
  <si>
    <t>0001650</t>
  </si>
  <si>
    <t>Букешова Г.К.</t>
  </si>
  <si>
    <t>Тәуелсіз Мемлекеттер Достастығы тарихы</t>
  </si>
  <si>
    <t>Бұл оқу құралында Тәуелсіз Мемлекеттер Достастығының құрылуы, оның құрылымы мен қызметі, ТМД елдерінің саяси-экономикалық дамуының басты кезеңдері, посткеңестік кезеңдегі аймақтық ықпалдасу үрдісінің барысы мен нәтижелері, Қазақстанның Достастық кеңістігіндегі орны жан-жақты қарастырылады. 
 Еңбекте дәріс мәтіндері, семинар тақырыптары мен БӨЖ тапсырмалары берілді. Оқу құралы студенттер, магистранттар мен оқытушыларға арналған.</t>
  </si>
  <si>
    <t>0001651</t>
  </si>
  <si>
    <t>Букунова А.Ш.</t>
  </si>
  <si>
    <t>Дәрістік курсы</t>
  </si>
  <si>
    <t>Дәрістер курсында студенттерге пәнді игеруге бағыттайтын теориялық материалдар бірізділікпен сипатталған. Студенттердің өз бетінше дайындалуына арналған сұрақтар және қысқаша терминдер сөздігі келтірілген.</t>
  </si>
  <si>
    <t>0001652</t>
  </si>
  <si>
    <t>Буланов Е.О.</t>
  </si>
  <si>
    <t>Ортағасырлардағы Қазақстан тарихы (ХІІІ-ХҮІІ ғғ.)</t>
  </si>
  <si>
    <t>«Ортағасырлардағы Қазақстан тарихы (ХІІІ-ХҮІІ ғғ.)» атты оқу құралы Қазақстан тарихының ауқымды әрі маңызды кезеңі болып табылатын ортағасырлар дәуіріне арналған. Аталған кезеңде моңғолдардың қатысуымен қазақ жерінде көптеген мемлекеттер құрылды және Қазақ хандығының құрылуына алғышарттар жасады. Нәтижесінде, Қазақ хандығы құрылып, тарих сахнасына шықты, «қазақ» атауы қалыптасып, халық ретінде танылды. 
 ХІІІ-ХҮІІ ғғ. аралығында Қазақстан мен оған көршілес аумақтарда өмір сүрген мемлекеттер мен әулеттер тарихы, сондай-ақ нақ сол кезеңге қатысты тарихи тұлғалар, географиялық атаулар мен жер-су аттарына, дүниетаным, діни наным-сенім және тағы басқа бағыттағы терминдерге түсіндірмелер беріледі.
 Оқу құралы тарих мамандығы білімгерлері мен магистранттарына, сонымен қатар, халқымыздың тарихына қызығушылық танытқан көпшілік оқырман қауымға арналған.</t>
  </si>
  <si>
    <t>0001653</t>
  </si>
  <si>
    <t>Булатбаев Ф.Н., Мади П. Ш., Дуйсенбаева М. С., Абильжанова Ф. Б., Дюсембина А.Г.</t>
  </si>
  <si>
    <t>Қазандық қондырғылар және бу генераторлары</t>
  </si>
  <si>
    <t>Аннотация Берілген оқу құралы «Жылуэнергетика» мамандығының студенттеріне және магистранттарына арналған. «Қазандық қондырғылар мен бу генераторлары» пәнінің жұмыстық бағдарламасына сәйкес келеді. Оқу құралы жылуэнергетикасында қолданылатын қазандық қондырғылар мен бу генераторларының түрлері, құрылысы, жұмыс қағидалары келтірілген. Ошақ камерасындағы қыздыру беттері мен олардағы жылу алмасу құбылыстарын есептеу, отын дайындау жүйелері мен жабдықтарының түрлері келтірілген.</t>
  </si>
  <si>
    <t>0001654</t>
  </si>
  <si>
    <t>Булатбаев Ф.Н., Мехтиев.А.Д., Алькина А.Д., Нешина Е.Г.</t>
  </si>
  <si>
    <t>От классической электроники к наноэлектронике</t>
  </si>
  <si>
    <t>Механика. Схемотехника</t>
  </si>
  <si>
    <t>Учебник предназначен для студентов специальности 5В071600 «Приборостроение», может быть полезен при изучении обязательной компоненты базового цикла дисциплин «Основы электроники», а также для инженерно-технических работников, связанных с проектированием и эксплуатацией электронной аппаратуры с использованием микроэлектронной и наноэлектронной элементных баз.</t>
  </si>
  <si>
    <t>0001656</t>
  </si>
  <si>
    <t>Булекбаева К.Б.</t>
  </si>
  <si>
    <t>Экология және қоршаған ортаны қорғау</t>
  </si>
  <si>
    <t>Оқулықты экология және қоршаған ортаны қорғау мәселелері бакалавриат мамандықтары бойынша ҚР МЖМБС-ның міндетті компонентіндегі "Экология және тұрақты даму" пәнінің мазмұнына сәйкестендіріліп жазылған. Негізгі алты бөлімінде экология ғылымы туралы жалпы ұғым, биосфера туралы, атмосфералық ауа және оның қорғаудың биологиялық және техникалық жақтарын, экологиялық менеджмент және сертификаттау рөлінің ерекшеліктері мен әдістерін көрсетілген. Оқулықтың негізгі бағыты атмосфералық ауаны антропогендік ластау көздерінен тазалауәдістері мен аппараттарын қарастыруға, оларды өндірісте дұрыс таңдау жолдарын үйренуге арналған. Оқулықты сонымен қатар, оқытушылар мен магистранттардың қолдануына болады.</t>
  </si>
  <si>
    <t>0001662</t>
  </si>
  <si>
    <t>Бурамбаева Н</t>
  </si>
  <si>
    <t>Микропроцессорлық құралдар және жүйелер</t>
  </si>
  <si>
    <t>ҚР МЖМБС құрамына енбейтін және студенттер білім алатын ақпараттық жүйелермен байланысты мамандықтардың негізгі курстарының бірі бойынша сегіз зертханалық жұмысқа нұсқаулық берілген. Әр жұмысқа қысқаша теория берілген және түрлі типтегі есептеу жүйелерін зерттеуге арналған модельдеуші бағдарламалар сипатталған. Жұмысты орындау реті анықталған, есеп мазмұны және зерттелетін материалды бекіту үшін бақылау сұрақтар тізімі берілген.Әдістемелік нұсқаулар «Радиотехника, электроника и телебайланыс», «Есептеу техникасы және бағдарламалық жасақтама» мамандықтарында білім алушы студенттерге арналған. Олар сәйкес класстардың реалды есептеу жүйелерін зерттеу кезінде қолданылуы мүмкін</t>
  </si>
  <si>
    <t>0001664</t>
  </si>
  <si>
    <t>Бурамбаева Н.А.</t>
  </si>
  <si>
    <t>Сұлбатехниканың арифметика-логикалық негіздері</t>
  </si>
  <si>
    <t>Оқу-әдістемелік құралда логика алгебра және дискретті математиканың математикалық аппаратын қолдану арқылы сандық құрылғыларды жобалау және талдаудың негізгі әдістері берілген. Цифрлық құрылғыларды талдау мен синтездеудің арифметикалық-логикалық әдістерінің жүйеленген материалы логика алгебра функциясын азайтуға, құрылғыларды модельдеуге мүмкіндік береді. 
 Оқу-әдістемелік құралы радиотехникалық мамандықтардың, "Ақпараттық жүйелер" мамандығының студенттері мен магистранттарына, сондай-ақ жоғары оқу орындары мен колледж оқытушыларына пайдалы болуы мүмкін</t>
  </si>
  <si>
    <t>0001665</t>
  </si>
  <si>
    <t>Бурамбаева Н.Б., К.Х. Нұржанова, Асанбаев Т.Ш.</t>
  </si>
  <si>
    <t>Практикум по овцеводству</t>
  </si>
  <si>
    <t>В практикуме изложены основные темы лабораторно-практи-ческих занятий, дающие возможность студентам самостоятельно выполнять поставленные перед ними задания. Для каждого лабораторно-практического занятия указаны цель, порядок выполнения, даны контрольные вопросы. Практикум предназначен для студентов высших учебных заведений по дисциплине «Овцеводство, технология производства шерсти и баранины» сельскохозяйственной специальности.</t>
  </si>
  <si>
    <t>0001666</t>
  </si>
  <si>
    <t>Бурамбаева Н.Б., К.Х. Нұржанова, Темиржанова А.А.</t>
  </si>
  <si>
    <t>Қой шаруашылығының
 практикумы</t>
  </si>
  <si>
    <t>Практикумда студенттердің өздік жұмысына берілген тапсырмаларды орындауға арналған тәжірибелік-зертханалық сабақтардың негізгі тақырыптары көрсетілген. Әрбір тәжірибе – зертханалық сабақтар үшін орындау тәртібі, сабақ мақсаты, бақылау сұрақтары берілген.</t>
  </si>
  <si>
    <t>0001669</t>
  </si>
  <si>
    <t>Буркитбаев Т. С., Кунжигитова Г.Б.</t>
  </si>
  <si>
    <t>Бейнелеу өнерінің тарихы</t>
  </si>
  <si>
    <t>Оқу құралы. 5В041300 – «Кескіндеме» мамандығының студенттеріне арналған.Оқу құралы «Бейнелеу өнерінің тарихы» пәннің оқу жоспары мен бағдарламасының талаптарына сәйкес құрастырылған және курстың тапсырмаларын орындауға қажетті барлық мәліметтерді қамтиды.Оқу құралының негізгі міндеті көркем таным, талғамның қалыптасуы, пәннің арнаулы зерттеу әдістерін көрсету, Бейнелеу өнері тарихын жүйелеу әдісін дамытуға бейімдеу</t>
  </si>
  <si>
    <t>0001670</t>
  </si>
  <si>
    <t>Буркитбаев Т.С. Г.Б.Кунжигитова. Ибраимова П.Т. Ағадилова Ж.</t>
  </si>
  <si>
    <t>Әлемдік бейнелеу өнерінің теориялық концепциясы (6М010700 – Бейнелеу өнері және сызу мамандығы магистранттарына арналған)</t>
  </si>
  <si>
    <t>Оқу құралы мемлекеттік жалпыға міндетті білім беру стандартына, оқу бағдарламасына сәйкес жасалынған және тәжірибелік тапсырмаларын орындауға қажетті барлық мәліметтерді қамтиды.
 Оқу құралының негізгі міндеттері - магистранттардың көркемдік таным, талғамның қалыптасуына ықпал жасау, пәннің арнаулы талдау әдістерін қалыптастыру, магистранттардың кәсіптік шеберлігін дамыту және өз пікірін көркемдік түрде көрсету қабілеттерін дамыту.
 Оқу құралы 6М010700 – Бейнелеу өнері және сызу магистранттарына арналған.</t>
  </si>
  <si>
    <t>0001671</t>
  </si>
  <si>
    <t>Буркитбаев Т.С., Кунжигитова Г.Б.</t>
  </si>
  <si>
    <t>Компьютерлік дизайн (6М041300- Кескіндеме мамандықтарының магистранттарына арналған)»,</t>
  </si>
  <si>
    <t>Оқу құралы. 5В041300-Кескіндеме мамандығының магистранттарына арналған.
  Оқу құралы «Компьютерлік дизайн» пәннің оқу жоспары мен бағдарламасының талаптарына сәйкес құрастырылған және курстың тапсырмаларын орындауға қажетті барлық мәліметтерді қамтиды.
  Оқу құралының негізгі міндеті компьютерлік таным, талғамның қалыптасуы, пәннің арнаулы әдістерін көрсету; Компьютерлік дизайнбілімін жүйелеу әдісін дамытуға бейімдеу.</t>
  </si>
  <si>
    <t>0001672</t>
  </si>
  <si>
    <t>Буркитбаев Т.С., Кунжигитова Г.Б., Жолдасбекова Қ.А.</t>
  </si>
  <si>
    <t>СУРЕТ. (5В041300 – Кескіндеме мамандығы студенттеріне арналған оқу құралы)</t>
  </si>
  <si>
    <t>Оқу құралы мемлекеттік жалпыға міндетті білім беру стандартына, оқу бағдарламасына сәйкес жасалынған және тәжірибелік тапсырмаларын орындауға қажетті барлық мәліметтерді қамтиды.
 Оқу құралының негізгі міндеттері - студенттердің көркемдік таным, талғамның қалыптасуына ықпал жасау, пәннің арнаулы талдау әдістерін қалыптастыру, студенттердің кәсіптік шеберлігін дамыту және өз пікірін көркемдік түрде көрсету қабілеттерін дамыту.
 Оқу құралы 5В041300 – Кескіндеме студенттеріне арналған.</t>
  </si>
  <si>
    <t>0001673</t>
  </si>
  <si>
    <t>Буркитбаев Т.С., Кунжигитова Г.Б., Тен В.Г.</t>
  </si>
  <si>
    <t>Цветоведение. (для студентов специальности 5В041300-Живопись)</t>
  </si>
  <si>
    <t>Учебное пособие посвящено научно-теоретическому обоснованию содержания дисциплины «Цветоведение». Главное внимания уделяется основным принципам гармонизации цвета, выделены основные закономерности восприятия цвета, выявлена его специфика и определена взаимосвязь с практическим применением колористических знаний. 
 Учебное пособие предназначено для студентов специальности 5В041300-Живопись.</t>
  </si>
  <si>
    <t>0001674</t>
  </si>
  <si>
    <t>Буркитбаев Т.С., Кунжигитова Г.Б., Тен В.Г., Агадилова Ж.М.,</t>
  </si>
  <si>
    <t>Цветоведение. Конспект лекций (для студентов специальности 5В041300-Живопись</t>
  </si>
  <si>
    <t>«Академический рисунок-ІІ» - являются основной всего учебного процесса на 1 курсе специальности 5В041300- Живопись. Обучение рисунку включает в себя историю и теорию рисунка, перспективу, конструтивную пластику, пластическую анатомию и законы передачи объема при помощи разных тоновых и линейных техник.
  В Конспект лекций включены моменты выработки у студентов объемно- пространственного восприятия натуры через линию и штрих, который служат выражению не только формы, экспрессии, но и включают моменты духовности. Умение рисовать с натуры, по памяти, по представлению очень важно для композиционных решений замысла художника.
  Конспект лекций предназначено для студентов специальности 5В041300- Живопись.</t>
  </si>
  <si>
    <t>0001675</t>
  </si>
  <si>
    <t>Бурлаков Л.Н, Жамкеева М.К., Уажанов М.У.</t>
  </si>
  <si>
    <t>Учебное пособие подготовлено для студентов и магистрантов, обучающихся по специальностям «Государственное и местное управление», «Менеджмент».
 Объектом внимания авторов стали вопросы целенаправленного, организующего и регулирующего воздействия государства в целом и его территориальных органов на общественные процессы, отношения и деятельность людей.
 В данной работе также дан анализ нынешней государственной политики и процессам государственного и местного управления, концепциям и принципам государственного управления и самоуправления, роли и месту органов государственной власти в управлении экономическими процессами, а также вопросам современной государственной службы, проблемам становления и развития местного государственного управления и самоуправления.</t>
  </si>
  <si>
    <t>0001676</t>
  </si>
  <si>
    <t>Бурлаков Л.Н., Жамкеева М.Қ., Нүркенова М.Ж., Таңсықбаева Г.Ө., Жалмұханова С.Ж.</t>
  </si>
  <si>
    <t>Мемлекеттік және жергілікті басқару</t>
  </si>
  <si>
    <t>Оқу құралы «Мемлекеттік және жергілікті басқару» мамандығы бойынша оқытылатын магистранттар мен докторанттар үшін әзірленді. Автордың баса назар аударғаны жалпы мемлекеттің және оның аумақтық органдарының қоғамдық процесстерге, қатынастарға және адамдардың қызметіне мақсатты, ұйымдасқан және реттеуші ықпалы мәселелері болды. Осы жұмыста қазіргі мемлекеттік саясатқа және мемлекеттік және жергілікті басқару процесстеріне, мемлекеттік басқару және өзін-өзі басқарудың концепциялары мен принциптеріне, экономикалық процесстерді басқарудағы мемлекеттік билік органдарының ролі және орнына, сондай-ақ заманауи мемлекеттік қызметке, мемлекеттік басқару және өзін-өзі басқарудың қалыптасу және даму проблемаларына талдау жасалады.</t>
  </si>
  <si>
    <t>0001677</t>
  </si>
  <si>
    <t>Бурмистрова В.А.</t>
  </si>
  <si>
    <t>WORKBOOK ON THE PROFESSIONAL-ORIENTED ENGLISH LANGUAGE FOR THE STUDENTS OF THE SPECOALTY "PUBLIC HEALTHCARE"</t>
  </si>
  <si>
    <t>The workbook on the professional-oriented English language is intended both for the students of the Kazakh language of education and for the students of the Russian language of education of the specialty “Public healthcare”. It includes texts, exercises, and tasks contributing to the development of the skills of oral and written communication. Grammar exercises give the opportunity for the revision of English grammar structures.</t>
  </si>
  <si>
    <t>0001678</t>
  </si>
  <si>
    <t>Бурунбетова К.К.</t>
  </si>
  <si>
    <t>Генетика негіздері</t>
  </si>
  <si>
    <t>Оқулық генетикадағы тұқым қуалаудың негізгі заңдылықтары, тұқым қуалаушылық пен өзгергіштікті зерттеудің әдістері, тұқым қуудың цитологиялық негізі, гаметогенез, генетиканың негізгі заңдары мен заңдылықтары, ажырау кезінде әдеттегі сандық қатынастардың ауытқулары, гендердің өзара әрекеттесуі, жыныс генетикасы, тұқым қуалаудың хромосомалық теориясы, өзгергіштік, адам генетикасы, медициналық генетика, адам қан топтарының тұқым қуалауы мен популяциялық генетика мәселелері сынды генетиканың классикалық тақырыптары қарастырады. Г.Мендель және Т.Морган заңдылықтары бойынша генетикалық есептерді шығару жолдары мен білімді тексеруге арналған тест тапсырмалары берілген.
 Жоғары оқу орындарының биология, экология мамандықтары студенттері, магистранттары мен оқытушыларына және мектеп мұғалімдері мен оқушыларына арналған.</t>
  </si>
  <si>
    <t>0001679</t>
  </si>
  <si>
    <t>Бурцева Т.И., Ребезов М.Б., Асенова Б.К., Стадникова С.В.</t>
  </si>
  <si>
    <t>Развитие технологий функциональных и специализированных продуктов питания животного происхождения</t>
  </si>
  <si>
    <t>В учебном пособии освещаются основные характеристики и составляющих функциональных и специализированных продуктов питания; описаны подходы, используемые при их создании продуктов питания животного происхождения; обосновывается использование продовольственного сырья, пищевых добавок и методов обработки при создании функциональных и специализированных продуктов.
 Данное учебное пособие предназначено для магистрантов дневной и заочной форм обучения по направлениям: продукты питания животного происхождения, технология продовольственных продуктов; технология перерабатывающих производств; пищевая безопасность.</t>
  </si>
  <si>
    <t>0001680</t>
  </si>
  <si>
    <t>Бусурманов Ж.Д., Сактаганова И.С.</t>
  </si>
  <si>
    <t>Евразийская концепция прав человека</t>
  </si>
  <si>
    <t>Настоящее исследование затрагивает теоретические аспекты института омбудсмена в системе защиты прав человека, актуальные вопросы естественно-правовой и позитивистской концепции прав человека, генезис идеи прав человека в Казахстане, проблемы коллективных прав. Формационные и цивилизационные подходы к правам человека, основные тенденции современного развития института демократии и прав человека, проблемы взаимоотношения государства и личности.
 Учебное пособие адресовано широкой научной общественности, преподавателям, студентам и магистрантам высших учебных заведений, юристам-практикам, а также всем, кто интересуется проблемами евразийской концепции прав человека</t>
  </si>
  <si>
    <t>0001693</t>
  </si>
  <si>
    <t>Вавилов А.В., Елемес Д.Е., Сурашов Н.Т.</t>
  </si>
  <si>
    <t>Теория цвета и цветовоспроизведение</t>
  </si>
  <si>
    <t>0001694</t>
  </si>
  <si>
    <t>Вавилов А.В., Сурашов Н.Т.</t>
  </si>
  <si>
    <t>Технология формных процессов</t>
  </si>
  <si>
    <t>В учебном пособии приведены основные сведения по разновидностям формных процессов, методам изготовления печатных форм офсетной, глубокой, высокой, трафаретной и тампонной печати. Рассмотрены формные технологии в традиционных и цифровых допечатные процессы, системы «Компьютер – фотоформа» в различных видах печати, системы лазерной записи форм в печатных машинах. Подробно освещены вопросы повышение качества при изготовлении печатных форм.
 Учебное пособие предназначено для студентов вузов, обучающихся по специальности 5В072200 «Полиграфия» (бакалавриат), а также может быть полезно инженерам-технологам, работающим в полиграфии и в других отраслях, магистрантам, научным и инженерно-техническим работникам.</t>
  </si>
  <si>
    <t>0001695</t>
  </si>
  <si>
    <t>Вайскробова Е.С., Ребезов М.Б.</t>
  </si>
  <si>
    <t>Системы менеджмента безопасности пищевых продуктов</t>
  </si>
  <si>
    <t>В учебном пособии «Системы менеджмента безопасности пищевых продуктов» рассмотрены основы законодательства и стандартизации в пищевой промышленности: приведена краткая характеристика законов, регламентирующих качество и безопасность пищевых продуктов, представлены основные этапы технического регулирования, приведена общая характеристика нормативных документов, применяемых в пищевой промышленности. При рассмотрении состава стандартов на систему ХАССП уделено вниманию системе стандартов Комиссии Codex Alimentarius, основным положениям Регламента ЕС №852/2004 по гигиене пищевых продуктов, системы FSSC 22000, ГОСТ Р 51705.1-2001, ИСО 22000.
 Пособие предназначено для обучающихся всех уровней высшего образования по направлениям подготовки: 27.03.02 Управление качеством, 27.03.01 Стандартизация и метрология, 27.04.03 Системный анализ и управление, 27.04.04 Управление в технических системах. Пособие рекомендовано при изучении дисциплин: «Системы менеджмента безопасности пищевых продуктов», «Стандартизация, подтверждение соответствия и метрология», «Всеобщее управление качеством», «Правовые основы управления качеством», «Статистические методы в управлении качеством», «Статистические методы контроля и управления качеством». Информация, приведенная в пособии, будет полезна также инженерно-техническим и научным работникам, интересующимся вопросами обеспечения качества и контроля безопасности пищевых продуктов.
 Учебное пособие необходимо для реализации программ повышения квалификации и профессиональной переподготовки.</t>
  </si>
  <si>
    <t>0001697</t>
  </si>
  <si>
    <t>Валиханова Г.Ж.</t>
  </si>
  <si>
    <t>Биотехнология растений</t>
  </si>
  <si>
    <t>В книге изложены теоретические основы и методические принципы культивирования изолированных клеток, тканей, органов растений на искусственных питательных средах в асептических условиях. Метод культуры клеток рассматривается как основа биотехнологии растений – новой отрасли экспериментальной биологии, разрабатывающей технологию получения экономически важных веществ и создания высокопродуктивных сортов растений. Книга может служить основным учебником к спецкурсу «Биотехнология растений» и учебным пособием к общему курсу «Биотехнология», а также общих курсов физиологии растений, биохимии, цитологии, генетики и селекции растений. Учебник предназначается для студентов университетов, сельскохозяйственных и педагогических институтов, книга будет полезна для аспирантов, преподавателей, научных сотрудников. Этот учебник переиздан в силу спроса ВУЗов.</t>
  </si>
  <si>
    <t>0001698</t>
  </si>
  <si>
    <t>Вардиашвили Н.Н.</t>
  </si>
  <si>
    <t>Анализ данных и прогнозирование экономики (Руководство к решению задач по дисциплине для студентов экономических, технических, технологических специальностей.)</t>
  </si>
  <si>
    <t>Руководство к решению задач по дисциплине «Анализ данных и прогнози-рование экономики» включает в себя типовые задачи, задания для самостоя-тельной работы по разделам: Статистический и регрессионный анализ, Анализ и прогнозирование временных рядов, Многомерные методы статистического анализа. Предназначено для обучения студентов экономических специальностей решению экономико - статистических задач с использованием математико-статистических методов, моделей, современного программного обеспечения и информационных технологий. 
 Может быть использовано студентами технических, технологических спе-циальностей, преподавателями, магистрантами, диссертантами в учебной и научно-исследовательской работе, а также экономистами-практиками.</t>
  </si>
  <si>
    <t>0001699</t>
  </si>
  <si>
    <t>Руководство к решению задач математического программирования. 1 часть</t>
  </si>
  <si>
    <t>0001700</t>
  </si>
  <si>
    <t>Руководство к решению задач математического программирования. 2 часть</t>
  </si>
  <si>
    <t>0001701</t>
  </si>
  <si>
    <t>Руководство к решению задач математического программирования. 3 часть</t>
  </si>
  <si>
    <t>0001702</t>
  </si>
  <si>
    <t>Варивода А.А., Кенийз Н.В.,Ребезов М.Б., Прохасько Л.С.</t>
  </si>
  <si>
    <t>Особенности производства продуктов для детского питания</t>
  </si>
  <si>
    <t>В учебном пособии рассмотрены особенности детского питания, изучены требования, предъявляемые к качеству сырья и готовой продукции для питания детей и технологии производства данных продуктов питания. Особое внимание уделено организации питания детей различного возраста, а также при наличии некоторых видов патологий. Предназначено для студентов и специалистов. Учебное пособие необходимо для реализации программ повышения квалификации и профессиональной переподготовки.</t>
  </si>
  <si>
    <t>0001703</t>
  </si>
  <si>
    <t>Васильева Е.Н. (под редакцией Кагазбаевой А.К., Кусаинова Г.М.)</t>
  </si>
  <si>
    <t>Технология коллективного обучения: инновационная педагогическая деятельность</t>
  </si>
  <si>
    <t>В учебно-методическом пособии рассматриваются психолого-педагогические проблемы инновационной деятельности, вопросы профессионального развития учителя, раскрываются показатели его готовности к инновационной деятельности в условиях Школы-лаборатории, описывается учебно-методический и технологический инструментарий, в том числе некоторые аспекты применения сетевых компьютерных технологий на примере знаменитой школы №21 Красноярского края Российской Федерации. Пособие адресуется работникам сферы образования и науки, обучающимся гуманитарных колледжей, педагогических вузов и университетов.</t>
  </si>
  <si>
    <t>0001704</t>
  </si>
  <si>
    <t>Вахитова Л.В.</t>
  </si>
  <si>
    <t>Управление пассажирскими перевозками на железнодорожном транспорте</t>
  </si>
  <si>
    <t>ЖД, Механика. Транспорт</t>
  </si>
  <si>
    <t>0001706</t>
  </si>
  <si>
    <t>Веретенникова О.Б., Лашкарева О.В. Ростовцев К.В., Закирова Э.Р.</t>
  </si>
  <si>
    <t>Практикум по финансовому менеджменту</t>
  </si>
  <si>
    <t>Практикум по финансовому менеджменту для студентов высших учебных заведений экономических специальностей включает краткое описание основных тем практических занятий и материалы для контроля знаний студентов.
 Учебное пособие подготовлено согласно требованиям кредитной технологии обучения.</t>
  </si>
  <si>
    <t>0001708</t>
  </si>
  <si>
    <t>Вильданова Ф.Х., Вильданова М.Х., Ерденова А.К., Мухамедияров М.К.</t>
  </si>
  <si>
    <t>Матрицалар теориясынан дәрістер</t>
  </si>
  <si>
    <t>Бұл оқу құралында матрицалар теориясынан дәрістер келтірілген. 
 Оқу құралы «Матрицалық талдау» курсы бойынша «Математика» мамандығында оқитын студенттерге және матрицалық әдістерді қолданатын басқа да мамандықта оқитын студенттер мен магистранттарға, сондай-ақ, қолданба есептерді шешу үшін матрицалық әдістерді қолданушыларға арналған.</t>
  </si>
  <si>
    <t>0001709</t>
  </si>
  <si>
    <t>Волков В.Н.</t>
  </si>
  <si>
    <t>Курс лекций по технологии конструкционных материалов</t>
  </si>
  <si>
    <t>Рассмотрены основы производства черных и цветных металлов, литейного и сварочного производств, порошковой металлургии, неметаллических материалов, обработки материалов давлением и резанием на основе современных и перспективных технологических процессов.
  Предназначено для обучения студентов всех специальностей по ТКМ.</t>
  </si>
  <si>
    <t>0001710</t>
  </si>
  <si>
    <t>Материаловедение</t>
  </si>
  <si>
    <t>Рассмотрены вопросы кристаллического строения металлов, процессы пластической деформации и рекристаллизации на основе дислокационной концепции прочности. Приведены основные механические свойства материалов. Описаны диаграммы состояния фазы и структуры.
  Даны основы термической обработки сплавов. Рассмотрены углеродистые и большинство классов легированных сталей, чугунов, а также некоторые цветные металлы и их сплавы. Даны сведение о неметаллических материалах. 
  «Конспект лекции по материаловедению» предназначен для обучения студентов машиностроительных специальностей факультета «Машиностроение и транспорт» ВКГТУ.</t>
  </si>
  <si>
    <t>0001711</t>
  </si>
  <si>
    <t>Производство высокомарганцовой стали Г13Л</t>
  </si>
  <si>
    <t>0001712</t>
  </si>
  <si>
    <t>Производство стали и чугуна в электросталеплавильных печах</t>
  </si>
  <si>
    <t>0001713</t>
  </si>
  <si>
    <t>Волненко А.А.</t>
  </si>
  <si>
    <t>Дипломное проектирование для технических специальностей</t>
  </si>
  <si>
    <t>В учебном пособии содержатся основные требования к выпускной квалификационной работе по техническим специальностям и в частности по специальности 5В072400 – Технологические машины и оборудование. В данном учебном пособии систематизированы и изложены основные методические и организационные вопросы дипломного проектирования по техническим специальностям с учетом существующих нормативных документов, ГОСТов, иных справочных материалов. Приведены требования по оформлению и защите дипломного проекта.Учебное пособие окажет студентам необходимую помощь в ходе дипломного проектирования, особенно на завершающем его этапе. Навыки, полученные в ходе дипломного проектирования, будут полезны в будущем не только специалистам, которые будут работать в проектных организациях, но и инженерам, занимающимися эксплуатацией действующего оборудования.</t>
  </si>
  <si>
    <t>0001714</t>
  </si>
  <si>
    <t>Волненко А.А., Балабеков О.С.</t>
  </si>
  <si>
    <t>Расчет тепломассообменных и пылеулавливающих аппаратов со взвешенной и регулярной насадкой. Примеры и задачи</t>
  </si>
  <si>
    <t>Механика,</t>
  </si>
  <si>
    <t>В учебном пособии обобщены теоретические и практические результаты исследований перспективных массообменных и пылеулавливающих контактных устройств с подвижной и регулярной насадкой. Рассмотрены основные методы интенсификации массообменных процессов и процессов пылеулавливания, гидродинамические и кинетические закономерности взаимодействия фаз в контактных устройствах, расчетные уравнения, практические рекомендации по проектированию и эксплуатации отдельных конструкций, даны примеры расчетов и задания для проведения самостоятельных расчетов.
 Учебное пособие рассчитано на бакалавров, магистрантов и докторантов PhD механических и химико-технологических специальностей. Она может быть полезна научным и инженерно-техническим работникам химической, нефтехимической и нефтеперерабатывающей отраслей промышленности, предприятий стройиндустрии.</t>
  </si>
  <si>
    <t>0001715</t>
  </si>
  <si>
    <t>Волненко А.А., Сейтханов Н.Т., Күмісбеков С.А., Пазилова Г.Д.</t>
  </si>
  <si>
    <t>Техникалық мамандықтар үшін дипломдық жобалау</t>
  </si>
  <si>
    <t>Оқу құралдарында техникалық мамандықтарды тәмамдау квалификациялық жұмысына қойылған негізгі талаптар қарастырылған. Бұл оқу құралында қолданыстағы нормативтік құжаттар, мемлекеттік стандарттар мен басқа да анықтамалық материалдарды ескере отырып техникалық мамандықтар бойынша дипломдық жобалаудың негізгі әдістемелік және ұйымдастырушы мәселелері сонымен қатар рәсімдеу және қолдау бойынша талаптар жүйелендіріліп келтірілген. Оқу құралы дипломдық жобалау барысында, атап айтқанда оның аяқтау кезеңінде студенттерге қажетті көмек көрсетеді. Дипломдық жобалау барысында алған тәлім тек жобалаушы мекемелерде жұмыс істеуші инженер мамандарға ғана емес, сондай-ақ қолданыстағы жабдықтарды пайдаланумен айналысушы инженерлерге де пайдалы бола алады.</t>
  </si>
  <si>
    <t>0001718</t>
  </si>
  <si>
    <t>Выдрин Е.Н.</t>
  </si>
  <si>
    <t>Лыжные виды спорта</t>
  </si>
  <si>
    <t>0001719</t>
  </si>
  <si>
    <t>Высоцкая Н.А., Кабылбекова Б.Н.</t>
  </si>
  <si>
    <t>Наноинструменты и нанотехнологии</t>
  </si>
  <si>
    <t>0001742</t>
  </si>
  <si>
    <t>Габдулина Б.А.</t>
  </si>
  <si>
    <t>Саяси әлеуметтану</t>
  </si>
  <si>
    <t>«Саяси әлеуметтану» пәні саясаттану мен әлеуметтанудың өзіндік синтезі болып табылады. Ол саясаттануға қарағанда, қоғамның түрлі топтарының арасындағы билік үшін күреске, әлеуметтік шиеленістерге және әлеуметтік өзгерістерге, саясаттың астарына мейлінше назар аударады. Саяси әлеуметтану макроәлеуметтік және микроәлеуметтік деңгейдегі саяси институттар мен процестердің әлеуметтік контексін зерттейді. Оның макродеңгейдегі негізгі мақсаты – биліктің және әлеуметтік шиеленістердің әлеуметтік табиғатын, оның адамдар мінез-құлқынан көрініс табуын және саяси инситуттарға ықпалын, сондай-ақ, керісінше, аталған процестердің әлеуметтік шындыққа әсерін зерттейді. Оқу құралы «5В050200 - Саясаттану» мамандығы бойынша білім алушыларға арналған.</t>
  </si>
  <si>
    <t>0001745</t>
  </si>
  <si>
    <t>Габитов Т.Х.</t>
  </si>
  <si>
    <t>Основы философии</t>
  </si>
  <si>
    <t>0001746</t>
  </si>
  <si>
    <t>История казахской культуры</t>
  </si>
  <si>
    <t>культурология</t>
  </si>
  <si>
    <t>Предназначен для студентов всех форм обучения высших учебных заведений и колледжей и учащимся срених учебных заведений республики В книге рассмотрена теория и история казахской культуры. Работа написана на основе адаптации достижений мировой и казахстанской культурологической мысли применительно к Республике Казахстан для анализа современных социокультурных реалий. В книге учтен опыт преподавания культурологии в Республике Казахстан. Для преподавателей и студентов высших учебных заведений и колледжей, а также для тех, кто интересуется проблемами культуры.</t>
  </si>
  <si>
    <t>0001747</t>
  </si>
  <si>
    <t>Габитов Т.Х. /Gabitov Tursun /</t>
  </si>
  <si>
    <t>Kazakh culture challenges</t>
  </si>
  <si>
    <t>Book</t>
  </si>
  <si>
    <t>The book represents the results of a study of archetypes, chtonotypes, mental causes and symbols of Kazakh culture presented by Ph.D., professor Tursun Gabitov and his students. The main thesis of scientific papers were presented on different international conferences.</t>
  </si>
  <si>
    <t>0001748</t>
  </si>
  <si>
    <t>Габитов Т.Х. /Ғабитов Т.Х./</t>
  </si>
  <si>
    <t>Қазақ мәдениетінің тарихы</t>
  </si>
  <si>
    <t>Барлық оқу формаларындағы «5В020400 – Мәдениеттану» мамандығы бойынша студенттерге оқулық ретінде ҚР БҒМ баспаға ұсынған. Оқулықта қазақ мәдениетінің рухани, этикалық, діни және әлеуметтік құндылықтарына, олардың тарихи дәуірлер арасын жалғастырушы сабақтастық рөліне және тәуелсіз Қазақстан мәдениетінің бүгіні мен болашағына феноменологиялық, тарихи және мәтiндiк талдау жасалады. Оқулықтың негізін аталмыш мәселеге қатысты тың ғылыми зерттеулер құрады, сонымен қатар Қазақстан мәдениетінің қазіргі жаһандану кеңістігіндегі инновациялық үрдістеріне сараптау беріледі. 
 Оқулық мәдениеттану мамандағының бакалаврлары, магистрлері мен докторанттарына және қазақ мәдениетіне қызығушылық танытатын оқырман қауымға арналған.</t>
  </si>
  <si>
    <t>0001749</t>
  </si>
  <si>
    <t>Ғабитов Т.Х. /Габитов/</t>
  </si>
  <si>
    <t>Философия 1 том</t>
  </si>
  <si>
    <t>Ұсынылып отырған оқулықта философиялық білім негіздері қазіргі қазақстандық қоғамның рухани-ділдік ерекшеліктері ескеріле отырып мазмұндалған. Тарихи-философиялық мәтінге қазақ философиясының ұғымдары мен қағидаттары енгізілді. Онтология, аксиология, әлеуметтік және мораль философиясының негіздері отандық философиялық әдебиетте алғашқылардың бірі болып жарияланып отыр. Оқулық Қазақстан Республикасы Білім және ғылым министрлігі бекіткен типтік бағдарламаға сәйкес жазылған және кредиттік оқыту жүйесі талаптары ескертілген. Оқулық гуманитарлық ғылымдар мамандықтары бойынша ҚР жоғары оқу орындары мен колледж студенттеріне арналған</t>
  </si>
  <si>
    <t>0001750</t>
  </si>
  <si>
    <t>Философия 2 том</t>
  </si>
  <si>
    <t>0001751</t>
  </si>
  <si>
    <t>Габов Ю.А.</t>
  </si>
  <si>
    <t>Вещественный состав послеплутонических даек северной части Балхашского сегмента земной коры 1 том</t>
  </si>
  <si>
    <t>сборник анализов</t>
  </si>
  <si>
    <t>Сборник содержит уникальный материал о вещественном составе послеплутонических даек Северного и Центрального Казахстана (1000 полных силикатных анализа, 949 количественных химических и спектральных анализов на 16 малых элементов, 1479 количественно-минеральных подсчетов в шлифах) и данные о составе акцессорных минералов в 558 искусственных протолоках из даек. Сведения о некоторых экзотических типах даек приведены впервые. Данные, приведенные в сборнике, характеризуют все типы послеплутонических даек на указанной территории и представляют собой результаты более 20-летних исследований.Рассмотрены вопросы классификации и номенклатуры даек и обсуждены результаты изучения дифференции в них. Впервые на обширном материале сделана попытка установления зависимости содержаний элементов-примесей в дайках от мощности. Рассчитаны средние составы различных типов даек. Сборник, несомненно, будет представлять большой интерес для специалистов, занимающихся петрологией, геохимией и металлогенией в Казахстане.</t>
  </si>
  <si>
    <t>0001752</t>
  </si>
  <si>
    <t>Вещественный состав послеплутонических даек северной части Балхашского сегмента земной коры 2 том</t>
  </si>
  <si>
    <t>0001753</t>
  </si>
  <si>
    <t>Габов Ю.А., Казкенов К.М., Кист В.Э.</t>
  </si>
  <si>
    <t>Молодежь и наркотики</t>
  </si>
  <si>
    <t>В монографии охарактеризованы пути распространения наркотиков среди молодежи и подростков, причины их употребления и последствия для общества и личности, основные тенденции распространения наркомании в Казахстане, различные аспекты профилактики молодежных и подростковых наркоманий с учетом отечественного и зарубежного опыта и т.д. Приводятся результаты оригинальных социологических исследований авторов в Карагандинском регионе РК(1500 чел. опрошенных) и данные из ранее не опубликованных архивов авторов. Материалы монографии представляют интерес для родителей, политиков, специалистов, занимающихся вопросами наркомании, социологов, социологов, учителей и преподавателей вузов и могут быть использованы как современное справочное пособие.</t>
  </si>
  <si>
    <t>0001754</t>
  </si>
  <si>
    <t>Габов Ю.А., Кист В.Э.</t>
  </si>
  <si>
    <t>Власть, общество, СМИ. 1 том</t>
  </si>
  <si>
    <t>В предлагаемой авторами монографии проанализированы условия, формы, методы и способы взаимодействия общества, СМИ и властных структур на примере государств СНГ с транзитным типом экономики. Рассмотрены различные, в том числе этические, аспекты обеспечения свободы слова в обществах переходного типа, а также некоторые специфические проблемы становления современной журналистики. Авторы надеются, что книга может представить интерес для студентов факультетов журналистики и широкого круга читателей, интересующихся проблемами демократизации общества в СНГ и Казахстане.</t>
  </si>
  <si>
    <t>0001755</t>
  </si>
  <si>
    <t>Власть, общество, СМИ. 2 том</t>
  </si>
  <si>
    <t>0001756</t>
  </si>
  <si>
    <t>Восточный Казахстан: проблемы и решения</t>
  </si>
  <si>
    <t>Авторами выполнен анализ экологической ситуации в техногенном регионе Восточного Казахстана. Рассмотрены качественные и количественные показатели загрязнения различных компонентов окружающей среды в связи с медицинской статистикой заболеваемости населения, в том числе рабочих отрасли цветной металлургии. Выявленные факторы загрязнения окружающей среды накладываются на существующую естественную биогеохимическую провинцию с аномальным набором биологически активных веществ и микроэлементов. Дана оценка состояния проблемы накопления, утилизации и обезвреживания отходов металлургической промышленности ВКО, а также возможности эффективной переработки ТБО. Приводятся новые данные о радиационной обстановке на территории Восточного Казахстана. В работе получили отражение также некоторые аспекты социального и экономического развития ВКО (в сравнении с другими регионами). Книга продолжает цикл экологических публикаций авторов и включает обширный материал, позволяющий читателю составить свое полное представление о реальной экологической ситуации региона</t>
  </si>
  <si>
    <t>0001757</t>
  </si>
  <si>
    <t>Зеркало казахстанской коррупции 1 том</t>
  </si>
  <si>
    <t>В представленной монографии впервые сделана попытка отразить более или менее полную картину разрастания коррупции в различных сферах деятельности за длительный период времени, показать не только ее причины и глубинные корни, но и специфические особенности, свойственные именно Казахстану и другим странам СНГ. Впервые в более полном объеме проанализированы конкретные результаты многолетнего противостояния коррупции и подведены реальные итоги усилий властных структур по ее ограничению. В книге рассмотрены международные коррупционные стратегии и успехи отдельных стран в ограничении коррупционных аппетитов государственных чиновников и представителей промышленно-финансовых корпораций. Приводится сопоставление оценок уровня, масштабов и интенсивности коррупции в Казахстане, полученные из разных источников, а также сделаны выводы о причинах более чем скромных результатов в борьбе с этим социальным злом. В итоге на основании анализа приведенных в книге материалов и изучения международного опыта по противодействию коррупции предлагаются относительно малозатратные и эффективные способы ее реального ограничения, которые могут быть осуществлены в сравнительно сжатые сроки при наличии целеустремленной политической воли и поддержке гражданского общества. По мысли авторов, дело не в количестве принятых законов, указов, постановлений и кодексов, а в их неуклонном исполнении в условиях максимального содействия всех общественных структур и организаций.</t>
  </si>
  <si>
    <t>00013134</t>
  </si>
  <si>
    <t>ISBN 978-601-310-700-4</t>
  </si>
  <si>
    <t xml:space="preserve">Зеркало казахстанской коррупции 2 том </t>
  </si>
  <si>
    <t>00013135</t>
  </si>
  <si>
    <t>Зеркало казахстанской коррупции 3 том</t>
  </si>
  <si>
    <t>0001759</t>
  </si>
  <si>
    <t>Уроки антитеррора 1 том</t>
  </si>
  <si>
    <t>Авторы рассмотрели в монографии стратегию и тактику антитеррора в современных условиях. Ими проанализированы ошибки в действиях антитеррористических служб, отмечены новые тенденции в развитии террористической международной деятельности, связанные с техническим прогрессом и глобализацией. При этом использовались обширные аналитические материалы и сделана попытка обобщить отечественный и зарубежный опыт государственных структур и спецслужб по пресечению фактов террора. Отдельно была рассмотрена проблема заложников и некоторые психологические и идеологические аспекты терроризма и контртерроризма. Авторы впервые поставили цель – выйти за пределы прямого «технологического» анализа и показать более широкое понимание ситуации, рассмотреть проблемы террора и антитеррора в контексте конкретных социокультурных и политических условий. Книга предназначена для студентов и специалистов, занимающихся изучением проблем антитеррора.</t>
  </si>
  <si>
    <t>0001760</t>
  </si>
  <si>
    <t>Уроки антитеррора 2 том</t>
  </si>
  <si>
    <t>0001761</t>
  </si>
  <si>
    <t>Габов Ю.А., Кист В.Э.,</t>
  </si>
  <si>
    <t>Западный Казахстан: перспективы, проблемы и решения 1 том</t>
  </si>
  <si>
    <t>Монография представляет собой завершающий труд шеститомного исследования проблем региональной экологии Республики Казахстан. В ней содержится комплексный анализ экологической и социально-экономической ситуации в регионе Западного Казахстана, оценен уровень загрязнения окружающей среды и связь с ним заболеваемости местного населения. В частности, рассмотрены перспективы деструкции в продуктивности Северного Каспия в связи с ростом добычи углеводородного сырья. Отраслевые эколого-производственные проблемы отдельных предприятий региона оценены с точки зрения возможности повышения эффективности и безопасности функционирования нефтегазовой и других отраслей промышленности. Дан анализ социально-экономической обстановки в предкризисный период, энергоэффективности и энергоемкости ВВП, корпоративной социальной ответственности предприятий и государственной политики в сфере решения эколого-социальных проблем региона.</t>
  </si>
  <si>
    <t>0001762</t>
  </si>
  <si>
    <t>Западный Казахстан: перспективы, проблемы и решения 2 том</t>
  </si>
  <si>
    <t>0001763</t>
  </si>
  <si>
    <t>Габов Ю.А., Кист В.Э., Бекмагамбетов Б.И., Хамзин Б.С.</t>
  </si>
  <si>
    <t>Северный Казахстан: проблемы и решения</t>
  </si>
  <si>
    <t>Авторами произведена комплексная экологическая оценка показателей и факторов загрязнения окружающей среды Северного Казахстана и показана их связь с состоянием здоровья населения региона. Сделан ряд предложений по оптимизации экологической политики в области управления отходами производства, взаимоотношениями государства с общественными экологическими организациями и относительно регулирования деятельности ТНК. Представленная монография является частью многотомного труда по региональной экологии Казахстана и может быть использована студентами, преподавателями, сотрудниками экологических НПО в качестве информационно-справочного пособия. Представленные в монографии материалы охватывают период до 2008 г. Данная работа посвящается 60-летию геологической службы Северного Казахстана</t>
  </si>
  <si>
    <t>0001764</t>
  </si>
  <si>
    <t>Габов Ю.А., Кист В.Э., Казкенов К.М.</t>
  </si>
  <si>
    <t>Истоки, цели, идеи и формы глобального терроризма</t>
  </si>
  <si>
    <t>0001765</t>
  </si>
  <si>
    <t>Миграционные потоки и национальный консенсус. 1 том</t>
  </si>
  <si>
    <t>0001766</t>
  </si>
  <si>
    <t>Миграционные потоки и национальный консенсус. 2 том</t>
  </si>
  <si>
    <t>0001767</t>
  </si>
  <si>
    <t>Мир власти, избирательных систем и технологий (Историческая ретроспектива) 1 том</t>
  </si>
  <si>
    <t>0001768</t>
  </si>
  <si>
    <t>Мир власти, избирательных систем и технологий (Историческая ретроспектива) 2 том</t>
  </si>
  <si>
    <t>0001769</t>
  </si>
  <si>
    <t>Организованная преступность и коррупция в Казахстане. 1 том</t>
  </si>
  <si>
    <t>Исследуемая проблема является весьма актуальной для нашей страны. По мнению авторов, этапы становления организованной преступности и коррупции в значительной степени определяются социально-экономическими процессами, происходящими в Казахстане и других странах СНГ. В монографии, наряду с анализом ситуации, высказываются рекомендации и предложения авторов по данной теме.Авторы надеются, что предлагаемая книга может стать полезным дополнительным пособием для студентов гуманитарных и юридических учебных заведений, а также всех лиц, профессионально интересующихся проблемой организованной преступности и оптимальными мерами по ограничению коррупции и организованной преступности в РК.</t>
  </si>
  <si>
    <t>0001770</t>
  </si>
  <si>
    <t>Организованная преступность и коррупция в Казахстане. 2 том</t>
  </si>
  <si>
    <t>0001771</t>
  </si>
  <si>
    <t>Тоталитарные секты и нетрадиционные культы 1 том</t>
  </si>
  <si>
    <t>Являясь убежденными сторонниками укрепления гражданского мира в государстве и сотрудничества со всеми, в том числе и религиозными организациями в построении демократического общества, авторы пытаются обосновать необходимость усиления государственного контроля за деятельностью деструктивных и тоталитарных сект. Эти образования, как и некоторые нетрадиционные культы, применяют в своей религиозной практике введение адептов в состояние измененного сознания, психотропные средства, депривацию сна и пищи, а иногда, даже наркотики. При этом явно нарушаются права человека, его право на свободный выбор. Некоторые и тоталитарные секты и ряд нетрадиционных культов в значительной степени политизированы и коммерциализированы, они настойчиво ищут «подходы» к властным, банковским и бизнес-структурам. Но особенно опасно их влияние на молодежь и детей, попытки проникнуть в школы и университеты, в преподавательский корпус и студенческую среду. По мнению авторов, государство должно четко дистанцироваться от таких религиозных образований и ввести в отношении них ограничительное законодательство</t>
  </si>
  <si>
    <t>0001772</t>
  </si>
  <si>
    <t>Тоталитарные секты и нетрадиционные культы 2 том</t>
  </si>
  <si>
    <t>0001774</t>
  </si>
  <si>
    <t>Габов Ю.А., Кист В.Э., Казкенов К.М., Жуманбаева Г.К., Габов С.Ю.</t>
  </si>
  <si>
    <t>Экология интеллекта 2 том</t>
  </si>
  <si>
    <t>В монографии рассмотрены структуры, механизмы и функции мозга и их связь с интеллектом, а также организация высших психических функций (восприятие и внимание, мышление, память, эмоции, творчество), проблемы нейропластичности мозга в когнитивных процессах и созревания интеллекта в онтогенезе. Все эти процессы и функции показаны в связи с влиянием различных внешних и внутренних факторов, в том числе и среды обитания. При этом отдельно представлены воздействия физических, химических и социальных факторов на работоспособность мозга и интеллектуальные возможности человека. В целом в данной работе обобщены исследования различных школ западных и российских ученых за последние 20-25 лет (до 2014 г.), что может представлять интерес для студентов и преподавателей медицинских вузов и биологических факультетов университетов. В связи со сложностью изучаемой проблемы авторы были вынуждены использовать многие понятия и термины из нейробиологии, нейропсихофизиологии, нейрохимии, нейродинамики и нейрогенетики, нейрорадиобиологии и даже нейрокибернетики, но старались по возможности изложить материал доступным языком. Для удобства к монографии прилагается обширный глоссарий.</t>
  </si>
  <si>
    <t>0001775</t>
  </si>
  <si>
    <t>Габов Ю.А., Кист В.Э., Погосян Г.П., Габов С.Ю.</t>
  </si>
  <si>
    <t>Продовольственная и лекарственная безопасность Казахстана 1 том</t>
  </si>
  <si>
    <t>Монография является естественным продолжением семитомника авторов, посвященного проблемам региональной экологии Казахстана (см. список литературы). В ней рассмотрены тенденции, перспективы и реальное состояние продовольственной и лекарственной безопасности РК за весь период суверенизации республики, рынка продовольственных и лекарственных товаров и степень обеспечения ими населения РК. В книге приводится информация об энергетической обеспеченности сельскохозяйственной отрасли РК, о кластеризации и инновационном обновлении АПК и пищевой индустрии, дается оценка фармацевтического рынка Казахстана, проблем фальсификации лекарственных средств и побочных осложнений от использования некачественных продуктов, лекарств и вакцин. Отмечены также криминологические и уголовно-правовые аспекты в сфере оборота лекарственных средств, содержащих НПП. Монография предназначена для студентов и преподавателей казахстанских вузов и колледжей, а также для управленцев различного уровня.</t>
  </si>
  <si>
    <t>0001776</t>
  </si>
  <si>
    <t>Продовольственная и лекарственная безопасность Казахстана 2 том</t>
  </si>
  <si>
    <t>0001777</t>
  </si>
  <si>
    <t>Габов Ю.А., Кист В.Э., Хамзин Б.С., Обухов Ю.Д., Смагулов Б.А.</t>
  </si>
  <si>
    <t>Центральный Казахстан: проблемы и решения</t>
  </si>
  <si>
    <t>В монографии рассмотрены проблемы устойчивости развития Центрального региона Казахстана в связи с бурным ростом сырьевого сектора и промышленных комплексов на его территории. В работе дается оценка деятельности транснациональных корпораций и естественных монополий, а также получили отражение некоторые аспекты социально-экономического развития региона, тормозящие демократические преобразования в стране. Как показал анализ деятельности ТНК, они не обеспечивают решение проблемы утилизации и переработки отходов производства на базе высоких технологий. Предлагаемый в работе материал охватывает период до 2007 г.</t>
  </si>
  <si>
    <t>0001778</t>
  </si>
  <si>
    <t>Габов Ю.А., Кист В.Э., Хамзин Б.С.,Бекишев К.Б.</t>
  </si>
  <si>
    <t>Эколого-социальные проблемы Южного Казахстана и пути их решения</t>
  </si>
  <si>
    <t>В монографии рассматриваются некоторые важные проблемы Южного региона Казахстана (Кызылординская, Южно-Казахстанская, Жамбылская, Алматинская области). Главное внимание уделено рассмотрению сложного комплекса экологических, экономических, социальных и иных проблем, связанных с экологическим кризисом в Приаралье, так как они затрагивают не только Южный регион РК, но и страну в целом, всю Центральную Азию и всё более приобретают глобальный характер. Пока международное сообщество, признавая глобальный характер Аральской экологической катастрофы, оказывает помощь преимущественно на уровне финансирования отдельных пилотных проектов. А между тем экологическая ситуация в республике за последние 12-15 лет продолжает резко ухудшаться, что негативно отражается на здоровье и благосостоянии каазахстанцев</t>
  </si>
  <si>
    <t>0001779</t>
  </si>
  <si>
    <t>Габов Ю.А., Кист. В.Э.</t>
  </si>
  <si>
    <t>Отходы Казахстана и проблемы их утилизации. 1-том</t>
  </si>
  <si>
    <t>В предлагаемой читателям книге содержится обширная информация о масштабах и составе загрязнений различных природных сред РК, а также о количестве и объеме разнообразных по составу отходов, степени их переработки и утилизации в период с середины 90-х годов до 2016 г. Материал размещен таким образом, что позволяет отследить те изменения и новации, которые произошли в указанный период во всех регионах РК, отдельных областях и городах, а также отражает деятельность наиболее крупных предприятий, сырьевых ТНК и изменения экологической ситуации в Казахстане. По ходу изложения материала авторы использовали опыт и оценки многих ведущих ученых, производственников и исследователей (более 800 источников) и давали собственные комментарии. Изложение информации дается в рамках пяти крупных регионов Казахстана – Северного, Центрального, Западного, Восточного и Южного, каждый из которых имеет свою геохимическую и экологическую специфику. Данная книга является завершением цикла из 10 томов, посвященных проблемам экологической безопасности РК. Она предназначена для широкого круга читателей: ученых и студентов, управленцев различного уровня и для любых граждан, интересующихся вопросами экологии и экологической безопасности, в первую очередь, в районе своего местообитания. Авторы полагали, что такой интерес к собственному здоровью и безопасности свойственен всем людям. И авторы старались честно и бескомпромиссно проинформировать читателей об этом.</t>
  </si>
  <si>
    <t>0001781</t>
  </si>
  <si>
    <t>Отходы Казахстана и проблемы их утилизации. 3-том</t>
  </si>
  <si>
    <t>0001782</t>
  </si>
  <si>
    <t>Гаглоева Т.Ю.</t>
  </si>
  <si>
    <t>Методическое руководство по музыкальному инструменту (фортепиано)</t>
  </si>
  <si>
    <t>Предназначается для педагогов и студентов кафедры КДР музыкальных факультетов педагогических ВУЗов</t>
  </si>
  <si>
    <t>0001783</t>
  </si>
  <si>
    <t>Газалиев А.М., Бакибаев А.А., Кабиева С.К.</t>
  </si>
  <si>
    <t>Стандартизация, метрология и сертификация в химической технологии</t>
  </si>
  <si>
    <t>0001785</t>
  </si>
  <si>
    <t>Газдиева Б.А., Жакупова А.Д., Жумагулова О.А., Каирбекова И.С., Мукашева А.О., Сагындыкова Ж.О., Тлеубердина Г.Т.</t>
  </si>
  <si>
    <t>Мотивационно-сопоставительный словарь наименований растений и птиц</t>
  </si>
  <si>
    <t>В словарь вошло более 200 мотивированных наименований растений и птиц казахского и русского языков. Составлению словаря предшествовало проведение широкомасштабного направленного психолингвистического эксперимента.
 Предназначение словаря – раскрыть специфические уникальные концепты мира природы, доминирующие в сознании представителей казахского этноса, показать их особенности в сопоставлении с образами русской лингвокультуры.
  Для филологов, переводчиков, любителей словесности.</t>
  </si>
  <si>
    <t>0001788</t>
  </si>
  <si>
    <t>Галиева А.Н.</t>
  </si>
  <si>
    <t>Мектеп жасына дейінгі балалардың тілін дамыту әдістемесі</t>
  </si>
  <si>
    <t>Мектеп жасына дейінгі балалардың тілін дамыту әдістемесі келешек жас ұрпақты жан-жақты тәрбиелеу ғылымы. Балалардың сөйлеу тілін, олардың сөздерді және сөйлемдерді байланыстыра сөйлеуіне, грамматикалық формаларды дұрыс қолдануға, сондай-ақ, тілдің дыбыстық мәдинетін тәрбиелеуге баулиды. Осындай міндеттерді қарастыра отырып, болашақ маман кадрларға жоғары білім бере отырып, мектеп жасына дейінгі балалардың тілін дамытудың әдіс-тәсілдері мен жолдарын үйретеді. Олардың тілін дамыту жүктемесінің мазмұнын, мақсаттарын қарастырады. Студенттердің теориялық білімдерін практикамен байланыста жүргізу мақсатын көздейді.
 «Мектепке жасына дейінгі балалардың тілін дамыту әдістемесі» курсы студенттердің, магистранттардың кәсіптік функцияларын біліктіліпен орындауды қамтамасыз етеді.
 Оқу-әдістемелік құрал «Мектепке дейінгі оқыту және тәрбиелеу» мамандығының студенттеріне, магистранттарға, мектепке дейінгі ұйымдардың педагогикалық қызметкерлеріне әдістемелік көмек көрсету мақсатында әзірленген.</t>
  </si>
  <si>
    <t>0001790</t>
  </si>
  <si>
    <t>Қазақ әдебиетіндегі миф поэтикасы</t>
  </si>
  <si>
    <t>Миф – адам ойының алғашқы лабороториясы. Сондықтан болса керек, миф пен мифтік шығармашылыққа арналған әдебиет өте көп. Мифтің универсал қасиеті, синкреттілігі оны көптеген ғалымдармен байланыстырады. Мифті зерттеу объектісі етіп философия, психология, лингвистика, әдебиеттану, археология, антропология, өнертану, теология, логика, мәдениеттану т.с.с. ғылым салалары қарастырады. 
 Қазіргі қазақ әдебиеттану ғылымында шығарма құрылымындағы миф поэтикасы бүгінгі таңда аса мәнді де мағыналы зерттеу объектілерінің бірі. 
 Монографияда Ә.Тарази, Р.Сейсенбаев, Ә. Нұрпейісов, Ә. Кекілбаев, О. Бөкей романдарының құрылымындағы әрі мазмұндық, әрі формалық қызмет атқарып тұрған мифопоэтиканың көркемдік ерекшеліктерін, мифтік шығармашылықтың қазақ прозасында бұрыннан бар үзілмей келе жатқан көркемдік дәстүр сабақтастығы екендігін талдау арқылы ғылыми қорытындылар жасалады, мифтік шығармашылықтың қазіргі қазақ прозасының поэтикалық құрылымында атқаратын көркемдік аясын ашу арқылы қазақ әдебиетіндегі мифопоэтика мәселесі бағамдап, бағдарланады.
 Ұсынылып отырған монография салыстырмалы – типологиялық талдау, сипаттау әдістерін басшылыққа ала отырып мифті функционалдық поэтикалық категория, реалистік мазмұндағы көркемдік әдіс ретінде қарастырған, ал бұл оның қазақ әдебиеті тарихы мен теориясы үшін практикалық маңызының деңгейін көрсетпек.</t>
  </si>
  <si>
    <t>0001791</t>
  </si>
  <si>
    <t>Галиева З.А., Гафаров Ф.А., Ребезов М.Б., Долженкова Г.М., Нурымхан Г.Н.</t>
  </si>
  <si>
    <t>Технологии первичной переработки продуктов животноводства. Лабораторный практикум часть1</t>
  </si>
  <si>
    <t>В учебном пособии освещаются теоретические основы технологий первичной переработки продуктов животноводства; представлены рекомендации по выполнению лабораторных работ по технологии мяса и мясопродуктов. 
 Данное учебное пособие предназначено для бакалавров дневной и заочной форм обучения по направлениям: продукты питания животного происхождения, технология продовольственных продуктов; технология перерабатывающих производств.</t>
  </si>
  <si>
    <t>0001792</t>
  </si>
  <si>
    <t>Технологии первичной переработки продуктов животноводства. Лабораторный практикум часть2</t>
  </si>
  <si>
    <t>0001794</t>
  </si>
  <si>
    <t>Ганюкова А.А., Зенгин О., Калкабекова Ж.С.</t>
  </si>
  <si>
    <t>Английский язык для специальностей "Биотехнология", "Биология", "Экология"</t>
  </si>
  <si>
    <t>Учебно-методическое пособие «Английский язык для специальностей «Биотехнология», «Биология», «Экология»» включает в себя учебный материал по биологии, химии, экологии, генетике на английском языке, а также систему практических заданий, тестов и контрольных работ, способствующих последовательному и комплексному усвоению фундаментальных знаний с целью формирования профессионально-ориентированной, коммуникативной и языковой компетенций в данных областях. Материал предлагается в соответствии с требованиями типовой программы по дисциплине «Профессионально-ориентированный иностранный язык».
 Предназначено для студентов биолого-географического факультета специальностей 5В070100 - «Биотехнология», 5В011300 - «Биология», 5В060700 - «Биология», 5В060800 - «Экология», а также для учащихся школ с программой полиязычного образования.</t>
  </si>
  <si>
    <t>0001796</t>
  </si>
  <si>
    <t>Гаценко Н.А., Сарсекеева Г.С., Акинов А.А., Сейткулова А.Б.</t>
  </si>
  <si>
    <t>ХХІ ғасырдың өркениет қызметіндегі энергияның балама көздері</t>
  </si>
  <si>
    <t>0001798</t>
  </si>
  <si>
    <t>Гельманова З.С., Конакбаева А.Н., Кузьмичев С.С., Мезенцева А.В., Осик Ю.И.</t>
  </si>
  <si>
    <t>Ценообразование и сметное дело в строительстве</t>
  </si>
  <si>
    <t>В коллективной монографии на основе системного подхода к изучению вопросов ценообразования и сметного дела в строительной отрасли Казахстана раскрываются теоретические и методологические основы протекающих процессов в области строительства; исследуются проблемы взаимосвязи и соотношения интересов заинтересованных сторон строительной сферы на примере Республики Казахстан.</t>
  </si>
  <si>
    <t>0001799</t>
  </si>
  <si>
    <t>Гельманова З.С., Осик Ю. И., Петровская А.С.</t>
  </si>
  <si>
    <t>Клиентоориентированный подход к развитию транснациональной компании</t>
  </si>
  <si>
    <t>В монографии выполнен аналитический обзор научной информации по вопросам клиентоориентированного подхода путем изучения научной литературы и ее теоретического анализа. Рассмотрены методологические основы клиентоориентированного подхода, изучены условия перехода от технократического подхода к клиентоориентированному. Предложены варианты трансформации фирмы с целью освоения клиентоориентированного подхода и проведен расчет экономической эффективности предлагаемых стратегических мероприятий.
 Предложенные рекомендации по созданию благоприятной среды для предприятий в условиях повышения требований потребителей могут быть использованы в практической работе инновационных институтов.
 Монография предназначена для профессорско-преподавательского состава, студентов, магистрантов экономических и технологических специальностей, а также практических работников металлургической отрасли.</t>
  </si>
  <si>
    <t>0001800</t>
  </si>
  <si>
    <t>Гельманова З.С., Филатов А.В., Пак О.К.</t>
  </si>
  <si>
    <t>Европейские требования к проектированию стальных конструкций</t>
  </si>
  <si>
    <t>Монография посвящена развитию и совершенствованию норм и стандартов при проектировании стальных конструкций, отнесенные к инновационному решению в области строительства. Монография предназначена для студентов, магистрантов, специалистов технических специальностей.</t>
  </si>
  <si>
    <t>0001816</t>
  </si>
  <si>
    <t>Гималетдинов К.В</t>
  </si>
  <si>
    <t>Организация производства и менеджемент предприятия</t>
  </si>
  <si>
    <t>Изложены научно-практические основы организации производства и менеджмента на предприятии. 
 Выделены: порядок организации производства в соответствии с современными тенденциями развития автоматизации и прогрессивных технологий; источники эффективности новых форм организации производства и управления; сущность системного подхода к организации производства, его методов, современной научно-технической подготовки и освоения новой продукции и оценка ее конкуренто¬способности; логистическое обеспечение перевозок, оперативно-производственного планирования; основы организации управления производством, предприятием, персоналом. 
 Учебник межотраслевой, но многие вопросы в нем рассмотрены на примере автотранспортных предприятий. Соответствует требованиям государственного образовательного стандарта высшего профессионального образования Республики Казахстан по специальности 5В071300 - «Транспорт, транспортная техника и технологии».</t>
  </si>
  <si>
    <t>0001817</t>
  </si>
  <si>
    <t>Управление и организация транспортного обслуживания в туризме</t>
  </si>
  <si>
    <t>Рассмотрены основные вопросы теории, практики управления и организации транспортного обслуживания в туризме, изложены особен-ности туристского транспортного рынка, сущность и основные направле-ния развития туризма на транспорте, формы, методы организации плани-рования и управления транспортным туризмом, особенности инструмен-тария, практические рекомендации подготовки транспортных путе-шествий.
 Предназначено для подготовки студентов всех форм обучения, изучающих транспортный туризм, для специалистов и практиков предприятий и организаций, работающих в сфере туризма.</t>
  </si>
  <si>
    <t>0001818</t>
  </si>
  <si>
    <t>Гималетдинов К.В.</t>
  </si>
  <si>
    <t>Методические указания для практических (семинарных) занятий по экономическим дисциплинам включая менеджмент и туризм</t>
  </si>
  <si>
    <t>0001819</t>
  </si>
  <si>
    <t>Методические указания и рекомендации к выполнению самостоятельной, курсовой, дипломной работы и экономического раздела дипломного проекта по специальности «Транспорт, транспортная техника и технологии»</t>
  </si>
  <si>
    <t>0001820</t>
  </si>
  <si>
    <t>Гладкова В.К.</t>
  </si>
  <si>
    <t>Атомная спектроскопия</t>
  </si>
  <si>
    <t>0001822</t>
  </si>
  <si>
    <t>Глущенко Т.И.</t>
  </si>
  <si>
    <t>Основы привода и электрооборудования транспортной техники</t>
  </si>
  <si>
    <t>Учебное пособие содержит теоретические сведения по дисциплине, методический материал по выполнению практических заданий, задания к самостоятельной работе. Предназначено для магистрантов, изучающих электрооборудование транспортной техники. Учебное пособие может быть рекомендовано преподавателям высших учебных заведений при проведении учебных занятий по основам привода и электрооборудования транспортной техники.</t>
  </si>
  <si>
    <t>0001823</t>
  </si>
  <si>
    <t>Лабораторный практикум по возобновляемым источникам энергии</t>
  </si>
  <si>
    <t>Учебное пособие содержит теоретический материал, описание экспериментальных установок и методический материал по выполнению лабораторных работ и обработке результатов измерений. Предназначено для студентов специальности 5В071800-Электроэнергетика; оно может быть рекомендовано преподавателям высших учебных заведений при проведении учебных занятий по возобновляемым источникам энергии</t>
  </si>
  <si>
    <t>0001824</t>
  </si>
  <si>
    <t>Теоретические основы электротехники 1, I-часть</t>
  </si>
  <si>
    <t>В учебное пособие включены методы расчета цепей постоянного и переменного токов, трехфазных и несинусоидальных цепей. Особое внимание уделено применению специализированных программ к расчету электрических цепей. Работа предоставляет широкий выбор методов расчета и анализа электрических цепей. Предназначено для студентов электроэнергетических специальностей; оно может быть рекомендовано преподавателям высших учебных заведений при проведении занятий по теоретическим основам электротехники.</t>
  </si>
  <si>
    <t>0001825</t>
  </si>
  <si>
    <t>Теоретические основы электротехники 1, II-часть</t>
  </si>
  <si>
    <t>0001826</t>
  </si>
  <si>
    <t>Практикум по электрическому приводу</t>
  </si>
  <si>
    <t>Учебное пособие содержат теоретические сведения по дисциплине, методический материал по выполнению практических заданий, задания к самостоятельной работе и указания для выполнения лабораторных работ. Предназначено для студентов специальности 5В071800-Электроэнергетика. Учебное пособие может быть рекомендовано преподавателям высших учебных заведений при проведении учебных занятий по основам электропривода и автоматизированному электроприводу</t>
  </si>
  <si>
    <t>0001827</t>
  </si>
  <si>
    <t>Глущенко Т.И., Бедыч Т.В.</t>
  </si>
  <si>
    <t>Теоретические основы электротехники 2. Переходные процессы в электрических цепях. I-часть</t>
  </si>
  <si>
    <t>В учебное пособие включены классический и операторный методы расчета переходных процессов в электрических цепях постоянного и переменного токов, примеры решения задач, тесты и задания для самостоятельной работы студентов. Особое внимание уделено применению специализированных программ к расчету переходных процессов в электрических цепях. Работа предоставляет широкий выбор методов расчета и анализа электрических цепей. Предназначено для студентов электроэнергетических специальностей; оно может быть рекомендовано преподавателям высших учебных заведений при проведении занятий по теоретическим основам электротехники</t>
  </si>
  <si>
    <t>0001828</t>
  </si>
  <si>
    <t>Голубев В.Г., Садырбаева А.С.</t>
  </si>
  <si>
    <t>Учебное пособие по дисциплине «Технология и техника добычи нефти»</t>
  </si>
  <si>
    <t>Предлагаемое учебное пособие отражает связь теоретической части с ее прикладной частью в области технологии и техники добычи нефти и охватывает наиболее важные и трудоемкие разделы дисциплины</t>
  </si>
  <si>
    <t>0001830</t>
  </si>
  <si>
    <t>Горбунова Г.З., Харитонова Л.М., Шевлякова Л.Р.</t>
  </si>
  <si>
    <t>Филологический анализ художественного текста</t>
  </si>
  <si>
    <t>Учебно-методические материалы, включенные в пособие, призваны упрочить умение студентов анализировать художественную структуру произведений различной эстетической природы.
 Рекомендовано студентам, обучающимся по специальностям 5B020500 – Филология, 5B011800 – Русский язык и литература, 5B012200 – Русский язык и литература при изучении дисциплин «Филологический анализ художественного текста», «Теория и практика литературоведческого анализа», «История русской литературы первой половины ХХ века», «История русской литературы второй половины ХХ века», «История русской литературы ХХ – начала XXI веков».</t>
  </si>
  <si>
    <t>0001835</t>
  </si>
  <si>
    <t>Горлов Н.И. Мехтиев А.Д., Эйрих В.И., Алдошина О.В., Кшалова А.А.</t>
  </si>
  <si>
    <t>Методы и средства измерения параметров волоконно-оптических линий связи</t>
  </si>
  <si>
    <t>Учебник предназначен для бакалавров специальности 5В071900 «Радиотехника, электроника и телекоммуникации», также может быть использован при подготовке работников производства сферы телекоммуникации. Учебник содержит материал, дающий представление о процессах распространения оптических сигналов по волоконным световодам. Приводится подробное описание: передаточных и оптических параметров оптических волокон, конструкции оптических кабелей, методики расчета участка регенерации. Учебник содержит основные понятия и положения о методах измерения параметров волоконно-оптических кабелей линий связи и технических возможностях средств измерения.</t>
  </si>
  <si>
    <t>0001837</t>
  </si>
  <si>
    <t>Горлов Н.И., Таткеева Г.Г., Мехтиев А.Д., 
 Алдошина О.В., Югай В.В.</t>
  </si>
  <si>
    <t>Направляющие системы и волоконно-оптическая техника инфокоммуникаций</t>
  </si>
  <si>
    <t>Излагаются принципы распространения световых сигналов по волоконным световодам, конструкции оптических кабелей связи, передаточные характеристики и методы их измерения, а также расчет длины участка регенерации. Особое внимание уделено описанию принципов действия, основных параметров и конструктивных особенностей пассивных компонентов ВОСП: соединителей, вентилей, устройств ввода и вывода, аттенюаторов, разветвителей, кросс-коммутаторов и соединительных муфт. В приложениях приведены справочные расчетные формулы и практически полезный материал по отечественным оптическим кабелям связи.
 Учебное пособие предназначено для студентов старших курсов, обучающихся по специальности 5В071900</t>
  </si>
  <si>
    <t>0001852</t>
  </si>
  <si>
    <t>Губер Н.Б., Монастырев А.М., Ребезов М.Б.</t>
  </si>
  <si>
    <t>Научное и практическое обоснование новых биотехнологических приемов повышения производства говядины и ее пищевой ценности</t>
  </si>
  <si>
    <t>В монографии рассмотрены, обобщены и разработаны научно–практические основы эффективного повышения мясной продуктивности и рационального использования мясного сырья при использовании биостимулятора. Обобщен и систематизирован практический и теоретический опыт сельскохозяйственной биотехнологии по повышению мясной продуктивности скота. Приведена комплексная оценка мясного сырья, полученного с помощью интенсивной технологии выращивания и биостимулятора. Выявлены дополнительные резервы увеличения производства и улучшения качества говядины за счёт применения биостимулятора. Издание может представлять интерес для студентов вузов, руководителей и специалистов хозяйств и мясоперерабатывающих предприятий разной организации и форм собственности.</t>
  </si>
  <si>
    <t>0001854</t>
  </si>
  <si>
    <t>Гурьянов Г.А.</t>
  </si>
  <si>
    <t>Машины и оборудование для измельчения и сортировки строительных материалов</t>
  </si>
  <si>
    <t>0001855</t>
  </si>
  <si>
    <t>Машины и оборудование для приготовления бетонов и производства ЖБИ</t>
  </si>
  <si>
    <t>0001856</t>
  </si>
  <si>
    <t>Расчеты строительных и дорожных машин</t>
  </si>
  <si>
    <t>0001857</t>
  </si>
  <si>
    <t>Центробежная очистка рабочих жидкостей и масел</t>
  </si>
  <si>
    <t>0001858</t>
  </si>
  <si>
    <t>978-601-240-955-0</t>
  </si>
  <si>
    <t>Гурьянов Г.А., Дудкин М.В., Макенов А.А.</t>
  </si>
  <si>
    <t>Основы творческой деятельности при конструировании и создании машин и оборудования</t>
  </si>
  <si>
    <t>0001859</t>
  </si>
  <si>
    <t>Гусенов Б.Ш.</t>
  </si>
  <si>
    <t>Әлеуметтік-экономикалық жоспарлау және болжау</t>
  </si>
  <si>
    <t>Оқу құралының материалдары 7 бөлімде көрсетілген, оларда экономикалық деңгейдің әр түрлі деңгейлердегі әлеуметтік-экономикалық жоспарлаудың әр түрлі аспектілері логикалық түрде рет-ретімен келтірілген. Оқу құралы жоғары оқу орындарының экономикалық мамандықтары бойынша білім алатын студенттерге әлеуметтік-экономикалық жоспарлаудың негіздерін тереңдетіп оқыту үшін дайындалған.</t>
  </si>
  <si>
    <t>0001860</t>
  </si>
  <si>
    <t>Аймақтың сыртқы байланыстарын дамытуға жаһандану (глобализациялық) процестердің әсері.</t>
  </si>
  <si>
    <t>Жаһандану процесін қазіргі кезеңдегі халықаралық қатынастардың барлық жүйесіндегі болып жатқан терең өзгерістердің басты белгісі ретінде айтуға болады. Интеграция процесінің үйлесімділігі ғаламданудың экономикадағы елеулі белгілердің біріне айналды.</t>
  </si>
  <si>
    <t>0001861</t>
  </si>
  <si>
    <t>Управление инновационным развитием АПК (ключевой фактор ВЭД региона)</t>
  </si>
  <si>
    <t>Елбасы 2018 жылдың 5 қазанындағы Қазақстан халқына Жолдауында: «Нақты экономиканы өркендету үшін қаржы секторының рөлін күшейтіп, ұзақ мерзімді макроэкономикалық тұрақтылықты қамтамасыз ету қажет. Бағаның өсуі, қаржыландыруға қолжетімділік, банктердің орнықтылығы-міне, осы мәселелер көбіне қазір жұрттың қызығушылығын тудырып отыр.Ұлттық банк Үкіметпен бірлесіп, қаржы секторын және нақты секторларды сауықтыру, инфляцияға қарсы кешенді саясат жүргізу мәселелерін жүйелі түрде шешуді бастауы керек Қалыптасқан жағдайда экономиканы, әсіресе, өңдеу секторы мен шағын және орта бизнесті несиелендіруді ұлғайту өте маңызды,»- деп көрсетті[</t>
  </si>
  <si>
    <t>0001862</t>
  </si>
  <si>
    <t>Фирма персоналының мотивация жүйесін жетілдіру құралдары</t>
  </si>
  <si>
    <t>В учебнике представлены материалы в 4 разделах и 11 подразделах. В них описаны основные теоретико – методологические особенности развития АПК. В учебнике исследован зарубежный опыт и охарактеризован потенциал инновационного развития АПК Казахстана.</t>
  </si>
  <si>
    <t>0001863</t>
  </si>
  <si>
    <t>Актуальные вопросы развития внешнеэкономической деятельности Республики Казахстан в эпоху глобализации (Пример региона)</t>
  </si>
  <si>
    <t>В учебнике представлены маетриалы в 3 разделах и 9 подразделах. В них описаны основные теоретико – методологические особенности развития внешнеэкономической деятельности в эпоху глобализации. В учебнике исследован зарубежный опыт и охарактеризован потенциал регионов Казахстана (в частности Алматинская область) для совершенствования развития внешнеэкономической деятельности.</t>
  </si>
  <si>
    <t>0001864</t>
  </si>
  <si>
    <t>Рухани жаңғыру кезіндегі банктік бизнесті дамытуда коммерциялық банктердің тартылған қаражаттары және олардың ресурстық базасын қалыптастырудағы рөлі</t>
  </si>
  <si>
    <t>Бүгінгі таңда, Қазақстан Республикасында нарқытық қатынастардың даму жағдайында, ұйымдарды тиімді басқару үшін дамыған мемлекеттер өндіріс немесе қызмет көрсетудің барлық процестерін ғылыми тұрғыда және дұрыс басқарудың арқасында инновация және жаңа технологияларды енгізуде алдыңғы қатарлардан көрінуде. Сондықтан да, шетел мемлекеттерінде, сондай-ақ Қазақстанда басқару проблемалары мемлекеттік деңгейде және жеке әр ұйымдарда қоғам назарындағы жалпыұлттық идея болып қалыптасты</t>
  </si>
  <si>
    <t>0001877</t>
  </si>
  <si>
    <t>Давид Арни, Алтай Усенбаев, Сеит Бабалиев (David Arney, Altay Ussenbayev, Seit Babliev)</t>
  </si>
  <si>
    <t>Manual for writing a scientific paper.
 Импакт-факторлы журналдарда ғылыми мақала жазу жөніндегі әдістемелік құрал.
 Методическое пособие по написанию научной статьи в импакт-журналы</t>
  </si>
  <si>
    <t>Методические пособие</t>
  </si>
  <si>
    <t>The manual was written by David Arney, Professor of the Estonian University of Life Sciences, Altay Ussenbayev and Seit Babаliev, professors of the Kazakh National Agrarian University (KazNAU). The manual is a guide for bachelor and master students to write a paper suitable for publication in an international scientific journal.
 The manual was discussed and approved at the meeting of the Veterinary Sanitary Expertise and Hygiene Department of the KazNAU (27.08. 2015).
 Әдістемелік құралдың авторлары – Эстон жаратылыстану ғылымдары университетінің профессоры David Arney, Қазақ ұлттық аграрлық университетінің (ҚазҰАУ) профессорлары Алтай Усенбаев және Сеит Бабалиев. Студенттер мен магистранттарға бағытталған осы құралдың басты мақсаты – халықаралық ағылшын тіліндегі ғылыми журналда басылуға лайықты мақала жазудың нұсқауы рөлін атқару.Әдістемелік құрал ҚазҰАУ «Ветеринариялық санитариялық экспертиза және гигиена» кафедрасының мәжілісінде қарастырылып, бекітілді (27 тамыз 2015 жыл).Авторами методического пособия являются профессор Эстонского университета естественных наук David Arney, профессора Казахского национального аграрного университета (КазНАУ) Алтай Усенбаев и Сеит Бабалиев. Пособие служит руководством для студентов и магистрантов по написанию статьи, приемлемого для публикации в международном англоязычном научном журнале.Пособие было рассмотрено и одобрено на заседании кафедры «Ветеринарно-санитарная экспертиза и гигиена» КазНАУ 27.08.2015 года.</t>
  </si>
  <si>
    <t>0001878</t>
  </si>
  <si>
    <t>Өнеркасіп инновациялық дамуы</t>
  </si>
  <si>
    <t>Монография өнеркасіп инновациялық дамуы теориялық негіздерің қамтиды және экономикалық өсу мәселелерің қарастырады. Монографияда өндірістік инновациялық ресурстар, ұйымдардың инновациялық әлеуеті талданды және өндіріс инновациялық жоспарлаудың ерекшелігі зерттелді. Салық салу және инновациялық жобалардың экономикалық тиімділігіне, қаржыландыру және инвестициялық жобаларды іске асырудағы қатынастарды мемлекеттік реттеуіне, инновацияларды экономикалық бағалауіна монографияда көп көңіл бөлінді. Өнеркәсіптің инновациялық дамуының негізгі бағыттары мен шектеулерге сыни шолу негізінде олардың іске асырылуын жеделдететін тетіктер ұсынылады. Басты өнеркасіп инновациялық дамуы теория түсініктертер жүзінде ғана емес, сонымен қатар нақты өнеркасіп инновациялық дамуы жолдары қарастырылғаң. 
 Монография экономистер даярлайтын жоғары оқу орнының студенттеріне, магистрантарына, оқытушыларға және мемлекет, өнеркасіп мамаңдарына арналған.</t>
  </si>
  <si>
    <t>0001879</t>
  </si>
  <si>
    <t>Давильбекова Ж.Қ. /Давильбекова Ж.Х.</t>
  </si>
  <si>
    <t>Оқуқұралы кәсіпорындар экономикасының теориялық негіздерін қамтиды. Өндірістік, еңбек қорларына, негізгі және айналымдағы қаражаттарға, кәсіпорын еңбек ақысына қатысты мәселелерге аса көңіл бөлінеді. Кәсіпорын өнімдерінің өзіндік құны, өндірістен түсетін пайда, өндіріс тиімділігі мен жоспарлау ерекшеліктері қарастырылады. Кәсіпкерлік қатынастарын мемлекеттік реттеу және оның тәуекел жағдайларын зерттеуге, жобалардағы кезеңділікке, қаржыландыру мен инвестициялауға, баға қалыптастыруға, салық салу және кәсіпорын өндірісі мен жұмыстарының экономикалық тиімділігіне ерекше көңіл бөлінеді.</t>
  </si>
  <si>
    <t>0001881</t>
  </si>
  <si>
    <t>Давлетбаева Н.Б., Татиева М.М., Фет Е.П., Шаймардан А.Ш.</t>
  </si>
  <si>
    <t>Қазақстанда шағын және орта бизнесті дамытудың жаңа мүмкіндіктері</t>
  </si>
  <si>
    <t>Бұл оқу құралында қазіргі кәсіпкерлік қызметті дамыту проблемалары кешенді түрде қарастырылған: нарықты кешенді зерттеу, кәсіпкерлік қызметке әсер ететін факторлар, Қазақстан Республикасында кәсіпкерлік қызметтің қалыптасу және даму кезеңдері анықталған, сондай-ақ, кәсіпкерлік қызметті дамытудағы мемлекеттің рөлі қарастырылған.
 Бұл жұмыста Қазақстандағы шағын бизнес жай-күйінің негізгі көрсеткіштерін талдауға ерекше назар аударылды. ҚР-да шағын бизнесті дамытудың негізгі бағыттары мен перспективаларына елеулі орын берілген.
 Оқу құралы Қазақстан Республикасында шағын және орта бизнесті мемлекеттік қолдауды жүзеге асыру үдерістерін зерттеумен айналысатын мамандарға, оның дамуының басым бағыттарын әзірлеуге, ғылыми қызметкерлерге, сондай-ақ «кәсіпкерлік» курсын оқу кезінде экономикалық мамандықтар бойынша оқитын студенттерге арналған.</t>
  </si>
  <si>
    <t>0001882</t>
  </si>
  <si>
    <t>Дайч Л.И., Потёмкина Е.Б., Войткевич С.В.</t>
  </si>
  <si>
    <t>Теория нелинейных САУ</t>
  </si>
  <si>
    <t>Учебное пособие составлено в соответствии с учебной программой дисциплины «Теория нелинейных САУ» для студентов специальностей 5В070200 «Автоматизация и управление» и 5В071800 «Электроэнергетика» дневной и заочной форм обучения. Для специальности 5В070200 эта дисциплина является базовой, для 5В071800 – элективной. Пособие содержит краткие теоретические сведения об основных видах нелинейных звеньев, методах исследования устойчивости. Даны основы анализа нелинейных, импульсных систем</t>
  </si>
  <si>
    <t>0001883</t>
  </si>
  <si>
    <t>Дайч Л.И., Телбаева Ш.З.,Потемкина Е.Б.</t>
  </si>
  <si>
    <t>Сызықты қадағалаушы жетек (серво жетек) бойынша практикум</t>
  </si>
  <si>
    <t>Бұл оқу құралы 5В070200 «Автоматтандыру және басқару», 5В071800 «Электр энергетика» («Электр жетек және технологиялық кешендерді автоматтандыру» оқыту траекториясы, «Автоматтандырылған электр жетек теориясы» пәнін игеру кезінде) мамандығы бойынша оқитын студенттерге арналған, сонымен қоса, 6М070200 «Автоматтандыру және басқару» және 6М071800 «Электр энергетика» мамандығының магистранттарына да пайдалы болу мүмкін.</t>
  </si>
  <si>
    <t>0001895</t>
  </si>
  <si>
    <t>Далабаева Г. М., Омарова Б. К., Шайхыгалиева Р. С.</t>
  </si>
  <si>
    <t>Основы педагогических знаний</t>
  </si>
  <si>
    <t>Учебное пособие написано в соответствии с Государственным образовательным стандартом по курсу «Основы педагогических знаний» для студентов 4-курса по специальности «Сестринское дело». Содержание учебного пособия включает основные вопросы и проблемы педагогической науки: о предмете, обьекте, функциях, методах педагогики. Содержит учебно-методические материалы к семинарским занятиям по педагогике, список литературы и тематику рефератов, а также краткий словарь педагогических терминов</t>
  </si>
  <si>
    <t>0001896</t>
  </si>
  <si>
    <t>Далдабаева Г.Т., Будикова К.М</t>
  </si>
  <si>
    <t>Шаруа немесе фермер қожалықтарын жерге орналастыру</t>
  </si>
  <si>
    <t>Оқу құралында шаруа немесе фермер қожалықтарының жер пайдалануларын орналастыру, олардың келешекте дамуын анықтау, территориясын жобалау сұрақтарына көңіл бөлінген. Шаруа немесе фермер қожалықтарының жер пайдаланушылықтарын құру, оның ішінде дайындық жұмыстары, бизнес жоспарды құру тәртібі, шаруа немесе фермер қожалығына жер берудің тәртібі, сонымен қатар шаруашылықаралық жерге орналастырудың ғылыми негіздері, ұйымдастыру әдістемесі және шаруа қожалықтарының аумағын ішкі шаруашылықтық ұйымдастыру қарастырылған. 
 Оқу құралы орта арнаулы және жоғары оқу орындарының «Жерге орналастыру», «Кадастр» мамандықтары бойынша оқитын студенттерге және фермерлік іс, жерге орналастыру салаларында қызмет етуші мамандарға арналған. 5В090300-«Жерге орналастыру», 5В090700-«Кадастр» мамандықтарының студенттеріне арналған оқу құралы</t>
  </si>
  <si>
    <t>0001897</t>
  </si>
  <si>
    <t>Дальбергенова Л. Е.</t>
  </si>
  <si>
    <t>Говорение и письмо на занятиях второго иностранного языка (В1, В2): методы сценической интерпретации художественных текстов</t>
  </si>
  <si>
    <t>Иностранных языков</t>
  </si>
  <si>
    <t>Учебное пособие «Дальбергенова Л.Е. «Говорение и письмо на занятиях второго иностранного языка (В1, В2): методы сценической интерпретации художественных текстов» разработано в рамках коммуникативнопрагматического подхода и нацелено на совершенствование лингвистической, социокультурной и коммуникативной компетенции студентов. В работе рассматриваются методы сценической интерпретации художественных текстов, наиболее эффективно развивающие навыки монологической, диалогической и письменной речи.</t>
  </si>
  <si>
    <t>0001898</t>
  </si>
  <si>
    <t>Даменова Н.С.</t>
  </si>
  <si>
    <t>Топырақ биологиясының практикумы</t>
  </si>
  <si>
    <t>Оқу құралы аграрлық университеттердің 1607- Агроэкология мамандығына арналған типтік бағдарлама негізінде жасалынды. Мұнда топырақты мекендейтін организмдердің топырақтың бөлінбейтін бөлігі екені және оның маңызы сыйпатталады. Сонымен бірге топырақ микроорганизмдері топтарының қызметін қарастырады. Негізінен практикумда экологиялық және практикалық маңызы бар көп таралған организм түрлерін зерттеу жолдары көрсетілген. Бұл студенттердің лабораториялық жағдайда топырақ организмдерін зерттей білуін, олардың ізденушілік, біліктілік қабілетін арттыруға көмектеседі.
 Кітап аграрлық университеттердің биология-экология мамандықтарына оқитын студенттеріне арналған.</t>
  </si>
  <si>
    <t>0001899</t>
  </si>
  <si>
    <t>Данаев Ә.</t>
  </si>
  <si>
    <t>Темір жол сүрлеулері</t>
  </si>
  <si>
    <t>0001900</t>
  </si>
  <si>
    <t>Данаев Н.Т., Ахмед-Заки Д.Ж., Мансурова М.Е., Пыркова А.Ю.</t>
  </si>
  <si>
    <t>E-Learning в сфере IT образования</t>
  </si>
  <si>
    <t>В учебно-методическом пособии изложены принципы проектирования дистанционных курсов, описаны основные методы и инструменты их разработки. Особая роль отводится подходу, ориентированному на студента и на компетенции, навыки и знания, приобретаемые им в процессе обучения.Учебно-методическое пособие может быть рекомендовано преподавателям, студентам и магистрантам IT специальностей: “Информатика”, “Вычислительная техника и программное обеспечение”, “Информационные системы”, “Математическое и компьютерное моделирование”, а также других специальностей естественно-научного направления</t>
  </si>
  <si>
    <t>0001901</t>
  </si>
  <si>
    <t>Данаев Н.Т., Корсакова Н.К., Пеньковский В.И.</t>
  </si>
  <si>
    <t>Многофазная фильтрация и электромагнитное зондирование скважин</t>
  </si>
  <si>
    <t>Геофизика</t>
  </si>
  <si>
    <t>В монографии изложены методы математического моделирования разработок нефтяных и газовых месторождений и промысловой геофизики. Исследованы возможности интенсификации нефтеотдачи путем воздействия на прискважинную зону скважины и повышение информативности геофизических методов исследования пластов-коллекторов нефти и газа. Книга будет полезной для студентов и докторантов, специализирующихся в области теории фильтрации флюидов в пластах, а также инженерам-нефтяникам, занимающимся проектированием и разработкой нефтегазовых месторождений</t>
  </si>
  <si>
    <t>0001907</t>
  </si>
  <si>
    <t>Даргенбаев Е.Д</t>
  </si>
  <si>
    <t>Жер мониторингі негіздері</t>
  </si>
  <si>
    <t>0001908</t>
  </si>
  <si>
    <t>Жерге орналастыру шаруашылығы мен ауыл елді мекенді жоспарлау</t>
  </si>
  <si>
    <t>Ауыл, елді-мекендерде жер шаруашылығын орналастыру жұмыстары, жоспарлау және құрастыру жұмыстарымен тығыз байланысты. Бұл жұмыстарды кезекпен, бірінен соң бірін немесе бірге істеген қолайлы. Соңғы шешім барлық қарым-қатынастар жайлы, өйткені шешім нақтылығы, сансыз қайталану жоқ деп бірге шешім қабылдауға ыңғайлы.
 Берілген әдістемелік құралда осы екі жобаны қосып, (жер шаруашылығын орналастыру (ЖШО) және жоспарлау) бір жоба жасалған. Жерге орналастыру мамандығын бітірген түлектер ауылдық елді-мекенді жоспарлауды және шаруашылығын орналастыруды, құрастыруды, ұйымдастыруды білу қажет.
 Әдістемелік құрал екі бөлімнен тұрады: лабораториялық жұмыс пен курстық жұмысты құрастыру әдістемелерінен. Берілген нормативтерді, кестелерді, мысалдарды ерекше белгілейміз.
 Курстық жоба жұмыстары оқылған лекциялардан, оқу бөлімдері мен қоғамдық әдебиеттерден және семинарлардан құралуы керек.</t>
  </si>
  <si>
    <t>0001909</t>
  </si>
  <si>
    <t>Кеңістікте жоспарлау, жер ресурстарын пайдалануды жобалау</t>
  </si>
  <si>
    <t>0001911</t>
  </si>
  <si>
    <t>Даркенов К. Г.</t>
  </si>
  <si>
    <t>Алаш зиялыларының тағдыры</t>
  </si>
  <si>
    <t>Регионоведения, политология, история</t>
  </si>
  <si>
    <t>Өткен ғасырдың 20-30-шы жылдарындағы Алаш зиялыларының тағдыры, бастан кешкендері, кеңестік билік тұсындағы қуғын-сүргін, қысым жасау, көзқарас қайшылығы ғылыми еңбек құрылымының өзегі. Автор А.Байтұрсынов, М.Дулатов, Ж.Аймауытов, М.Жұмабаев, М.Әуезов және т.б қазақ зиялыларының сын сағаттағы азаматтық тұлғасы мен күрескерлік күш жігерін, ұлт мүддесіне адалдығын, беріктігін айналымға қосылған архив құжаттары мен кейінгі жылдары әр салада зерттеу нысанасына қатысты жарық көрген еңбектер негізінде тұжырымдап, өз пайымын ұсынады. Таптық бағыт ұстану, орынсыз айыптау мен қуғындау, алаш зиялыларын жою үрдісі қарастырылып, автор жүйелі, логикалық сабақтастық тұрғысында аналитикалық талдау жасайды. Автордың еңбегі тарихшылар, саясаттанушылар, әдебиеттанушылар, жалпы көпшілік назарына ұсынылып, өткен жылдар тарихына қызығушылық танытатын зиялы қауымның сұранысына ие болады деп ойлаймыз.</t>
  </si>
  <si>
    <t>0001912</t>
  </si>
  <si>
    <t>Дарменова Р.А.</t>
  </si>
  <si>
    <t>Пәнаралық байланыс негізінде студенттердің эстетикалық талғамын дамытудың педагогикалық шарттары</t>
  </si>
  <si>
    <t>Студенттердің жаңа технологиялық процеске, педагогикалық тәсілдерге негіздеп, пәнаралық байланыс арқылы студенттердің эстетикалық талғамын дамыту қарастырылған</t>
  </si>
  <si>
    <t>0001913</t>
  </si>
  <si>
    <t>Салалық мататану негіздері</t>
  </si>
  <si>
    <t>Жоғары оқу орындарының «Кәсіптік оқыту» мамандығы, кәсіптік-техникалық мектептердің студенттері мен оқушыларына арналған. 
  Маталарының түрлері, қасиеті, құрылымы мен қолданылуы, конструкциялы технологиялық материалдар мен олардың жасалынатын түрлі бұйымдар жөнінде ұғымдарын қалыптастыру, әрі алған білімдерін жалпы білім беретін мекемелердің оқу тәрбие процестерінде қолдана білуге үйрету</t>
  </si>
  <si>
    <t>0001914</t>
  </si>
  <si>
    <t>Дарменова Р.А., Өтегенова Б.Н., Тұрғымбай М.Е.</t>
  </si>
  <si>
    <t>Көркемдеп тоқудың технологиясы</t>
  </si>
  <si>
    <t>Оқу құралында көркемдеп тоқудың технологиясының теориялық даму үрдісі жөнінде тереңірек білім алып, көркем шығарманы талдауға және ол туралы өз пікірін сауатты жеткізе білуге үйренеді. Жеткіншектердің білімін жетілдіріп, ақыл-ой санасын дамытуға игі әсер етумен бірге өнердегі басты мақсаттардың бірі - көңіл-күй мен сезім тереңдігін дамытудағы, яғни эмоционалды тәжірибені арттырудағы қосқан үлесіне, рухани мәдениетімізді меңгертуге, адамгершілік және көркемдік тәрбиенің тиімді жолын ашуға табиғи жағдай тудыру. оқу құралы «Кәсіптік оқыту», «Бейнелеу өнері және сызу» мамандықтары, кәсіптік техникалық мектептердің студенттері мен оқушыларына арналған.</t>
  </si>
  <si>
    <t>0001917</t>
  </si>
  <si>
    <t>Даулбаева Ж.И.</t>
  </si>
  <si>
    <t>Феномены веры и знания в средневековой философии</t>
  </si>
  <si>
    <t>Учебное пособие содержит изложение истории философии средневекового периода Западной Европы и арабомусульманского Востока. При этом проводится компаративный анализ этих двух философских традиций через изучение проблемы соотношения веры и знания, что позволит студентам иметь комплексное понимание истории философской мысли. Рекомендуется для студентов Вузов гуманитарных специальностей</t>
  </si>
  <si>
    <t>0001918</t>
  </si>
  <si>
    <t>Суалғыш құрылымдар</t>
  </si>
  <si>
    <t>Оқу құралының мақсаты – Қазақстан Республикасының таулы және жазық аумақтарындағы өзендерде кеңінен пайдаланылатын суалғыш құрылымдарды, барлық міндеттерге сай және гидротехникалық құрылымдарға берік және ұзақ қолдануға төзімді болуы, су шаруашылық жүйесінің басында орналасқандықтан олардың өлшемдерін және құрылымдардағы тасындылар қозғалысы, толқындық, гидравликалық құбылыстар мен процестерді жобалау жайлы туралы мәліметтер беру.
  Оқу құралы «Су ресурстары және суды пайдалану» мамандығы бойынша оқитын студенттерге және «Гидротехникалық құрылымдар және құрылыс» мамандығы бойынша оқитын магистранттар үшін дайындалған. Оқу құралы, «Өзендегі суалғыш құрылымдар» курсы бағдарламасына (силлабус) енген барлық сұрақтар қамтылған 3 тараудан тұрады. Суалғыш құрылымның сұрыптамасы, орнын таңдау, су тораптың типін таңдау, құрылымның құрамы және тораптың іріктелуін жобалау негізгі талаптарға сәйкес жан-жақты қарастырылған. Материал түсінікті болу үшін, әр тараудың соңында бақылау сұрақтары, қорытынды, пайдаланылған әдебиеттер және тест сұрақтары жинағы берілген.</t>
  </si>
  <si>
    <t>0001922</t>
  </si>
  <si>
    <t>Даутова З.С.
 Таженова Р.А.</t>
  </si>
  <si>
    <t>Органикалық химияның жаттығулары мен есептері</t>
  </si>
  <si>
    <t>Органикалық химияның жаттығулары мен есептері - оқу бағдарламасына сай теориялық материалдар және студенттердің өз білімдерін тексеру, бекіту мақсатында әр тақырыптың соңында есептер мен жаттығулар, тест тапсырмалары енгізілген – оқу құралы. Қазақ тілінде оқулықтар жоқтың қасы, сондықтан ұсынылып отырған оқу құралы 5В060600, 5В011200 «Химия» мамандықтары және 5В011300 «Биология» мамандығы студенттері үшін өте маңызды. Жалпы оқу құралы студенттерге, мектеп мұғалімдеріне және оқуға түсуші түлектерге арналған.</t>
  </si>
  <si>
    <t>0001924</t>
  </si>
  <si>
    <t>Даутова З.С., Шаихова Б.К., Алимбекова А.А.</t>
  </si>
  <si>
    <t>Бейорганикалық және органикалық химия</t>
  </si>
  <si>
    <t>Бейорганикалық және органикалық химия оқулығы бейорганикалық химия мен органикалық химияның негізгі теорияларын, кейбір қосылыстардың медициналық жақтарын, сондай-ак әрбір тақырыптан соң білім бекітетін тапсырмалар берілген. 
 Ұсынылып отырған оқулық негізінен 5В011300, 5В060700 «Биология», 5В060800 «Экология» 5В060900 «География» мамандығы және медициналық колледж студенттері, сонымен қатар мектеп мұғалімдеріне әдістемелік көмек ретінде пайдалануға болады.</t>
  </si>
  <si>
    <t>0001925</t>
  </si>
  <si>
    <t>Даутова С.Б., Исхан Б.Ж., Оспанова Б.Р.</t>
  </si>
  <si>
    <t>Мұхтар Әуезов парасаты</t>
  </si>
  <si>
    <t>Бұл ғылыми зерттеуде академик-жазушы М.Әуезовтің көркем туынды-ларында суреттеліп бейнеленген, ғылыми еңбектерінде зерделеніп пайымдалған ұлттық-жалпыадамзаттық құндылықтар жайында мәселелер қарастырылған. Ғылыми еңбек жоғары оқу орындарының оқытушы-ғалымдарына, магистрлері мен студенттеріне, жалпы ғылым-білім саласының ізденушілеріне арналған</t>
  </si>
  <si>
    <t>0001926</t>
  </si>
  <si>
    <t>Дауылбай А.Д., Абилдаева Р.А.</t>
  </si>
  <si>
    <t>Өсімдіктер физиологиясы. Зертханалық практикум</t>
  </si>
  <si>
    <t>Зертханалық практикум оқу жоспарының талаптары мен «Өсімдіктер физиологиясы» пәнінің типтік бағдарламасына сай жасалынған және курс бойынша зертханалық сабақтарды өткізу мақсатындағы барлық қажетті мағұлматтарды қамтиды.
 Өсімдіктер физиологиясы пәнінен зертханалық жұмыстар жасауда фотосинтездің жарық және қараңғы сатысы (оттегінің қысымы), өсімдіктің булануы, гликолиз процесі арқылы концентрациясын өлшеуін (температурасын өлшеу) үйретеді.
 Зертханалық практикум 5В070100 «Биотехнология» мамандығының студенттеріне арналған</t>
  </si>
  <si>
    <t>0001927</t>
  </si>
  <si>
    <t>Дейнега В. В.</t>
  </si>
  <si>
    <t>Основы гидравлики и теплотехники</t>
  </si>
  <si>
    <t>Настоящая книга предназначена в качестве учебника для студентов инженерных специальностей, обучающимся по программе бакалавриата и учащихся среднего профессионального образования.Комплексное учебное пособие рассматривает основы гидравлики и теплотехники как единый теплотехнический процесс в составе: теплоисточника, теплоносителя и теплообменника, связанных законами физики, термодинамики, механики жидкости и газа, которые изучаются студентами по всем специальностям инженерного профиля.Изложены основные направления в производственной гидравлике и теплотехнике и их связи с водой, как основного фактора при получении тепла и роли теплоносителя от теплоисточника до теплообменника. Конкретно рассмотрено технологическое оборудование по гидравлике и теплотехнике, составляющее неразрывное функционирование всей системы и представляет практическую направленность. Раздельное изучение гидравлики и теплотехники допускало повторение и неоднозначные критерии оценки параметров. Автором сделана попытка логически и технически рассмотреть этот производственный процесс как неразрывную систему - гидротеплоэнергетику, не снижая теоретические и практические требования. Раннее рассмотренные схемы не давали ответа на гашение динамических ударов и вибрационные колебания гидравлической и механической частей системы. Значительно расширена область конструирования нового поколения машин и оборудования с учетом требований инновационных программ и энергосберегающих технологий. Приведены примеры решения задач и табличные данные, что может быть полезным инженерно-техническим работникам при проектировании, обслуживании и эксплуатации гидротепловых систем.</t>
  </si>
  <si>
    <t>0001928</t>
  </si>
  <si>
    <t>Энергетические устройства машин и робототехники</t>
  </si>
  <si>
    <t>Учебник предназначен для студентов вузов и колледжей технических специальностей. Издание написано в соответствии с требованиями действующего государственного образовательного стандарта и рекомендаций Минобразования РК. В данном учебнике излагаются физические законы энергодинамики, получения энергии в двигателях внутреннего сгорания и использования сил природы - гравитации, ветра, магнитного поля, плазмы и др., что может производить работу. Анализируются энергодинамические передачи энергии на рабочие органы машин и оборудования. Широко исследуются энергетические параметры элементов гидропривода и их управление конкретными конструкциями машин, подъемно-транспортной техники и оборудования. Приведены примеры решения конкретных задач, обеспечивающих повышение производительности труда. Учебник формирует у студентов объективное представление о многообразии использования энергии в роботодеятельных технологиях машин и оборудования нового поколения</t>
  </si>
  <si>
    <t>0001933</t>
  </si>
  <si>
    <t>Демесінов Т.Ж., Конуспаев Р.Қ.</t>
  </si>
  <si>
    <t>Бәсекеге қабілеттілік: теориясы және тәжірибесі</t>
  </si>
  <si>
    <t>Оқу құралында қазіргі заман экономикасының басты мақсаттарының біріне жататын бәсекеге қабілеттіліктің теориялық негіздері, әдіснамалары мен тәжірибесі, коммерциялық банктер мен шаруашылық субъектілеріндегі бәсекеге қабілеттілікті қамтамасыз ету барысында туындауы мүмкін проблемалары терең де жан-жақты қарастырылған. Қазақстан Республикасы екінші деңгейлі банктерінің қаржылық қызметіне кешенді түрде талдау жүргізу арқылы бүгінгі таңда туындаған негізгі мәселелер анықталған. Бұл оқу құралы отандық экономика ғылымындағы тың тақырыпта жазылған алғашқы іргелі еңбектердің қатарына кіреді.Ғылыми қызметкерлерге, оқытушыларға, экономикалық мамандықтардың студенттеріне, колледж оқушыларына, мамандарға және жоғарғы оқу орындарының магистратураларындағы экономикалық бағыттағы мамандықтар бойынша таңдау курсы ретінде ұсынылады.</t>
  </si>
  <si>
    <t>0001934</t>
  </si>
  <si>
    <t>Демеуов А.К.</t>
  </si>
  <si>
    <t>Атыс дайындығы</t>
  </si>
  <si>
    <t>дайындық» мамандығының студенттеріне арналған оқу құралы Оқу құралы «Атыс дайындығы» пән бағдарламасының талаптарына сай 5В010400-«Бастапқы әскери дайындық» мамандығының студенттеріне арналып жасалды</t>
  </si>
  <si>
    <t>0001935</t>
  </si>
  <si>
    <t>Граната лақтыруды оқытудың әдіс-тәсілдері</t>
  </si>
  <si>
    <t>Оқу құралы «Граната лақтыруды оқытудың әдіс-тәсілдері» пән бағдарламасының талаптарына сай 5В010400-«Бастапқы әскери дайындық» мамандығының студенттеріне арналып жасалды.</t>
  </si>
  <si>
    <t>0001936</t>
  </si>
  <si>
    <t>Ғылыми зерттеу жұмысы</t>
  </si>
  <si>
    <t>Ғылыми зерттеу жұмысын оқыту әдіс-тәсілдері көрсетілген. Жоғары оқу орындарының студенттерін ғылыми зерттеу жұмысы тапсырмаларын ойдағыдай орындау, сонымен қатар жоғары білікті маман болуына, ғылыми зерттеу жұмысында білімі бар азамат болып шығуына және мектеп мұғалімдерінің оқушыларды ғылыми зерттеу жұмысына даярлауға мол септігін тигізеді.</t>
  </si>
  <si>
    <t>0001937</t>
  </si>
  <si>
    <t>Әскери өнер тарихы</t>
  </si>
  <si>
    <t>Оқу құралында әскери өнер тарихын оқыту әдіс-тәсілдері көрсетілген. Жоғары оқу орындарының студенттеріне әскери өнер тарихы тапсырмаларын ойдағыдай орындау, сонымен қатар жоғары білікті маман болып қана қоймай, жақсы тактикалық деңгейде білімі бар азамат болып шығуына және мектеп мұғалімдерінің оқушыларды тактикалық дайындықта даярлауға мол септігін тигізеді.</t>
  </si>
  <si>
    <t>0001938</t>
  </si>
  <si>
    <t>Әскери патриоттық тәрбие негіздері</t>
  </si>
  <si>
    <t>Оқу құралы оқу жоспарына және «Әскери патриоттық тәрбие негіздері» пәнінің бағдарламасына сәйкестіріліп құрастырылған. 5В010400-«Бастапқы әскери дайындық» мамандығында оқитын студенттеріне арналған</t>
  </si>
  <si>
    <t>0001939</t>
  </si>
  <si>
    <t>Әскери психология және педагогика</t>
  </si>
  <si>
    <t>Берілген оқу құралында студенттерге әскери психология және әскери педагогиканы оқыту әдіс-тәсілдері көрсетілген. Жоғары оқу орындарының студенттерін әскери психология және педагогика тапсырмаларын ойдағыдай орындау, сонымен қатар жоғары білікті маман болуына, әскери психология және педагогикада білімі бар азамат болып шығуына және мектеп мұғалімдерінің оқушыларды әскери псхология және педагогикамен даярлауға мол септігін тигізеді.</t>
  </si>
  <si>
    <t>0001940</t>
  </si>
  <si>
    <t>Әскери-әуендік тәрбие</t>
  </si>
  <si>
    <t>Оқу құралы «Әскери-әуендік тәрбие» пән бағдарламасының талаптарына сай 5В010400-«Бастапқы әскери дайындық» мамандығының студенттеріне арналып жасалды</t>
  </si>
  <si>
    <t>0001941</t>
  </si>
  <si>
    <t>Қазақстан Республикасы қарулы күштерінің жалпы әскери жарғылары. Лекция жинағы</t>
  </si>
  <si>
    <t>Лекция жинағы</t>
  </si>
  <si>
    <t>Лекция жинағы әскери спорттық ҚРҚК әскери жарғылары пән бағдарламасының талаптарына сай 5В010400-«Бастапқы әскери дайындық» мамандығының студенттеріне арналып жасалды.</t>
  </si>
  <si>
    <t>0001942</t>
  </si>
  <si>
    <t>Мамандыққа кіріспе</t>
  </si>
  <si>
    <t>Оқу құралы «мамандыққа кіріспе» пән бағдарламасының талаптарына сай 5В010400-«Бастапқы әскери дайындық» мамандығының студенттеріне арналған жасалды.</t>
  </si>
  <si>
    <t>0001943</t>
  </si>
  <si>
    <t>Саптық дайындықты оқыту әдістемесі</t>
  </si>
  <si>
    <t>0001944</t>
  </si>
  <si>
    <t>Оқу құралында тактикалық дайындықты оқыту әдіс-тәсілдері көрсетілген. Жоғары оқу орындарының студенттерін тактикалық дайындықтың тапсырмаларын ойдағыдай орындау, сонымен қатар жоғары білікті маман болып қана қоймай, жақсы тактикалық деңгейде білімі бар азамат болып шығуына және мектеп мұғалімдерінің оқушыларды тактикалық дайындықта даярлауға мол септігін тигізеді.</t>
  </si>
  <si>
    <t>0001945</t>
  </si>
  <si>
    <t>Техникалық дайындық</t>
  </si>
  <si>
    <t>Лекция жинағы «техникалық дайындық» пән бағдарламасының талаптарына сай 5В010400-«Бастапқы әскери дайындық» мамандығының студенттеріне арналып жасалды.</t>
  </si>
  <si>
    <t>0001946</t>
  </si>
  <si>
    <t>Демеуов А.Қ.</t>
  </si>
  <si>
    <t>Әскери топография мен инженерлік дайындықты оқыту әдістемесі пәні бойынша лекция жинағы</t>
  </si>
  <si>
    <t>военная кафедра</t>
  </si>
  <si>
    <t>Лекция жинағы «Әскери топография мен инженерлік дайындықты оқыту әдістемесі» пән бағдарламасының талаптарына сай 5В010400-«Бастапқы әскери дайындық» мамандығының студенттеріне арналып жасалды</t>
  </si>
  <si>
    <t>0001947</t>
  </si>
  <si>
    <t>Демеуова А.А.</t>
  </si>
  <si>
    <t>Социология религии</t>
  </si>
  <si>
    <t>социология</t>
  </si>
  <si>
    <t>Учебное пособие подготовлено с целью ознакомления с основами социологии религии как научной дисциплины, ее базовыми понятиями и методологическими принципами, классическими и современными теориями ре­лигии, методами и важнейшими результатами ее эмпирического исследования.Содержание учебного пособия представлено в двух разделах: пер­вый является вводным и представляет социологию религии в ее возникновении и развитии, второй – социологическое исследование религии в различных аспектах ее взаимодействия с обществом.Учебное пособие предназначено для учителей и учащимся образовательных учреждений, преподавателей, PhD докторантов, магистрантов, бакалавров и всем интересующимися религиозными проблемами</t>
  </si>
  <si>
    <t>0001948</t>
  </si>
  <si>
    <t>Демин В.Ф.</t>
  </si>
  <si>
    <t>Управление геомеханическими процессами при ведении подземных горных работ</t>
  </si>
  <si>
    <t>Учебное пособие составлено в соответствии с требованиями учебных планов и программ дисциплины «Управление геомеханическими процессами подземных горных работ» и включает теоретические сведения по определе-нию напряженно-деформированного состояния горного массива, методиче-ские указания по выполнению практических работ, разработанных на кафедре программных комплексах, позволяющих автоматизировать принятие решения по совершенствованию основных и вспомогательных процессов горных ра-бот.В учебное пособие включены современные научные знания по геоме-ханическим процессам, происходящим в угле-породных массивах с исследо-ванием их с применением вычислительных методов с расчетами на ЭВМ, а также различных методов моделирования горных работ при подземной раз-работке пластовых месторождений полезных ископаемых.Учебное пособие предназначено для студентов специальности 6В07202 «Горное дело».</t>
  </si>
  <si>
    <t>0001949</t>
  </si>
  <si>
    <t>Технология поддержания горных выработок с учетом техногенного состояния массива пород. 2-ое издание, дополненное</t>
  </si>
  <si>
    <t>Монография посвящена формированию технологических схем проведения и поддержания горных выработок на базе результатов моделирования геомеханических процессов вокруг выработок в зависимости от горно-геологических, горно-технических условий разработки, с применением технологических принципов, формированию эффективных средств и систем крепления, рациональной технологии, способов крепления угле-породного массива с обоснованием параметров подготовительных работ, обеспечи-вающих устойчивость контуров выработок.</t>
  </si>
  <si>
    <t>0001950</t>
  </si>
  <si>
    <t>Управление геомеханическими процессами подземных горных работ</t>
  </si>
  <si>
    <t>Учебное пособие составлено в соответствии с требованиями учебных планов и программ дисциплины «Управление геомеханическими процессами подземных горных работ» и включает теоретические сведения по определению напряженно-деформированного состояния горного массива, методические указания по выполнению практических работ, разработанных на кафедре программных комплексах, позволяющих автоматизировать принятие решения по совершенствованию основных и вспомогательных процессов горных работ.В учебное пособие включены современные научные знания по геомеханическим процессам, происходящим в угле-породных массивах с исследованием их с применением вычислительных методов с расчетами на ЭВМ, а также различных методов моделирования горных работ при подземной разработке пластовых месторождений полезных ископаемых.Учебное пособие предназначено для студентов специальности 5В070700 «Горное дело»</t>
  </si>
  <si>
    <t>0001951</t>
  </si>
  <si>
    <t>Технологические схемы проведения горных выработок с применением анкерного крепления с учетом напряженного состояния массива горных пород</t>
  </si>
  <si>
    <t>Монография посвящена формированию технологических схем проведения и поддержания горных выработок на базе результатов моделирования геомеханических процессов вокруг выработок в зависимости от горно-геологических, горно-технических условий разработки, с применением технологических принципов, формированию эффективных средств и систем крепления, рациональной технологии, способов крепления угле-породного массива с обоснованием параметров подготовительных работ, обеспечивающих устойчивость контуров выработок</t>
  </si>
  <si>
    <t>0001953</t>
  </si>
  <si>
    <t>Демичева Е.А.</t>
  </si>
  <si>
    <t>В учебном пособии рассмотрены приборы и средства автоматизации производственных процессов, а также вопросы проектирования систем автоматизации и правила чтения автоматизированных схем химической промышленности.Учебное пособие предназначено для студентов химико-технологических специальностей высших учебных заведений, преподавателей, а также инженерно-технических работников химической промышленности</t>
  </si>
  <si>
    <t>0001954</t>
  </si>
  <si>
    <t>Демченко Л.И.</t>
  </si>
  <si>
    <t>Литература народов Казахстана и стран ближнего зарубежья. Современный период: Учебное пособие. 2 издание. Дополненное.</t>
  </si>
  <si>
    <t>Учебное пособие призвано помочь студентам в овладении сложным материалом изучения литературного процесса народов Казахстана и стран ближнего зарубежья, систематизировать знания учащихся по отдельным темам и курсу в целом, способствовать выработке и развитию навыков самостоятельной литературоведческой работы. В основу учебного пособия положены изыскания современных отечественных ученых-литературоведов. Уникальностью пособия явилось собственная авторская концепция курса по изучению национальных литератур в их взаимодействии и взаимосвязи. 
  Учебное пособие предназначено для студентов филологических специальностей, преподавателей вуза, учителей, учащихся средних школ, а также для всех, кто интересуется изучением литературного наследия национальных культур народов Казахстана и стран ближнего зарубежья.</t>
  </si>
  <si>
    <t>0001963</t>
  </si>
  <si>
    <t>Дәуренбек Н.М.</t>
  </si>
  <si>
    <t>Химмотология. І бөлім. Отындардың пайдалану қасиеттері.</t>
  </si>
  <si>
    <t>Оқу құралы 5В072100- «Органикалық заттардың химиялық технологиясы» мамандығы студенттеріне, сонымен қатар мұнай-газ, автомобиль көлігін пайдалану салалары бойынша оқитын студенттерге, магистранттарға, докторанттарға, осы салалардың инженер-техникалық және ғылыми қызметкерлеріне, кәсіптік және жоғары оқу орындарының оқытушыларына арналған.
 Кітаптың бірінші бөлімінде мұнай отындары мен балама отындарды іштен жанатын қозғалтқыштарда қолдану, мұнай өнімдерін тасымалдау, сақтау кезінде олардың физика-химиялық, биологиялық, басқа да пайдалану қасиеттерінің өзгеруі жан-жақты қарастырылған. Бұл бөлімде сонымен қатар мұнай отындарын пайдалану кезіндегі қасиеттерін бағалаудың әдістері жөнінде мәліметтер келтірілген.</t>
  </si>
  <si>
    <t>0001964</t>
  </si>
  <si>
    <t>Химмотология. ІІ бөлім. Жағар материалдар мен арнайы сұйықтықтардың пайдалану қасиеттері.</t>
  </si>
  <si>
    <t>Оқу құралы 5В072100 - «Органикалық заттардың химиялық технологиясы» мамандығы студенттеріне, сонымен қатар мұнай-газ, автомобиль көлігін пайдалану салалары бойынша оқитын студенттерге, магистранттарға, докторанттарға, осы салалардың инженер-техникалық және ғылыми қызметкерлеріне, кәсіптік және жоғары оқу орындарының оқытушыларына арналған.
 Кітаптың екінші бөлімінде жағар материалдар мен арнайы сұйықтықтарды әр алуан тетіктер мен құрылғыларда қолдану кезінде олардың физика-химиялық, басқа да пайдалану қасиеттерінің өзгеруі жан-жақты қарастырылған. Бұл бөлімде сонымен қатар жағар материалдардың пайдалану кезіндегі қасиеттерін бағалаудың әдістері жөнінде мәліметтер келтірілген.</t>
  </si>
  <si>
    <t>0001965</t>
  </si>
  <si>
    <t>Дәуренбек Н.М., Еркебаева Г.Ш., Қалдыгөзов Е.</t>
  </si>
  <si>
    <t>Мұнай мен газ технологиясы және мұнайхимиясы бойынша мысалдар мен есептер. (Өңделіп, толықтырылған 2 басылымы)</t>
  </si>
  <si>
    <t>Оқу құралы 5В072100 - «Органикалық заттардың химиялық технологиясы» мамандығы студенттеріне, мұнай-газ өңдеу, мұнайхимиясы өнеркәсібінің қызметкерлеріне, осы сала бойынша мамандандырылған колледж, институт, университет және академия студенттері, магистранттары мен оқытушыларына арналған.
 Кітапта мұнай және мұнай өнімдерінің физика-химиялық қасиеттерін анықтау, мұнай мен газды алғашқы өңдеу қондырғылары аппараттарын технологиялық есептеу, термиялық және катализдік үдерістердің аппараттарын есептеу, жағар майларды өндiру қондырғыларының технологиялық есептеулерi бойынша мысалдар мен есептер келтірілген.</t>
  </si>
  <si>
    <t>0001968</t>
  </si>
  <si>
    <t>Джакипбекова Н.О., Туребекова Г.З.</t>
  </si>
  <si>
    <t>Методика экологических исследований промышленных комплексов</t>
  </si>
  <si>
    <t>Данное учебное пособие освещает основные положения методики геолого-экологических исследований промышленных комплексов и сделан на основе систематизации работ в этом направлении отечественных и зарубежных а авторов, а также на основе результатов научных исследований авторов. Учебное пособие предназначено для студентов экологических специальностей, магистрантов, научных работников и преподавателей</t>
  </si>
  <si>
    <t>0001970</t>
  </si>
  <si>
    <t>978-601-240-504-0</t>
  </si>
  <si>
    <t>Джакупова Ж.Е.</t>
  </si>
  <si>
    <t>Методические указания по практическим работам по нефтехимии</t>
  </si>
  <si>
    <t>В учебном пособии представлены способы определения основных физико-химических свойств, показателей и параметров процессов фазового распределения, подготовки и переработки нефти. Последовательное изложение способов определения свойств и особенностей нефтяного сырья предусматривает изучение теоретических основ нефтехимии. Рассматриваются основные уравнения расчета технологических показателей и определения параметров аппаратурного оформления физико-химических процессов в нефтяных системах.
 Содержание пособия охватывает содержание специального курса и предназначается для бакалавров, магистрантов.</t>
  </si>
  <si>
    <t>0001971</t>
  </si>
  <si>
    <t>Самостоятельные работы по нефтехимии</t>
  </si>
  <si>
    <t>В данном учебном пособии представлен систематизированный краткий теоретический материал по свойствам и характеристике нефти, свойствам и углеводородам нефтяных фракций, процессам переработки нефти.
  Для самостоятельной подготовки и проверки знаний представлены тестовые вопросы. Учебное пособие рекомендовано для обучающихся по химии нефти.</t>
  </si>
  <si>
    <t>0001973</t>
  </si>
  <si>
    <t>Лабораторный практикум по химии нефти</t>
  </si>
  <si>
    <t>В данном учебном пособии уделяется внимание проблеме первичных процессов подготовки нефти, принципам переработки нефтяного сырья, взаимосвязи физических параметров и химических свойств, а также оценке практического значения компонентного состава нефти и нефтяных систем. Представлены способы определения основных физико-химических свойств, показателей и параметров процессов подготовки и переработки нефти. Последовательное изложение способов определения свойств и особенностей нефтяного сырья предусматривает изучение теоретических основ нефтехимии. 
 Содержание пособия охватывает содержание специального курса и предназначается для бакалавров, магистрантов.</t>
  </si>
  <si>
    <t>0001974</t>
  </si>
  <si>
    <t>Мұнай және мұнай заттарын зертханалық талдау</t>
  </si>
  <si>
    <t>Оқу құралында мұнай онімдерінінің, отындық қоспалардың жалпы сипаттамасы және классификациясы, мотор отындарына қосылатын депрессорлы отындық қоспалар және әрекеттесу механизмі келтірілген. Физика-химиялық қасиеттерін анықтау тәсілдерінің негіздері отандық мұнайларында қолдануы көрсетілген. Қабат және қоспа судың сапа көрсеткіштері мен химиялық анализі берілген. Жоғары оқу орындарында білім алушыларға, кәсіптік оқу мекемелерінің білім алушыларына арналған.</t>
  </si>
  <si>
    <t>0001979</t>
  </si>
  <si>
    <t>Джаналеева А.А.</t>
  </si>
  <si>
    <t>Инвестиционный контракт</t>
  </si>
  <si>
    <t>Монография освещает основные проблемы инвестиционного контракта, связанные с определением его правовой природы, видовой характеристики, аспектами заключения, изменения и расторжения контракта. Уделено особое внимание инвестиционному праву как отрасли права, в рамках изучения правовой природы инвестиционного контракта. Автором предложено новое определение стороны, принимающей инвестиции, а именно, инвеститор. Должное внимание уделено объекту инвестиционного контракта – капиталу, с точки зрения основ цивилистики и объектов гражданского права. 
 Монография предназначена для студентов, магистрантов, докторантов, преподавателей юридических факультетов вузов, а также для тех, кто имеет научный интерес к проблемам инвестиционного права.</t>
  </si>
  <si>
    <t>0001981</t>
  </si>
  <si>
    <t>Джаналеева К.М.</t>
  </si>
  <si>
    <t>Геосистемы бассейновых территорий РК и общее землеведение</t>
  </si>
  <si>
    <t>Учебное пособие «Геосистемы бассейновых территорий РК и общее землеведение» предназначено для студентов высших учебных заведений обучающихся по специальности 5В060900 «География» и 5В011600 «География». Пособие подготовлено в соответствии с государственным стандартом образования Республики Казахстан на основании разработанных ранее типовых учебных программ и рабочих планов бакалаврского профиля.В учебном пособии показаны основные закономерности взаимодействия сфер Земли и их изменения под воздействием современных природных условий. Особое внимание уделено вопросам глобальных процессов, происходящих на планете под воздействием антропогенных факторов. Отдельная глава посвящена основным группам геосистем, которые выявляются и картируются при геосистемно-бассейновом подходе к изучению природной среды Республики Казахстан. Данное учебное пособие предназначено для студентов географического, гидрометеорологического и сельскохозяйственного направлений подготовки.</t>
  </si>
  <si>
    <t>0001982</t>
  </si>
  <si>
    <t>Физико – географическое районирование Республики Казахстан</t>
  </si>
  <si>
    <t>В учебном пособии проанализирован современный комплексный материал по природным компонентам Республики Казахстан, рассматреный основные вопросы физико-географического районирования, дан полный анализ физико-географических районов и провинций. В книге проанализированы основные группы геосистем( подгеосистем, мезогеосистем , субгеосистем ), которые выявляются и картируются при геосистемно-бассейновом подходе к изучению природной среды Республики. В работе анализируются основные факторы техногенного загрязнения природных компонентов на геосистемном уровне, предлагаются пути оптимизации использования природных ресурсов.
 Учебное пособие составлено по новой учебной программе дисциплины «Физическая география Республики Казахстан» и рекомендуется для студентов, магистрантов и PhDдокторантов высших учебных заведений страны, а также для специалистов широкого профиля.</t>
  </si>
  <si>
    <t>0001983</t>
  </si>
  <si>
    <t>Общее землеведение</t>
  </si>
  <si>
    <t>Учебное пособие «Общее землеведение» предназначено для студентов высших учебных заведений обучающихся по специальности 5В060900 «География». Пособие подготовлено в соответствии с государственным стандартом образования Республики Казахстан на основании разработанных ранее типовых учебных программ и рабочих планов бакалаврского профиля. В учебном пособии показаны основные закономерности взаимодействия сфер Земли и их изменения под воздействием современных природных условий. Особое внимание уделено вопросам глобальных процессов, происходящих на планете под воздействием антропогенных факторов. Данное учебное пособие предназначено для студентов географического, гидрометеорологического и сельскохозяйственного направлений подготовки.</t>
  </si>
  <si>
    <t>0001984</t>
  </si>
  <si>
    <t>Методика проведения полевых физико-географических исследований</t>
  </si>
  <si>
    <t>Учебное пособие «Методика проведения полевых физико-географических исследований». Работа посвящена изучению комплексных методов физико-географических исследований. В учебном пособии рассматриваются полевые комплексные физико-географические исследования, полевые ландшафтно-географические методы исследования ПТК и их состояний, полевые ландшафтно-этологические исследования и др. Методы рассматриваются с учетом пространственных аспектов, так как без них невозможна реализация самих методов исследования. Предназначено для студентов, магистрантов и докторантов высших учебных заведений обучающихся по специальности 5В060900 «География». Пособие подготовлено в соответствии с государственным стандартом образования Республики Казахстан на основании разработанных ранее типовых учебных программ и рабочих планов бакалавриата, магистратуры и докторантуры</t>
  </si>
  <si>
    <t>0001987</t>
  </si>
  <si>
    <t>Джангельдина Д.І.</t>
  </si>
  <si>
    <t>Ұсынылып отырған оқулық педагогикалық жоғарғы оқу орындарының «5В011600-География», «5В060900-География» мамандығының студенттеріне арналған. Оқулық мазмұны типтік оқу бағдарламасына толығымен сәйкестендірілген. 
  Аталмыш оқулық үш бөлімнен тұрады. Бірінші бөлімде Жер туралы жалпы мәліметтер, жердің пайда болу тарихы, кезеңдері, геохронологиялық кесте, жер шарындағы ірі тау жасалулар, таужыныстарының геологиялық құрылымы, екінші бөлімде эндогендік процестер және жер бедері, оның ішінде тектоникалық қозғалыстар, жер сілкіністері, жанартау атқылау процестері, неотектоникалық қозғалыстар туралы, үшінші бөлімде экзогендік процестері және жер бедері, ағын су, мұздық, жел, жағалық процестердің әсері туралы сипатталған. Сондай ақ оқулық соңында студенттер білімін тексеруге қажетті тест тапсырмалар топтамасы, глоссарий ұсынылып отыр</t>
  </si>
  <si>
    <t>0001988</t>
  </si>
  <si>
    <t>Джандигулов А.Р.</t>
  </si>
  <si>
    <t>Дискретная математика в примерах и заданиях</t>
  </si>
  <si>
    <t>В пособие включены задания и упражнения по алгебре логики, теории алгоритмов, теории автоматов, теории графов, теории кодирования, комбинаторике, различным представлениям булевых функций, теории предикатов. Исходные данные для заданий и упражнений генерируются из исходной таблицы, что позволяет достичь уникальности задания для каждого студента. Каждый раздел также снабжен кратким теоретическим курсом, примерами выполнения заданий и контрольным тестом. Для студентов и преподавателей университетов и технических вузов, в которых изучается дискретная математика</t>
  </si>
  <si>
    <t>0001990</t>
  </si>
  <si>
    <t>Джанмулдаева Ж.К.</t>
  </si>
  <si>
    <t>Химиялық технологияның теориялық негіздері</t>
  </si>
  <si>
    <t>0001991</t>
  </si>
  <si>
    <t>Су дайындаудың әдістері</t>
  </si>
  <si>
    <t>Уч. пособие</t>
  </si>
  <si>
    <t>Оқу құралының құрамына өнеркәсіптік су дайындаудың негізгі физика-химиялық әдістері, жылу желілеріндегі судайындау тәсілдері; жылуэнергетикалық өнеркәсіптердің ағызынды суларының сипаттамасы және оларды тазарту мен залалсыздандыру тәсілдері туралы мәліметтер берілген. Оқу құралының құрамына құрамына пәнді оқып үйрену нәтижесін анықтау арналған тесттік тапсырмалар енгізілген. Оқу құралы таңдау бойынша базалық «Су дайындаудың физика-химиялық әдістері» пәнiнің бағдарламаcына сәйкес құрастырылған. Оқу құралы 5В071700, 5В072000, 5В072100, 5В060800, 5В073100, 5В080500 мамандықтарының студенттерiне арналған.</t>
  </si>
  <si>
    <t>0001992</t>
  </si>
  <si>
    <t>Джанмулдаева Ж.К., Сейтмакзимова Г.М.</t>
  </si>
  <si>
    <t>Химиялық реакторлар</t>
  </si>
  <si>
    <t>0001993</t>
  </si>
  <si>
    <t>Джанпаизова В.М.</t>
  </si>
  <si>
    <t>Экологические проблемы текстильного производства</t>
  </si>
  <si>
    <t>конспект лекции</t>
  </si>
  <si>
    <t>Конспект лекции составлен в соответствии с требованиями учебного плана и программой дисциплины, на базе учебной и научной литературы. Конспект лекции включает все необходимые сведения согласно программы дисциплины, которые позволяют глубоко и детально изучить наиболее сложные разделы курса, а также привить студентам навыки самостоятельной, творческой работы.
  В конспекте лекции изложены основы экологические проблемы текстильного производства. Рассмотрены сведения о теоретических и технологических основах процесса прядения, ткачества, крашения, печатания, заключительной отделки материалов с экологической точки зрения и предложены способы охраны окружающей среды.
 Предназначено для студентов специальности 5В073300 – Технология и проектирование текстильных материалов.</t>
  </si>
  <si>
    <t>0001994</t>
  </si>
  <si>
    <t>Экологические проблемы ткацкого производства</t>
  </si>
  <si>
    <t>лабораторный практикум</t>
  </si>
  <si>
    <t>Лабораторный практикум составлен в соответствии с требованиями учебного плана и программой дисциплины «Экологические проблемы ткацкого производства» и включает все необходимые сведения по выполнению тем лабораторных работ, которые позволяют глубоко и детально изучить наиболее сложные разделы курса, а также привить студентам навыки самостоятельно предвидеть и учитывать экологические последствия конкретных технических, производственных и управленческих решений</t>
  </si>
  <si>
    <t>0001996</t>
  </si>
  <si>
    <t>Джанпаизова В.М., Конысбеков С.М.</t>
  </si>
  <si>
    <t>Текстильное материаловедение</t>
  </si>
  <si>
    <t>Лабораторный практикум составлен в соответствии с требованиями учебного плана и типовой учебной программы дисциплины «Текстильное материаловедение» и включает все необходимые сведения по выполнению тем лабораторных работ, которые позволяют глубоко и детально изучить наиболее сложные разделы курса, а также привить студентам навыки самостоятельной, творческой работы
 Лабораторный практикум предназначен для студентов ОП 6В07230, 5В073300 – «Технология и проектирование текстильных материалов».</t>
  </si>
  <si>
    <t>0001997</t>
  </si>
  <si>
    <t>Джанпаизова В.М.Аширбекова Г. Ш., Тұрғанбаева А.А.</t>
  </si>
  <si>
    <t>Тоқыма материалтануы</t>
  </si>
  <si>
    <t>Оқу құралы оқу жоспары және 5В073300 -«Тоқыма материалдарының технологиясы және жобалануы» мамандығының күндізгі оқитын студенттеріне «Тоқыма материалтануы» пәнінің бағдарламасы талаптарына сәйкес құрастырылған және пәнге қатысты барлық қажетті мәліметтерді қамтиды. Тоқыма материалтануы жайлы қысқаша мәліметтер қамтылған. Тоқыма материалдарының қасиеттері, қолданылу аймағы жайлы жазылған.Табиғи және химиялық талшықтарды алу және өңдеу мәселелері қарастырылған. Тоқыма жаймаларының сапасын көрсететін негізгі көрсеткіштер қарастырылған.</t>
  </si>
  <si>
    <t>0001998</t>
  </si>
  <si>
    <t>Джанпаизова В.М.Ким И.С, Аширбекова Г.Ш.</t>
  </si>
  <si>
    <t>Отделка и крашение текстильных материалов и изделий</t>
  </si>
  <si>
    <t>Учебное пособие составлен в соответствии с требованиями учебного плана и программой дисциплины, на базе учебной и научной литературы. Учебное пособие включает все необходимые сведения согласно программы дисциплины, которые позволяют глубоко и детально изучить наиболее сложные разделы курса, а также привить студентам навыки самостоятельной, творческой работы.
  В учебном пособии изложены особенности структуры и свойства волокнообразующих полимеров и волокон, основы подготовки текстильных материалов к крашению и заключительная отделка текстильных материалов и изделий. Рассмотрены сведения о теоретических и технологических основах процесса крашения и заключительной отделки текстильных материалов и изделий.</t>
  </si>
  <si>
    <t>0001999</t>
  </si>
  <si>
    <t>Джанпаизова В.М.Ким И.С., Аширбекова Г.Ш.</t>
  </si>
  <si>
    <t>Особенности художественное оформление текстильных материалов и изделий</t>
  </si>
  <si>
    <t>Учебном пособие рассматриваются основные законы орнаментальной композиции текстильного рисунка, его связь с назначением текстильных материалов, особенностями технологического исполнения в условиях промышленного производства. Представлены материалы по вопросам истории и современного состояния художественного оформления текстиля, перспективы его развития. Присутствует словарь терминов, часто используемых в данной отрасли.
 Может быть полезна студентам, магистрантам текстильных вузов и для художников и дессинаторов текстильных предприятий.</t>
  </si>
  <si>
    <t>0002000</t>
  </si>
  <si>
    <t>Джанпаизова В.М., Мурзабаева Г.К.</t>
  </si>
  <si>
    <t>Тоқыма өндірісі материалдарының сапасын басқару және бақылау негіздері</t>
  </si>
  <si>
    <t>Оқу құралы 6М073300 – «Тоқыма материалдарының технологиясы және жобалануы» мамандығы бойынша оқитын магистранттарға арналған.
 Оқу құралы оқу және ғылыми әдебиеттер базасымен оқу жоспары және пән бағдарламасы талаптары бойынша сәйкестендіріліп құрастырылды. Оқу құралы магистранттарды пәннің бағдарламасына сәйкес өз бетінше творчествалық жұмыстарды, курстың күрделі бөлімдерін терең және жекелеп үйренуге мүмкіндік береді. 
 Оқу құралыңдаөнімнің сапасын басқару бойынша ғылыми мәліметтерге шолу және кейінгі нақты өнеркәсіптің сапа жүйесін талдау болып табылады. Ол үшін отандық және шетелдік авторлардың базалық ғылыми жұмыстары мен сапа басқару саласындағы оқу құралдары қолданылды.</t>
  </si>
  <si>
    <t>0002001</t>
  </si>
  <si>
    <t>Джантасова Д.Д.</t>
  </si>
  <si>
    <t>Дистанционное обучение иностранным языкам</t>
  </si>
  <si>
    <t>В данном издании рассматриваются вопросы организации дистанционного обучения иностранным языкам, применение интерактивных технологий и их влияние на обучение, а также проблемы разработки программного обеспечения обучения на расcтоянии. Данный учебник предназначен для студентов технических и педагогических специальностей, а также для учителей школ/преподавателей вузов, заинтересованных в применении дистанционного обучения или в использовании</t>
  </si>
  <si>
    <t>0002002</t>
  </si>
  <si>
    <t>Джантасова Д.Д. / Damira Dulatovna Jantassova</t>
  </si>
  <si>
    <t>Computer-assisted language learning</t>
  </si>
  <si>
    <t>The book is designed in accordance with the Road Map of Trilingual Education for the period of 2015-2020 on developing EFL/ESL teachers’ professional competence in the field of ICT and CLIL methodologies. This work is developed for University and school teachers as well as undergraduate and graduate students willing to improve their level of English Proficiency in the self-directed language learning/ The goal of the course is training listeners for effective use of CALL via reading and listening comprehension activities.
 The course is oriented to the present day trends of the ICT sphere and based on the authentic English language materials of the high-quality learning resources, including online data The course consists of the two main parts: Reading Comprehension and Listening Comprehension, which contain textual and audio authentic language material on CALL with quizzes after each topic. In addition, there are Glossary, Software reviews, List of CALL Web Sites that provide learners with special informative teaching material for development and further improvement of ICT literacy.</t>
  </si>
  <si>
    <t>0002003</t>
  </si>
  <si>
    <t>Джахаева А.П., Уразбакова У.Т., Мамаева А.Е.</t>
  </si>
  <si>
    <t>Жазуға үйрету технологиясы</t>
  </si>
  <si>
    <t>Бұл оқу құралда «Жазуға үйрету технологиясы» пән бағдарламасына және оқу жоспары талаптарына сәйкес 5В010200 - «Бастауышта оқыту педагогикасы мен әдістемесі» мамандығының және басқа да педагогикалық мамандықтардың студенттеріне арналып құрастырылған. 
 Оқу құралының мазмұны білім алушының өз бетімен оқып-үйренуін бағдар етеді. Сондықтан білім алушы оқыту үрдісінде жазуға үйрету технологиясы салаларынан алған білімі мен білігін барынша қолданып, әрбір теориялық, практикалық сабақтардың жоспары бойынша қарастырылған сұрақтардың мәнін, мазмұнын тереңдету мақсатында ұсынылған міндетті және қосымша әдебиеттерді дұрыс пайдалана білуге дағдылануы тиіс.
 Ұсынылып отырған оқу құралының мақсаты-әлемді туған тіл арқылы тануға жол ашу.</t>
  </si>
  <si>
    <t>0002004</t>
  </si>
  <si>
    <t>Джекебаева М.А.</t>
  </si>
  <si>
    <t>Философия (каз.)</t>
  </si>
  <si>
    <t>0002007</t>
  </si>
  <si>
    <t>Джетимов М.А., Имангазинова Ж.С., Маманова С.А.</t>
  </si>
  <si>
    <t>Физикалық химия</t>
  </si>
  <si>
    <t>Оқу-әдістемелік құралы негізінен 4 тараудан тұрады. Әр тараудың соңында зертханалық жұмыстар мен білім бақылау құралдары ретінде тест тапсырмалары, бақылау сұрақтары ұсынылған. Сондай-ақ, тарау бойынша есептер шығару әдістемелері де қамтылған. Студенттердің өз бетімен орындауы үшін аралық бақылауларға арналған есептер берілген. Оқу-әдістемелік құралы университеттер мен педагогикалық жоғары оқу орындарының студенттеріне, магистранттарына, оқытушыларына, сонымен қатар, химия салаларының мамандарына арналған.</t>
  </si>
  <si>
    <t>0002008</t>
  </si>
  <si>
    <t>Джолдасов C.К.</t>
  </si>
  <si>
    <t>Ашық арналар гидравликасы</t>
  </si>
  <si>
    <t>Оқу құралында жасанды арналардағы сұйықтың орныққан арынсыз бірқалыпты және айнымалы қозғалыстары, гидравликалық шапшыма, суағарлардағы ағындар, бьефтердің жалғасуы, тасындылар қозғалысы, толқындық, гидравликалық құбылыстар мен процестерді модельдеу жайлы құрастырылған лекциялар мен бақылау тесттері жинағы келтіріледі. 
 Оқу құралы «Су ресурстары және суды пайдалану» және «Гидротехникалық құрылыс және құрылымдар» мамандығы стденттері үшін дайындалған. Оқу құралы, «Ашық арналар гидравликасы» курсы бағдарламасына (силлабус) енген барлық сұрақтар қамтылған, кезектілікпен берілген 16 тараудан тұрады. Ашық арналардағы сұйық қозғалысының негізгі заңдары жан-жақты қарастырылған. Материал түсінікті болу үшін, әр тараудың соңында тест түрінде бақылау сұрақтары берілген.</t>
  </si>
  <si>
    <t>0002009</t>
  </si>
  <si>
    <t>Джолдасов С.К., Кожамкулова Г.Е.</t>
  </si>
  <si>
    <t>Мониторинг водных объектов и геоинформационные системы</t>
  </si>
  <si>
    <t>В учебном пособии даны необходимые знания будущим бакалаврам, магистрантам и докторантам, а также вопросы проведения мониторинга водных объектов и оценки рисков чрезвычайных ситуаций (паводки, наводнения, прорывы плотин и ледниковых озер и др.) водохозяйственных объектов в бассейнах трансграничных рек на территории РК и сопредельных государств. Определены цели, задачи и содержание разделов.
 Учебное пособие предназначено в помощь студентам очного и заочного обучения, магистрантам и докторантам специальностей - «Водные ресурсы и водопользование», «Гидротехническое строительство и сооружения», «Мелиорация, рекультивация и охрана земель» и др.
 Рекомендовано к использованию в учебном процессе кафедрой «Водные ресурсы» (протокол №1 от 3.09.2014г.) и утверждены научно-методическим советом института «Водное хозяйство, экология и строительство» (протокол №1 от 1.10.2014г.) и научно-методическим советом университета ТарГУ (протокол №3 от 27.10.2014г.).</t>
  </si>
  <si>
    <t>0002010</t>
  </si>
  <si>
    <t>Джолдасов С.Қ., Есенгельдиева П.Н., Қожамқұлова Г.Е.</t>
  </si>
  <si>
    <t>Гидравлика (тесттер жинағы)</t>
  </si>
  <si>
    <t>Оқу құралында сұйықтың тепе-теңдік күйінің теңдеулері мен заңдылықтары, гидродинамика негіздері, сұйық энергиясының сақталу заңдары, гидравликалық кедергілер мәселелері және арын шығындары, сұйықтың тесіктерден, қондырмалардан және сұғындырмалардан ағып шығуы, сұйықтың құбырлардағы арынды қозғалыстары, жасанды арналардағы сұйықтың тұрақталған арынсыз бірқалыпты және айнымалы қозғалыстары, гидравликалық шапшыма, суағарлардағы ағындар, бьефтердің жалғасуы, грунт суларының қозғалысы, гидравликалық құбылыстар мен процестер жайлы құрастырылған тесттер жинағы келтіріледі.</t>
  </si>
  <si>
    <t>0002011</t>
  </si>
  <si>
    <t>Джолдасова К.К.</t>
  </si>
  <si>
    <t>Темір жол құрылысын жоспарлау және ұйымдастыру</t>
  </si>
  <si>
    <t>0002013</t>
  </si>
  <si>
    <t>Джузбаева Б. Г.</t>
  </si>
  <si>
    <t>Методические указания к лабораторным заданиям по технологии программирования на С++</t>
  </si>
  <si>
    <t>Учeбнoe пoсoбиe прeдстaвляeт сoбoй кyрс лабораторных работ, рaзрaбoтaнныx aвтoром для спeциaльнoстeй бaкaлaвриaтa: 5В060200 – Инфoрмaтикa и 5В070400–Вычислитeльнaя тexникa и прoгрaммнoe oбeспeчeниe. Рaссмaтривaются бaзoвыe пoнятия и фaкты по технологии программирования, вoпрoсы aнaлизa и рaзрaбoтки aлгoритмoв нa с++ для рeшeния зaдaч по программированию. Для пoнимaния мaтeриaлa дoстaтoчнo мaтeмaтичeскoй пoдгoтoвки в oбъeмe пeрвoгo кyрсa yнивeрситeтa или тexничeскoгo вyзa.</t>
  </si>
  <si>
    <t>0002015</t>
  </si>
  <si>
    <t>Джузбаева Б.Г.</t>
  </si>
  <si>
    <t>Системы базы данных</t>
  </si>
  <si>
    <t>Учебное пособие написано по материалам лекций, прочитанных автором в течении 15 лет по дисциплинам “Системы базы данных” студентам дневного и заочного отделений. Пособие может быть полезным студентам, магистрантам и молодым преподавателям изучающих теорию баз данных. Книга содержит основы реляционной теории, технологию реализации на современных системах управления базами данных и примеры практического применения стандартного языка БД SQL.</t>
  </si>
  <si>
    <t>0002016</t>
  </si>
  <si>
    <t>Джуламанов Т.Д.</t>
  </si>
  <si>
    <t>Геодезия. 3 басылым.</t>
  </si>
  <si>
    <t>Оқулық мамандықтың квалификациялық талаптарына сай, Мемлекеттік стандарттар, педагогика-психологиялық тәжірибелік сабақтарды ұйымдастыру және өткізу негіздеріне сүйене отырып құрастырылған. Бұл оқулық студенттердің өздігінен жұмыс істеу қабілетін арттыруға, мамандықты пәрменді игеруге, оқу-мақсатының деңгейін тереңдетуге, теория дәрістерінен алған білімін іс жүзінде орындап машықтануға талпындырады. Оқулық «Кадастр, «Жерге орналастыру», «орман ресурстары және орман шаруашылығы», «су ресурстары және су пайдалану», «мелиорация және желді баптау» мамандықтарына Геодезия пәнінен күндізгі, сырттай оқу бөлімдерінің студенттеріне арналған.</t>
  </si>
  <si>
    <t>0002019</t>
  </si>
  <si>
    <t>Джумабаева Д.Г., Сулейменова З.Р.</t>
  </si>
  <si>
    <t>Дополнительные главы математики.</t>
  </si>
  <si>
    <t>В учебно-методическом пособии изложена программа изучения 2 курса математики, раздел «Дополнительные главы математики» для студентов технических специальностей. Данная программа охватывает следующие темы: ряды, криволинейные и поверхностные интегралы, теория функций комплексного переменного, элементы операционного исчисления. В учебно-методическом пособии излагаются краткий теоретический материал, типовые задачи с подробными решениями, тестовые задания для самоконтроля, задания, каждая тема сопровождается графиками и рисунками.</t>
  </si>
  <si>
    <t>0002020</t>
  </si>
  <si>
    <t>Джумабеков А.А. (Жұмабеков Ә.Ә.)</t>
  </si>
  <si>
    <t>5В073100 – «Өмір тіршілігінің қауіпсіздігі және қоршаған ортаны қорғау» мамандығы бойынша Қазақстан Республикасының мемлекеттік жалпыға міндетті білім беру стандартына сәйкес орналған оқу құралында геоэкологияның мақсаттары мен міндетті, жердің құрылымы, республикадағы геоэкологиялық аймақтары сараптау, атмосфераны ластауы көздер, гидросферадағы су айналымы, ландшафтардың түрлері, геоэкологиялық ортаға антропогендік және техногендік әсердің тигізетін әсері, бұзылған жерлердің қорғаудың технологиясы және басқа мәселелер қарастырылған.
 Оқу құралы жоғары оқу орындарының техникалық және технологиялық мамандықтарының білімгерлеріне, оқытушыларға арналған.
 Кесте 25, сурет 23, библиографиялық 23 атау бар.</t>
  </si>
  <si>
    <t>0002023</t>
  </si>
  <si>
    <t>Джумамухамбетов Н.Г.</t>
  </si>
  <si>
    <t>Нетрадиционные возобновляемые источники энергии</t>
  </si>
  <si>
    <t>Рассмотрены современное состояние и перспективы исполь¬зования в Казахстане и за рубежом энергии солнца, ветра, геотер¬мальных вод, малых рек, океанов, морей, вторичных энергоре¬сурсов и других возобновляемых источников энергии. Приве¬дены примеры их внедрения в народное хозяйство.
  Учебное пособие предназначено для студентов энергетических специальностей, а также для инженерно-технических работников, занимающих-ся решением проблем использования НВИЭ.</t>
  </si>
  <si>
    <t>0002024</t>
  </si>
  <si>
    <t>Джумамухамбетов Н.Г. (Жұмамұхамбетов Н.Ғ.), Яшков В.А., Жаналиева М.А.</t>
  </si>
  <si>
    <t>Электротехникалық материалтану</t>
  </si>
  <si>
    <t>Оқу құралында диэлектрикте, өткізгіштерде, жартылай өткізгіштерде, магниттік материалдарда келіп-кететін, физика құбылыстарының негізі баяндалған. Материалдардың классификациясы берілген және олардың электрлік, физика-химиялық, механикалық, ылғалды және рационды қасиеттері келтіріледі. Электртехникалық материалдар өндірісінің қысқа технологиясы және оларды қолдану аясы қарастырылады. Кітап электртехникалық мамандықтағы студенттер үшін оқу құралы есебінде арналған және әртүрлі электртехникалық мамандықтағы мамандармен пайдалы болуы мүмкін</t>
  </si>
  <si>
    <t>0002025</t>
  </si>
  <si>
    <t>Джумамухамбетов Н.Г., В.А.Яшков, М.С. Ершов, А.А. Конарбаева, А.И. Исмагулова</t>
  </si>
  <si>
    <t>Надежность и качество электроэнергии в системах промышленного электроснабжения</t>
  </si>
  <si>
    <t>В учебном пособии изложены вопросы качества промышленного электроснабжения, включающее две составляющие: качество электроэнергии и надежность электроснабжения, которые влияют на показатели функционирования потребителей электроэнергии.
 Учебное пособие предназначено для преподавателей, студентов и учащихся колледжей электротехнических специальностей, а также специалистов в области промышленного электроснабжения.</t>
  </si>
  <si>
    <t>0002028</t>
  </si>
  <si>
    <t>Джурунтаев Д.</t>
  </si>
  <si>
    <t>Схемотехника (рус.)</t>
  </si>
  <si>
    <t>0002030</t>
  </si>
  <si>
    <t>Диаров М.Д., Сериков Т.П.</t>
  </si>
  <si>
    <t>Закономерности формирования месторождений боросолевых руд</t>
  </si>
  <si>
    <t>0002031</t>
  </si>
  <si>
    <t>Экология и нефтегазовый комплекс том 1</t>
  </si>
  <si>
    <t>0002032</t>
  </si>
  <si>
    <t>Экология и нефтегазовый комплекс том 2</t>
  </si>
  <si>
    <t>0002033</t>
  </si>
  <si>
    <t>Экология и нефтегазовый комплекс том 3</t>
  </si>
  <si>
    <t>0002035</t>
  </si>
  <si>
    <t>Экология и нефтегазовый комплекс том 5</t>
  </si>
  <si>
    <t>0002036</t>
  </si>
  <si>
    <t>Экология и нефтегазовый комплекс том 6</t>
  </si>
  <si>
    <t>0002040</t>
  </si>
  <si>
    <t>Динасылов А. Д.</t>
  </si>
  <si>
    <t>Сборник тестовых заданий по инженерной и компьютерной графике</t>
  </si>
  <si>
    <t>В учебном пособии приводятся тесты для оценки текущей успеваемости и проведения рубежных и итогового контроля по трехкредитной дисциплине «Инженерная и компьютерная графика». Тесты охватывают разделы: основы теории построения чертежей, техническое черчение, основы работы в компьютерной графической системе AutoCAD. Учебное пособие предназначено для студентов всех специальностей, изучающих дисциплины «Инженерная и компьютерная графика», «Основы компьютерного черчения и 3D-моделирования», «Инженерная графика» и других, обеспечивающих графическую подготовку бакалавров для различных отраслей техники и технологий</t>
  </si>
  <si>
    <t>0002041</t>
  </si>
  <si>
    <t>Оқу құралда микроорганизмдердің құрылымы, олардың энергиялық және биосинтетикалық процестері, өсуі мен культивирленуі, генетикасы мен басқа организмдермен өзара әсері сипатталған. Бактериялардың тіршілік қабілетіне әсер ететін физикалық және химиялық факторлардың әсеріне назар аударылған. Микроорганизмдер систематикасы келтірілген. Микробиологияның дамуының негізгі кезеңдері қарастырылған. Жоғары оқу орындарының 5В060700 –«Биология» мамандығының студенттеріне оқу жетістіктерді сырттай бағалау тестіне дайындалуға арналады</t>
  </si>
  <si>
    <t>0002042</t>
  </si>
  <si>
    <t>Динмухамедова А.С.</t>
  </si>
  <si>
    <t>Сборник тестовых заданий по микробиологии</t>
  </si>
  <si>
    <t>Учебно-методическое пособие включает 500 тестовых заданий, из которых 250 разработаны автором самостоятельно и 250 составлено на основе тестовых заданий, разработанных Национальным центром тестирования для внешней оценки учебных достижений. Тестовые задания составлены по следующим разделам: «История возникновения и развития микробиологии», «Морфология и ультраструктура бактерий», «Энергетические и биосинтетические процессы», «Генетика микроорганизмов», «Действие химических и физических факторов на жизнедеятельность бактерий», «Систематика микроорганизмов». Пособие разработано для студентов биологического направления, может быть полезно для обучающихся медицинского и сельскохозяйственного профиля. Пособие предназначено для обучения и контроля знаний студентов</t>
  </si>
  <si>
    <t>0002043</t>
  </si>
  <si>
    <t>Микробиологиядан тест тапсырмалар жиынтығы</t>
  </si>
  <si>
    <t>Оқу-әдістемелік құралында 500 сынақ тапсырмасн қамттылған, оның ішінде 250 авторлармен әзірленген және 250 ұлттық тестілеу орталығымен әзірленген тесттік тапсырмалары негізінде дайындалған, олар оқу жетістіктерін сырттай бағалауға арналған. Тест тапсырмалары келесі бөлімдерден тұрады: «Микробиологияның пайда болуы және даму тарихы», «Микроорганизмдердің морфологиясы және құрылымы», «Микроорганизмдер систематикасы», «Микроорганизмдердің генетикасы», «Энергетикалық және биосинтетикалық процестер», «Микроорганизмдер тіршілігіне физикалық және химиялық факторлардың әсері». Оқу-әдістемелік құралы биологиялық, медициналық және ауылшаруашылық бағыттағы білім алатын студенттерге арналған. Студенттерге білім беруге және бақылауға арналған.</t>
  </si>
  <si>
    <t>0002047</t>
  </si>
  <si>
    <t>Диханбаева Ф.Т.</t>
  </si>
  <si>
    <t>Сүт қышқылды өнімдер технологиясы</t>
  </si>
  <si>
    <t>Оқу құралында, сүттің химиялық құрамы және физика-химиялық қасиеттері, сүтті бастапқы өңдеу процестері қарастырылған. Сүт қышқылды өнімдерінің өндіру технологиясына сипаттама берілген.
 Оқу құралы технологиялық мамандықта оқитын студенттерге және магистрантарға арналған.</t>
  </si>
  <si>
    <t>0002048</t>
  </si>
  <si>
    <t>Диярова Л.Д, Нигметова Г.Н.</t>
  </si>
  <si>
    <t>Математика: Экономикалық мамандықтар үшін оқу құралы 1ч</t>
  </si>
  <si>
    <t>Оқу құралы экономикалық мамандық алу үшін оқып жүрген жоғарғы оқу орындарына және колледж, лицей студенттері мен оқушыларына және мұғалімдеріне арналған.</t>
  </si>
  <si>
    <t>0002049</t>
  </si>
  <si>
    <t>9965-499-57-8</t>
  </si>
  <si>
    <t>Математика: Экономикалық мамандықтар үшін оқу құралы 2ч</t>
  </si>
  <si>
    <t>0002050</t>
  </si>
  <si>
    <t>Ділдәбек Д.С.</t>
  </si>
  <si>
    <t>Тіршілік қауіпсіздік негіздері</t>
  </si>
  <si>
    <t>Оқу құралы Қазақстан Республикасының мемлекеттік жалпыға міндетті білім беру стандартына сәйкес орындалған. Оқу құралында Қазақстан Республикасының төтенше жағдайлар саласындағы негізгі заңдары, тіршілік қауіпсіздігін қамтамасыз етудің теориялық, ұйымдастырушылық негіздері, адамның мекендейтін ортасының қауіптіліктері. Олардан қорғану жүйелеріне шолу жүргізілген. Бейбіт уақыттағы төтенше жағдайлар, олардың жіктелуі, төтенше жағдайлар туындаған аймақтар сипаттамалары, ол аймақтан халықты қорғау жолдары қарастырылған. Оқу құралы жоғарғы оқу орнының гуманитарлық саласындағы білімгерлерге арналып дайындалған.</t>
  </si>
  <si>
    <t>0002051</t>
  </si>
  <si>
    <t>Ділман Т.Б., Ділманова А.Т.</t>
  </si>
  <si>
    <t>Оңтайландыру әдістері. 2 басылымы</t>
  </si>
  <si>
    <t>Оқу әдістемелік құрал функцияның экстремумін, сызықтық және сызықтық емес есептерді шешу әдістерін баяндауға арналған. Бұл еңбек жоғары оқу орындарының техникалық және экономикалық мамандықтарының студенттеріне арналған “Оңтайландыру әдістері” пәні бойынша қосымша оқу құралы ретінде ұсынылады. Оқу әдістемелік құралының тілі жатық, түсінуге ыңғайлы, материалда көптеген сызбалар мен, компьютерлік есептеу жүйесі пайдаланылады.</t>
  </si>
  <si>
    <t>0002052</t>
  </si>
  <si>
    <t>Сандық әдістер. (2басылымы)</t>
  </si>
  <si>
    <t>0002054</t>
  </si>
  <si>
    <t>Дмитриев П.С., Белецкая Н.П., Каиржанова Л.С., Фомин И.А.</t>
  </si>
  <si>
    <t>Природные ресурсы Северо-Казахстанской области</t>
  </si>
  <si>
    <t>Издание содержит уникальные авторские научно-исследовательские материалы по природно-ресурсному потенциалу Северно-Казахстанской области.В работе приводятся сведения опо состоянию почв и растительного покрова региона. Предложены мероприятия по улучшению качества земель и охраны от истощения. Достаточно детально рассмотрено биологическое разнообразие флоры и фауны, отводится место природоохранным мероприятиям, направленным на их сохранение.Монография «Природные ресурсы Северо-Казахстанской области» предназначена для студентов специальностей 5В060800 – Экология, 5В060900, 5В011600 – География, 5В060700, 5В011300 – Биология, а также магистрантов специальностей 6М060800 – Экология, 6М060900 – География, 6М060700 – Биология, для преподавателей и специалистов в облости естественных наук.</t>
  </si>
  <si>
    <t>0002055</t>
  </si>
  <si>
    <t>Дмитриев П.С., Белецкая Н.П., Фомин И.А</t>
  </si>
  <si>
    <t>Редкие и исчезающие виды экосистем Северо-Казахстанской области</t>
  </si>
  <si>
    <t>Учебно-методическое пособие предназначено для студентов специальностей 5В060800 Экология, 5В060900, 5В011600 География, а также магистрантов специальностей 6М060800 Экология, 6М060900 География. Пособие подготовлено для использования в рамках изучения дисциплин: «Физическая география Казахстана», «Экология Казахстана», «Основы туризма и краеведение», «География и экология в вузах», «География Северо-Казахстанской области» и др. Обобщенный в пособии научно-исследовательский материал посвящен рассмотрению проблемы биологического разнообразия Северо-Казахстанской области. Материал рекомендован учителям и преподавателям, а также всем интересующимся вопросами краеведения</t>
  </si>
  <si>
    <t>0002056</t>
  </si>
  <si>
    <t>Современное состояние озер Северо-Казахстанской области</t>
  </si>
  <si>
    <t>Учебно-методическое пособие предназначено для студентов специальностей 5В060800 Экология, 5В060900, 5В011600 География, а также магистрантов специальностей 6М060800 Экология, 6М060900 География. Пособие подготовлено для использования в рамках изучения дисциплин: «Физическая география Казахстана», «Экология Казахстана», «Охрана наземных и водных экосистем», «Окружающая среда и сохранение биологического разнообразия», «Мониторинг окружающей среды и геоинформационные системы» и др</t>
  </si>
  <si>
    <t>0002058</t>
  </si>
  <si>
    <t>Доғалов А.Н.</t>
  </si>
  <si>
    <t>Тұрар Рысқұловтың экономикалық көзқарасы. 2-басылым</t>
  </si>
  <si>
    <t>0002059</t>
  </si>
  <si>
    <t>Использование научных трудов видных казахских мыслителей (IX в.- 1937г.) при изучении экономической теории.</t>
  </si>
  <si>
    <t>Данное учебное пособие дополняет имеющуюся учебную литературу по курсам «Экономическая теория», «Основы экономической теории» и прикладных экономических дисциплин, так как в нем содержится хрестоматийный материал из опубликованных раннее трудов выдающихся казахских мыслителей по отдельным темам с соответствующими комментариями, что способствует студентам более глубокому восприятию изучаемого материала. Предназначено для студентов, магистрантов и докторантов вузов, изучающих «Экономическую теорию», «Основы экономической теории» и конкретные экономические дисциплины, а также представляет определенный интерес преподавателям экономических предметов. Учебно-методическое пособие по использованию научных трудов видных казахских мыслителей при изучении экономической теории выполнено на кафедре экономической теории Евразийского Национального Университета им. Л.Н. Гумилева.</t>
  </si>
  <si>
    <t>0002061</t>
  </si>
  <si>
    <t>Экономические идеи Жусупа Баласагуна.</t>
  </si>
  <si>
    <t>Проблемы формирования национальной истории экономической мысли Казахстана и использование экономических идей предшествовавших поколении при разработке и реализации экономической политики республики являются актуальными. 
 В монографии обобщены результаты авторского исследования экономических воззрений выдающегося поэта и видного государственного деятеля тюркского раннего средневековья Жусупа Баласагуна в поэме «Кутадгу билиг» («Благодатное знание»). В научном труде рассматриваются важнейшие аспекты экономического наследия мудрого наставника правителей тюркской империи и его вклад в развитие экономической науки в целом, и экономической теории в частности.
 Предназначена для государственных служащих, обществоведов, научных работников в области истории и экономики, преподавателей и студентам Вузов и учащихся средних специальных учебных заведений, старших классов, учителей школ, для всех, кто интересуется историческим прошлым казахского народа.</t>
  </si>
  <si>
    <t>0002062</t>
  </si>
  <si>
    <t>Доғалов А.Н., Досмағамбетов Н.С.</t>
  </si>
  <si>
    <t>Жүсіп баласағұнның экономикалық идеялары</t>
  </si>
  <si>
    <t>Авторлардың ұсынып отырған монографиясында түркі қоғамының ерте ортағасырларында өмір сүрген данышпан ақын және көрнекті мемлекет қайраткері Жүсіп Баласағұнның «Құтты білік» деп аталатын әйгілі дастанындағы экономикалық идеяларына зерттеулер жүргізілген. Бұл ғылыми еңбекте түркі империясының билеушілеріне ақыл айтушы дана ғалымның экономикалық идеялар мұрасының аса маңызды аспектілері және оның экономикалық ғылымның дамуына жалпылай және экономикалық теорияға жекелей қосқан үлесі қарастырылады. 
 Ұсынылып отырған ғылыми еңбек мемлекеттік қызметкерлерге, қоғам танушыларға, тарих мен экономика саласындағы ғылым мамандарына, жоғары оқу орындарының оқытушыларына және білім алушыларына, кәсіптік білім беру мекемелерінің оқушыларына, қазақ халқының өткенгі тарихымен айналысатын және қызығушылық танытатын барлық оқырман қауымға арналады. 
  Жүсіп Баласағұнның экономикалық идеялары атты монография Л.Н. Гумилев атындағы Еуразия ұлттық университетінің Экономика және кәсіпкерлік кафедрасында орындалды.</t>
  </si>
  <si>
    <t>0002063</t>
  </si>
  <si>
    <t>Доғалов А.Н., Досмағанбетов Н.С</t>
  </si>
  <si>
    <t>Экономикалық теория</t>
  </si>
  <si>
    <t>Аталған оқулықта экономикалық теория пәнінің негізгі мәселелері жан-жақты қарастырылған. Тақырыптық мәселелер теориялық тұрғыдан ғана емес, өзін-өзі тексеру сұрақтары, жаттығулар, есептер, графиктер мен кестелер, тест тапсырмалары, статистикалық деректер және негізгі ұғымдар көмегімен де жатық түсіндіріледі. 
 Оқулық оқыту жүйесінің кредиттік технологиясына негізделген және 5В050600-Экономика, 5В050700-Менеджмент, 5В050800-Есеп және аудит, 5В050900-Қаржы, 5В051000-Мемлекеттік жергілікті басқару, 5В052100-Мемлекеттік аудит, басқа да экономикалық мамандықтарды даярлайтын жоғары оқу орнының студенттеріне, оқытушыларға, сондай-ақ, микроэкономиканы өз бетінше оқитын оқырман қауымға арналады.</t>
  </si>
  <si>
    <t>0002064</t>
  </si>
  <si>
    <t>Доғалов А.Н., Досмағанбетов Н.С.</t>
  </si>
  <si>
    <t>Микроэкономика</t>
  </si>
  <si>
    <t>Аталған оқулықта микроэкономика пәнінің базалық мәселелері жан-жақты қарастырылған. Тақырыптық мәселелер теориялық тұрғыдан ғана емес, жаттығулар, есептер, графиктер мен кестелер, тест тапсырмалары көмегімен де жатық түсіндіріледі. Оқулық оқыту жүйесінің кредиттік технологиясына негізделген және 5В050600-Экономика, 5В050700-Менеджмент, 5В050800-Есеп және аудит, 5В050900-Қаржы, 5В051000-Мемлекеттік жергілікті басқару, 5В052100-Мемлекеттік аудит, басқа да экономикалық мамандықтарды даярлайтын жоғары оқу орнының студенттеріне, оқытушыларға, сондай-ақ, микроэкономиканы өз бетінше оқитын оқырман қауымға арналады</t>
  </si>
  <si>
    <t>0002065</t>
  </si>
  <si>
    <t>Қазақ ойшылдарының ғылыми еңбектеріндегі экономикалық теорияның негізгі мәселелері</t>
  </si>
  <si>
    <t>Монография «Экономикалық теория», «Экономикалық теория негіздері» және қолданбалы экономикалық пәндердің курстары бойынша оқу әдебиетін толықтырады, өйткені, білім алушыларға зерттелетін материалды терең ұғынуына мүмкіндік бере отырып, келтірілген ұсыныстары бар жекелеген тақырыптар бойынша атақты қазақ ойшылдарының бұрын жарияланған еңбектерінен қамтылған хрестоматиялық материалды құрайды. «Экономикалық теорияны», «Экономикалық теория негіздерін» және нақты экономикалық пәндерді оқитын студенттер, магистранттар және докторанттар үшін арналады, сонымен қатар, экономикалық пәндердің оқытушыларына белгілі бір қызығушылық алып келеді. Көрнекті қазақ ойшылдарының ғылыми еңбектеріндегі экономикалық теорияның негізгі мәселелері бойынша монография Л.Н. Гумилев атындағы Еуразия ұлттық университетінің Экономикалық теория кафедрасында орындалды.</t>
  </si>
  <si>
    <t>0002067</t>
  </si>
  <si>
    <t>Догарева Н.Г., Лоретц О.Г., Ребезов М.Б., Горелик О.В., Смольникова Ф.Х.</t>
  </si>
  <si>
    <t>Технологии сыров. 1 том</t>
  </si>
  <si>
    <t>В учебном пособии проанализированы промышленные технологии производства различных видов сыров, как натуральных, так и переработанных. Рассмотрены классификации, определения сыров. Уделено внимание требованиям к молоку, предназначенному для производства сыров, различным микробиологическим и физико-химическим процессам, происходящим при производстве сыров. Учебное пособие предназначено для студентов, обучающихся по про-граммам высшего образования по направлению подготовки 260.200.62. и 19.03.03.62. «Продукты питания животного происхождения», 5В072700 «Технология продовольственных продуктов».</t>
  </si>
  <si>
    <t>0002068</t>
  </si>
  <si>
    <t>Технологии сыров. 2 том</t>
  </si>
  <si>
    <t>0002069</t>
  </si>
  <si>
    <t>Догарева Н.Г., Ребезов М.Б., Богатова О.В., Нургазезова А.Н., Бакирова Л.С.</t>
  </si>
  <si>
    <t>Традиционные промышленные технологии производства масла из коровьего молока</t>
  </si>
  <si>
    <t>В учебном пособии рассмотрены традиционные промышленные технологии производства масла из коровьего молока, пути рационального использования молочного сырья. 
 Данное пособие написано в соответствии с требованиями, предъявляемыми квалификационной характеристикой по направлениям подготовки бакалавров: продукты питания животного происхождения, технология продовольственных продуктов; пищевая биотехнология; технология перерабатывающих производств.</t>
  </si>
  <si>
    <t>0002071</t>
  </si>
  <si>
    <t>Долгополов А.Б.</t>
  </si>
  <si>
    <t>Избранные лекции по истории Казахстана</t>
  </si>
  <si>
    <t>Учебное пособие включает в себя избранные лекции по дисциплине «История Казахстана», а также тесты, приложения и терминологический словарь, предназначенные для изучения данного курса студентами неисторических специальностей, старшеклассниками при подготовке к сдаче ЕНТ по истории Казахстана.
  В пособии отражены ключевые темы дисциплины в соответствии с разделами типовой программы по «Истории Казахстана» по ГОСО 2006г</t>
  </si>
  <si>
    <t>0002072</t>
  </si>
  <si>
    <t>Долгополов А.Б., Мустафина Т.В.</t>
  </si>
  <si>
    <t>Қазақстан тарихынан таңдамалы дәрістер</t>
  </si>
  <si>
    <t>Оқу құралына «Қазақстан тарихы» пәні бойынша таңдамалы дәрістер, тест сұрақтары, қосымшалар және терминологиялық сөздік енген. Материалды жоғарғы сынып оқушылары мен тарих факультетінен басқа мамандықтардың студенттері емтиханға дайындық барысында қолдана алады. 
 Оқу құралы «Қазақстан тарихы» пәні бойынша ГОСО 2006 ж. типтік бағдарламасына сәйкес құрастырылған.</t>
  </si>
  <si>
    <t>0002073</t>
  </si>
  <si>
    <t>Домацкий В.Н., Аубакиров М.Ж.</t>
  </si>
  <si>
    <t>Паразитические насекомые и клещи</t>
  </si>
  <si>
    <t>В учебном пособии отдельные главы посвящены насекомым и клещам, имеющим ветеринарно-медицинское значение. В нем дано описание морфологии, биологии, экологии, циклов развития насекомых и клещей, симптомы вызываемых ими заболеваний, пути распространения, современные методы диагностики, терапии и профилактики инвазий.
  В пособие включены материалы по методам определения эффективности инсектоакарицидов, сбора и учета численности кровососущих членистоногих.
  Предназначено для студентов, обучающихся по специальностям 5В120100 - Ветеринарная медицина, 5В120200 - Ветеринарная санитария, а также для студентов, магистров, бакалавров, аспирантов направления «Ветеринария», «Зоотехния», «Ветеринарно-санитарная экспертиза».</t>
  </si>
  <si>
    <t>0002076</t>
  </si>
  <si>
    <t>Досжанова Ж.Т.</t>
  </si>
  <si>
    <t>Жоғары жүйке жүйесінің физиологиясы мен нейрофизиологиясы</t>
  </si>
  <si>
    <t>Дәріс жинағы</t>
  </si>
  <si>
    <t>Дефектология</t>
  </si>
  <si>
    <t>Дәріс жинағында қазіргі заманғы физиологияның ғылыми зерттеу әдістерінің ғылыми-теориялық негіздері, рефлекстік байланыстардың пайда болу заңдылықтары, олардың таңдау процестері мен механизмдері, қалыпты және патологиялық шартты рефлекстердің түрі мен динамикасы, сондай-ақ сенсорлық жүйелердің нейрофизиологиясының ерекшеліктері, және зерттеуді жүргізу ережелері туралы білімдер қарастырылады.</t>
  </si>
  <si>
    <t>0002081</t>
  </si>
  <si>
    <t>Достияров А., Шертаев Е., Нұрсейітов Ш., Шертаева Н.</t>
  </si>
  <si>
    <t>Өнеркәсіпке су дайындау технологиясы</t>
  </si>
  <si>
    <t>«Өнеркәсіпке су дайындау технологиясы» пәнінің дәрістік,лабораториялық, практикалық сабақтарына және курстық жобалауға арналған оқу құралы осы пәнді кредиттік технологиямен оқытуда қолданылуға ұсынылып отыр.
 Оқу құралында өнеркәсіпке су дайындау технологиясы пәнінің бағдарламасына сәйкес су дайындаудың физика-химиялық әдістері,үдерістердің негізгі жүру заңдары, оларға әсер етуші жағдайлар мен үдерістердің жылдамдығы, қолданылатын аппараттардың түрлері мен технологиялық тізбектің сұлбалары келтірілген.
 Оқу құралы Қазақстан Республикасының Білім және Ғылым министрлігі бекіткен мемлекеттік стандарттар мен типтік оқу бағдарламаларына сәйкес жылуэнергетикасы, техникалық және технологиялық мамандықтарының студенттері мен оқытушыларына арналған. Бұл еңбек металлургия, химия өндірістеріінің және жылуэнергетика мамандарына да пайдалы болып табылады.</t>
  </si>
  <si>
    <t>0002096</t>
  </si>
  <si>
    <t>Дуанбекова Г.Б.</t>
  </si>
  <si>
    <t>Оптимизация функциональных возможностей организма спортсменов посредством нутрицевтиков и парафармацевтиков</t>
  </si>
  <si>
    <t>В монографии рассматриваются основы биохимических и физиологических аспектов питания, роли воды, витаминов, минеральных и питательных веществ в организме. Подробно освещены вопросы спортивной нутрициологии с учетом специализации и квалификации спортсменов, периода подготовки и направленности нагрузок, а именно характеристике и применению функциональных напитков. Уделено внимание фармакокоррекции типичных для спортсменов пограничных и патологических состояний. Предназначено для врачей, спортсменов, тренеров, студентов специальности «Физическая культура и спорт», «Начальная военная подготовка», «Медицина»)</t>
  </si>
  <si>
    <t>0002097</t>
  </si>
  <si>
    <t>Дудак Н.С. Касенов А.Ж.</t>
  </si>
  <si>
    <t>Расчет режимов резанья</t>
  </si>
  <si>
    <t>Учебное пособие используются при выполнении практических заданий по обработке конструкционных материалов по дисциплине «Теория резания», а также при расчёте режимов резания и проектировании технологических процессов механической обработки деталей машин в курсовых и дипломных проектах для машиностроительных специальностей бакалавриата и магистратуры.
 Для составления данных методических указаний использованы, приведенные в списке литературы источники, составляющие общую базу данных стран СНГ как правопреемников научно-методических разработок советской школы образования с учётом достижений передовых стран мира</t>
  </si>
  <si>
    <t>0002098</t>
  </si>
  <si>
    <t>Дудкин М.В.</t>
  </si>
  <si>
    <t>Выбор посадок и расчет размерных цепей - Қондырмаларды таңдау және тізбектік өлшемдер есептемесі</t>
  </si>
  <si>
    <t>В работе даны материалы, исходные данные и приложения для выполнения курсовой работы по курсам «Взаимозаменяемость, стандартизация и технические измерения» и «Метрология, стандартизация и сертификация». Работа соответствует требованиям типовой учебной программы. Состоит из 4-х разделов и примера расчета курсовой работы на ЭВМ, 6-и приложений, в которых даны задания, методика и теоретическое обоснование выполнения курсовой работы с представлением всей справочной информации, рекомендаций и ГОСТов.</t>
  </si>
  <si>
    <t>0002099</t>
  </si>
  <si>
    <t>Планетарные вибровозбудители для дорожных вибрационных катков</t>
  </si>
  <si>
    <t>0002112</t>
  </si>
  <si>
    <t>Дуйсенбекова О.О.</t>
  </si>
  <si>
    <t>Сапаны жалпы басқарудың модельдері. (2 –ші басылым)</t>
  </si>
  <si>
    <t>Оқулықта сапаның жүйесін басқаруға арналған ғылыми, әдістемелік және ұйымдастыру жұмыстарын қамтамасыз ету мәселелері қарастырылған. Сапаны жалпы басқарудың модельдерін қамтамасыз етуді ұйымдастыруы, өнімнің қасиеттері мен сипатының жиынтығы, сапаға қатысты ұйымды басқару немесе жетекші ету жөніндегі үйлестірілген қызметтері, өнім сапасын басқару механизмі жүйесінің өзара байланысты объектілері мен субъектілерінің жиынтығы, өнімнің өмірлік кезеңінің әртүрлі сатыларындағы және сапаны басқару деңгейлеріндегі қолданылатын ережелері мен әдістерінің жиынтықтары көрсетілген. Оқулықта кесте, сұлба және тапсырмалар ретінде көптеген мысалдар мен анықтамалық мәліметтер берілген. Оқулық «Метрология, стандарттау және сертификаттау» бағыты бойынша жоғары оқу орындарының студенттеріне және колледж оқушыларына арналған. Сонымен қатар, магистранттар мен өндіріс мамандарына да қызығушылық туғыза алады.</t>
  </si>
  <si>
    <t>0002113</t>
  </si>
  <si>
    <t>Қолдану саласы бойынша СЗ және СРО аккредиттеу</t>
  </si>
  <si>
    <t>Сертифик, стандарт, метрол</t>
  </si>
  <si>
    <t>Оқулықта аккредиттеу жүйесін басқаруға арналған ғылыми, әдістемелік және ұйымдастыру жұмыстарын қамтамасыз ету мәселелері қарастырылған. СЗ және СРО аккредиттеуді қамтамасыз етуді ұйымдастыруы, Аккредиттеудің мақсаттары және критерийлері, ережелері және талаптары, ҰАО даму тарихы және құрылымы. ILAC, IAF ЕА халықаралық құжаттары, Сертифи-каттау органдары мен сынау орталықтарын аккредиттеуді тіркеу, Сапа менеджмент жүйесінің қызметкерлер жұмысына сәйкестігін растау жөніндегі органдар,Аккредиттеу органының EN45003 келісімі бойынша типтік сұлбалары, Аккредиттелген сертификаттау органдары мен сынау орталықтары іс-әрекеттеріне мемлекеттік бақылау жүргізу әдістемесі,Қазақстан Республикасы аккредиттеу жүйесі. Өлшеу жүргізу әдістемелерін метрологиялық аттестаттау құқығына аккредиттеу реті,Сәйкестікті растау жөніндегі органдарды, сынақ зертханаларын (орталықтарын) аккредиттеу ережелері берілген. Оқулық ««Қолдану саласы бойынша СЗ және СРО аккредиттеу»» бағыты бойынша жоғары оқу орындарының білімгерлеріне арналған. Сонымен қатар, магистранттар мен өндіріс мамандарына да қызығушылық туғыза алады.</t>
  </si>
  <si>
    <t>0002115</t>
  </si>
  <si>
    <t>Тағам өнімдерінің сараптау әдістемелері</t>
  </si>
  <si>
    <t>«Тағам өнімдерінің сараптау әдістемелері» оқулығы аграрлық өнеркәсiптiк кешенi мен Мемстандарт ғылым және тәжiрибе қызметкерлерi, анықтамалық-әдiстемелiк құрал ретiнде пайдалануы мүмкiн. Ғылыми зерттеулер мен бiлiм үшiн сапа мәселелерiнiң басымдылығы негiзделген. Өнеркәсіптік тауарлар мен қызметтердің сапасын бақылау мен басқарудың әдістері салаларының негізгі ұғымдары және анықтамаларын, технологиялық үрдісті орындаудың барлық кезеңінде және тұтынушыға, әлемдік және мемле-кеттік стандарттар деңгейінде өнім сапасын ең аз шығынмен басқаруды техникалық бақылау мен құқықтық қамтамасыз етуді ұйымдастыруға апаратын жолда өнім сапасын бақылау мен басқару мәселесін кешенді шешуі жан-жақты баяндалған.</t>
  </si>
  <si>
    <t>0002117</t>
  </si>
  <si>
    <t>Дукенбаева А.Д.</t>
  </si>
  <si>
    <t>Өсімдіктердің көбею жолдары</t>
  </si>
  <si>
    <t>Оқу- әдістемелік құралда өсімдіктердің көбеюі, тіршілік кезеңдерінде ядролық фазалардың алмасуы жүрмейтін - вегетативті, жынысты және жыныссыз жолдармен көбейетін, тіршілік кезеңдерінде ядролық фазалардың алмасуы жүретін - генеративті және вегетативті көбеюі бар - тұқымдық көбею сияқты түрлерге бөлінген. 
 Балдырлар, мүктәрізділер, папоротниктәрізділер, ашық- және жабықтұқымдылар сияқты өсімдіктердің тіршілік кезеңдеріне сипаттама жазылған. Пайдаланылған терминдерге анықтамалар берілген. 
 Оқу- әдістемелік құрал 15 дәріс және 15 зертханалық сабақтардан, түсіндірме сөздігінен тұрады. Әр дәрістің және зертханалық сабақтың басында тақырыбы, мақсаты, жоспары көрсетіліп, соларға сай әр тақырыптың баяндамасы мен түйінді қорытындылары келтірілген.</t>
  </si>
  <si>
    <t>0002118</t>
  </si>
  <si>
    <t>Систематика растений</t>
  </si>
  <si>
    <t>0002121</t>
  </si>
  <si>
    <t>Дукенбаева З.О.</t>
  </si>
  <si>
    <t>Қазақтың шығармашылық интеллигенциясының тарихы (1917-1941жж)</t>
  </si>
  <si>
    <t>0002122</t>
  </si>
  <si>
    <t>ХХ ғасырдың 20-40 жылдарындағы ұлт зиялылары</t>
  </si>
  <si>
    <t>Оқу құралында 20-40 жылдардағы ұлт зиялыларының ХХ ғасырдың 20-40 жылдарындағы тағдырлары зерттелініп, шығармашылық интел-лигенцияның өсу жолдары мен кәсіби қызметін жеке бөліп осынау хронологиялық шеңберде талдау отандық тарихнамада алғаш рет қолға алынып отыр. Мақсат – өзіндік ерекшеліктері мол әдебиет, баспасөз, өнер, ғылым қайраткерлерінің қызметін мүмкіндігінше жүйелі, объективті, сыншыл тұрғыдан саралау. Оқу құралында тоталитаризмнің қуғын-сүргініне ұшыраған Кеңестік Қазақстандағы шығармашылық зиялыларының алғашқы ұрпағының қиын тағдыры нақты деректер негізінде сипатталады. Еңбек жоғары оқу орындарының “тарих” мамандығы бойынша білім алатын студенттерге, магистрлерге, аспирантттарға және оқытушыларға арналған.</t>
  </si>
  <si>
    <t>0002134</t>
  </si>
  <si>
    <t>Дүйсенбаев А.Қ. / Дуйсенбаев/</t>
  </si>
  <si>
    <t>Бұл оқу құралы мазмұнында психологияның теориялық-әдіснамалық негіздері, пәнаралық бағыттағы психология ғылымының салалары мен процестерін, заңдылықтары қарастырылады. Сонымен қатар практикалық сабақтардың жоспары, өзіндік жұмыс тапсырмалары, емтихан сұрақтары, глоссарий, әдебиеттер тізімі берілген. Оқу құралы 5В010000 – «Білім беру» тобы мамандығының студенттеріне, магистранттарға арналған</t>
  </si>
  <si>
    <t>0002135</t>
  </si>
  <si>
    <t>Дінтану. Дәрістер курсы</t>
  </si>
  <si>
    <t>Дінтану пәні бойынша дәрістер курсы теориялық мағлұмат беруді көздейді. Курс мазмұнында дәрістер, практикалық сабақтар мен өзіндік жұмыс тапсырмалары, глоссарий, әдебиеттер тізімі берілген. Дәріс курсы негізінен 5В010000 «Білім» мамандығының студенттеріне және мектептің дінтану пәнінен сабақ беретін мұғалімдерге арналған</t>
  </si>
  <si>
    <t>0002136</t>
  </si>
  <si>
    <t>Дінтану. Анықтамалық сөздік</t>
  </si>
  <si>
    <t>сөздік</t>
  </si>
  <si>
    <t>Дінтану ғылымның даму үрдісінде бірнеше ғылыми ұғымдардың келіп шығуына байланысты қиындықтар кездеседі. Анықтамалық сөздік дінтану пәндерінен теориялық мағлұмат беруді және мұғалімдер мен студенттерге ғылыми ұғымдарды дұрыс қолдануды үйретуді көздейді. Аталған сөздік негізінен 5В010000 – «Білім» тобы мамандығының студенттеріне, магистранттарға, дінтану пәнінен сабақ беретін мұғалімдерге арналған</t>
  </si>
  <si>
    <t>0002137</t>
  </si>
  <si>
    <t>Дүйсенбаев А.Қ. (Дуйсенбаев), Шаштығарин М.М.</t>
  </si>
  <si>
    <t>Кәсіптік оқыту жүйесіндегі педагогикалық менеджмент</t>
  </si>
  <si>
    <t>Бұл оқу құралы педагогикалық менеджмент пәнінен теориялық мағлұмат беруді көздейді. Оқу құралында дәрістер, практикалық сабақтар мен өзіндік жұмыс тапсырмалары, емтихан сұрақтары, тест тапсырмалары, глоссарий, әдебиеттер тізімі берілген. Оқу құралы 5В012000 – «Кәсіптік білім» мамандығының студенттеріне, магистранттарға арналған.</t>
  </si>
  <si>
    <t>0002138</t>
  </si>
  <si>
    <t>Дүйсенбаев А.Қ. , Кургамбеков М.С.</t>
  </si>
  <si>
    <t>Оқу құралы этнопедагогика пәнінен теориялық мағлұмат беруді көздейді. Оқу құралында дәрістер, практикалық сабақ, өзіндік жұмыс, аралық бақылау тапсырмалары, глоссарий, әдебиеттер тізімі берілген. Оқу құралы білім беру бағдарламасының студенттеріне, магистранттарына арналған.</t>
  </si>
  <si>
    <t>0002139</t>
  </si>
  <si>
    <t>Дүйсенбаев А.Қ., Кургамбеков М.С.</t>
  </si>
  <si>
    <t>Бұл оқу құралы мазмұнында педагогикалық мамандықтың қоғамдық ортадағы беделі мен проблемаларын, теориялық-әдіснамалық негіздерін, пәнаралық бағыттағы салалары мен үдерістерін, заңдылықтарын қарастырады. Сонымен қатар практикалық сабақтардың жоспары, өзіндік жұмыс тапсырмалары, емтихан сұрақтары, глоссарий, әдебиеттер тізімі берілген. Оқу құралы 5В012000 – «Кәсіптік білім» мамандығының студенттеріне, магистранттарға арналған.</t>
  </si>
  <si>
    <t>0002140</t>
  </si>
  <si>
    <t>Дүйсенбаев А.Қ./Дуйсенбаев А.К.</t>
  </si>
  <si>
    <t>Дәстүрлі түркілік тәрбие тағылымдары</t>
  </si>
  <si>
    <t>Монография.</t>
  </si>
  <si>
    <t>Монографияда түркі халықтарының ықылым заманнан бергі тәрбиелік тағылымдары мен мәдениетінің тарихы қарастырылған. Түркілік тәрбие ұстанымы әлемдік тұтастықтың, түркі халықтарының парасаттылығы мен шығармашылық әлеуетінің, адам ресурстарының негізі ретінде жас ұрпақ санасын жаңа сапалық даму сатысына көтеретіні зерделенеді. Монография мазмұнында түркі халықтарының ғұлама ойшылдарының түркілік тәрбие идеялары мен тәлімдік тәжірибелері туралы құнды деректер берілген. Монография студенттерге, магистранттар мен докторанттарға, педагог ғалымдарға арналған.</t>
  </si>
  <si>
    <t>0002141</t>
  </si>
  <si>
    <t>Түркі халықтарының этнопедагогикасы</t>
  </si>
  <si>
    <t>0002142</t>
  </si>
  <si>
    <t>Дүйсенғазы С. М.</t>
  </si>
  <si>
    <t>Шетел әдебиетінің тарихы</t>
  </si>
  <si>
    <t>Оқулықта Еуропа және Америка әдебиеті классик қаламгерлерінің шығармашылық өмірі мен туындылары талданып берілген. Кітап университет бағдарламасы бойынша оқытылатын қазақ тіліндегі «Шетел әдебиетінің тарихы» пәніне арналған оқулық пен оқу құралдарының тапшылығына байланысты жазылды. Оқулық «қазақ тілі мен әдебиеті», «қазақ филологиясы» мамандығының студенттеріне және шетел әдебиетіне қызығушылық танытатын магистранттар мен докторанттар үшін дайындалған. 2010 жылы жарық көрген бұл оқулық сұранысқа байланысты қайта басылып отыр</t>
  </si>
  <si>
    <t>0002144</t>
  </si>
  <si>
    <t>Каз/рус/англ</t>
  </si>
  <si>
    <t>Дүкембай Г.Н., Дүкембай Н.С.</t>
  </si>
  <si>
    <t>Қазақ халқының әншілік дәстүрі: Сөздік, аударма және түсініктер. Песенные традиции казахского народа: словари, переводы и понятия. Song traditions of the kazakh people: dictionary, translation and concepts</t>
  </si>
  <si>
    <t>Учебно-справочное пособие</t>
  </si>
  <si>
    <t>Оқу-анықтама құралы ЖОО студенттеріне, магистранттарға, оқытушыларға және қазақ халқының әншілік дәстүрін тереңірек үйренгісі келетіндерге арналған. Оқу-анықтама құралы үш бөлімнен тұрады және құралда 1000-нан аса қазақ Учебно-справочное пособие предназначено для студентов ВУЗа, магистрантов, преподавателей и для всех желающих ближе узнать истоки песенной традиции казахского народа.Учебно-справочное пособие состоит из 3-х частей и содержит более 1000 специфических казахских музыкальных терминалогии.музыкалық терминдерінің жиынтығы бар.Educational handbook is intended for university students, graduates, teachers, and for everyone who wants to know the origin of song traditions of the Kazakh people.Educational handbook consists of 3 parts and contains more than 1000 specific Kazakh musical terms.</t>
  </si>
  <si>
    <t>0002145</t>
  </si>
  <si>
    <t>Дүкембай Г.Н., Дүкембай Н.С., Кудерина А.Е.</t>
  </si>
  <si>
    <t>Музыкальный казахский</t>
  </si>
  <si>
    <t>Предлагаемый авторами учебник «Музыкальный казахский - учебник по изучению казахского языка» призван помочь обучающим при изучении государственного языка в уникальных рамках, как новая методика обучения.Учебник предназначен для студентов ВУЗа с русским языком обучения и содержит 10 песенных текстов с параллельным переводом.</t>
  </si>
  <si>
    <t>0002146</t>
  </si>
  <si>
    <t>Дүкембай Н.С., Дүкембай Г.Н.</t>
  </si>
  <si>
    <t>Педагог - музыканттың әдіснамалық мәдениеті</t>
  </si>
  <si>
    <t>Оқу құралы болашақ педагог - музыканттың әдіснамалық мәдениетінің қалыптасуына арналады. Оқу құралында музыкалық білім беру педагогикасының әдіснамалық негізі, музыкалық – педагогикалық ізденістің әдіснамалық сипатының негізі қаралады, музыкалық білім беру педагогикасының басқа ғылымдармен байланысы, музыкалық – педагогикалық мәселелерін талдау технологиясы мен принциптері берілген. Қосымшада музыкант – педагогтің әдіснамалық мәдениет мәселесі, педагогика әдіснамасы және музыкалық білім беру практикасына арналған атақты ғалымдардың еңбектері, пікірлері берілген. Оқу құралы Мемлекеттік стандартқа сәйкес 0В010600 (бакалавриат) «Музыкалық білім беру» мамандығы және 6N0106 (магистратура) бойынша жазылған. Оқу құралын оқытушыларға, магистранттарға, аспиранттарға, жоғары және орта арнайы кәсіби оқу мекемелерінің студенттеріне, жалпы білім беру мекемелерінің мамандарына және де балаларға, жастарға музыкалық білім беру, музыкалық тербие беру процесімен байланысты мамандарға ұсынамыз.</t>
  </si>
  <si>
    <t>0002147</t>
  </si>
  <si>
    <t>Дүкембай Н.С., Әміренов Ә.Д.</t>
  </si>
  <si>
    <t>Музыкалық білім беру теориясы</t>
  </si>
  <si>
    <t>Оқулықта жалпы білім беру мекемелері жүзеге асыратын музыкалық білім беру негіздері мазмұндалады. Музыкалық білім беру теориясы педагогика ғылым саласы ретінде музыкалық білімге қатысты қарастырады. Білім процесіндегі музыка өнеріне, баланың тұлға ретінде дамуына, музыкалық білім беру негізгі компоненттеріне, жеке тұлғаға, музыка мұғалімінің әрекетіне арнайы көңіл аударылады.Оқулықтың барлық бөлімдері оқу мақсаттарына байланысты және де студенттің кәсіби ой-өрісінің дамуына, тұлғалық позициясының қалыптасуына бағытталып, арнайы тапсырмалармен бірлікте берілген.Оқулық арнайы музыкалық білім беретін жоғарғы оқу орындары мен музыкалық колледждердің студенттеріне, мектеп мұғалімдеріне және музыкалық білім беру мәселелері қызықтыратын жалпы оқырмандарға арналады.</t>
  </si>
  <si>
    <t>0002150</t>
  </si>
  <si>
    <t>Дьяченко В.К., Кусаинов Г.М., Васильева Е.Н</t>
  </si>
  <si>
    <t>Избранные дидактические произведения. Том VI – часть 1</t>
  </si>
  <si>
    <t>В шестой том избранных произведений вошли самые первые книги, которые были опубликованы в советское время в центральных педагогических издательствах «Педа-гогика» и «Просвещение»: «Организационная структура учебного процесса и ее разви-тие» (1989) и «Сотрудничество в обучении» (1991). Адресуется обучающимся гуманитарных колледжей, педагогических вузов и уни-верситетов, слушателям и тренерам системы дополнительного профессионального об-разования, педагогическим и научным работникам, руководителям организаций обра-зования и науки.</t>
  </si>
  <si>
    <t>0002151</t>
  </si>
  <si>
    <t>Избранные дидактические произведения. Том VI – часть 2</t>
  </si>
  <si>
    <t>0002152</t>
  </si>
  <si>
    <t>Избранные дидактические произведения. Том VII – часть 1</t>
  </si>
  <si>
    <t>В седьмой том избранных произведений вошла одна из последних книг, подводя-щей итоги более чем полувекового научного исследования и практической деятельно-сти В.К.Дьяченко, «Новая дидактика», вышедшей в 2001 году в издательстве «Народ-ное образование». Адресуется обучающимся гуманитарных колледжей, педагогических вузов и уни-верситетов, слушателям и тренерам системы дополнительного профессионального об-разования, педагогическим и научным работникам, руководителям организаций обра-зования и науки.</t>
  </si>
  <si>
    <t>0002153</t>
  </si>
  <si>
    <t>Избранные дидактические произведения. Том VII – часть 2</t>
  </si>
  <si>
    <t>0002154</t>
  </si>
  <si>
    <t>Избранные дидактические произведения. Том VIII – часть 1</t>
  </si>
  <si>
    <t>Адресуется обучающимся гуманитарных колледжей, педагогических вузов и уни-верситетов, слушателям и тренерам системы дополнительного профессионального об-разования, педагогическим и научным работникам, руководителям организаций обра-зования и науки.</t>
  </si>
  <si>
    <t>0002155</t>
  </si>
  <si>
    <t>Избранные дидактические произведения. Том VIII – часть 2</t>
  </si>
  <si>
    <t>0002158</t>
  </si>
  <si>
    <t>Избранные дидактические произведения. IV-том. 1-часть</t>
  </si>
  <si>
    <t>Настоящее справочное пособие представляет собой анализ, обобщение и систематизацию понятийно-категориальной системы сравнительно новой педагогической отрасли – учебниковедения и является первым подобным изданием на постсоветском пространстве.
 Пособие адресуется педагогическим и научно-педагогическим работникам, авторам и экспертам учебных изданий.</t>
  </si>
  <si>
    <t>0002159</t>
  </si>
  <si>
    <t>Избранные дидактические произведения. IV-том. 2-часть</t>
  </si>
  <si>
    <t>0002163</t>
  </si>
  <si>
    <t>Избранные дидактические произведения. V-том. 1-часть</t>
  </si>
  <si>
    <t>0002164</t>
  </si>
  <si>
    <t>Избранные дидактические произведения. V-том. 2-часть</t>
  </si>
  <si>
    <t>0002165</t>
  </si>
  <si>
    <t>Избранные дидактические произведения. V-том. 3-часть</t>
  </si>
  <si>
    <t>0002166</t>
  </si>
  <si>
    <t>Избранные дидактические произведения. V-том. 4-часть</t>
  </si>
  <si>
    <t>0002167</t>
  </si>
  <si>
    <t>Избранные дидактические произведения. Том IX</t>
  </si>
  <si>
    <t>В девятый том избранных произведений включена книга «Коллективный способ обучения. Дидактика в диалогах», опубликованная издательством «Народное образова-ние» при участии Главного управления администрации Красноярского края и Красно-ярского краевого института повышения квалификации работников образования в 2004 году. Адресуется обучающимся гуманитарных колледжей, педагогических вузов и уни-верситетов, слушателям и тренерам системы дополнительного профессионального об-разования, педагогическим и научным работникам, руководителям организаций обра-зования и науки.</t>
  </si>
  <si>
    <t>0002168</t>
  </si>
  <si>
    <t>Дьяченко В.К., Кусаинов Ғ.М., Қағазбаева А.К., Танирбергенова А.Ш., Халықова А.М.</t>
  </si>
  <si>
    <t>Педагогиканың мифтері, аңыздар мен ертегілері</t>
  </si>
  <si>
    <t>Оқу құралында кеңестік, кейіннен ресей педагогикасының теоретиктерімен мифологияға ие болған тұтас сыныптық-сабақтық жүйесі, оқытудың жалпы алғандағы формасы мен әдістері, соның ішінде сабақ оқытудың негізгі формасы ретінде, дидактиканың өзекті мәселелері алғаш рет қарастырылып отыр. Түрлі келешегі жоқ тұжырымдамаларды реформалау және тірексіз мектепті жаңғырту бойынша дидиактикаға оқытудың ғылымы ретінде көп көңіл бөледі. 
 Оқу құралы жоғарғы оқу орындары мен колледж оқушыларына, педагогикалық жұмыскерлер мен білім беру ұйымдарының жетекшілеріне, біліктілікті арттыру жүйесінің тыңдармандарына арналған.</t>
  </si>
  <si>
    <t>0002169</t>
  </si>
  <si>
    <t>Дьяченко В.К., Кусаинов Ғ.М., Мылтықбаева Л.Р., Халықова А.М.</t>
  </si>
  <si>
    <t>Мұғалімдердің инновациялық іс-әрекетінің теориясы мен практикасы</t>
  </si>
  <si>
    <t>Кітап білім берудегі инновацияның екі түрін талдауға арналады: бірінші, оқытудың көнерген топтық-жұптық-жеке әдісін (немесе оқытудың топтық тәсілі) (бес ғасырдан бері бар) жаңғыртуға, жетілдіруге, жаңартуға бағытталған, сондай-ақ, екінші тарихи және педагогикалық жаңа әдіске (XX ғасырда туындаған): оқытудың ұжымдық-топтық-жұптық-жеке әдісіне (немесе оқытудың ұжымдық тәсіліне) көшуге бағытталған.
 Оқу құралы жоғарғы оқу орындары мен колледж оқушыларына, педагогикалық жұмыскерлер мен білім беру ұйымдарының жетекшілеріне, біліктілікті арттыру жүйесінің тыңдармандарына арналған.</t>
  </si>
  <si>
    <t>0002178</t>
  </si>
  <si>
    <t>Дюсенов К. М.</t>
  </si>
  <si>
    <t>Совершенствование режимов энергопотребления эксплуатации теплоэнергетического оборудования</t>
  </si>
  <si>
    <t>В учебном пособии приведены и классифицированы обоснованные данные по режимам энергопотребления, связанные с современными задачами развития технологий по выравниванию графиков нагрузки, а также проанализированы основы эксплуатации основного и вспомогательного оборудования теплофикационных и конденсационных энергоблоков с режимами работы котельных установок. Учебное пособие разработано в соответствии с типовой программой «Энергосбережение в теплоэнергетике и теплотехнологии» для высших учебных заведений по специальности 5В071700 «Теплоэнергетика»</t>
  </si>
  <si>
    <t>0002179</t>
  </si>
  <si>
    <t>Дюсенова Н.К. (Дүйсенова Н.)</t>
  </si>
  <si>
    <t>Алаштың қилы жолдары</t>
  </si>
  <si>
    <t>Бұл еңбекте XX ғ. басындағы зиялы қауым өкілдеріне қарсы жүргізілген сталиндік саясаттың негізгі ұстанымдары, Қазақстандағы саяси қуғын-сүргін тарихының кезеңдері , 40-50 жылдары тарихшы, әдебиетші, ақын-жазушыларға қарсы жүргізілген қуғын, биология саласындағы ғалымдарды «космополитшылдар» деп айыптау барысы, қазақ қоғамына тигізген зардаптары ашылады.
 Кітап тарихшыларға, студенттерге және жалпы көпшілік оқырман қауымға арналған.</t>
  </si>
  <si>
    <t>0002180</t>
  </si>
  <si>
    <t>Қазақстандағы саяси қуғын-сүргін тарихы(1920-1950 ж.ж.)</t>
  </si>
  <si>
    <t>Оқу құралында ХХ ғасырдың бірінші жартысындағы ұлт зиялыларына қарсы бағытталған сталиндік саясаттың басты ұстанымдары мен саяси қуғын-сүргін тарихының негізгі кезеңдері сипатталады, 40-50 жылдары тарихшылар мен әдебиет саласындағы ғалымдарды, ақын-жазушыларды қуғын-сүргінге ұшырату және биология, медицина саласындағы ғалымдарды «космополитшылдар» деп айыптау әрекеттері мен олардың салдары, қазақ қоғамына тиген зардаптары тарихи тұрғыда талданады.
 Оқу құралы студенттерге, магистранттарға Қазақстан тарихы пәнінен дәріс беретін оқытушыларға, зерттеушілерге арналған.</t>
  </si>
  <si>
    <t>0002181</t>
  </si>
  <si>
    <t>Дячук М.И.</t>
  </si>
  <si>
    <t>Нотариат и наследственное право РК</t>
  </si>
  <si>
    <t>В учебное пособие включены: методические рекомендации по изучению каждой темы дисциплины «Нотариат Республики Казахстан», контрольные вопросы и тестовые вопросы к темам, для самопроверки, практические ситуации (задачи), темы контрольных работ и вопросов для подготовки к итоговой форме контроля.
  Учебное пособие предназначено для студентов юридических специальностей. Может быть рекомендовано преподавателям высших учебных заведений при проведении учебных занятий.</t>
  </si>
  <si>
    <t>0002195</t>
  </si>
  <si>
    <t>Егембердиева Е.</t>
  </si>
  <si>
    <t>Тербелістер</t>
  </si>
  <si>
    <t>0002196</t>
  </si>
  <si>
    <t>Егембердиева С. М.</t>
  </si>
  <si>
    <t>«Кәсіпорын экономикасы» пәні бойынша ОЖСБ тест сұрақтарының жинағы</t>
  </si>
  <si>
    <t>Оқу –әдістемелік құралы</t>
  </si>
  <si>
    <t>Оқу құралында кәсіпорынның ресурстық негізі мен тиімді жұмыс істеу механизміне қатысты практикалық аспектілерді зерделеуге бағытталған тестілер жинағы берілген. Тақырыптар бойынша тест тапсырмалары теориялық білімді бекітуге мүмкіндік береді.Экономикалық мамандық студенттеріне және жоғарғы оқу орнының оқытушыларына арналған</t>
  </si>
  <si>
    <t>0002197</t>
  </si>
  <si>
    <t>Егембердиева С.М.</t>
  </si>
  <si>
    <t>0002198</t>
  </si>
  <si>
    <t>Егембердиева С.М., Байжолова Р.А., Садыкова П.Т.</t>
  </si>
  <si>
    <t>Инновационный потенциал промышленных предприятий Казахстана</t>
  </si>
  <si>
    <t>В монографии определены основные слагаемые активизации инновационной деятельности в промышленности, развиты концептуальные принципы расширения и углубления инновационной политики на уровень предприятий, приведена схема модели оценки инновационного потенциала предприятия, позволяющая в максимально возможной форме учитывать основные составляющие факторы, а также оценить степень сформированности инновационного потенциала промышленного предприятия.Прикладная значимость заключается в возможности использования монографии в учебном процессе при изучении и преподавании экономических дисциплин</t>
  </si>
  <si>
    <t>0002199</t>
  </si>
  <si>
    <t>Егемкулов Г.Т.</t>
  </si>
  <si>
    <t>Кинематика</t>
  </si>
  <si>
    <t>0002202</t>
  </si>
  <si>
    <t>Егизбаева Ж.Т.</t>
  </si>
  <si>
    <t>Мұнай компанияларының экономикалық қауіпсіздікке әсерін бағалау</t>
  </si>
  <si>
    <t>Ғылыми еңбекте экономикалық қауіпсіздіктің мәні және оның негізгі ғылыми тұжырымдамалары, экономикалық қауіпсіздікті бағалау әдістері зерттелген және оны қалыптастырудың шетелдік тәжірибесі ауқымды ашылған. Қазақстан Республикасының және Қызылорда облысының әлеуметтік-экономикалық даму жағдайына талдау, «ПетроҚазақстан Құмкөл Ресорсиз» АҚ-ның өндірістік-қаржылық қызметі бойынша нақты деректерге негізделген экономикалық бағалау жүргізіліп, экономикалық қауіпсіздікке әсер етуші факторлар анықталған. 
 Монографияда экономикалық қауіпсіздікке әсер етуші қауіптер бағаланып, олардың өзара байланысын бағалаудың эконометрикалық моделі ұсынылған, экономикалық қауіпсіздік деңгейін реттеу механизмдері мен стратегиясына ерекше көңіл бөлінген. 
  Монография экономика саласындағы ғылыми қызметкерлерге, тәжірибелі мамандарға, экономикалық жоғары оқу орындарының оқытушыларына, магистранттарына және студенттерге арналған.</t>
  </si>
  <si>
    <t>0002203</t>
  </si>
  <si>
    <t>Егизбаева Ж.Т., Учкампирова А.Б.</t>
  </si>
  <si>
    <t>Экономикалық интеграция</t>
  </si>
  <si>
    <t>Оқу құралында интеграцияның негізгі ұйымдарының тиімді жұмыс істеу механизміне қатысты теориялық аспектілерді зерделеуге бағытталған. 
 Тақырыптар бойынша негізгі түсініктер мен теориялық білімді бекітуге арналған сұрақтар студенттердің оңтайлы басқарушылық шешімдерді қабылдауына мүмкіндік береді.
 Экономикалық мамандық студенттеріне және жоғарғы оқу орнының оқытушыларына арналған.</t>
  </si>
  <si>
    <t>0002204</t>
  </si>
  <si>
    <t>Егинбаева А.Е.</t>
  </si>
  <si>
    <t>Сарыарқа топонимикасы</t>
  </si>
  <si>
    <t>Бұл монографияда қазақтардың кеңістікті игеру тәжірибесінің географиялық атаулардағы көрінісі, яғни топонимдердің тарихи-географиялық, геоэкологиялық негіздері, кеңістіктегі таралу заңдылықтары, табиғи орта мен топонимдердің өзара байланысы, т.б. Сарыарқа жері материалдарының негізінде талданған. Топонимдердің қалыптасуы мен ақпараттық мазмұны, табиғат қорғау және табиғи ресурстарды ұтымды пайдалану дәстүрлерінің табиғат жағдайларында бейнелену дәрежесі географиялық, лингвистикалық, этноэкологиялық тұрғысынан жан-жақты байланыстырыла қарастырылған. Монография ғылыми қызметкерлерге, географ, эколог, тарих, туризм, тіл мамандарын даярлайтын жоғары оқу орындарының студенттеріне, магистранттарына, докторанттарына, сондай-ақ ізденушілер мен көпшілік қауымға арналған.</t>
  </si>
  <si>
    <t>0002205</t>
  </si>
  <si>
    <t>Егінбаев М.С. (Егинбаев М.С.)</t>
  </si>
  <si>
    <t>Махаббат аралы. Клавирлер, партитуралар</t>
  </si>
  <si>
    <t>Жинақ</t>
  </si>
  <si>
    <t>Қолыңыздағы «Махаббат аралы» жинағы қазақ халқына белгілі композитор, Қазақстан композиторлар одағының мүшесі, ән байқауларының бас жүлдегері, бірнеше дүркін лауреаты, дипломанты Мұратхан Егінбаевтың көп жылғы шығармашылық еңбегінің жемісі. Жинақ әнсүйер қауымға, кәсіпқой әншілерге, көркемөнерпаз үйірмелеріне, жоғары және арнаулы орта музыка оқу орындарының оқытушылары мен студенттеріне, сақшылар мен жауынгерлерге, балабақша, мектеп оқушыларына арналған.</t>
  </si>
  <si>
    <t>0002215</t>
  </si>
  <si>
    <t>Егорина А.В., Сапаров К.Т., Женсикбаева Н.Ж.</t>
  </si>
  <si>
    <t>Рекреационный потенциал территориально-природной системы Казахстанского Алтая: методические подходы к его оценке</t>
  </si>
  <si>
    <t>Монография содержит методические основы рекреационной оценки территории Казахстанского Алтая и его туристско-рекреационного потенциала. Материалы будут полезны: географам, геоэкологам, преподавателям и студентам, аспирантам и слушателям образовательной системы туристской направленности, работникам: заповедников и национальных парков, сферы рекреационного профиля и тем, кому интересны вопросы территориальной организации отдыха Восточного Казахстана.</t>
  </si>
  <si>
    <t>0002219</t>
  </si>
  <si>
    <t>Елемес Д.Е., Вавилов А.В., Сурашов Н.Т.</t>
  </si>
  <si>
    <t>Спиральные вибрационные грохоты</t>
  </si>
  <si>
    <t>В монографии расмотрены вопросы качественной сортировки нерудных материалов с большим содежанием зерен лещадной, пластинчатой и игольчатой формы, а также материалов загрязненых глинистыми примисями и имеющими высокую влажность. По результатам теоретических и экспериментальных исследований предложены конструкции новых спиральных грохотов. Книга предназначена для инженеров-конструкторов, научных работников машиностроительных, строительных проектно-конструкторских и научно- исследовательских организаций, занимающихся вопросами сортировки нерудных материалов, а также для студентов-бакалавров, магистрантов и аспиранов данной специальности.</t>
  </si>
  <si>
    <t>0002220</t>
  </si>
  <si>
    <t>Шиыршықты вибрациялы жіктегіштер</t>
  </si>
  <si>
    <t>0002221</t>
  </si>
  <si>
    <t>Елемесов Ж., Елешев Р.</t>
  </si>
  <si>
    <t>Топырақтану геология негіздерімен</t>
  </si>
  <si>
    <t>Оқулықта жердің және жер қабығының құрамы, құрылымы, оның пайда болуы, тау жыныстарының үгілуі, эндогенді және экзогенді құбылымдар, жер тарихының әртүрлі геологиялық эраларда дамуы қарастырылған. Сонымен қатар топырақ түзілудің жалпы жобасы, топырақтың дамуы, құрамы, құбылымдары оны құнарлығы, жіктелу негіздері, генезісі, тектік топырақ типтерінің орналасу заңдылықтары, топырақтық-географиялық аудандастырылуы, ауыл шаруашылығында игеру ерекешеліктері және эрозиядан қорғау шаралары қамтылған. Оқулық Қазақстан Республикасының білім және ғылым Министрлігінің рұқсатымен ауылшаруашылық жоғары оқу орны студенттері мен ауылшаруашылық мамандарына арналған</t>
  </si>
  <si>
    <t>0002222</t>
  </si>
  <si>
    <t>Елемесов Ж.Е., Рамазанова Р.Х., Көбенқұлов К.К.</t>
  </si>
  <si>
    <t>Жалпы геология</t>
  </si>
  <si>
    <t>Оқулықта геологияның жер ғылыми ретінде, минералдар, тау жыныстар, топырақ құрулы жыныстарды туралы негізгі мағлұматтар берілген. Эндогенді және экзогенді үрдістер, геохронология және жер қабығының даму тарихы келтірілген. Оқулық ауылшаруашылық мамандарына, студенттеріне арналған</t>
  </si>
  <si>
    <t>0002223</t>
  </si>
  <si>
    <t>Елемесов К.Е.</t>
  </si>
  <si>
    <t>Ветеринарно-санитарная экспертиза, стандартизация и сертификация продуктов. I том 1 часть</t>
  </si>
  <si>
    <t>В первом томе Пособия изложены: история становления и развития ветсанэкспертизы и боеского дела, Международная и Межгосударственная стандартизация продуктов животноводства, основы технологий переработки животных и продуктов животноводства по всем производственным циклам, ветеринарно-санитарная экспертиза продуктов животноводства и растениеводства в полном ее объеме, включая и все необходимые лабараторные исследования для определения качества, полноценности и безопасности продуктов. Во втором томе Пособоия излагаются: ветеринарно-санитарная и радиобиологическая экспертиза при болезнях животных; при экстримальных ситуациях вынужденного полевого убоя животных (сели, землетрясения, радиация и др.); вопросы ветеринарно-фитосанитарного надзора на Госграницах СНГ. Пособие предназначается для специалистов, работающих в области ветсанэкспертизы и технологии переработки животных и продуктов животноводства, а также для научных сотрудников, преподавателей и студентов вузов.</t>
  </si>
  <si>
    <t>0002224</t>
  </si>
  <si>
    <t>Ветеринарно-санитарная экспертиза, стандартизация и сертификация продуктов. I том 2 часть</t>
  </si>
  <si>
    <t>0002225</t>
  </si>
  <si>
    <t>Ветеринарно-санитарная экспертиза, стандартизация и сертификация продуктов. II том 1 часть</t>
  </si>
  <si>
    <t>0002226</t>
  </si>
  <si>
    <t>Ветеринарно-санитарная экспертиза, стандартизация и сертификация продуктов. II том 2 часть</t>
  </si>
  <si>
    <t>0002227</t>
  </si>
  <si>
    <t>Елешев Р.Е., Елемесов Ж.Е., Рамазанова Р.Х., Жаманғараева А.Н.</t>
  </si>
  <si>
    <t>Геология практикумы</t>
  </si>
  <si>
    <t>0002228</t>
  </si>
  <si>
    <t>Елибаева Л</t>
  </si>
  <si>
    <t>Қазақ тілінен жаттығулар жинағы (сөз таптары)</t>
  </si>
  <si>
    <t>Білімгерлердің теориядан алған білімдерін іс жүзінде қолдана алу білігін қалыптастыру – маңызды мәселе. Оқу құралы алға қойылып отырған осы мәселені шешуге бағытталған. Білім алушылардың қазақ тілінің морфология саласынан алған білімдері мен практикалық дағдыларын, кәсіби құзіреттілігін қалыптастыруға септігін тигізеді. 
  Жинақ қазақ тілі мен әдебиеті пәні оқытушылары және барлық мамандықтар бойынша білім алып жатқан білімгерлерге арналған.</t>
  </si>
  <si>
    <t>0002231</t>
  </si>
  <si>
    <t>Елікбай М.Ә.</t>
  </si>
  <si>
    <t>Қазақстан Республикасының жер құқығы</t>
  </si>
  <si>
    <t>Қысқаша аннотация. Жер Қазақстан Республикасының конституциялық, әкiмшiлiк, азаматтық, отбасы, қаржылық, салықтық жене аграрлық құқықтық, сонымен бiрге мемлекеттiк шекара, мемлекеттiк құрылым, азаматтық мәмiле жасау, жер учаскесiне деген отбасылардың меншiгiн бөлу, салық салу және ауыл шаруашылық өндiрiс тағы басқалардың құқықтық реттеу пәнi болып табылады.
  Оқулық студенттерге қажетті оқу материалдарының күрделі бөлімі арқылы жан-жақты мәліметтермен таныстыра отырып барлық қажетті материалдарды қамтиды.</t>
  </si>
  <si>
    <t>0002233</t>
  </si>
  <si>
    <t>Елубаев С.</t>
  </si>
  <si>
    <t>Математиканы оқыту әдістемесі</t>
  </si>
  <si>
    <t>0002234</t>
  </si>
  <si>
    <t>Математика есептік - практикум</t>
  </si>
  <si>
    <t>Геометрия есептерін шешуде тригонометрияның қызметі ерен. Осы жағдай ескеріліп, тригонометриялық функцияларға қатысты кестесіз есептеу, теңбе-тең түрлендіру, теңдеулерді және олардың жүйелерін шешу, теңсіздіктерді шешу есептері қарастырылады. Сондай –ақ, планиметрия мен стреометрияға қатысты сирек пайдаланатын арақатыстар сыры ашылып, жаттығулар беріліп, оларды жауаптары келтіріледі.Қарапайым математикаға қатысты оқу құралын жоғары мектеп студенттері мен педагогтері, орта мектеп мұғалімдері мен оқушылары пайдалана алады</t>
  </si>
  <si>
    <t>0002235</t>
  </si>
  <si>
    <t>«Қазақтың байырғы қара есептері 3 том» 1 часть</t>
  </si>
  <si>
    <t>Қазақ халқының ауызша тараған қара есептері әдеби тұрғыдан да, математикалық жолмен де тыңғылықты зерттелмегендігін ескеріп,осы жолдар авторы ұзақ жылдар бойы қара есептерді жинап,мағыналары мен шешу әдістерін ашқан алғашқы кісі. Нәтижесі «Қазақтың байырғы қара есептері және қазақ математиктері» деген атаумен 1996 жылы 5000 таралыммен «Қазақстан» баспасынан жарық көрген еді. Мұнда арифметиканың, алгебраның, геометрияның, сондай-ақ, математиканың басқа да салаларының есептері қамтылған. Кейінгі жылдары қара есептердің ұлттық педагогикамен байланысы, астарлары ашылып, есептері толықтырылды. Ол екі том қазақ есептері негізінен ауызша шығарылатын логикалық есептер. Заман талаптарының қажеттігіне сай логикалық жаттығулар мен есептер мектепте оқылатын пәндер бағдарламаларына енуде. Осы жағынан алғанда бұл оқу құралын ұстазар, мұғалімдер, студенттер, ата-аналар, жалпы оқырман қауым, сондай-ақ, ғалымдар пайдалана алады</t>
  </si>
  <si>
    <t>0002236</t>
  </si>
  <si>
    <t>«Қазақтың байырғы қара есептері 3 том» 2 часть</t>
  </si>
  <si>
    <t>0002237</t>
  </si>
  <si>
    <t>Математика бойынша ұйымдастырылатын сыныптан тыс жұмыстар, 1бөлім.</t>
  </si>
  <si>
    <t>Ұсынылып отырған оқу құралында математика пәні бойынш ұйымдастырылатын жұмыс түрлері баяндалып, мысалдар келтіріледі. Қосымша материалдар беріледі.</t>
  </si>
  <si>
    <t>0002238</t>
  </si>
  <si>
    <t>Математика терминдерінің түсіндірме сөздігі</t>
  </si>
  <si>
    <t>0002239</t>
  </si>
  <si>
    <t>978-601-327-726-4</t>
  </si>
  <si>
    <t>Жоғары математика. 8 том, 1 бөлім</t>
  </si>
  <si>
    <t>Ұсынылып отырылған оқулықта жоғары математика курсының теориялық негіздері: жиындар теориясы, математикалық талдауға қатысты функция ұғымдарына, аналитикалық геометрия, векторлық алгебра, жоғары алгебра және матрицалар алгебрасы мәселелері баяндалып, мысалдар келтіріліп, машықтану жаттығулары берілген.</t>
  </si>
  <si>
    <t>0002240</t>
  </si>
  <si>
    <t>Елубаев С.Е.</t>
  </si>
  <si>
    <t>Математикадан логикалық есептер мен ойындар</t>
  </si>
  <si>
    <t>0002241</t>
  </si>
  <si>
    <t>Элементар математикадан қиын есептер</t>
  </si>
  <si>
    <t>0002242</t>
  </si>
  <si>
    <t>Елубаев С.Е., Ділман Т.Б.</t>
  </si>
  <si>
    <t>Гиперболалық және параболалық теңдеулер үшін кейбір кері есептер. 3 басылымы</t>
  </si>
  <si>
    <t>Монография гиперболалық және параболалық теңдеулер үшін қойылған кері есептер теориясының негіздерімен, кейбір интегралдық геометрия есепте-рімен таныстырады. Мұндай есептер негізінен классикалық мағынада корректі-лі емес есептер болғандықтан, олардың шартты корректілігі зерттеледі.</t>
  </si>
  <si>
    <t>0002243</t>
  </si>
  <si>
    <t>Елубаева Р.С.</t>
  </si>
  <si>
    <t>Қазақ тілі мен әдебиетін оқыту кейбір мәселелері</t>
  </si>
  <si>
    <t>Бұл еңбекте қазақ тілі пәні бойынша фонетика, лексика, морфология мен синтаксисті оқыту әдістемесі қарастырылған. Қазақ тілі мен әдебиет сабақтарына байланысты мектептен және сыныптан тыс тәрбиелік іс-шараларды ұйымдастыру жұмысы сөз болады. Сондай-ақ, мектеп оқушыларына қазақ тілі пәнінен теориялық білім беріп қана қоймай ұлттық тәрбие беру мәселесі де көтерілген. 
  Оқу құралы орта мектеп мұғалімдеріне, жоғары оқу орындарының қазақ филологиясы факультетінің ізденушілері мен оқытушыларына, магистранттар мен білімгерлерге арналған.</t>
  </si>
  <si>
    <t>0002244</t>
  </si>
  <si>
    <t>978-601-13-0785-7</t>
  </si>
  <si>
    <t>Елфимов В.И.</t>
  </si>
  <si>
    <t>Основы общей химии</t>
  </si>
  <si>
    <t>В учебном пособии изложены теоретические основы курса общей и неор-ганической химии: основные понятия и законы химии, строение атома, Перио-дический закон и Периодическая система элементов Д.И. Менделеева, химиче-ская связь и строение молекул, основные представления о химической термо-динамике, химической кинетике и равновесии, коллигативные свойства рас-творов, ионные равновесия в водных растворах, окислительно-восстановительные реакции, основы электрохимии. 
 Для студентов вузов, обучающихся по химико-технологическим направле-ниям. Может представлять интерес для студентов нехимических специально-стей.</t>
  </si>
  <si>
    <t>0002245</t>
  </si>
  <si>
    <t>Елфимов В.И., Бабкина С.С., Мясоедов Е.М.</t>
  </si>
  <si>
    <t>Краткий курс химии с примерами решения задач и заданиями для самостоятельной работы.</t>
  </si>
  <si>
    <t>В учебном пособии в краткой форме изложены теоретические основы химии, включающие стехиометрические расчеты, строение атома и Периодический закон, химическую связь и строение молекул, химическую термодинамику, кинетику, равновесие, растворы, окислительно-восстановительные процессы, основы электрохимии, начала органической химии и понятие о высокомолекулярных соединениях. В каждом разделе приведены примеры задач с подробными решениями и контрольные задания для самостоятельной работы с ответами на количественные расчеты. Предназначено для самостоятельной работы студентов инженерно-технических направлений вузов. Может быть использовано в качестве заданий для выполнения контрольных работ студентами-заочниками</t>
  </si>
  <si>
    <t>0002246</t>
  </si>
  <si>
    <t>Ельмуратов С.К., Ельмуратова А.Ф.</t>
  </si>
  <si>
    <t>Основы научных исследований и планирование эксперимента. 2 издание</t>
  </si>
  <si>
    <t>0002247</t>
  </si>
  <si>
    <t>Строительная механика</t>
  </si>
  <si>
    <t>В учебном пособии излагаются методы расчета строительных конструкций на статические и подвижные нагрузки. Приведены примеры расчета многопролетных балок, ферм, арок, рам. 
  Учебное пособие рекомендуется студентом строительных специальностей вузов, изучающих дисциплины «Строительная механика», «Инженерная механика III», «Строительная механика транспортных сооружений».</t>
  </si>
  <si>
    <t>0002248</t>
  </si>
  <si>
    <t>Емелина А.Т., Мантеева Ф.С.</t>
  </si>
  <si>
    <t>Профессиональный русский язык</t>
  </si>
  <si>
    <t>Предлагаемое учебно-методическое пособие предназначено для студентов колледжей, обучающихся по специальностям: 0408000 «Хореографическое искусство», 0409000 «Актерское искусство», 0101000 «Дошкольное воспитание и обучение», 0106000 «Изобразительное искусство и черчение», 0413000 «Декоративно-прикладное искусство и народные промыслы». Пособие нацелено на формирование у студентов компетенции, позволяющих средствами русского языка решать коммуникативные задачи в области профессиональной деятельности. В учебно-методическом пособии представлены как теоретические сведения, так и практические задания, выполнение которых будет способствовать овладеванию профессиональными терминами и языком специальности для активного применения русского языка, как в повседневном, так и в профессиональном общении</t>
  </si>
  <si>
    <t>0002249</t>
  </si>
  <si>
    <t>Емелина Н.К.</t>
  </si>
  <si>
    <t>Методы принятия оптимальных решений</t>
  </si>
  <si>
    <t>Учебно-практическое пособие</t>
  </si>
  <si>
    <t>В учебно-практическом пособие рассмотрены оптимизационные модели, применяемые в экономике, линейное и нелинейное программирование, оптимизация в условиях неопределенности, многокритериальная оптимизация. Приведены практические рекомендации по использованию программы Excel для решения оптимизационных задач методами линейного программирования. Теоретический и практический материал пособия дополнен задачами для самостоятельного решения и тестовыми вопросами для самоконтроля знаний. Предназначено для студентов экономических направлений и специальностей дневной и заочно-дистанционной форм обучения, а также преподавателей и экономистов-практиков</t>
  </si>
  <si>
    <t>0002250</t>
  </si>
  <si>
    <t>Емелина Н.К., Козлова Н.Г.</t>
  </si>
  <si>
    <t>Эконометрика</t>
  </si>
  <si>
    <t>В учебном пособии излагаются основы эконометрики, рассматриваются парные и множественные модели регрессии, модели с качественными переменными, позволяющие исследовать закономерности в реальных данных. Уделяется внимание методам оценки параметров уравнения, корреляционному анализу, а также базовым предпосылкам классической линейной регрессии.Учебное пособие содержит теоретический материал, решения типовых задач, задачи для самостоятельного решения и тестовые задания для самоконтроля знаний. В качестве инструментального средства моделирования используется стандартная офисная программа Excel.Предназначено для студентов очной и дистанционной форм обучения, а также для магистрантов и докторантов, занимающихся вопросами прикладной эконометрики</t>
  </si>
  <si>
    <t>0002252</t>
  </si>
  <si>
    <t>Енсебаев Т.М.</t>
  </si>
  <si>
    <t>Методы обучения по редактору «CINEMA 4D»</t>
  </si>
  <si>
    <t>0002253</t>
  </si>
  <si>
    <t>Методы обучения по редактору «Аdobe After Effects»</t>
  </si>
  <si>
    <t>Учебно методическое пособие Методы обучения по редактору «Аdobe After Effects». Данное методическое пособие разработано для студентов специальности 5В042100 - «Дизайн», обучающихся по специализации 5В042102 - «Графический дизайн», и предназначены как для ознакомления с дисциплиной «Видеотехнологии в дизайне», так и для самостоятельного изучения дисциплины</t>
  </si>
  <si>
    <t>0002254</t>
  </si>
  <si>
    <t>Енсебаев Т.М., Токсанова А.А.</t>
  </si>
  <si>
    <t>Методы обучения по редактору«Аdobe Illustrator»</t>
  </si>
  <si>
    <t>Учебно методическое пособие Методы обучения по редактору«Аdobe Illustrator». Данное методическое пособие разработано для студентов специальности 5В042100 - «Дизайн», обучающихся по специализации 5В042102 - «Графический дизайн», и предназначены как для ознакомления с дисциплиной «AdobeIllustrator», так и для самостоятельного изучения дисциплины</t>
  </si>
  <si>
    <t>0002255</t>
  </si>
  <si>
    <t>Методы обучения по редактору «Аdobe Photoshop»</t>
  </si>
  <si>
    <t>Учебно методическое пособие Методы обучения по редактору «Аdobe Photoshop». Данное методическое пособие разработано для студентов специальности 5В042100 - «Дизайн», обучающихся по специализации 5В042102 - «Графический дизайн», и предназначены как для ознакомления с дисциплиной «Adobe Photoshop», так и для самостоятельного изучения дисциплины</t>
  </si>
  <si>
    <t>0002256</t>
  </si>
  <si>
    <t>Ералин Қ.</t>
  </si>
  <si>
    <t>Оқу құралында бейнелеу өнері мұғалімдерін дайындаудың теориялық негіздері, ғылыми таным әдістері, негізгі дидактикалық принциптері, ғалым мамандар дайындауды ұйымдастыру мәселелері қарастырылған. Бейнелеу өнері және сызу мамандығының магистранттарына арналған оқу құралында болашақ ғалым педагогтарға жоғары оқу орнында студенттерге өнерді үйретудің педагогикалық проблемаларын шешу жолдары көрсетілген.Оқу құралы университеттердің бейнелеу өнері және сызу мамандығының магистранттары, студенттері мен бейнелеу өнері және сызу пәнінің оқытушылары мен мұғалімдеріне арналған.</t>
  </si>
  <si>
    <t>0002257</t>
  </si>
  <si>
    <t>Ералин Қ., Ералина А., Шаханбаев М.</t>
  </si>
  <si>
    <t>Портрет өнері</t>
  </si>
  <si>
    <t>Оқу құралында бейнелеу өнері мұғалімдерін даярлаудың теориялық негіздері, ғылыми таным әдістері, негізгі дидактикалық принциптері, мамандар даярлауды ұйымдастыру мәселелері қарастырылған. Бейнелеу өнері және сызу мамандығының магистранттарына арналған оқу құралында болашақ педагогтарға жоғары оқу орнында студенттерге портрет өнерін үйретудің педагогикалық мәселелерін шешу жолдары көрсетілген. Оқу құралы университеттердің бейнелеу өнері және сызу мамандығының магистранттары, студенттері мен бейнелеу өнері және сызу пәнінің мұғалімдеріне арналған.</t>
  </si>
  <si>
    <t>0002258</t>
  </si>
  <si>
    <t>Ералин Қ., Бейсенбеков Ж.</t>
  </si>
  <si>
    <t>Бейнелеу шығармаларын бағалау</t>
  </si>
  <si>
    <t>Бұл оқу құралы М6010700 - «Бейнелеу өнері және сызу» мамандығы бойынша жоғарғы оқу орнында оқитын магистранттарға арналған. 
 Оқу құралында бейнелеу өнері шығармаларын көркемдік талдаудың негізгі ұстанымдары мен әдістері қарастырылған. Қазақстан бейнелеу өнері шығармаларының көркемдік ерекшеліктерін жоғары оқу орнында оқыту үдерісінде талдау үлгілері үсынылған.</t>
  </si>
  <si>
    <t>0002259</t>
  </si>
  <si>
    <t>Ералин Қ., Бейсенбеков Ж., Ералина Ғ.</t>
  </si>
  <si>
    <t>Өнер шығармаларын қабылдау</t>
  </si>
  <si>
    <t>Оқу құралында шығарманы қабылдау негіздері, шығарманы қабылдау әдістері, шығарманы қабылдау әдістерін өмір мен өнерде қолдану мәселелері қарастырылған. Бейнелеу өнері және сызу мамандығының студенттеріне арналған оқу құралында болашақ педагогтарға жоғары оқу орнында шығарманы қабылдау ұғымдарын меңгеру мен олардың қасиеттерін тәжірибеде қолдану жолдары көрсетілген. Оқу құралы университеттердің бейнелеу өнері және сызу, дизайн мамандығының студенттері мен бейнелеу өнері және сызу пәнінің мұғалімдеріне арналған.</t>
  </si>
  <si>
    <t>0002260</t>
  </si>
  <si>
    <t>Ералин Қ., Ералина А.</t>
  </si>
  <si>
    <t>Бейнелеудің мамандық пәндерін оқыту әдістемесі</t>
  </si>
  <si>
    <t>Оқу құралында жоғары оқу орнында бейнелеу өнері пәндері сабақтарын ұйымдастыру мәселелері қарастырылған. Студенттердің бейнелеу өнері пәндері сабақтарын жоспарлау ұйымдастыру дағдыларын қалыптастыру жолдары көрсетілген. Сонымен қатар болашақ мұғалімдер үшін бейнелеу өнері пәнін мектепте оқытудың педагогикалық білімдерін, педагогикалық іскерліктері мен дағдыларын меңгеру мен қалыптастыру мәселелері қарастырылған. Оқу құралы педагогикалық институттар мен университеттердің бейнелеу өнері және сызу мамандығының студенттеріне, магистранттарына арналған.</t>
  </si>
  <si>
    <t>0002261</t>
  </si>
  <si>
    <t>Өнертанымдық даярлық</t>
  </si>
  <si>
    <t>Еңбекте бейнелеу өнері мұғалімдерін дайындаудың өнертанымдық негіздері, ғылыми таным әдістері, негізгі танымдық ұстанымдары, мамандар дайындауды ұйымдастыру мәселелері қарастырылған. Бейнелеу өнері және сызу мамандығының студенттеріне арналған бұл еңбекте болашақ ғалым-педагогтарға жоғары оқу орнындағы студенттерге өнерді үйретудің педагогикалық мәселелерін шешу жолдары көрсетілген. Оқу құралы университеттердің бейнелеу өнері және сызу мамандығының студенттері мен бейнелеу өнері және сызу пәнінің мұғалімдеріне арналған.</t>
  </si>
  <si>
    <t>0002262</t>
  </si>
  <si>
    <t>Этнодизайн</t>
  </si>
  <si>
    <t>Оқу құралында, жоғарғы оқу орнында этнодизайн материалдарын элективті курс ретінде оқыту мәселелері қарастырылған. Этнодизайн, этнодизайнер, форма, формақұрау, көркем конструкциялау, жобалау, жоба композициясы, жарықтану, түстану, материалтану, безендіру, эскиздеу ұғымдарына түсініктер берілген. Этнодизайнды оқыту бағдарламасы, бейнелеу өнері болашақ мұғалімдерін этнодизайн мүмкіндіктері арқалы даярлау мәселелері қарастырылған.</t>
  </si>
  <si>
    <t>0002263</t>
  </si>
  <si>
    <t>Ералин Қ., Ералина Ғ.</t>
  </si>
  <si>
    <t>Дизайн негіздері</t>
  </si>
  <si>
    <t>Оқу құралында дизайн негіздері, дизайнды ғылыми таным әдістері, жоба жасаудың негізгі принциптері, жоба нысаны, өндірістік дизайн, орта дизайны, жарнама дизайны, жобалауды ұйымдастыру мәселелері қарастырылған. Дизайн нысанын жобалауға қатысты ұғымдары мен жобалау дағдыларын қалыптастыру жолдары көрсетілген. Сонымен қатар болашақ мұғалімдер үшін дизайн пәнін оқытудың педагогикалық білімдерін, педагогикалық іскерліктері мен дағдыларын меңгеру мен қалыптастыру мәселелері қарастырылған. Оқу құралдары педагогикалық университеттердің бейнелеу өнері және сызу мамандығының студенттері мен бейнелеу өнері және сызу пәнінің мұғалімдеріне арналған.</t>
  </si>
  <si>
    <t>0002275</t>
  </si>
  <si>
    <t>Ержан К.С.</t>
  </si>
  <si>
    <t>Ислам Ақидасы</t>
  </si>
  <si>
    <t>Бұл оқу құралында Ислам дінінің сенімдік мәселелерін қарастыратын ақида ілімі, Ислам сенім жүйесі, Ислам тарихында сенімге қатысты туындаған мәзһабтар және олардың көзқарастары баян етіледі. Ұсынылып отырған оқу құралы жоғары оқу орындарында «Исламтану», «Дінтану», «Теология» мамандықтары бойынша білім алып жатқан студенттер мен оқытушыларға және ислам ілімдеріне қызығатын оқырман қауымға арналған.</t>
  </si>
  <si>
    <t>0002276</t>
  </si>
  <si>
    <t>Ержанов Н.Т., Ельмуратова А.Ф., Кузембаев Н.Е.</t>
  </si>
  <si>
    <t>Методическое руководство по проведению научных исследований</t>
  </si>
  <si>
    <t>Методическое руководство</t>
  </si>
  <si>
    <t>Методическое руководство предназначено для студентов, магистрантов и докторантов для подготовки научных работ и проведения научных исследования по циклу гуманитарных, естественных и технических наук.</t>
  </si>
  <si>
    <t>0002285</t>
  </si>
  <si>
    <t>Еркасов Р.Ш.</t>
  </si>
  <si>
    <t>Основы химии координационных соединений</t>
  </si>
  <si>
    <t>В учебном пособии отражены теоретические положения и основные понятия координационной химии. В ней представлены сведения по строению, свойствам, химической связи в координационных соединениях, а также по кинетике и механизмам реакций с их участием. Пособие подготовлено на основе лекций, читаемых студентам ЕНУ им.Л.Н.Гумилева. Теоретический материал отражен в базовых задачах с решениями, приводятся лабораторные опыты. Для самостоятельной оценки знаний обучаемый может воспользоваться предлагаемыми тестами, вопросами и задачами различных уровней сложности.
  Учебное пособие предназначено для студентов и магистрантов химических специальностей вузов.</t>
  </si>
  <si>
    <t>0002286</t>
  </si>
  <si>
    <t>Еркасов Р.Ш., Колпек А., Абдуллина Г.Г.</t>
  </si>
  <si>
    <t>Кешенді қосылыстар химиясы</t>
  </si>
  <si>
    <t>Оқу құралымда кешенді химияның негізгі түсініктері мен теориялық мәселелері қарастырылған. Мұнда кешенді қосылыстардың құрылысы, қасиеттері, химиялық байланыстары, сол сияқты олардың қатысуымен жүретін реакциялардың кинетикасы мен механизмдері жөнінде мәліметтер берілген. Теориялық материал шешуі келтірілген есептерде қолданысын тапқан, зертханалық тәжірибелер берілген. Білімді өз бетінше бағалау мақсатында білім алушы ұсынылып отырған күрделілік деңгейі әртүрлі есептер, сұрақтар және тестілі тапсырмаларды пайдалануына болады.</t>
  </si>
  <si>
    <t>0002287</t>
  </si>
  <si>
    <t>Еркебаева Н.А., Орынтаев Ж.К., Ким Э.П.</t>
  </si>
  <si>
    <t>Сот экспертологиясы</t>
  </si>
  <si>
    <t>5В030100 «Құқықтану» мамандығы бойынша «Сот экспертологиясы» оқулық. - Шымкент: Оңтүстік Қазақстан Мемлекеттік Университеті 
 Оқулықта сот сараптамасының теориялық негіздері мен сот сараптамасының ұйымдастырушылық және әдістемелік негіздері қарастырылған.</t>
  </si>
  <si>
    <t>0002289</t>
  </si>
  <si>
    <t>Ермаганбетов К.Т.
 Чиркова Л.В.</t>
  </si>
  <si>
    <t>Физические основы оптоэлектронных приборов</t>
  </si>
  <si>
    <t>В учебном пособии рассмотрены физические основы функционирования оптоэлектронных приборов.
 Предназначено для студентов физических, физико-технических и родственных специальностей. Может быть полезным для слушателей ФПК инженерных работников.</t>
  </si>
  <si>
    <t>0002290</t>
  </si>
  <si>
    <t>Ермағанбетов Қ.Т. (Ермаганбетов К.Т.)</t>
  </si>
  <si>
    <t>Электртехника және электроника негіздер. 1-том</t>
  </si>
  <si>
    <t>Ұсынылып отырған электрондық оқулықта электртехника ілімінің негізінде жататын электр- статикалық өріс, тұрақты тоқтың жалпы зарядтардың белгілі бір бағытта тасымалдануы үшін қажетті шарттар, тұрақты және айнымалы тоқтың электр тізбектерін зерттеу, есептеу әдістері, синустар заңдылығымен тоқтардың электр тізбегін есептеу әдістері, синустар заңдылығымен өзегеретін тоқтардардың электр тібектерінде жүретін резонанс құбылыстары туралы, үш фазалы электр тізбектерінің ерекшеліктері, сызықты электр тізбегіндегі өтпелі үдерістерді зерттеу әдістері, бейсызық электр тізбектерін есептеу әдістері, электрмагнетизм үдерістері, трансформаторлар туралы, айнымалы және тұрақты тоқ электр мәшинелері туралы баяндалған. Белгілі бір тақырыптардан кейін қорытындылар өзін-өзі тексеруге мүмкіндік беретін бақылау сұрақтары берілген.</t>
  </si>
  <si>
    <t>0002291</t>
  </si>
  <si>
    <t>Электртехника және электроника негіздер. 2-том</t>
  </si>
  <si>
    <t>0002292</t>
  </si>
  <si>
    <t>Электртехника және электроника негіздер. 3-том</t>
  </si>
  <si>
    <t>0002293</t>
  </si>
  <si>
    <t>Ермағанбетов Қ.Т. (Ермаганбетов К.Т.), Чиркова Л.В.</t>
  </si>
  <si>
    <t>Физикалық электроникаға кіріспе</t>
  </si>
  <si>
    <t>физика, Радиотехника, электроника и телекоммуникации</t>
  </si>
  <si>
    <t>Оқу құралы физикалық электрониканың негізін баяндауға арналған. Шалаөткізгіштерден жасалған аспаптардың, микроэлектроника элементтерінің жұмыс ұстанымдарының негізі болатын шалаөткізгіштер арасындағы түйістерде жүретін физикалық құбылыстардың ерекшеліктеріне ерекше көңіл аударылған. Шалаөткізгіштен жасалған диодтардың, өрістік және қосөрісті транзисторларда жүретін физикалық құбылыстары талданған. Әр параграфтан кейін баяндалған физикалық құбылыстардың негізгі ерекшеліктеріне оқушының назарын аудару мақсатында қорытыды жасалған. Оқушының берілген ұғымдарды дұрыс түсініп, баяндалған материалдарды қаншалықты түсінгендігі туралы мағлұмат алу мақсатында бақылау сұрақтары берілген. 
 Оқу құралы 5В071900-«Радиотехника, электроника және телекоммуникациялар», 5В060400- «Физика», 5В072300-«Техникалық физика», 5В071300-«Көлік, көлік техникасы және технологиясы» мамандықтары бойынша, күндізгі және сыртқы бөлімдерде оқитын студенттерге арналған. Магистранттарға да, доктаранттарға да, оқытушыларға да, сәйкесті мамандықтар бойынша жұмыс істейтін инженер-техник мамандарына да шалаөткізштен жасалған асапаптардың жұмыс ұстанымдарын жете түсініп қажетті жерлерде ұтымды пайдалануларына көмек көрсетеді деген ойдамыз.</t>
  </si>
  <si>
    <t>0002294</t>
  </si>
  <si>
    <t>Ермаганбетова М. А.</t>
  </si>
  <si>
    <t>Информационные и коммуникационные технологии в образовании</t>
  </si>
  <si>
    <t>Данное учебное пособие предназначено для подготовки студентов по курсу «Информационные и коммуникационные технологии в образовании», а также для учителей, применяющих информационные технологии в образовательном процессе. Рассмотрены основные направления информатизации образования в Республике Казахстан.</t>
  </si>
  <si>
    <t>0002299</t>
  </si>
  <si>
    <t>Ермекбаева Г., Баймұсаева А.</t>
  </si>
  <si>
    <t>Информатиканың теориялық негіздері</t>
  </si>
  <si>
    <t>Информатиканың теориялық негіздері – әлі толық қалып-таспаған ғылымның бөлімі. Оның қалыптасу процессі бүгінгі күнге дейін жалғасуда. Басқа ғылымдардың теориялық бөлімдері сияқты теориялық информатика негізінен информатиканы оқытудың қажеттілік әсерінен қалыптасады. Оқу құралы 5В070400 – Есептеу техникасы және бағдарла-малық қамтамасыз ету мамандығының студенттеріне арналған.</t>
  </si>
  <si>
    <t>0002304</t>
  </si>
  <si>
    <t>Ермекова Ж.К.</t>
  </si>
  <si>
    <t>Жалпы физика. Молекулалық физика және термодинамика</t>
  </si>
  <si>
    <t>Инженерлік мамандықтарда физика базалық пән болып табылады. Физика заңдары мен зерттеу әдістері жылу техникасында, электротехникада, кибернетикада және де т.б. технологиялық бағыттарда кеңінен қолданылады.
 Оқу құралында жалпы физика курсы бойынша білім алушылар молекулалық физика және термодинамика заңдылықтарымен танысатын болады</t>
  </si>
  <si>
    <t>0002305</t>
  </si>
  <si>
    <t>Ермекова Ж.К., Стукаленко Н.М.</t>
  </si>
  <si>
    <t>Подготовка будущих учителей к развитию познавательного интереса учащихся к фундаментальным наукам</t>
  </si>
  <si>
    <t>В монографии раскрываются теоретические основы подготовки будущих учителей к развитию познавательного интереса учащихся в процессе обучения фундаментальным наукам и пути ее практической реализации. Особое внимание уделяется освещению методологического аспекта подготовки студентов педагогических специальностей к осуществлению исследуемого процесса в условиях практики общеобразовательной школы. Авторы предлагают модель организации подготовки учителей с опорой на специально разработанную технологию и элективный курс «Развитие познавательного интереса учащихся к фундаментальным наукам».Монография адресована преподавателям высшей и средней школы, научным работникам, магистрантам и студентам.</t>
  </si>
  <si>
    <t>0002306</t>
  </si>
  <si>
    <t>В монографии раскрываются теоретические основы подготовки будущих учителей к развитию познавательного интереса учащихся в процессе обучения фундаментальным наукам и пути ее практической реализации. В третьем издании монографии мы дополнили вторую главу «Научно-методические основы организации процесса подготовки будущих учителей», были дополнены пункты 2.5, 2.6, 2.7, 2.8, 2.9. Проведенное исследование не претендует на исчерпывающее решение проблемы подготовки будущих учителей к развитию познавательного интереса учащихся к фундаментальным наукам, его можно рассматривать как одно из возможных решений исследуемой проблемы, обоснованные автором теоретические и методические аспекты могут быть использованы не только при обучении физике, но и всем естественным наукам. Перспективы исследования состоят в поиске новых путей организации подготовки учителей к развитию познавательного интереса учащихся в соответствии с растущими потребностями модернизации образования. Монография адресована преподавателям высшей и средней школы, научным работникам, магистрантам и студентам.</t>
  </si>
  <si>
    <t>0002312</t>
  </si>
  <si>
    <t>Ерменбаева Г.К., Альжаппарова Б.К.</t>
  </si>
  <si>
    <t>Современная история Казахстана</t>
  </si>
  <si>
    <t>История Казахстана</t>
  </si>
  <si>
    <t>Разработанное на основе курса лекций учебное пособие способствует формированию исторического сознания студентов. Учебное пособие нацелено на изложение истории государственности, политических, экономических и социальных процессов, происходивших на территории страны. Учебное пособие рекомендуется студентам неисторических факультетов.</t>
  </si>
  <si>
    <t>0002322</t>
  </si>
  <si>
    <t>Ерназарова У.С., Абжалелова Ш.Р.</t>
  </si>
  <si>
    <t>Учебное пособие предназначено для изучения курса «Основы бухгалтерского учета» для студентов колледжей и вузов всех форм обучения по специальности «Учет и аудит». Оно содержит лекционные материалы по основам бухгалтерского учета, а также контрольные вопросы и практические задачи для закрепления пройденного материала. Приведенные в издании наименования организаций, фамилии должностных лиц, хозяйственные операции и цифровые данные являются условными.</t>
  </si>
  <si>
    <t>0002323</t>
  </si>
  <si>
    <t>Ерофеева Р. Ж., Аблеев Ж. Ш.</t>
  </si>
  <si>
    <t>Мектептегі дене шынықтыру пәнінің оқу үрдісін жоспарлау</t>
  </si>
  <si>
    <t>Оқу-әдістемелік көмекші жалпы білім беру мектебінде педагогикалық практиканы өту барысында студенттің оқу үрдісіне жоспарланған негізгі құжаттарды жобалау әдісін, нақты айтқанда жылдық жоспар, тоқсан жоспары, сабақтың конспектісін даярлауды жүйелі түрде дамытуға бағытталған әдістерді қамтиды. Оқу-әдістемелік материал 5В010800 – Дене шынықтыру және спорт мамандығының практикасына өзіндігінен дайындалып жатқан студенттерге, және де ЖОО-дары мен колледждердің дене шынықтыру факультетінің барлық курстарына, тәлімгер-әдіскерлеріне, мектеп директорлар мен меңгерушілеріне, дене шынықтыру мұғалімдеріне ұсынылады.</t>
  </si>
  <si>
    <t>0002324</t>
  </si>
  <si>
    <t>Ерофеева Р.Ж.,Аблеев Ж.Ш</t>
  </si>
  <si>
    <t>Планирование учебного процесса по физической культуре в школе</t>
  </si>
  <si>
    <t>0002326</t>
  </si>
  <si>
    <t>Ерсеитов У.</t>
  </si>
  <si>
    <t>Жалпы физика</t>
  </si>
  <si>
    <t>Инженерлік-техникалық мамандықтары сырттай оқу бөлімі студенттерінің бақылау жұмысын орындауға арналған оқу құралы.</t>
  </si>
  <si>
    <t>0002327</t>
  </si>
  <si>
    <t>Ертаев К.Е.</t>
  </si>
  <si>
    <t>Бизнес – жоспар.</t>
  </si>
  <si>
    <t>0002328</t>
  </si>
  <si>
    <t>Ертазин Х. Е</t>
  </si>
  <si>
    <t>Проблемы агробизнеса</t>
  </si>
  <si>
    <t>В книге рассмотрены теоретические и методологические вопросы развития агробизнеса, его особенности и опыт зарубежных стран. Особое внимание уделено развитию различных форм хозяйствования оптимальных параметров. Также раскрыты проблемы государственного регулирования, поддержки малого и среднего бизнеса в АПК и меры финансового обеспечения.
  Книга рассчитана на специалистов в сфере агробизнеса, работников агропромышленного комплекса, научных учреждений и студентов высших учебных заведений сельскохозяйственных специальностей.</t>
  </si>
  <si>
    <t>0002329</t>
  </si>
  <si>
    <t>Ертазин Х.Е.</t>
  </si>
  <si>
    <t>Агробизнес (қаз.)</t>
  </si>
  <si>
    <t>Аграрлық бизнесті ұйымдастырудың теориялық және практикалық мәселелері жан-жақты қарастырылған (АӨК кәсіпорындары негізінле), яғни әртүрлі агроқұрылымдардың ұйымдастыру – экономикалық негіздері, ауыл шаруашылығы өнімдерін өндіру кәсіпкерлігі, ресурстар потенциалын пайдалану, жоспарлау, мал азығын өндіру, аграрлық нарық және нарықтық қатынастарды реттеу механизмдері.
 Оқулық ауыл шаруашылығы мамандарын дайындайтын жоғары оқу орны студенттерге арналған.</t>
  </si>
  <si>
    <t>0002330</t>
  </si>
  <si>
    <t>а</t>
  </si>
  <si>
    <t>Қазақстанда агробизнестің қалыптасуы мен дамуы</t>
  </si>
  <si>
    <t>Монографияда агробизнес мәні, мазмұны және құрылымы ұйымдастырудың жолдары, аграрлық секторда қалыптасуы мен дамуы қарастырылған. 
 Нақты материалдар негізінде кең көлемде агроқұрылымдардың қалыптасуы мен дамуы, азық-түлік рыногі, агробизнестің маркетингтік сферасының мәселелері, экономиканы мемлекеттік реттеу механизмдері зерттелінген. 
 Кітап агроөнеркәсіп кешені салаларындағы мамандарға, ауылшаруашылығы жоғарғы оқу орындарының оқытушылары мен студенттеріне арналған</t>
  </si>
  <si>
    <t>0002332</t>
  </si>
  <si>
    <t>Ершина А.К.</t>
  </si>
  <si>
    <t>Механикалық қондырғылар</t>
  </si>
  <si>
    <t>Оқу құралында жаңарып тұратын энергия көздерін пайдаланудың негізгі жолдары келтірілген. Айналу осі вертикаль орналасқан Дарье түріндегі жел агрегаттары толығырақ қарастырылған. Жел турбинасының барлық аэродинамикалық характеристикалары: айналу моменті, турбинаның қуаты, жел энергиясын пайдалану коэффициенті және т.б. аналитикалық жолмен анықталған. Сонымен қатар, жүктемесіз және жүктемемен жұмыс істейтін турбинаның бұрыштық айналу жылдамдығын теориялық тұрғыдан анықтау мүмкіндігі көрсетілген.
 Оқу құралы «физика», «механика», «жаңарып тұратын энергия көздерін түрлендіру және соның негізінде жұмыс істейтін қондырғылар» мамандықтарының студенттері мен магистранттарына арналған, сонымен қатар дәстүрлі емес энергетика саласында жұмыс істейтін мамандарға да пайдалы.</t>
  </si>
  <si>
    <t>0002333</t>
  </si>
  <si>
    <t>Теория и практика использования возобновляемых источников энергии</t>
  </si>
  <si>
    <t>В пособии изложены основные пути использования возобновляемых источников энергии. Более подробно рассмотрены теория вертикально-осевых ветроагрегатов типа Дарье. Аналитически определены все аэродинамические характеристики ветротурбины: вращательный момент, мощность турбины, коэффициент использования энергии ветра и др. Показана возможность теоретического определения угловой скорости вращения турбины при ее запуске на холостом ходу, а также с выходом на рабочий режим. 
 Книга предназначена для студентов и магистрантов специальностей: «физика», «механика», «преобразование возобновляемых видов энергии и установки на их основе» университетов, а также будет полезна специалистам работающим в области использования возобновляемых источников энергии.</t>
  </si>
  <si>
    <t>0002334</t>
  </si>
  <si>
    <t>Есберген Р.А.</t>
  </si>
  <si>
    <t>Әлемдік мұнай нарығындағы Қазақстан: қазіргі жағдайы және даму келешегі.</t>
  </si>
  <si>
    <t>нефть</t>
  </si>
  <si>
    <t>Монографияда әлемдік мұнай нарығындағы Қазақстанның бүгінгі жағдайына талдау жасалып, даму перспективалары айқындалған. Автор әлемдік мұнай нарығындағы Қазақстанның қазіргі жағдайы мен даму келешегін үш негізгі тарауда қарастырған. Монография мұнайгаз саласына қызығушылық танытатын оқырмандарға арналған.</t>
  </si>
  <si>
    <t>0002335</t>
  </si>
  <si>
    <t>Есберген Р.Ә., Жумагалиева Б.З.</t>
  </si>
  <si>
    <t>Жобалық менеджмент</t>
  </si>
  <si>
    <t>Оқу құралында өзгермелі әлемде тиімді әрекет ету үшін қажет технологиялардың бірі – жобалық басқару әдісі қарастырылады. Жобалық менеджмент жүйесі, жобаның ұйымдық құрылымы мен қатысушыларының ролі туралы тұтас көрініс келтірілген. Жобаларды басқарудың процестері қамтылған. Сонымен қатар жобаларды басқару әдістері мен құралдары толық сипатталған. Оқу құралының материалдары жобаларды басқару процестеріне қойылатын халықаралық стандарттар талаптарына негізделген. Оқу құралы жоғары оқу орындарының студенттеріне, магистранттары мен докторанттарына, жобаларды басқару бойынша курстар тыңдаушыларына, жобаларды жүзеге асыруға жауапты басшыларға, мамандарға, мемлекеттік қызметшілерге арналады.</t>
  </si>
  <si>
    <t>0002336</t>
  </si>
  <si>
    <t>Есдаулетов А. О.</t>
  </si>
  <si>
    <t>Печать Казахстана в годы перестройки</t>
  </si>
  <si>
    <t>0002337</t>
  </si>
  <si>
    <t>Публицистическое мастерство Ануара Алимжанова</t>
  </si>
  <si>
    <t>0002339</t>
  </si>
  <si>
    <t>Есеналиев А.Е</t>
  </si>
  <si>
    <t>Медиация институты: Отандық және шетелдік тәжірибе</t>
  </si>
  <si>
    <t>Оқу құралы оқырман қауымға, студенттерге, құқық қорғау органдарының қызметкерлеріне-заңгерлерге, сондай-ақ медиация проблемаларымен шұғылданушыларға арналған.</t>
  </si>
  <si>
    <t>0002340</t>
  </si>
  <si>
    <t>Укрепление межэтнических и межконфессиональных отношений как основа национальной безопасности Казахстана на современном этапе</t>
  </si>
  <si>
    <t>Данная монография адресована студентам, аспирантам и препедователям гуманитарнных факультетов высших учебных заведений, ученым и практикам в области обеспечения межэтнического и межконфессионального согласия.</t>
  </si>
  <si>
    <t>0002342</t>
  </si>
  <si>
    <t>Есеналиев А.Е., Тоханова Р.Ж.</t>
  </si>
  <si>
    <t>Қазақстан Республикасының банк құқығы</t>
  </si>
  <si>
    <t>Заңгер үшін банк құқығын білу өз мамандығын игерудегі маңызды элементтердің бірі болып табылады. Нарықтық қатынастардың қалыптасуы мен кәсіпкерліктің дамуы жағдайында еліміздің экономикасында банк үлкен рөл атқарады. "Банк" сөзі италияның "banco" – ақша ұсақтау сәкісі, орындығы дегенді білдіреді. Банк бір жағынан несие берушілердің ақша капиталын орталықтандыруды, екінші жағынан, заемшыларды орталықтандыруды білдіреді.</t>
  </si>
  <si>
    <t>0002343</t>
  </si>
  <si>
    <t>Есеналиева А.Е., Тоханова Р.Ж.</t>
  </si>
  <si>
    <t>Қазақстан республикасының инвестициялық құқығы</t>
  </si>
  <si>
    <t>Оқу құралының Шифры 5В030100-Құқықтану мамандығының студенттеріне арналған.
 Оқу құралы талаптарға сай құрастырылған және курсты толық білуі үшін қажетті барлық мәліметтерді қамтиды. 
 Қазақстан Республикасының Инвестициялық құқығы пәні - мемлекеттік білім беру стандарттарына сәйкес біліктілік пен білім алуды қамтамасыз етіп, студенттерге инвестициялық құқығының негізгі теориялық ережелерін түсіндіріп, инвесторлардың құқықтарын қорғап, қазіргі ел экономикасына ірі көлемді қаржылар тарту қажеттігі туындап отырғанда, инвестициялар тартудың жетекші факторы болып табылатын құқықтық базаның құрамдас бөлігін құрап отырған инвестицияларды өзара қорғау және қолдау жөніндегі екіжақты келісімдердің маңызын, мазмұнын, ерекшеліктерін зерттеу нәтижесінде оларды жетілдіруге байланысты ұсыныстар беру болып табылады. Осы мақсатқа жету барысында инвестициялық қатынастардың мәнін, екіжақты келісімдердің құқықтық табиғатын, Қазақстанның инвести-циялық климат қалыптастырудағы саясатын зерттеуді алдына міндет етіп, инвестициялық құқығының әрекет етуін зерттеп, инвесторлар арасындағы қатынастар маңызын ашып, студенттерге инвестициялық құқығының әр түрлі жағдайларына құқықтық нормаларды дұрыс қолдану тәжірибесін оқытады.</t>
  </si>
  <si>
    <t>0002344</t>
  </si>
  <si>
    <t>Есенаманова М. С.</t>
  </si>
  <si>
    <t>Основы радиационный экологии</t>
  </si>
  <si>
    <t>В курсе лекций основы радиационной экологии даются важнейшие понятия радиационной безопасности, основ дозиметрии, воздействия радиоактивного излучения на живые организмы и норм радиационной безопасности; раскрываются основные источники поступления радионуклидов в окружающую среду; рассматриваются различные способы переработки и захоронения радиоактивных отходов.
 Рекомендован студентам, обучающихся в высших учебных заведениях и для всех заинтересованных изучению основ радиационной экологии</t>
  </si>
  <si>
    <t>0002345</t>
  </si>
  <si>
    <t>Дәрістер курсы радиациялық экология негіздерін оқыйтын студенттер үшін көмекші құрал ретінде құрастырылған. Радиациялық қауіпсіздіктердің негізгі түсініктер, дозиметрия негіздері, тірі ағзаларға радиактивті сәелелену әсерлері және радиациялық қауіпсіздік нормалары берілген. Қоршаған ортаға радионуклидтердің түсу негізгі көздеріне сипаттама берілген. Радиоактивті қалдықтардың әртүрлі өндіру мен көму тәсілдері қарастырылған.
 Жоғары орындарының оқушылары мен студенттерге және радиациялық экология негіздерін өзбетімен оқуға барлық ізденушілерге арналған.</t>
  </si>
  <si>
    <t>0002346</t>
  </si>
  <si>
    <t>Есенаманова М.С., Сангаджиева Л.Х., Есенаманова Ж.С., Абуова А.Е., Абишева Ф.Н., Тауова Н.Р.</t>
  </si>
  <si>
    <t>Биогеохимия және экотоксикология (каз)</t>
  </si>
  <si>
    <t>«Биогеохимия және экотоксикология» оқу құралы «Биогеохимия және экотоксикология» пәніне тиісті типтік бағдарламаға сай дайындалған. Оқу құралы Атырау мемлекеттік университеті үшінші курс студенттеріне «Биогеохимия және экотоксикологияның» міндетті бөлігінің жеке тарауларын терең меңгеру үшін арналған. Биогеохимияның негізгі тұжырымдамалары, олардың ғылым ретінде даму сатылары, жер бетіндегі химиялық элементтерінің таралу ерекшеліктері, олардың миграциясы қарастырылады, химиялық элементтердің геохимиялық топтамасы туралы көрініс беріледі. Әдістемелік құралы геохимия, топырақтану, биология пәндерін зерттейтін аралас факультеттердегі студенттерге де пайдалы.</t>
  </si>
  <si>
    <t>0002347</t>
  </si>
  <si>
    <t>Биогеохимия и экотоксикология (рус)</t>
  </si>
  <si>
    <t>Учебно-методическое пособие предназначено студентам третьего курса специальности 5В060800-Экология Атырауского государственного университета для углубленного изучения отдельных разделов обязательного компонента «Биогеохимия и экотоксикология». Рассмотрены базовые концепции биогеохимии, этапы ее развития как науки, особенности распределения химических элементов в земной коре, их миграции, дается представление о геохимических классификациях химических элементов, изложены основные понятия токсикологии, рассмотрены вопросы механизмы адаптаций человека к условиям окружающей среды и меры повышения устойчивости организма к воздействию ксенобиотиков. Методическое пособие полезно также студентам смежных факультетов, изучающих геохимию, геоэкологию, почвоведение, биологию.</t>
  </si>
  <si>
    <t>0002348</t>
  </si>
  <si>
    <t>Есенбаева Г.А.</t>
  </si>
  <si>
    <t>Современные проблемы механики</t>
  </si>
  <si>
    <t>Дисциплина «Современные проблемы механики» для магистрантов специальности «Механика» является обязательным профилирующим предметом. Учебное пособие отражает основные аспекты изучаемых вопросов, в нем системно излагаются общие сведения, концепции и положения, позволяющие освоить основы представленного материала. Данное учебное пособие можно рассматривать и как освещение круга основных идей и методов на основе классического аппарата, используемого в механике для решения изложенных проблем. Теоретическая часть учебного пособия направлена на дальнейшее овладение практическими методами решения конкретных задач, навыками самостоятельного продумывания и проведения собственных научных исследований. Учебное пособие выполнено в соответствии с тематикой типовой учебной программой дисциплины (Алматы, 2014 г.). Предназначено для магистрантов специальности «Механика» и технических специальностей, преподавателей и широкого круга специалистов, изучающих изложенные методы в своих научных изысканиях</t>
  </si>
  <si>
    <t>0002351</t>
  </si>
  <si>
    <t>Есенгабылов И.Ж.</t>
  </si>
  <si>
    <t>Жартылай өткізгіштер физикасы</t>
  </si>
  <si>
    <t>Бұл оқу құралы қатты дене физикасы теориясын негізінен тұжырымдап, жартылай өткізгіштердің қасиеттерін және олардағы процестерді сипаттауға арналған. Оқу құралында кристалдық тордың теориясы, атомдық физика және кванттық механикадан алынған қажетті мәліметтер және осы негізде қатты дененің электрондық теориясы берілген. Оқу құрал жоғары оқу орындарының «Физика» мамандығында оқитын студенттерге және магистранттарға арналған.</t>
  </si>
  <si>
    <t>0002356</t>
  </si>
  <si>
    <t>Есенгалиев К.Г., Мурзашев Т.К., Сидихов Б.М.</t>
  </si>
  <si>
    <t>Жануарлар морфологиясы латын ветеринарлық терминологиясымен</t>
  </si>
  <si>
    <t>Ұсынылып отырған оқу құралы жануарлар организмдері жасушаларының, ұлпаларының, мүшелері мен мүшелер жүйелерінің микроскопиялық және макроскопиялық құрылысына байланысты берілген. Оқу құралында цитология, эмбриология, гистология мен анатомия салаларындағы және латын ветеринарлық терминологиясының анатомо – гистологиялық, клиникалық және фармацевтикалық номенклатуралық терминдері мейлінше толығымен қамтылған.</t>
  </si>
  <si>
    <t>0002357</t>
  </si>
  <si>
    <t>Есенгалиев М.Н.</t>
  </si>
  <si>
    <t>Жол-көлік оқиғаларының сараптамалары</t>
  </si>
  <si>
    <t>5В120100 - «Ветеринарлық медицина», 5В120200 - «Ветеринарлық санитария» және 5В080200 - «Мал шаруашылығы өнімдерін өндіру технологиясы» мамандықтарының студенттеріне арналған «Жануарлар морфологиясы латын ветеринарлық терминологиясымен» оқу құралы</t>
  </si>
  <si>
    <t>0002363</t>
  </si>
  <si>
    <t>Есимов Б.О., Адырбаева Т.А., Дубинина Е.С.</t>
  </si>
  <si>
    <t>Кристаллография и минералогия</t>
  </si>
  <si>
    <t>Учебник составлен в соответствии с требованиями учебного плана и программой дисциплины «Кристаллография и минералогия» и предназначен для студентов специальности 5В075300 – Химическая технология тугоплавких неметаллических и силикатных материалов.Отражены основные понятия о кристаллическом строении веществ и их свойствах, вопросы геометрической кристаллографии, физические и химические свойства минералов, кристаллохимия наиболее важных классов минералов – самородные элементы, сульфиды, оксиды и гидроксиды, галоиды, карбонаты, нитраты, сульфаты, вольфраматы, фосфаты и силикаты. Обобщены и использованы современные материалы по химическим составам, кристаллографии и структуре, физическим свойствам, генезису и месторождениям, практическому значению и искусственному получению более восьмидесяти минеральных видов. Рассматриваются петрография главнейших магматических, осадочных и метаморфических горных пород, а также материалы по отечественным минеральным ресурсам производств силикатных материалов.</t>
  </si>
  <si>
    <t>0002364</t>
  </si>
  <si>
    <t>Есимов Б.О., Сейтжанов С.С., Битемиров М.К.</t>
  </si>
  <si>
    <t>Приоритетные строительные материалы и их минерально-сырьевое обеспечение</t>
  </si>
  <si>
    <t>Учебник предназначен для магистрантов специальности 6М075300 - Химическая технология тугоплавких неметаллических и силикатных материалов Учебник посвящен вопросам производства строительных материалов в рамках Государственной программы индустриально-инновационного развития Республики Казахстан на 2015-2019 годы. Рассматриваются приоритетные виды деятельности в производстве строительных материалов и приоритетные строительные товары, производство приоритетных изделий строительной керамики и огнеупоров, производство приоритетных изделий из стекла, производство цемента, извести, строительного гипса и асбестоцемента, минерально-сырьевой потенциал производств приоритетных строительных материалов в Республике Казахстан, тенденции в развитии производства строительных материалов в зарубежных странах</t>
  </si>
  <si>
    <t>0002366</t>
  </si>
  <si>
    <t>Есимов Е.Қ., Онгарова А.Х, Сұлтанбекова П.С.</t>
  </si>
  <si>
    <t>Жерді жақсарту</t>
  </si>
  <si>
    <t>Бұл «Жерді жақсарту» пәнінен оқулық 5В090300 - «Жерге орналастыру», 5В090700 - «Кадастр» мамандықтары бойынша мемлекеттік стандартқа және типтік бағдарламаға сәйкес дайындалған. Оқулықта жерді жақсартудың ғылыми негізде ұйымдастырылатын шаруашылық және техникалық шаралары, суландыру, құрғату, орман мелиорациясы, агромелиорация, химиялық мелиорация және жердің құнарлылығын ұзақ уақытқа көтеру немесе аумақты жалпы сауықтыру, жерді айтарлықтай дәрежеде жақсарту мақсатында жасалатын шаралар жиынтығы, табиғатты тиімді пайдаланудың бір түрі жалпы ландшафт, мелиорацияны жобалау кезінде ландшафттық өзгерістердің мүмкін болатын дәл болжам жасаудың маңызы техникалық шаралар жиынтығы. Топырақты сумен, ауамен, қоректік заттармен қамтамасыз етуді жақсартуға, оны жел, су эрозиясы сияқты қатерлі құбылыстардан қорғау принциптері қарастырылған.</t>
  </si>
  <si>
    <t>0002367</t>
  </si>
  <si>
    <t>Есимов Е.Қ., Онгарова А.Х.</t>
  </si>
  <si>
    <t>Бұл «Жер кадастры» пәні оқу құралында 5В090300 - «Жерге орналастыру», 5В090700 - «Кадастр» мамандықтары бойынша мемлекеттік стандартқа және типтік бағдарламаға сәйкес дайындалған. Оқу құралында жер қатынастарының тарихи даму негіздері, жер қорының жағдайы мен сипаттамасы туралы айтылады. Жер кадастырының мақсаттары мен принциптері, мазмұны және жерді кадастрлық есепке алу, бағалау, жер учаскелерін мемлекеттік тіркеуді жүргізу баяндалған. Жер кадастрының автоматтандырылған ақпараттық жүйесі /ААЖ/ құрылуының негіздері, жер учаскелерімен операциялар жүргізу әдістері берілген. Нарықтық жағдайда жер учаскелерін жылжымайтын мүліктің біріккен объектілерімен бірге бағалау әдістері негізгі мақсаттары мен міндеттері және де мазмұны баяндалған.</t>
  </si>
  <si>
    <t>0002369</t>
  </si>
  <si>
    <t>Биологиялық белсенді заттардың биотехнологиясы</t>
  </si>
  <si>
    <t>ЖОО арналған оқу құралы. Оқу құралда биологиялық белсенді заттарды алудың негізгі технологялық процестері қарастырылған. 
 Биотехнологиялық өндіріс салалары биологиялық белсенді заттарды алу тәсілдері қарастырылған. 
 Оқу құрал жоғарғы оқу орындарының студенттері мен магистранттарына, биотехнолог мамандарына арналған.</t>
  </si>
  <si>
    <t>0002373</t>
  </si>
  <si>
    <t>Есимова Д.Д.</t>
  </si>
  <si>
    <t>Болашақ ұстаздың деонтологиялық даярлығы-патриоттық тәрбиенің негізі</t>
  </si>
  <si>
    <t>0002374</t>
  </si>
  <si>
    <t>Геоэкология (каз.яз)</t>
  </si>
  <si>
    <t>0002375</t>
  </si>
  <si>
    <t>Кәсіптік пәндерді оқыту әдістемесі</t>
  </si>
  <si>
    <t>0002376</t>
  </si>
  <si>
    <t>Есимова Д.Д., Кертаева Г.М. /Yessimova D.D., Kertaeva G.M.</t>
  </si>
  <si>
    <t>Deontological readiness of fututre teachers</t>
  </si>
  <si>
    <t>Предлагаемое учебное пособие "деонтологическая готовность будущих педагогов" состоит из двух разделов: информационно-теоретического и диагностического. Выделены основные проблемные положения деонтологической науки. Освещаются вопросы современной педагогической деонтологии. Кратко изложены основы деонтологии как науки. Общие деонтологические понятия раскрываются в обобщенном виде. Особенно ценно то, что в учебном пособии в системной форме раскрываются основные проблемные вопросы педагогической деонтологии. Учебное пособие предназначено для преподавателей, слушателей программ повышения квалификации, студентов, магистрантов и аспирантов, а также для школьных учителей. The proposed study guide “Deontological readiness of future teachers” consists of two sections: information-theoretical and diagnostic. Main problematic provisions of deontological science are selected by the author. Issues of modern pedagogical deontology are highlighted. A brief outline of the basics of deontology as a science is made. Common deontological concepts are revealed in a generalized form. Especially valuable is that in the study guide main problematic issues of pedagogical deontology are revealed in a systemic form. The study guide is intended for academic staff, trainees of professional development programs, undergraduate, graduate and postgraduate students, as well as for school teachers.</t>
  </si>
  <si>
    <t>0002377</t>
  </si>
  <si>
    <t>Есимова Д.Д., Царегородцева А.Г., Ажаев А.С., Арефьев В.Е.</t>
  </si>
  <si>
    <t>Концептуальные основы развития туризма в северо-восточном Казахстане и Алтайском крае</t>
  </si>
  <si>
    <t>0002378</t>
  </si>
  <si>
    <t>Есимова Ж.</t>
  </si>
  <si>
    <t>Социально-политическая обстановка в Казахстане в 50-60гг. ХХ века</t>
  </si>
  <si>
    <t>Материалы и выводы, сформулированные в данной работе, могут быть использованы при написании обобщающих и частных работ по новейшей истории Казахстана и сопредельных регионов, а также при разработке учебных пособий и в лекционных курсах на исторических и неисторических факультетах ВУЗов. Суждения и выводы автора позволяют глубже и яснее понять сущность освоения целинных и залежных земель в северных областях Казахстана, четко представить ее жесткость и грубость, а также убедиться в том, что экономические методы центра не уступали, если даже не превосходила другие колониальные системы. Тема данного исследования представляет практический интерес и для исследователей, практических работников, государственных служащих. Ее выводы могут быть использованы для написания обобщающих трудов по государственно-политической идеологии.</t>
  </si>
  <si>
    <t>0002380</t>
  </si>
  <si>
    <t>Есимсеитова К. А., Мұхтаров Т.М., Маратов Р.М., Маратов Р.М.</t>
  </si>
  <si>
    <t>Көлік экономикасы</t>
  </si>
  <si>
    <t>Оқу құралында көлік экономикасының негiзгi ұғымдары, ұйымдастыру-техникалық шараларды енгізуді экономикалық дәлелдеу, өндірістік іс-әрекеттерді жоспарлау әдістерін жетілдіру, еңбек пен еңбек ақыны ұйымдастыруды жақсарту, еңбек өндірісін жоғарлату, пайдалану шығындарды үнемдеу, сондай-ақ, автокөлік кәсіпорындарының пайдалылығын жоғарылату негіздері берілген.Оқу құралында келесі сұрақтар толығымен қарастырыллған: көлік экономикасының рөлі және маңызы, көлік транспортындағы негізгі қорлар, жүмысты ұйымдастыру және жоспарлау, еңбек ақыны ұйымдастыру және жоспарлау, көлік транспортындағы тарифтер және өзіндік құны, транспорттағы шаруашылық механизм, көлік транспорт кәсіпорынының бизнес-жоспары, өндірістік-шаруашылық қызметінің экономикалық анализі Техникалық – экономикалық талдау кәсіпорынның өндірістік-қаржылық қызметін пайдаланудың нәтижелеріне техникалық және ұйымдастыру факторларының байланысын ашады, олардың әрқайсысының, соның ішінде жоспардың орындалуына тигізетін әсердің дәрежесін анықтайды, өндірістегі көрінбей қалған резервтерді айқындайды, жұмыстағы кемшіліктерді ашады</t>
  </si>
  <si>
    <t>0002381</t>
  </si>
  <si>
    <t>Экономика транспорта</t>
  </si>
  <si>
    <t>В учебном пособии авторами даются основы организации планирования на транспорте, методы расчёта экономической эффективности капитальных вложений и новой техники, экономический анализ производственно-хозяйственной деятельности АТП. Технико-экономический анализ позволяет раскрыть зависимость результатов производственно-финансовой деятельности предприятия от эксплуатационных, технических и организационных факторов, определить степень влияния каждого из них на выполнение плана, выявить имеющиеся резервы производства, вскрыть недостатки в работе. Руководители предприятий должны хорошо представлять круг ожидаемых проблем. Изменяющаяся хозяйственная среда требует от них по-иному рассматривать финансовые показатели и возможности различных организационно-правовых форм предприятий. Бизнес-план АТП предусматривает изучение рынка транспортных услуг и перспектив его развития; возможностей сбыта продукции; оценку затрат и соизмерение их с тарифами и ценами, которые определяют рынок для поддержания потенциальной прибыльности предприятия</t>
  </si>
  <si>
    <t>0002383</t>
  </si>
  <si>
    <t>Есиркепова А М</t>
  </si>
  <si>
    <t>Табиғатты пайдалану экономикасы</t>
  </si>
  <si>
    <t>Оқу құралында пәннің типтік бағдарламасына сәйкес тақырыптар ашып көрсетілген. Жоғары оқу орындарына арналған "Табиғатты пайдалану экономикасы" оқу құралы студенттердің тұрақты даму жағдайында табиғатты пайдаланудың экономикалық мәні, экономикалық тиімділігі, басқару әдістері туралы білімдерін кеңейтуге көмектеседі.Оқу құралы экономикалық мамандықтардың студенттеріне, кәсіпкерлерге, ғылыми қызметкерлерге, магистранттарға, докторанттарға, оқытушыларға, мемлекеттік басқару органдарына арналған.</t>
  </si>
  <si>
    <t>0002384</t>
  </si>
  <si>
    <t>Макроэкономика</t>
  </si>
  <si>
    <t>Оқу құралында пәннің типтік бағдарламасына сәйкес тақырыптар ашып көрсетілген. Жоғары оқу орындарына арналған оқу құралы макроэкономика бойынша басты сұрақтарды, оның ішінде макроэкономикалық көрсеткіштер және олардың өзара байланыстылығы, жалпы макроэкономикалық тепе-теңдікті, тауар және ақша нарығындағы макроэкономикалық тепе-теңдік орнату жағдайларын, монетарлық және бюджет-салық саясаты сияқты мәселелерді қамтиды. Оқу құралы экономикалық мамандықтардың студенттеріне, кәсіпкерлерге, ғылыми қызметкерлерге, магистранттарға, докторанттарға, оқытушыларға, мемлекеттік басқару органдарына арналған.</t>
  </si>
  <si>
    <t>0002385</t>
  </si>
  <si>
    <t>Есиркепова А. М.</t>
  </si>
  <si>
    <t>Сақтандыру (толықтырылган екінші басылымы)</t>
  </si>
  <si>
    <t>Оқу құралында «Сақтандыру» пәнінің жоғарғы оқу орындарындағы оқу бағдарламасымен қарастырылған негізгі сұрақтар қамтылған. Оқу құралында сақтандыру ісінің құрылымы мен теориясына байланысты мәселелер қарастырылып және оларды нақты шешу жолдары ұсынылған, сонымен қатар, сақтандыру ісі саласындағы шетел тәжірибелеріне шолу жасалынған.</t>
  </si>
  <si>
    <t>0002386</t>
  </si>
  <si>
    <t>Современное предпринимательство</t>
  </si>
  <si>
    <t>В учебном пособии в краткой и доступной форме рассмотрены все основные вопросы, предусмотренные учебной программой по дисциплине "Современное предпринимательство". Пособие раскрывает важные вопросы, связанные с теорией и практикой предпринимательства. В нем отражены такие вопросы, как понятие бизнеса, современные методы ведения предпринимательской деятельности, его назначение, состав и структура, виды, информационное обеспечение процесса практические рекомендации к методике составления отдельных разделов бизнес-плана. В пособии представлены возможные риски и пути их преодоления, примеры управления персонала при ведении бизнеса.</t>
  </si>
  <si>
    <t>0002387</t>
  </si>
  <si>
    <t>Заманауи кәсіпкерлік</t>
  </si>
  <si>
    <t>Оқу құралында пәннің типтік бағдарламасына сәйкес тақырыптар ашып көрсетілген. Жоғары оқу орындарына арналған оқу құралы қазіргі замандағы кәсіпкерліктің ерекшеліктерін, оның ішінде кәсіпкерлікті қолдау бойынша мемлекеттік бағдарламалардың негізгі бағыттарын, еңбек ресурстары миграциясының кәсіпкерліктің дамуына әсер етуі сияқты мәселелерді, қамтиды.</t>
  </si>
  <si>
    <t>0002388</t>
  </si>
  <si>
    <t>Есиркепова А.М.</t>
  </si>
  <si>
    <t>Бизнес-жоспарлау</t>
  </si>
  <si>
    <t>Оқу құралында пәннің типтік бағдарламасына сәйкес тақырыптар ашып көрсетілген. Жоғары оқу орындарына арналған оқу құралы студенттердің, кәсіпкерлердің бизнес-жоспарлау бойынша түсінігін кеңейтеді, бизнес-жоспарды жасау әдісі, оның құрылымы, негізгі бөлімдері туралы мәліметі мен көзқарасы қалыптасады. Оқу құралында бизнес-жоспарлаудың тәжірибесі мен теориясымен байланысты мәселелер қарастырылып, нақты шешу жолдары ұсынылған. Оқу құралы экономикалық мамандықтардың студенттеріне, кәсіпкерлерге, ғылыми қызметкерлерге, магистранттарға, докторанттарға, оқытушыларға, мемлекеттік басқару органдары қызметкерлеріне арналған.</t>
  </si>
  <si>
    <t>0002389</t>
  </si>
  <si>
    <t>Қайталама ресурстарды басқару: теория мен әдіснамасы</t>
  </si>
  <si>
    <t>Монография имеет теоретическое и практическое значение. Он предназначен для сотрудников высших учебных заведений, студентов, магистрантов, аспирантов, бизнесменов, государственных служащих, научных работников, а также широкого круга читателей, интересующихся вопросами государственно-частного партнерства в сфере образования.</t>
  </si>
  <si>
    <t>0002390</t>
  </si>
  <si>
    <t>Есиркепова А.М., Есиркепова М.М., Исаева Г.К.</t>
  </si>
  <si>
    <t>Мемлекет-жеке меншік әріптестігі аясында жоғары білім берудің дуалдық оқыту жүйесінде кәсіпкерлерді ынталандыру тетіктері: теория мен әдіснамасы</t>
  </si>
  <si>
    <t>Монографияда мемлекет-жеке меншік әріптестігі қағидалары негізінде жобаларды іске асырудың арқасында жоғары білім жүйесінің тіиімділігі мен бәсекеге қабілеттілігі, оның инвестициялық тартымдылығы артатындығы, жоғары оқу орындарының қаржылық әлеуеті ұлғайып, тұрғындарға ұсынылатын әлеуеметтік маңызды, сапалы қызметтерді қызметтерді ұсыну қамтамасыз етілетіні қарастырылған.Монография кәсіпкерлерге, ғылыми қызметкерлерге, магистранттарға, докторанттарға, оқытушыларға, мемлекеттік басқару органдарына және экономикалық факультет студенттеріне арналған.</t>
  </si>
  <si>
    <t>0002391</t>
  </si>
  <si>
    <t>Стимулирование предпринимателей как форма государственно-частного партнерства в системе дуального обучения на базе высшего образования: теория и методология</t>
  </si>
  <si>
    <t>Монография имеет важное теоретическое и практическое значение и предназначена работникам высших учебных заведений, магистрантам, докторантам, предпринимателям, государственным служащим, научным работникам, а также широкому кругу читателей.Исследования, приведенные в монографии посвящены изучению достоинств и недостатков государственно-частного партнерства в системе дуального обучения в сфере высшего образования, поиску адекватных современным условиям механизмов взаимодействия предпринимательских структур с вузами и государством, а также подготовке рекомендаций относительно тенденций и перспектив развития данного сотрудничества.</t>
  </si>
  <si>
    <t>0002392</t>
  </si>
  <si>
    <t>Есиркепова А.М., Исаева Г.К.</t>
  </si>
  <si>
    <t>Государственно-частное партнерство в системе высшего образования: современное состояние и приоритеты развития</t>
  </si>
  <si>
    <t>Монография имеет теоретическое и практическое значение и предназначается для работников высших учебных заведений, студентов, магистрантов, докторантов, предпринимателей, государственных служащих, научных работников, а также широкого круга читателей, интересующихся вопросами государственно-частного партнерства в сфере образования.Исследования, приведенные в данной монографии посвящаются изучению современного состояния и проблем развития высшего образования Казахстана, анализу зарубежного опыта государственно-частного партнерства на основе дуального обучения, выявлению возможностей применения зарубежных моделей такого сотрудничества в условиях Казахстана.</t>
  </si>
  <si>
    <t>0002393</t>
  </si>
  <si>
    <t>Жоғары білім жүйесіндегі мемлекеттік-жеке меншік әріптестік: қазіргі жағдайы мен даму басымдықтары</t>
  </si>
  <si>
    <t>Монографияда келтірілген зерттеулер Қазақстандағы жоғары білім дамуының қазіргі жағдайы мен өзекті мәселелеріне, дуальды оқыту негізінде мемлекеттік - жеке меншік әріптестіктің шетел тәжірибиесіне талдау жасауға, сонымен қатар аталған әріптестіктің шетел үлгілерін Қазақстан жағдайында пайдалану мүмкіндіктерін анықтауға арналған.Монографияның теориялық және тәжірибелік мәні бар және жоғары оқу орындарының қызметкерлеріне, студенттерге, магистранттарға, докторанттарға, кәсіпкерлерге, мемлекеттік басқару органдарына, ғылыми қызметкерлерге, оған қоса білім беру аясында мемлекеттік - жеке меншік әріптестік сұрақтарымен қызығатын оқырмандарға арналған.</t>
  </si>
  <si>
    <t>0002394</t>
  </si>
  <si>
    <t>Есиркепова М.М.</t>
  </si>
  <si>
    <t>Международные стандарты труда в Республике Казахстан: проблемы имплементации и защиты</t>
  </si>
  <si>
    <t>Данная монография посвящена теоретическим и практическим вопросам взаимодействия международного и национального трудового права, международно-правовых источников и внутригосударственных актов о труде; проблемам, возникающим в процессе имплементации международных трудоправовых норм во внутригосударственные нормы трудового права и при их реализации в жизнь.</t>
  </si>
  <si>
    <t>0002396</t>
  </si>
  <si>
    <t>Есиркепова М.М./ Yessirkepova M.M</t>
  </si>
  <si>
    <t>International labor standards in the Republic of Kazakhstan: problems of implementation and protection</t>
  </si>
  <si>
    <t>This monograph is devoted to theoretical and practical issues of interaction between international and national labor law, international legal sources and domestic labor acts; problems arising during the implementation of international standards in domestic labor law regulations and their implementation in life. Данная монография посвящена теоретическим и практическим вопросам взаимодействия международного и национального трудового права, международно-правовых источников и внутригосударственных актов о труде; проблемам, возникающим в процессе имплементации международных трудоправовых норм во внутригосударственные нормы трудового права и при их реализации в жизнь.</t>
  </si>
  <si>
    <t>0002398</t>
  </si>
  <si>
    <t>Есімова А.М.</t>
  </si>
  <si>
    <t>Антибиотиктер өндірісі</t>
  </si>
  <si>
    <t>Оқу құралда антибиотиктер алудың негізгі технологялық процестері қарастырылған. Оқу құрал жоғарғы оқу орындарының студенттері мен магистранттарына, биотехнолог мамандарына арналған</t>
  </si>
  <si>
    <t>0002399</t>
  </si>
  <si>
    <t>Есіркепов Ж.М.</t>
  </si>
  <si>
    <t>Мектепте баскетболды үйрету әдістемесі</t>
  </si>
  <si>
    <t>Оқу-әдістемелік құралында баскетбол ойынының шығу тарихынан бастап, даму кезеңдері, ойын әдістері мен тәсілдері, төрешілік ережелері, қауіпсіздік ережелері, жаңа алаң өлшемдері, сабақ өткізу әдістері, дәрістік және тест материалдары ұсынылады.
 Оқу-әдістемелік құрал жалпы білім беретін мектептердегі дене шынықтыру пәнінің мұғалімдері мен жас жаттықтырушыларға, студент жастарға, баскетбол спортымен енді шұғылданып жүрген жасөспірімдерге арналған.</t>
  </si>
  <si>
    <t>0002410</t>
  </si>
  <si>
    <t>Есмаханова К.Р., Тунгушбаева Д.И.</t>
  </si>
  <si>
    <t>Математика для экономистов</t>
  </si>
  <si>
    <t>учебно- методическом пособии изложена программа изучения 1 курса
 математики для студентов экономических специальностей. Данная программа охватывает следующие разделы математики: алгебра, геометрия, пределы, производная, интегралальное исчисление. В учебно- методическом пособии излагаются краткий теоретический материал, методические рекомендации, тестовые задания, а также ответы к
 тестовым заданиям.</t>
  </si>
  <si>
    <t>0002413</t>
  </si>
  <si>
    <t>Еспекова Л.А.</t>
  </si>
  <si>
    <t>Қазіргі қазақ тілінің фонетикасы</t>
  </si>
  <si>
    <t>Оқулықта қазіргі қазақ тілінің фонетикасына қатысты мәселелер сөз болады. Тілдің дыбыстық жүйесі, оның зерттелуі, буын құрамы, үндестік заңдарының түрлері, екпіннің қызметі секілді мәселелер жан-жақты қамтылған.
  Оқулық кредиттік жүйеге негізделіп жасалып отыр. Еңбек жоғары оқу орнының филология факультетінің студенттеріне арналады.</t>
  </si>
  <si>
    <t>0002422</t>
  </si>
  <si>
    <t>Еськова Ю.С., Юнкина Е.В., Карманова А. А.</t>
  </si>
  <si>
    <t>Практикум по дисциплине «Язык для специальных целей (уровень С2)»</t>
  </si>
  <si>
    <t>Данный практикум предназначен для студентов 4 курса специальности 5В011900 «Иностранный язык: два иностранных языка», обучающихся по кредитной технологии, и включает в себя задания, методические рекомендации по подготовке к практическим занятиям и самостоятельной работе студентов под руководством преподавателя.</t>
  </si>
  <si>
    <t>0002434</t>
  </si>
  <si>
    <t>Әбденов А.Ж.</t>
  </si>
  <si>
    <t>Қазақстандағы мұнай тасымалы құбырларының қалыптасуы мен даму тарихы (1920-2001 жж.)</t>
  </si>
  <si>
    <t>Монографияда Қазақстандағы мұнай тасымалдайтын құбырлардың қалыптасуы мен даму тарихы және ондағы негізгі мәселелер қарастырылады.
 1920 жылдан қазіргі күнге дейін Орал-Ембі, Маңғыстау мұнайын құбырлармен тасымалдау жолдары, шетелге шикізат жеткізілетін бағыттары, сонымен бірге мұнайшы мамандар туралы тың мәліметтер беріледі. Еңбекте Мәскеу, Алматы, Атырау, Ақтау және Ақтөбе қалаларындағы мұрағат деректері кеңінен қолданылды. Монография оқушы-студенттерге, магистранттар мен оқытушыларға және жалпы оқырман қауымға арналған.</t>
  </si>
  <si>
    <t>0002435</t>
  </si>
  <si>
    <t>Әбдіғапбарова Ұ.М., Байкулова А.М.</t>
  </si>
  <si>
    <t>Оқушы лидерді тәрбиелеу</t>
  </si>
  <si>
    <t>Бұл монографиядалидер, лидерлік ұғымдарының мәні анықталады. Лидерлік типтері, түрлері қарастырылады. Лидерлік мәселесі қарастырылған шетелдік және отандық ғалымдар зерттеулері зерделенеді. Түркі ғұлама ойшылдардың лидерлікке берген сипаттамасы талданып беріледі. Оқушыларды жасөспірім кезеңінде лидерлікке тәрбиелеу ерекшеліктері негізделеді. Оқушы лидер тұлғасы анықталады және оған жан-жақты сипаттама беріледі. Оқушыларды лидерлікке тәрбиелеудің мәні мен құрылымыайқындалады. Оқушыларды лидерлікке тәрбиелеу технологиясымазмұндалады. Сондай-ақ, олардың тәжірибелік-эксперимент жүзінде тексерілгендігі баяндалады. Оқушылардың лидерлігі қалыптасуының деңгейін айқындайтын диагностикалық тесттер, сауалнамалар, ойын-тренингтер және жаттығуларжүйеленіп беріледі. Монографиябілім беру саласын басқару органдарының қызметкерлеріне, мектеп мұғалімдеріне, тәрбиешілері мен әдіскерлеріне, жоғары оқу орны мен колледждердегі педагогикалық мамандықтағы студенттерге, магистранттарға, докторанттарға және ізденушілерге арналған</t>
  </si>
  <si>
    <t>0002436</t>
  </si>
  <si>
    <t>Әбдікерімова Г.И. (Абдикеримова Г.И.)</t>
  </si>
  <si>
    <t>"Кәсіпорын экономикасы" оқу құралы "Кәсіпорын экономикасы" пәніне тиісті 050506- "Экономика"мамандығы бойынша типтік оқу бағдарламасына сәйкес жазылған. Бұл оқу құралының мазмұны кәсіпорындарды ұйымдастыру-құқықтық және кәсіпкерлік істің түрлерін, кәсіпорынның мүліктерін, кадрларды, кәсіпорындағы өндірісті ұйымдастыру, инвестиция, маркетинг мәселелерін қарастыратын тарауларды қамтыған. Аталған оқу құралын жалпы экономикалық мамандықтарды оқытуда пайдалануға болады.</t>
  </si>
  <si>
    <t>0002437</t>
  </si>
  <si>
    <t>Әбдікәрім Т.М., Мұхтарова Н.Б.</t>
  </si>
  <si>
    <t>Қазақ тіл білімінің ғылыми зерттеу негіздері</t>
  </si>
  <si>
    <t>Оқу құралында ғылым, ғылыми таным мен ғылыми зерттеу жұмыстарының негіздері зерделеніп, жүйеленген. Жалпы ғылыми зерттеу әдістері мен тілді зерттеу әдістерінің өзара байланысы мен айырмашылықтары көрсетіліп, тіл білімінің қазіргі өзекті бағыттары қарастырылған. Жас ізденушілерге бағыт-бағдар беру мақсатында ғылыми зерттеу жұмыстарының негізгі түрлері сараланады. Оқу құралы педагогикалық колледждер мен жоғары оқу орындарының оқытушылары мен студенттеріне, магистранттар мен тілді зерттеушілерге арналған.</t>
  </si>
  <si>
    <t>0002439</t>
  </si>
  <si>
    <t>Әбдірақов Б</t>
  </si>
  <si>
    <t>Биохимия каз.</t>
  </si>
  <si>
    <t>Оқу құралы «Биохимия» пәнінің «Тамақ өнімдерінің технологиясы» мамандықтарында оқитын білімгерлерге арналған оқу бағдарламасына сәйкес жазылған. Оқу құралы белоктар, көмірсулар, липидтер, витаминдер, ферменттер т б. минералды заттар бар тамақ өнімдерін сақтау кезінде болатын биохимиялық өзгерістерді қамтиды.Бұл оқу құралы білімгерлерге астықты сақтау, оны өңдеу кезінде болатын биохимиялық процестерді оңай түсінуге септігін тигізеді.</t>
  </si>
  <si>
    <t>0002440</t>
  </si>
  <si>
    <t>Биохимия рус.</t>
  </si>
  <si>
    <t>0002441</t>
  </si>
  <si>
    <t>Әбдіраманов Ә.Ә., Жолдасов С.Қ. (Джолдасов С.К.), Қожамқұлова Г.Е.</t>
  </si>
  <si>
    <t>Гидравлика</t>
  </si>
  <si>
    <t>Оқу құралы «Гидравлика» пәні курсының жұмысшы бағдарламасына сәйкес жасалған және 33 лабораториялық жұмыстан тұрады. Олардың әрбірінде лабораториялық жұмысты орындау тәртібі мен схемалары көрсетіліп, қорытынды сұрақтар берілген. 5В080500-«Су ресурстары және суды пайдалану», 5081000-«Мелиорация, жерді баптау және қорғау», 5В073100-«Тіршілік әрекетінің қауіпсіздігі және қоршаған ортаны қорғау», 5В070800-«Мұнай-газ ісі» бакалавриат мамандықтарына және де колледждің су саласына қатысты – «Ауыл және су шаруашылығының қолданбалы экологиясы», «Гидромелиорация», «Гидротехникалық құрылыс» және де басқа «Гидравлика» пәнін өтетін колледж мамандықтарына арналған.</t>
  </si>
  <si>
    <t>0002445</t>
  </si>
  <si>
    <t>Әбетова З.Т. (Абетова)</t>
  </si>
  <si>
    <t>Аймақтық әлеуметтану</t>
  </si>
  <si>
    <t>Аймақтық әлеуметтану оқулығы оқу жұмыс оқу бағдарламасы «Әлеуметтану» бағыт бойынша бакалаврын дайындау деңгейіне және білім беру мазмұнына қойылатын талаптаға сәйкес жасалған. Оқулықтың мазмұны білім алушылардың біліктілігін дамыту негізінде аймақ әлеуметтануының теориясын, әдіснамасын және зерттеу дағдыларын кәсіби қызметтің негізгі түрлерінде туындайтын аймақтық мәселелерді шешу үшін қолдануға бағытталған. Оқу құралының ғылыми және практикалық маңыздылығы - теориялық жағынан терендетіп аймақтарды қарастыру жолында, білім алушылардың өзіндік жұмыс дағдыларын дамыту мен игеру болып табылады</t>
  </si>
  <si>
    <t>0002446</t>
  </si>
  <si>
    <t>Әбеуова И.Ә.</t>
  </si>
  <si>
    <t>Кәсіби бағыттылықты қалыптастыру</t>
  </si>
  <si>
    <t>0002447</t>
  </si>
  <si>
    <t>Әбеуова И.Ә. Ермекбаева Л.К.</t>
  </si>
  <si>
    <t>Әлеуметтік психология</t>
  </si>
  <si>
    <t>0002450</t>
  </si>
  <si>
    <t>Әбілұлы М.</t>
  </si>
  <si>
    <t>Ежелгі дәурдегі отбасылық балалар ауыз әдебиеті</t>
  </si>
  <si>
    <t>Аймақтық менеджмент академиясының профессоры М.Әбілұлының жоғары оқу орындары мен колледж білімгерлеріне арналған «Ежелгі дәуірдегі отбасылық балалар ауыз әдебиеті» деп аталатын оқу құралы балалар ауыз әдебиетінің көне дәуірін қамтиды. Ежелгі дәуірде өмір сүрген ата-бабаларымыз өсіп келе жатқан өскелең ұрпақтардың сана-сезімін отаншылдыққа, адалдыққа, еңбекке тәрбиелеуге баса назар аударғаны белгілі. Сондықтан олар бала тәрбиесінің аса маңызды құралы-отбасылық балалар ауыз әдебиетіне көңіл бөлген. «Ойындар» деп аталатын тарауда балалардың ұлттық ойындары мен балалар ауыз әдебиеті арасындағы рухани байланыстың қыр-сыры зерделенеді. Бұл тарауда қазақ халқының ұлттық әскери – тәрбиелік ойындары туралы ғылыми тұжырымдар жасалып, ұлттық әскери – тәрбиелік ойындардың баланы ұлтжандылыққа баулудағы орыны атап көрсетіледі. Кітап мектеп мұғалімдері мен ғалымдарға, магистранттарға, білімгерлерге, мектеп оқушыларына арналып шығарылды.</t>
  </si>
  <si>
    <t>0002451</t>
  </si>
  <si>
    <t>Ежелгі сақ дәурдегі балалар әдебиеті</t>
  </si>
  <si>
    <t>Профессор М.Әбілұлының жоғары оқу орындары мен колледж білімгерлеріне арналған «Ежелгі сақ дәуіріндегі балалар әдебиеті» деп аталатын оқу құралы ежелгі балалар әдебиетінің көне дәуірін қамтиды. Ауыз әдебиеті арқылы ежелгі әуірлерден жеткен шығармалар сақ дәуіріндегі балалардың тұрмыс-тіршілігі, көне мәдениеттің сілемдері –домбыра, қобыз, сыбызғы тарту мен би билеу, тас қорытып, темір өңдеу мен тасқа қашап сурет салу, жазу жазу, ескерткіш қашау өнерінің дамуы туралы сыр шертеді. Оқу құралындағы жаңылтпаштар, ертегілер мен аңыз әңгімелер сақ дәуіріндегі балалар әдебиетінің сілемдерінен хабардар етеді.Сонымен бірге оқулыққа ежелгі сақ елінің данышпандары Анарыс пен Тоқсарының афоризмдері енгізілген. Оқу құралы мектеп мұғалімдері мен ғалымдарға, білімгерлерге, мектеп оқушыларына арналып шығарылды.</t>
  </si>
  <si>
    <t>0002453</t>
  </si>
  <si>
    <t>Әбішева М.М./Абишева М.М.</t>
  </si>
  <si>
    <t>Ирандағы шиизмнің тарихы</t>
  </si>
  <si>
    <t>востоковедение</t>
  </si>
  <si>
    <t>Оқу құралы жоғарғы оқу орындарында «шығыстану» мамандығы бойынша білім алушыларға арналғанымен, ислам тарихына, Иран мәдениетіне, исламдық саяси институттарға қызығушылық танытатын «халықаралық қатынастар», «аймақтану», «дінтану», «тарих» сынды мамандықтар бойынша білім алушылар мен ізденушілер үшін де пайдалы болмақ. Оқу құралында ұсынылған әдебиеттер арасында Ресейлік, Еуропалық, отандық авторлармен қатар, парсы тіліндегі деректер мен ғылыми еңбектер бар. Бұл парсы тілін білетін иранист-шығыстанушылар үшін құнды мәлімет болмақ.Оқу құралының соңында тақырып мазмұны мен оқу құралы қамтитын Аралық бақылауға арналған 50 тест сұрақтары келтірілген.</t>
  </si>
  <si>
    <t>0002454</t>
  </si>
  <si>
    <t>Әбішева Т.О. /Абишева/</t>
  </si>
  <si>
    <t>Қоршаған орта мониторингі</t>
  </si>
  <si>
    <t>Бұл оқу құралы табиғи орта жағдайларының ластануын айқындау арқылы, ластану деңгейін бақылауды, табиғи және антропогендік факторлардың әсерінен табиғат, қоршаған ортада болуы мүмкін өзгерістерді болжау және орта жағдайын ретке келтіру шараларын басқару жүйесін бағалау арқылы ұйымдастырудың қажеттілігін баяндайды. Оқу құралы мониторинг түрлерін, оларға зертханада тәжірибелер арқылы оқушы, студенттердің білім деңгейін көтеруге өте қажет.Оқу құралы жалпы орта білім беретін оқытушыларға, мұғалімдерге, магистранттарға студенттерге арналған</t>
  </si>
  <si>
    <t>0002455</t>
  </si>
  <si>
    <t>Әбішева Ш.С. /Абишева</t>
  </si>
  <si>
    <t>Мұнай және газ ісі мамандығының жалғастырушы топ студенттеріне арналып отырған «Кәсіби қазақ тілі» оқу құралы жаңа оқыту технологиясы бойынша жасақталған. Оқу құралының басты мақсаты тіл үйренушілердің қазақша таза сөйлеуіне, сауатты жазуына, мамандыққа қатыстымәтіндерді еркін баяндауына, сөздік қорын байытуға септігін тигізеді. Ұсынылып отырған еңбекте мамандыққа қатысты мәтіндер, жаттығу жұмыстары, өздік жұмыс тапсырмалары, студент алған білімін бекіту, қорыту мақсатында бақылау-тест тапсырмалары жүйелі берілген.Оқу құралы аталған мамандық иелеріне, тіл үйренушілерге, студенттерге, магистранттарға, оқытушыларға арналады</t>
  </si>
  <si>
    <t>0002456</t>
  </si>
  <si>
    <t>Бұл еңбек ХҮ-ХҮІІІ ғасырлардағы қазақ әдебиеті тарихының мәселелері мен сол кезеңде өмір кешкен ақын, жыраулар шығармашылығын оқытуда қосымша оқу құралының орнына жүреді.Кітапта қазақ хандығы дәуіріндегі тарихи-әлеуметтік саяси жағдай, ХҮ-ХҮІІІ ғасырдағы жыраулар поэзиясының тарих сахнасына шығуы, олардың қоғамдағы рөлі, бабаларымыздың артында қалдырған мирас-мұралары турасында жан-жақты айтылады.Оқу құралы студенттерге, әдебиет тарихының хандық дәуірінен дәріс беретін оқытушыларға, магистранттарға арналады</t>
  </si>
  <si>
    <t>0002457</t>
  </si>
  <si>
    <t>Әбуләйісова Л.Қ. / Абуляисова Л.К.</t>
  </si>
  <si>
    <t>Атомдар мен молекулалардың кванттық теориясы</t>
  </si>
  <si>
    <t>Оқу құралында кванттық механика негіздері, оның ішінде ғылымның қалыптасуы, математикалық аппараты, Шрёдингер теңдеуінің дәл және жуық шешімдері қарастырылған. Сонымен қатар кітапта қазақ тілінде алғаш рет жартылай эмпирикалық есептеулерді орындайтын MOPAC және эмпири- калық емес GAUSSIAN бағдарламалары туралы, олардың мүмкіншіліктері, жұмыс істеу принципі, қолдану мәселелері жайында жазылған. 
 Кітап жоғарғы оқу орындарының химия факультеттерінің студенттеріне және жас ғылыми қызметкерлерге арналған.</t>
  </si>
  <si>
    <t>0002458</t>
  </si>
  <si>
    <t>Әділ О.Б., Тулеубаев А.Б., Төлеубаев Б.Ә.</t>
  </si>
  <si>
    <t>Мұнай-химиялық индустриядағы қауіпсіздік шаралары</t>
  </si>
  <si>
    <t>Оқу құралының ерекшелігі - өте көп ғылыми-өндірістік мәліметтер келтірілген, материалдар ғылыми-көпшіліктік құрал ретінде жалпы оқырман-жастарға пайдалы болар деген үмітпен берілген. Ел тарихы үшін өнеркәсіп индустриясының жас саласы саналатын мұнай-химиялық өндіріс технологиясының ерекшеліктерімен жастарды мүмкіндігінше таныстыруды мақсат тұтқан бұл оқу құралында тағылымдық-танымдық дүниелер аз болмасы хақ. Мұнайлық өнімдер: бензин сорттары мен дизельдік отыннан басқа метил-трет-бутилдік эфир мен полипропилен және кокс өндіру технологиясының ілімдік және практикалық шараларымен барынша таныстырумен қатар бұл еңбектің мұнай-химиялық индустриясын инновациялау тәріздес мақсаттарды арқалаған жөні де бар. Еңбек университетте, колледждар мен мектеп қабырғасында оқып жатқан жастар үшін, тіпті ұстаздар қауымына зор көмек болары сөзсіз</t>
  </si>
  <si>
    <t>0002460</t>
  </si>
  <si>
    <t>Әжібеков Қ. Ж., Рысдәулетов Р. А.</t>
  </si>
  <si>
    <t>Гидроизоляциялық материалдар</t>
  </si>
  <si>
    <t>Оқу құралы «Гидроизоляциялық материалдар» пәнінің бағдарламасына сәйкес құрастырылған және гидроизоляциялық материалдар мен оларды өндіру технологиясы, қолданылуы жайлы барлық мәліметтерді қамтиды.
 Оқу құралы 5В073000 «Құрылыс материалдары, бұйымдары мен конструкцияларын өндіру» және 5В075300 «Қиын балқитын бейметалл және силикатты заттардың химиялық технологиясы» мамандығы студенттеріне арналған.</t>
  </si>
  <si>
    <t>0002461</t>
  </si>
  <si>
    <t>Әжібеков Қанат Жұбандықұлы
 Рысдәулетов Райымберді Аманұлы</t>
  </si>
  <si>
    <t>Оқу құралы «Гидроизоляциялық материалдар» пәнінің бағдарламасына сәйкес құрастырылған және гидроизоляциялық материалдар мен оларды өндіру технологиясы, қолданылуы жайлы барлық мәліметтерді қамтиды.
 Оқу құралы 5В073000 «Құрылыс материалдары, бұйымдары мен конструкцияларын өндіру» және 5В075300 «Қиын балқитын бейметалл және силикатты заттардың химиялық технологиясы» мамандығы студенттеріне арналған.</t>
  </si>
  <si>
    <t>0002462</t>
  </si>
  <si>
    <t>Әзберген М.И.</t>
  </si>
  <si>
    <t>Избранные вопросы геотехники</t>
  </si>
  <si>
    <t>Излагаются сведения об основных физико-механических характеристиках и нелинейной деформируемости грунтов, приводится методика проведения и обработки результатов трехосных испытаний, дается аналитическое описание закономерностей деформирования грунтов с учетом повторности нагружения, представляется инженерный метод расчета осадки основания при статическом и циклическом воздействиях. Учебное пособие предназначено для студентов, магистрантов, молодых ученых и специалистов-строителей</t>
  </si>
  <si>
    <t>0002471</t>
  </si>
  <si>
    <t>Әлікенова К.Н. (Аликенова К. Н.)</t>
  </si>
  <si>
    <t>Мәдениет философиясындағы дәстүршілдік</t>
  </si>
  <si>
    <t>Философия ғылымдарының кандидаты К.Н. Әлікенованың кітабында қазіргі философияның мәдени табиғаты жан - жақты қарастырылып, мәдениет философиясының дәстүршілдік бағыттары мен формалары талқыланған.
 Бұл еңбек оқу құралы ретінде студенттерге, магистранттар мен аспиранттарға және мәдениет теориясының әуесқойларына арналған.</t>
  </si>
  <si>
    <t>0002472</t>
  </si>
  <si>
    <t>Әлімбек Г.</t>
  </si>
  <si>
    <t>Шығыстанушыларға арналған кәсіби қазақ тілі (жоғары оқу орындарының орыстілді бөлімдерінің шығыстану мамандығына арналған)</t>
  </si>
  <si>
    <t>Оқу құралында негізінен шығыстану мамандығына қатысты және танымдық ғибраты мол мәтіндер қамтылды. Ежелгі шығыс, сақтар, Шығыс қоғамының мәдениеті, өнері, әдебиеті, жазуы, аңызы, тұрмыс-тіршілігі және Шығыс философиясы жөнінде көптеген мәліметтер берілді. Кәсіби тілді игеру мақсатын көздей отырып жазылған белгілі бір мамандық иелеріне арналған оқу құралы болғандықтан, арнаулы мәтіндерден кейін онда қолданылған негізгі салалық терминдердің сөздігі де беріліп отырады. Тіл үйренушінің мәтін мазмұнын, оқиға желісін баяндауын тексеруге, бағалауға арналған тапсырмалар мен бақылау сұрақтары да бар.Бұл оқу құралы негізінен жоғары оқу орындарының орыстілді бөлімдерінің шығыстану мамандығы бойынша білім алып жатқан студенттеріне арналған. Сонымен қатар оқу құралын халықаралық қатынас, елтану, аймақтану, мәдениеттану мамандары да қажетіне қарай пайдалана алады</t>
  </si>
  <si>
    <t>0002473</t>
  </si>
  <si>
    <t>Әлімбек Г., Әділбек А., Мағзұмбекова Ә., Салықжанова Ш.</t>
  </si>
  <si>
    <t>Қазақ тілі (Жоғары оқу орындарының орыстілді бөлімдерінің студенттеріне арналған)</t>
  </si>
  <si>
    <t>Бұл оқу құралы жоғары оқу орындарының орыстілді бөлімдерінің студенттеріне арналған. Оқу құралына енгізілген үзінді мәтіндер тілдік қатынастың отбасы-тұрмыстық, мәдени-әлеуметтік, кәсіби-елтанымдық және ресми-қоғамдық салаларына сәйкес өзекті тақырыптарды қамтыған мәтіндер мен коммуникативтік тапсырмалар жүйесі тіл үйренушінің сөйлеу әрекетінің оқылым, тыңдалым, жазылым, айтылым түрлері бойынша тілдік дағдылары мен сөйлеу іскерліктерін қалып­тастыруға бағытталған. Оқу құралының тағы бір ең басты ерекшеліктері оқу құралында іріктеліп алынған мәтіндермен жұмыс істеуге арналған тапсырмалар мен қазақша-орысша сөздік, фразеологизмдер мен көнерген сөздердің мағыналарының түсініктемелері берілген. Мәтіннің мазмұнын, оқиға желісін баяндауға тексеруіне арналған тапсырмалар мен бақылау сұрақтары бар</t>
  </si>
  <si>
    <t>0002475</t>
  </si>
  <si>
    <t>Әлісжан С.Қ.</t>
  </si>
  <si>
    <t>Ғылыми дискурстың танымдық негіздері (коммуникативтік-прагматикалық аспект)</t>
  </si>
  <si>
    <t>Оқу құралында ғылыми дискурстың белгілері мен ерекшеліктері, негізгі ұғымдары, ғылыми мәтіннің мағыналық құрылымы, ғылыми мәтіндердегі субъект факторы қарастырылады. Сондай-ақ ғылыми дискурстағы коммуникативті-когнитивтік кеңістікті қалыптастыратын кейбір метафоралық модельдер сипатталады. Оқу құралы ғылым тілі, ғылыми дискурс мәселесі қызықтырған мамандарға, ғылыми жұртшылыққа, филология мамандықтарында оқитын студенттер мен магистранттарға арналады.</t>
  </si>
  <si>
    <t>0002477</t>
  </si>
  <si>
    <t>Әмірбекұлы Е.</t>
  </si>
  <si>
    <t>Инновациялық инфрақұрылымды дамытудың экономикалық механизмі</t>
  </si>
  <si>
    <t>Монографияда инновациялық инфрақұрылымның экономикалық маңызы, оны қалыптастырудың шетелдік және отандық тәжірибесі, маңызды элементтері және олардың қызметін жетілдірудің әдіснамалық негіздері қарастырылады. Қазақстанның инновациялық әлеуеті мен ұлттық инновациялық инфрақұрылымының қазіргі жағдайына және дамыту мүмкіндіктеріне талдау жүргізіледі. Инновациялық инфрақұрылымды дамытудың экономикалық механизмі және оны жүзеге асыру тетіктері ұсынылады.Бұл еңбек ғылыми ұйым қызметкерлеріне, инновациялық бизнеспен шұғылданушы мамандарға, докторанттарға, магистранттар мен студенттерге арналады</t>
  </si>
  <si>
    <t>0002478</t>
  </si>
  <si>
    <t>Инновациялық бизнес</t>
  </si>
  <si>
    <t>Инновациялық бизнестің маңызы, оны қалыптастырудың шетелдік және отандық тәжірибесі, маңызды элементтері және олардың қызметін жетілдірудің әдіснамалық негіздері қарастырылады. Қазақстанның инновациялық әлеуеті мен ұлттық инновациялық инфрақұрылымының қазіргі жағдайына және дамыту мүмкіндіктеріне талдау жүргізіледі. Инновациялық инфрақұрылымды дамытудың экономикалық механизмі және оны жүзеге асыру тетіктері ұсынылады.
 Бұл еңбек ғылыми ұйым қызметкерлеріне, инновациялық бизнеспен шұғылданушы мамандарға, докторанттарға, магистранттар мен студенттерге арналады.</t>
  </si>
  <si>
    <t>0002479</t>
  </si>
  <si>
    <t>Фирманың бәсекеге қабілеттілігі</t>
  </si>
  <si>
    <t>Оқу құралы нарықтық ортаның басты қозғаушы күші - бәсекенің, соның ішінде фирманың бәсекеге қабілеттілігінің экономикалық маңызын жан-жақты аша отырып, оның құраушылары мен басты ерекшеліктерін, әсер ететін факторларын, бағалау әдістемесін, бәсекеге қабілеттілікті арттыру тетіктерін сипаттайды. 
 Бұл оқу құралы экономикалық мамандықтар бойынша білім алатын жоғары оқу орындарының, колледждердің студенттеріне, магистранттарға, сондай-ақ бәсекеге қабілетті бизнес құруға талпынған кәсіпкерлерге ұсынылады.</t>
  </si>
  <si>
    <t>0002480</t>
  </si>
  <si>
    <t>Әсенова Б.Қ., Қасымов С.Қ.</t>
  </si>
  <si>
    <t>Ет және ет өнімдерінің технологиясы</t>
  </si>
  <si>
    <t>Оқу құралында ет өндеу саласының шикізаттарды өндеудің технологиялары, мал сою технологиясы, ет өнімдерін өндеу және сақтау, шикізаттарға қойылатын талаптар мүмкіндігі көрсетілген.Үрдістерге жеке тоқтала отырып, оның әдістері, өндеу ерекшеліктері, артықшылықтары мен кемшіліктері, үрдістің дұрыс өткендігін текесеретін бақылау жұмыстарын жүргізуге назар аударылған. Ет өндірісінің ғылыми-тәжірибелік аспектілері қарастырылды. Оқу құралы «5В072700-Азық-түлік тағамдары технологиясы» мамандығының студенттеріне және «6М072700-Азық-түлік тағамдары технологиясы» мамандығының магистранттарына арналған оқулық ретінде ұсынылады.</t>
  </si>
  <si>
    <t>0002481</t>
  </si>
  <si>
    <t>Астық түйірді сақтау және өндеу технологиясы</t>
  </si>
  <si>
    <t>Оқу құралы өндеу өндірісі саласының шикізаттарын өндеу технологиялары, қабылдау, өндеу технологиялары, астықтүйірді және оның өнімдерін өндеу және сақтау, шикізаттарға қойылатын талаптар мүмкіндігі көрсетілген. Үрдістерге жеке тоқтала отырып, оның әдістері, өндеу ерекшеліктері, артықшылықтары мен кемшіліктері, үрдістің дұрыс өткендігін текесеретін бақылау жұмыстарын жүргізуге назар аударылған. Өндеу өндірістерінің ғылыми-тәжірибелік аспектілері қарастырылды. Оқу құралы «5В072800-Өндеу өндірісітерінің технологиясы» мамандығының студенттеріне және 6М072800-Өндеу өндірісітерінің технологиясы» мамандығының магистранттарына арналған оқулық ретінде ұсынылады.</t>
  </si>
  <si>
    <t>0002484</t>
  </si>
  <si>
    <t>Әубәкір С.Б.</t>
  </si>
  <si>
    <t>Жоғары математика. Алтыншы басылым. 1бөлім</t>
  </si>
  <si>
    <t>Ұсынылып отырған оқулық техникалық мамандық дайындайтын оқу орындарының үш сатылы білім беру жүйесінің бірінші сатысы – бакалавриаттық оқу бағдарламасына (sillabus) сәйкес арналып жазылған. Бірінші курстың бірінші маусымына үш кредит бөлінген. Бағдарлама бойынша оған математиканың: сызықты алгебра; векторлық алгебра; аналитикалық геометрия элементтері; математикалық талдауға кіріспе; біәр айнымалы функцияны дифференциалдық есептеуге арналған тараулар қарастырылады. Бірінші бөлімде осы аталған тарауларға сәйкес мысалдар келтіріліп, шығару жолдары және қажетті суреттермен қамтамасыз етілген. Тарау соңында студенттердің өздерін тексеруге арналған есептер мен жаттығулар, тест сұрақтары жауаптарымен келтірілген. Оқулық университеттердің техникалық, экономикалық мамандықтарында және колледждерде оқитын студенттерге, жоғарғы сынып оқушыларына, жалпы математикадан білімдерін көтерем деген көпшілік оқырмандарға арналған.</t>
  </si>
  <si>
    <t>0002485</t>
  </si>
  <si>
    <t>Жоғары математика. Алтыншы басылым. 2бөлім</t>
  </si>
  <si>
    <t>0002487</t>
  </si>
  <si>
    <t>Әшкеев Ж.А. (Ашкеев Ж.А.)</t>
  </si>
  <si>
    <t>Тәжірибені жоспарлау және тәжірибе нәтижелерін өңдеу</t>
  </si>
  <si>
    <t>Ұсынылып отырған оқулық құралда тәжірибені жоспарлау теориясының негізгі ұғымдары мен анықтамалар, мәліметтер, толық және бөлшекті факторлы тәжірибе, алынған тәжірибелік берілгендерін математикалық өңдеу, модельдер тұғызылған сон және тік өрлеуден кейін шешім қабылдау туралы мәліметтер келтірілген.Онымен қоса, ортогональді және рототабельді орталық композиционды жоспарлар қарастырылған.Екінші ретті теңдеулерді канноникалық түріне түрлену тәсілдері жазбаланған және оларды талдау қарастырылған.
 Оқулықты 6M070900 «Металлургия», 6M071200 «Машина жасау» және 6M071000 «Материалтану және жаңа материалдар технологиясы» мамандықтары бойынша магистранттар тәжірибелік, ғылыми-зерттеу жұмыстарын өткізгенде пайдалануға болады. Онымен қоса,студенттер мен доктаранттар үшін тағайындалған.
  Оқулықта тәжірибелік жұмыстарын өткізу, алынған нәтижелерін өңдеу және шешім қабылдау сауалдары бойынша жалпы теориялық негіздері берілген. Оқулық құралдын негізгі бағыты – тәжірибелік жұмыстарын өткізу және алынған нәтижелерін өңдеу, талдау арқылы магистранттардың бiлiмдерiн нығайтуына мүмкiндiк беру.</t>
  </si>
  <si>
    <t>0002492</t>
  </si>
  <si>
    <t>Ж. М. Жакеева</t>
  </si>
  <si>
    <t>Селекция овощных культур 1 том</t>
  </si>
  <si>
    <t>В представленном учебнике рассмотрены задачи селекции овощных культур, классификация овощных культур, техника и методика селекции овощных культур, методы селекционного отбора, технология селекционного процесса и его организация. Учебник предназначен для студентов биологических, агрономических специальностей</t>
  </si>
  <si>
    <t>0002504</t>
  </si>
  <si>
    <t>Жайдақбаева Л.К., Бүркіт Ə.Қ., (Буркит А.К.) Әбдікерім Г. Ж.</t>
  </si>
  <si>
    <t>Ақпараттану</t>
  </si>
  <si>
    <t>Оқу-әдістемелік құралы оқу жоспарының талабына және «Информатика» пәнінің бағдарламасына сай құрастырылған және курстың барлық мәліметтерін қамтиды. Оқу құралында теориялық және практиалық материалдар, әдебиеттер тізімі келтірілген, 5В011100 – Информатика мамандығының бакалаврларына арналған.</t>
  </si>
  <si>
    <t>0002505</t>
  </si>
  <si>
    <t>Жайлыбай К.Н.</t>
  </si>
  <si>
    <t>Дешевый способ выращивания дуба, акации, туи, можжевельника, клена, сирени и воспитание молодежи в экологическом патриотизме</t>
  </si>
  <si>
    <t>0002506</t>
  </si>
  <si>
    <t>Емен, арша, акация, үйеңкі, бозарша, сирень өсірудің ең арзан әдістемесі және жастарды экологиялық патриотизмге тәрбиелеу</t>
  </si>
  <si>
    <t>0002507</t>
  </si>
  <si>
    <t>Күріш егіншілігі және экология</t>
  </si>
  <si>
    <t>0002508</t>
  </si>
  <si>
    <t>Арал өңірінің дәрілік өсімдіктерінің экологиясы</t>
  </si>
  <si>
    <t>0002509</t>
  </si>
  <si>
    <t>Жайлыбай К.Н., Г.Ж.Хаирлаева</t>
  </si>
  <si>
    <t>Экологиялық атаулы күндер және өткізу шаралары Оқу құралы (Қазақша, орысша, ағылшынша)</t>
  </si>
  <si>
    <t>0002511</t>
  </si>
  <si>
    <t>Жайлыбай К.Н., Райымқұлова С.Қ.</t>
  </si>
  <si>
    <t>Экология терминдерінің түсіндірме сөздігі</t>
  </si>
  <si>
    <t>0002512</t>
  </si>
  <si>
    <t>Жайлыбай К.Н., Хаирлаева Г.Ж.</t>
  </si>
  <si>
    <t>Экологиялық күнтізбе (календарь)</t>
  </si>
  <si>
    <t>0002514</t>
  </si>
  <si>
    <t>Жакеева Ж. М.</t>
  </si>
  <si>
    <t>Селекция овощных культур. 2 том</t>
  </si>
  <si>
    <t>В представленном учебнике рассмотрены задачи селекции овощных культур, класификация овощных культур, техника и методика селекции овощных культур, методы селекции овощных культур методы селекционного отбора</t>
  </si>
  <si>
    <t>0002515</t>
  </si>
  <si>
    <t>Жакибаева К, Бегалиева Л.</t>
  </si>
  <si>
    <t>Қазақ тілі және ұлттық құндылықтар. Орта деңгей (3 кітап)</t>
  </si>
  <si>
    <t>Бұл оқу құралы қазақ тілін үйренушілерге арналған. Ұлттық салт-дәстүрлерді үйрету арқылы қазақ тілін меңгерту оқу құралының негізгі ерекшелігі болып табылады.</t>
  </si>
  <si>
    <t>0002517</t>
  </si>
  <si>
    <t>Жакипбаев Б.Е., Таймасов Б.Т., Худякова Т.М.</t>
  </si>
  <si>
    <t>Композиционные вяжущие материалы и изделия на их основе</t>
  </si>
  <si>
    <t>Учебник предназначен для магистрантов специальности 6М075300 – Химическая технология тугоплавких неметаллических и силикатных материалов
 Рассматриваются основные понятия по изучению композиционных вяжущих материалов и перспектив разработки новых силикатно-строительных материалов; физико-химических основ получения вяжущих материалов композиционного назначения; инновационных аспектов совмещения портландцемента с гипсовым вяжущим материалом; искусственных композиционных материалов – бетонов; композиционно-минеральных вяжущих материалов на основе многотоннажных промышленных отходов; использования промышленных отходов в производстве композиционных вяжущих материалов; хризотилцементных композиционных материалов и изделий; производства силикатного кирпича и бетона; производства сухих строительных смесей.</t>
  </si>
  <si>
    <t>0002518</t>
  </si>
  <si>
    <t>Жакирова Н.К.</t>
  </si>
  <si>
    <t>Жалпы химиялық технология</t>
  </si>
  <si>
    <t>0002519</t>
  </si>
  <si>
    <t>Общая химическая технология</t>
  </si>
  <si>
    <t>0002520</t>
  </si>
  <si>
    <t>Химия и технология низкотемпературных полифосфатных удобрений</t>
  </si>
  <si>
    <t>Изложены результаты химических, физико-химических и технологических исследований по получению полифосфатных солей и удобрений на их основе. Показана возможность получения простых и сложных полифосфатных удобрений в режиме низкотемпературной дегидратации - конденсации на различных энерготехнологических аппаратах. Книга представляет интерес для научных работников и специалистов работающих в области химии и технологии фосфорсодержащих удобрений.</t>
  </si>
  <si>
    <t>0002521</t>
  </si>
  <si>
    <t>Жакишев Б.А.</t>
  </si>
  <si>
    <t>Жылу энергетикасында қолданылатын құрылыс материалдары</t>
  </si>
  <si>
    <t>Оқу құралы жылуды шығармайтын материалдардың ішкі құрылымдарын және жылу өткізгіштіктің негізгі заңдарын қарастырады, сондай-ақ булы құрылыс конструкциялардың беріктік есеп-қисабы әдістемесі мен принципін көрсметеді. Жылу өткізгіштіктің негізгі заңдары келтірілген. Бұл жұмыс мамандардың кең шеңбері үшін қолдануға, материалдармен және олардың қасиеттермен шұғылданғандарға, студенттерге, магистранттарға және аспиранттарға, құрылыс материалдардың облысында жұмыс жасайтын, және энергетиктер үшін пайдалы.</t>
  </si>
  <si>
    <t>0002522</t>
  </si>
  <si>
    <t>Теплоизоляционные материалы,теплопроизводность и расчет прочности строительных конструкции паровых и водогрейных котлов.</t>
  </si>
  <si>
    <t>0002524</t>
  </si>
  <si>
    <t>Системы производства и распределения энергоносителей</t>
  </si>
  <si>
    <t>Учебное пособие "Системы производства и распределения энергоносите-лей" предназначено для студентов специальности 5В071700 "Теплоэнергетика". Учебное пособие охватывает системы воздухоснабжения, топливоснабжения, производства и распределения холода, технической воды на промышленных предприятиях, и может быть рекомендовано для студентов всех специально-стей.</t>
  </si>
  <si>
    <t>0002528</t>
  </si>
  <si>
    <t>Жакулин А.С., Жакулина А.А., Жусупбеков А.Ж., Кропачев П.А.</t>
  </si>
  <si>
    <t>Проектирование оснований и фундаментов (Геотехника)</t>
  </si>
  <si>
    <t>В учебнике приведены основы расчета и проектирования оснований и фундаментов с учетом международных стандартов (Eurocode–Geotechnika-7, ASTM, BS, СН и СП РК). Даны основные принципы проектирования грунтовых оснований и фундаментов мелкого и глубокого (свайных) заложения. Представлены примеры расчета и проектирования фундаментов по несущей способности и деформациям. Для работников научно-исследовательских и проектных организаций, преподавателей, докторантов, магистрантов и студентов строительных и транспортных вузов</t>
  </si>
  <si>
    <t>0002533</t>
  </si>
  <si>
    <t>Жакупов М. К.</t>
  </si>
  <si>
    <t>Спорттық физиология</t>
  </si>
  <si>
    <t>Бұл оқу құралында бекiтiлген бағдарламаға сәйкес спорт физиологиясының бөлiмдерi қарастырылады. Аталған оқу құралы педагогика институтының дене тәрбиелеу мәдениетi және спорт мамандығының күндiзгi және сырттай бөлiмiнде оқитын студенттерiне арналған, сондай-ақ, орта және жоғары оқу орындарының педагогтары мен жаттықтырушыларына және ғылыми қызметкерлерiне көмекшi құрал бола алады.</t>
  </si>
  <si>
    <t>0002534</t>
  </si>
  <si>
    <t>Жакупова А.Д.</t>
  </si>
  <si>
    <t>Сопоставительная мотивология: методы и аспекты</t>
  </si>
  <si>
    <t>В книге представлена разработка теоретико-методологических основ сопоставительной мотивологии как лингвистической области. По результатам психолингвистического эксперимента автор проводит сопоставительный анализ мотивационной рефлексии носителей славянских и тюркских языков, предлагает концепцию многоязычного мотивационно-сопоставительного словаря орнитонимов и фитонимов.
 Книга предназначена языковедам, преподавателям университетов, студентам, аспирантам, а также всем, кто интересуется вопросами национального своеобразия языкового мышления.</t>
  </si>
  <si>
    <t>0002538</t>
  </si>
  <si>
    <t>Жакупова Г. Ж., АйжариковаА.К., Бекетова Г.К.</t>
  </si>
  <si>
    <t>Бейорганикалық заттар өндірістерінің технологиялық жабдықтары</t>
  </si>
  <si>
    <t>«Жобалау негіздері және зауыттарды жабдықтау» пәнін оқытудың мақсаты студенттерге төменгі курстарда алынған білімді пайдалана отырып, жабдықтар мен аппараттарды таңдау және жобалауды үйрету. Бұл пәнді оқыту кезінде әртүрлі химиялық технологиялық процестердің жүру механизмдері, процестер өтетін аппараттардың түрлері, конструкциясы, жұмыс принципі және таңдау негіздері қарастырылады.</t>
  </si>
  <si>
    <t>0002540</t>
  </si>
  <si>
    <t>Жакыпбекова Б.О.</t>
  </si>
  <si>
    <t>Ветеринарная гигиена</t>
  </si>
  <si>
    <t>В учебном пособии включены характеристика воздушной среды и почвы, кормов, гигиенические требования к источникам питьевой воды, водоснабжению и поению, помещениям и уходу за животными, системам и режи¬мам зимнего, летнего содержания, а также рассматривают вопросы прикладного характера соответ-ственно с биологическими особенностями разных видов, возраст-ных и продуктивных групп живот¬ных (молодняка, племенных, молочных, откармлива¬емых, шерстных, рабочих).</t>
  </si>
  <si>
    <t>0002541</t>
  </si>
  <si>
    <t>Ветеринариялық гигиена</t>
  </si>
  <si>
    <t>Оқу құралында ауа, топырақ, жем-шөпті зерттеумен, сумен қамтамасыз ету және суаруға, қора - жайға, мал күтімінің маусымдық ерекшелігі мен ұстауы тәртібі және т.б. гигиеналық талаптарды зерттеп негіздеумен қатар, осы мәселелерді әр түлікке қатысты оның жасына және өнімділік топтарына (төл, асыл тұқымды, сауын малы, бордақыдағы мал, жұмыс малы), биологиялық ерекшеліктеріне сай қолдану жазылған.</t>
  </si>
  <si>
    <t>0002542</t>
  </si>
  <si>
    <t>987-601-310-543-7</t>
  </si>
  <si>
    <t>Малдың жұқпалы аурулары</t>
  </si>
  <si>
    <t>0002543</t>
  </si>
  <si>
    <t>Жақашев Б.</t>
  </si>
  <si>
    <t>Ауыл шаруашылық инвестициялық ресурстары</t>
  </si>
  <si>
    <t>0002545</t>
  </si>
  <si>
    <t>Жақсылықова К.Б.</t>
  </si>
  <si>
    <t>Ұсынып отырған «Қазақ тілі» оқулығы жоғары оқу орындарының ақпараттық-телекоммуникациялық технологиялар саласы мамандықтары бойынша оқитын студенттеріне арналған.
  Оқулықтың басты мақсаты - мемлекеттік тілді орыс тілді бөлімде оқитын студенттерге қатысымдық бағытта, мамандықтарының ерекшелігін ескере отырып меңгерту. 
  Оқулық мазмұны мемлекеттік тілді техникалық жоғары оқу орнының студенттеріне мамандықтарына сай қатысымдық қырынан меңгерте келе, өндіріс орындарында, әлеуметтік ортада қазақша кәсіби қарым-қатынасқа еркін түсуге үйретуді көздейді. Оқулықта берілген тапсырмалар студенттердің кәсіби ұғымдар мен терминдердің мәні мен мағынасын түсіне келе, мамандыққа байланысты әдебиеттерді оқып, мазмұнын түсіну қабілеттерін, кәсіби бағытта қазақша дұрыс сөйлеу және сауатты жазу дағдыларын жетілдіреді. Сонымен қатар кәсіби ұғымдардың мағынасын түсіну үшін мәтіндер мазмұнымен жүргізілетін әр түрлі жаттықтыру жұмыстары студенттердің мемлекеттік тіл бойынша базалық білімін одан әрі кәсіптанымдық қырынан тереңдетіп жетілдіру, интеллектуалдық деңгейі мен ой-өрісін кеңейтіп, техникалық ойлау логикасы мен шығармашылық қабілетін дамытуға бағытталған.</t>
  </si>
  <si>
    <t>0002547</t>
  </si>
  <si>
    <t>Жақыпбекова Б. О., Оспанова М.С., Құрбанова К.С</t>
  </si>
  <si>
    <t>Ветеринариялық микробиология және вирусология» 1 часть</t>
  </si>
  <si>
    <t>Бұл оқулықта микробтар мен вирустардың жіктелінуі, физиологиясы мен генетикасы, микробиологиялық және генинженерлік жолдармен заттардың алынуы мен пайдалануы, иммунология, инфекциялық ауруларға микробиологиялық және вирусологиялық балау қою, сонымен қатар жануарлар азықтануындағы микроорганизмдердің қызметі, өсімдік азықтарын сақтауда және консервілеуде микроорганизмдерді қолдану, антибиотиктер жөнінде жаңа деректер сөз болады. Оқулық 5В120100 - «Ветеринарлық медицина» мамандығының студенттеріне арналған және «Ветеринариялық микробиология және вирусология» пәнінің типтік оқу бағдарламасына сәйкестендіріліп жазылған</t>
  </si>
  <si>
    <t>0002548</t>
  </si>
  <si>
    <t>Ветеринариялық микробиология және вирусология» 2 часть</t>
  </si>
  <si>
    <t>0002549</t>
  </si>
  <si>
    <t>Жақыпбекова Г.Т</t>
  </si>
  <si>
    <t>FLASH-те мультимедиалық технологияларының негіздері</t>
  </si>
  <si>
    <t>Flash программасы - мультимедиалық технологияларының негіздері ретінде дүние жүзіне кең таралған. Бұл программаны көбінесе анимациялық, мультифликациялық фильмдер құруда, Web-сайттарды жасауда, электронды оқыту өнімдері нарығында қолданады. Автор Flash-технологиясы ең жаңа және кең қолданылып жатқан технология екенін және Flash-технологиясының программалау технологиясы кең қолданылатын заманауи бағдарламалық технологиялардың мүмкіндіктері мен оларды сипаттайтын негізгі мәселелері қамтылған. Оқу құралы мемлекеттік тілде даярланған. Оқу құралынының мазмұнында Flash-технологиясының растрлық және векторлық графикада, дыбыстық эффектілер мен видео-роликтер құруда, мәтіндер мен ХМL құжаттарында бірдей жұмыс істейтіндігі және қарапайым баннерден бастап, күрделі интерактивті-қосымшалармен Интернет-қосымшаларын құрудағы мүмкіндіктері терең қарастырылған.
 Оқу құралы 5В060200 - информатика мамандығының студенттеріне арналған.</t>
  </si>
  <si>
    <t>0002550</t>
  </si>
  <si>
    <t>PASCAL бағдарламалау тілі</t>
  </si>
  <si>
    <t>Бағдарламалау тілі -бағдарлама құрудың әдістері мен құралдарын қолдануға, зерттеуге бағытталған. Бағдарламалау формальды грамматикамен анықталған бағдарламалау тілдерінің көмегімен жүзеге асырылады. 
 Оқу құралында Pascal тілінде бағдарламалаудың теориялық негіздері, бағдарламалаудың қазіргі тәсілдері және Pascal тілінде бағдарламалауды құрудың әдістері мен құралдарын сипаттайтын негізгі мәліметтер қарастырылған.
 Оқу құралы 5В011100 - информатика мамандығының студенттеріне арналған.</t>
  </si>
  <si>
    <t>0002551</t>
  </si>
  <si>
    <t>Объектіге-бағдарланған бағдарламалау және басқару жүйелері</t>
  </si>
  <si>
    <t>Оқу құралы 6М011100 – информатика мамандықтары магистранттарына арналған. Оқу құралында «Объектіге-бағдарланған бағдарламалау және басқару жүйелері» курсы бойынша визуалды бағдарламалау технологиясы және DELPHI-де бағдарламалау әдістері мен берілгендер қорын басқару жүйелерінде кең қолданылатын заманауи бағдарламалық технологиялардың мүмкіндіктері мен оларды сипаттайтын негізгі мәселелері қамтылған.</t>
  </si>
  <si>
    <t>0002552</t>
  </si>
  <si>
    <t>Педагогикалық информатика</t>
  </si>
  <si>
    <t>Оқу құралы 6М011100 – информатика мамандықтары магистранттарына арналған. Оқу құралында педагогикалық информатиканың теориялық негіздері, білім беруді ақпараттандыру мәселелері, білім беру саласына педагогикалық және ақпараттық-коммуникациялық технологияларды ендіру мен жетілдіруді сипаттайтын негізгі мәліметтер қамтылған.</t>
  </si>
  <si>
    <t>0002553</t>
  </si>
  <si>
    <t>Жалғасбаева А.А.</t>
  </si>
  <si>
    <t>Қазақстанның мұнай-газ кешенін тиімді дамыту мәселелері</t>
  </si>
  <si>
    <t>0002555</t>
  </si>
  <si>
    <t>Жалгасова А.</t>
  </si>
  <si>
    <t>Іс қағаздарың мемлекеттік тілде жүргізу</t>
  </si>
  <si>
    <t>0002556</t>
  </si>
  <si>
    <t>Жалмагамбетова У.К., Андреева О.А.</t>
  </si>
  <si>
    <t>Дипломное проектирование</t>
  </si>
  <si>
    <t>0002557</t>
  </si>
  <si>
    <t>Типтік технологиялық процесті және өндірісті автоматтандыру. Автоматизация типовых технологических процессов</t>
  </si>
  <si>
    <t>0002558</t>
  </si>
  <si>
    <t>Жалмагамбетова У.К., Жантлесова А.Б., Исабекова Б.Б.</t>
  </si>
  <si>
    <t>Идентификация и моделирование объектов управления</t>
  </si>
  <si>
    <t>0002559</t>
  </si>
  <si>
    <t>Жалмухамедова Ж.М. Скакова А.Ж.</t>
  </si>
  <si>
    <t>Методические указания к выполнению лабораторных и практических работ по дисциплине: "Проектирование систем автоматики"</t>
  </si>
  <si>
    <t>В методических указаниях рассматриваются задачи по проектированию пневматических систем автоматики и управления. Решение этих задач предлагается выполнить на компьютере с помощью пакета FluidSIM и затем пневматические схемы собираются с использованием стендов по пневматике компании FESTO. Методические указания оформлены в виде десяти лабораторных работ. В работах приведен теоретический материал, технические характеристики и условные графические обозначения пневматических элементов. Материал методических указаний может быть использован при выполнении лабораторных работ, практических и самостоятельных работ</t>
  </si>
  <si>
    <t>0002560</t>
  </si>
  <si>
    <t>Жалмухамедова Ж.М., Абылова А.М.</t>
  </si>
  <si>
    <t>"Пневматикалық жүйелер" және "Автоматика жүйесін жобалау" пәндері бойынша зертханалық жұмыстарды орындауға арналған әдістемелік нұсқау</t>
  </si>
  <si>
    <t>Әдістемелік нұсқау 10 зертханалық жұмыспен әзірленге, олардың әрқайсысында пневмоавтоматикада әртүрлі пневматикалық құрылғыларды қолдану арқылы берілетін бір нақты тапсырманың жобалау шешімі орындалады. Әр тапсырмада қозғалыстың қадамдық диаграммасы негізінде пневмосхема өңделеді. Содан соң FluidSIM бағдарламасы көмегімен компьютерде алынған пневмосхеманың шынайы моделі құрастырылады. Модельдің жұмысқа қабілеттілігі тексерілген соң, Festo Didactic монтаждау тақтасында схеманы жинау тапсырмасы беріледі. Тақырыпты тереңірек ашуға әдебиеттер тізіміндегі бөлімдерге сәйкес сілтемелер септігін тигізеді.</t>
  </si>
  <si>
    <t>0002569</t>
  </si>
  <si>
    <t>Жамашева Ж.Р., Әбдікерімова Г.А.</t>
  </si>
  <si>
    <t>оқу-әдістемелік</t>
  </si>
  <si>
    <t>Пәннің оқу-әдістемелік кешені Қазақстан Республикасы білім беру жұйесі ҚР МЖМБС5.03.0072006 негізінде жасалған. 5В060100, 5В070200, 5В070300, 5В070400 «Ақпараттық технологиялар, телекоммуникациялар және автоматтандырылған жүйелер» мамандығының ҚР 3.08.265-2006 Мемлекеттік жалпыға міндетті білім беру стандартының білім беру-кәсіптік бағдарламалары және АМУ бекіткен</t>
  </si>
  <si>
    <t>0002574</t>
  </si>
  <si>
    <t>Жанабергенова М.А., Азатбек Т.А.</t>
  </si>
  <si>
    <t>Экономическая безопасность Казахстана в евразийском пространстве</t>
  </si>
  <si>
    <t>В монографии рассматриваются теория, методология оценки и механизм обеспечения экономической безопасности Казахстана в евразийском пространстве. Работа направлена на выявление и оценку возможных сценариев развития экономической безопасности Казахстана в евразийском пространстве, обусловленных интеграционными процессами. Разработанные меры в рамках исследования позволят оценить и спрогнозировать уровень экономической безопасности Казахстана и предотвратить появление угрожающих условий в экономике в будущем. Монография предназначена для работников государственных органов, местных исполнительных органов, научно-исследовательских организаций, международных организаций, магистрантов и студентов</t>
  </si>
  <si>
    <t>0002575</t>
  </si>
  <si>
    <t>Жанадилов А.Ю.</t>
  </si>
  <si>
    <t>Сельскохозяйственная экология</t>
  </si>
  <si>
    <t>В учебном пособии изложены пути решения экологических проблем в сельском хозяйстве. Рациональное использование почвенного плодородия с сохранением экологически приемлемого состояния территорий, увеличении плодородия почвы, способы его восстановления и рационального воспроизводства в целях получения урожаев сельскохозяйственных культур с высоким качеством.
  Данное учебное пособие подготовлено для экологических, биологических и сельскохозяйственных специальностей вузов.
  Книга раскрывает основные понятия и принципиальные научные положения курса, позволяет использовать пособие для подготовки к сдаче экзаменов по дисциплине «Сельскохозяйственная экология» магистрантами, студентами вузов и колледжей, а также слушателей курсов переподготовки специалистов в системе послевузовского образования.</t>
  </si>
  <si>
    <t>0002581</t>
  </si>
  <si>
    <t>Жанатбекова Н.Ж., Борибекова Ф.</t>
  </si>
  <si>
    <t>Білім беру жүйесіндегі инновациялық технологиялар</t>
  </si>
  <si>
    <t>Бүгінгі таңда білім беру жүйесінде инновациялық технологияларды білім алушылардың жас ерекшеліктеріне қарай пайдалану, білім алушылардың шығармашылық сапа қасиеттерін дамытып, интеллектуалдық пәрменділігін арттыру мақсатында пайдалануға негізделеді. Ұсынылып отырған оқу құралы ЖОО-ында педагогикалық мамандықтарда оқитын магистранттарға, білімгерлерге, орта мектеп мұғалімдеріне және ЖОО оқытушыларына арналады.</t>
  </si>
  <si>
    <t>0002584</t>
  </si>
  <si>
    <t>Жанбиров Ж.Г.</t>
  </si>
  <si>
    <t>Жүк автокөліктерін пайдалану және ақпараттық жүйелер</t>
  </si>
  <si>
    <t>Оқу құралы 05.09.01- «Тасымалдауды, жол қозғалысын ұйымдастыру және көлікті пайдалану» мамандығы бойынша білім алушы бакалаврлерге, магистранттарға және осы саладағы кәсіпкерлерге арналған</t>
  </si>
  <si>
    <t>0002586</t>
  </si>
  <si>
    <t>Жанбиров Ж.Ғ. Қарсыбаев Е.Е., Байбураева Ж.А.</t>
  </si>
  <si>
    <t>Автокөлік логистикасы - инфрақұрылымдары</t>
  </si>
  <si>
    <t>Транспорт, логистика</t>
  </si>
  <si>
    <t>Оқу құралы М.Тынышпаев атындағы Қазақ көлік және коммуникация Академиясының оқу-әдістемелік кеңесінің шешімімен Қазақстан Республикасы білім және ғылым министрлігінің техникалық жоғарғы және орта білім беруші оқу орындарына «Тасымалдауды, жол қозғалысын ұйымдастыру және көлікті пайдалану», «Логистика» мамандықтары бағдарламасына сәйкес дайындалған.</t>
  </si>
  <si>
    <t>0002587</t>
  </si>
  <si>
    <t>Жанбиров Ж.Г., Матаев У.М</t>
  </si>
  <si>
    <t>Инструменты, материалы, машины и спецмашины, такелажное оборудование используемое при монтаже и ремонте электростанций и подстанций</t>
  </si>
  <si>
    <t>0002588</t>
  </si>
  <si>
    <t>Электропитающие устройства сигнализации, централизации и блокировки (СЦБ).</t>
  </si>
  <si>
    <t>В книге приведены основные сведения об источниках электрической энергии и различных видах электротехнического оборудования, применяемого для электропитания устройств железнодорожной автоматики и телемеханики. Описаны современные электропатающие установки, обеспечивающие бесперебойное питание аппаратуры автоблокировки, электрической и диспетчерской централи¬зации, даны методы расчета отдельных питающих устройств. Книга является учебником для учащихся колледжей железнодорожного транспорта.</t>
  </si>
  <si>
    <t>0002589</t>
  </si>
  <si>
    <t>Жанбиров Ж.Г., Таскимбаев О.</t>
  </si>
  <si>
    <t>Белгі беру, орталықтандыру, блоктау электроқоректендіргіш құрылғылары</t>
  </si>
  <si>
    <t>Оқу құралы. 1303000-Темір жол көлігіндегі автоматика, телемеханика және қозғалысты бас қару мамандығы оқу бағдарламасына сәйкес жазылған.</t>
  </si>
  <si>
    <t>0002590</t>
  </si>
  <si>
    <t>Жанбиров Ж.Г., Бекмуханбетова Ш. А.</t>
  </si>
  <si>
    <t>Сварка и резка металлов и пластмасс</t>
  </si>
  <si>
    <t>В книге содержатся сведения, необходимые для осуществления раз-личных специальных методов сварки, резки металлов и пластмасс. В ней обобщен значительный материал по названным направлениям. Раскрывается физическая сущность методов, особенности их выполнения и области при-менения. Подробно изложены технологии сварки, резки металлов и пласт-масс.</t>
  </si>
  <si>
    <t>0002591</t>
  </si>
  <si>
    <t>Жанбиров Ж.Г., Битилеуова З.К., Сaбралиев Н.С.</t>
  </si>
  <si>
    <t>Автотранспортная логистика-безопасность дорожного движения. 1 том</t>
  </si>
  <si>
    <t>Целью данного учебника является формирование знаний и навыков у будущих специалистов, необходимых для успешной работы в учреждениях, ведающих вопросами организации и безопасности дорожного движения и создания необходимых условий для безопасного и эффективного движения транспортных средств и пешеходов по улицам и дорогам.
 Учебник предназначен для студентов бакалавров специальности 5В09100-«Организация перевозок движения и эксплуатация транспорта», 5В090900 Логистика (по отраслям) и магистрантов высших учебных заведений специальности 6М090100- «Организация перевозок движения и эксплуатация транспорта», 6М090900 Логистика (по отраслям), а также, представляет интерес для широкого круга читателей.</t>
  </si>
  <si>
    <t>0002592</t>
  </si>
  <si>
    <t>Автотранспортная логистика-безопасность дорожного движения. 2 том</t>
  </si>
  <si>
    <t>0002593</t>
  </si>
  <si>
    <t>Жанбиров Ж.Г., Искакова Т.</t>
  </si>
  <si>
    <t>Машинақұрылыс технологиясының негіздері</t>
  </si>
  <si>
    <t>0002594</t>
  </si>
  <si>
    <t>Жанбиров Ж.Г., Іңкәрбеков Н.О.</t>
  </si>
  <si>
    <t>Сәулеттік жобалау</t>
  </si>
  <si>
    <t>Оқу құралы колледж студенттері үшін 1418000-«Архитектура» мамандығының бағдарламасына сәйкес дайындалған</t>
  </si>
  <si>
    <t>0002597</t>
  </si>
  <si>
    <t>Жанбиров Ж.Ғ., Қарсыбаев Е.Е., Байбураева Ж.А.</t>
  </si>
  <si>
    <t>Автокөлік логистикасы -жүктер және тасымалдау ерекшеліктері</t>
  </si>
  <si>
    <t>Жоғарғы оқу орындарында 5В090100-«Тасымалды, қозғалысты ұйымдастыру және көлікті пайдалану», 5В090900-«Логистика» мамандықтары бойынша білім алып жатқан бакалаврлерге, магистранттар мен зерттеушілерге және өндірісте автокөліктерді пайдалану саласында қызмет етіп жүрген мамандармен кәсіпкерлерге арналған оқулық.</t>
  </si>
  <si>
    <t>0002598</t>
  </si>
  <si>
    <t>Жанбиров Ж.Г., Мәшеков С.Ә.</t>
  </si>
  <si>
    <t>Бақылау-өлшеу құралдары және автоматикаға техникалық қызмет көрсетуде техникалық қауіпсіздікті сақтау</t>
  </si>
  <si>
    <t>Оқу құралы 1013000- «Механикалық өңдеу, өлшеу-бақылау құралдары және өнеркәсіптегі автоматика» мамандығының оқу бағдарламасына сәйкес дайындалған.</t>
  </si>
  <si>
    <t>0002599</t>
  </si>
  <si>
    <t>Қысым және қысымдар өлшемі</t>
  </si>
  <si>
    <t>0002600</t>
  </si>
  <si>
    <t>Метрология негіздері</t>
  </si>
  <si>
    <t>0002601</t>
  </si>
  <si>
    <t>Жанбиров Ж.Г., Рысбеков А.С., Ибраев Ж.У.</t>
  </si>
  <si>
    <t>Организация автосервисов и механическое оборудование в Республике Казахстан</t>
  </si>
  <si>
    <t>0002602</t>
  </si>
  <si>
    <t>Жанбиров Ж.Г., Сабралиев Н.С., Абжапбарова А.Ж.</t>
  </si>
  <si>
    <t>Автотранспортная логистика - охрана окружающей среды</t>
  </si>
  <si>
    <t>В учебнике содержатся результаты исследования и сведения, необходимые для сокращениявыбросов парниковых газов от автомобильного транспорта в городах Казахстана на примере города Алматы. В нем обобщен значительный материал по названным направлениям. Подробно изложены существующие проблемы и вариантыорганизации и управления городским автомобильным транспортом. Учебник предназначен для студентов бакалавров специальности 5В09100-«Организация перевозок движения и эксплуатация транспорта»и магистрантов высших учебныхзаведений специальности 6М090100- «Организация перевозок движения и эксплуатация транспорта» а также, представляет интерес для широкого круга читателей.</t>
  </si>
  <si>
    <t>0002603</t>
  </si>
  <si>
    <t>Автокөлік логистикасы-қоршаған ортаны қорғау</t>
  </si>
  <si>
    <t>Оқулықта Алматы қаласы мысалында Қазақстан қалаларындағы автомобиль көліктерінен парниктік газдардың шығарындыларын азайту үшін қажетті мәліметтер мен зерттеу нәтижелері қамтылған. Онда аталған бағыттар бойынша айтарлықтай материалдар жинақталған. Қалалық автомобиль көлігін басқару және ұйымдастыру мәселелері мен нұсқалары егжей-тегжейлі баяндалады. Оқулық 5В09100-"Көлікті пайдалану және жүк қозғалысы мен тасымалдауды ұйымдастыру" мамандығының бакалаврларына және 6М090100- "Көлікті пайдалану және жүк қозғалысы мен тасымалдауды ұйымдастыру" мамандығының жоғары оқу орындарының магистранттарына арналған</t>
  </si>
  <si>
    <t>0002605</t>
  </si>
  <si>
    <t>Жанбиров Ж.Г., Таксымбаева О., Сыздыкбеков Н.Т.</t>
  </si>
  <si>
    <t>Транспортный комплекс и автотранспортная инфраструктура Республики Казахстан</t>
  </si>
  <si>
    <t>0002606</t>
  </si>
  <si>
    <t>Жанбиров Ж.Г., Тасқымбаев О.</t>
  </si>
  <si>
    <t>Темір жол көлігіндегі автоматтандырылған станциялық жүйелер</t>
  </si>
  <si>
    <t>0002607</t>
  </si>
  <si>
    <t>Темір жолды электірлендіру</t>
  </si>
  <si>
    <t>Теміржолды электендіру. Оқу құралы. 0904000 –«Темір жолдардың электр техникалық жүйелерін электрмен жабдықтау, пайдалану, техникалық қызмет көрсету және жөндеу» мамандығы оқу бағдарламасына сәйкес жазылған.</t>
  </si>
  <si>
    <t>0002611</t>
  </si>
  <si>
    <t>Жанбосинова А.С.</t>
  </si>
  <si>
    <t>Историческая наука и современные теории</t>
  </si>
  <si>
    <t>Учебное пособие составлено на основе Типовой учебной программы, разработано в соответствии с типовым учебным планом, утвержденным приказом исполняющего обязанности Министра образования и науки Республики Казахстан от 16 августа 2013 года №343 (Приложение 368). Внесены изменения приказом Министра образования и науки РК от 05 июля 2016 года №425. Типовая программа утверждена протокольным решением №2 заседания Республиканского учебно-методического совета высшего и послевузовского образования от 30 июня 2016 год специальности 6D020300 – «История». 
 Учебное пособие содержит курс лекций по дисциплине обязательного компонента «Историческая наука и современные теории» с блоком специальных заданий, вопросов и списком литературы. Содержание лекций раскрывает основные современные тенденции мировой историографии постмодерна ХХ-XXI вв. Дает характеристику «Лингвистического поворота», проводит анализ теории Мишеля Фуко в разрезе исторических исследований, показывает трансформацию исследовательской практики феминизма в гендерную теорию, выделяет ключевые конструкты научно-исследовательского направления «Историческая память», описывает концепцию Пьера Бурдье, основных трендов постколониальных исследований, мейнстрим посткоммунистических исследований, практическое применение современных теорий в казахстанской исторической науке. Учебное пособие написано в рамках реализации программы «Рухани жаңғыру» - проекта «Новое гуманитарное знание». Пособие рассчитано на докторантов специальности «История», а также тех, кого интересуют теория и методология исторической науки.</t>
  </si>
  <si>
    <t>0002616</t>
  </si>
  <si>
    <t>Жангисина Г.Д.</t>
  </si>
  <si>
    <t>Вычислительные системы и технологии</t>
  </si>
  <si>
    <t>0002617</t>
  </si>
  <si>
    <t>Информационные системы и технологии</t>
  </si>
  <si>
    <t>0002618</t>
  </si>
  <si>
    <t>Педагогика для технических ВУЗов</t>
  </si>
  <si>
    <t>Учебное пособие предназначено для студентов технических вузов для изучения дисциплины педагогика. В пособии изложены основные теоретические положения, представлены практические задания, тесты. Изложены в доступной форме педагогические модели. Пособие может быть полезно также магистрантам и аспирантам, изучающим элементы креативной педагогики, а также преподавателям, научным работникам и работникам высшей школы</t>
  </si>
  <si>
    <t>0002619</t>
  </si>
  <si>
    <t>Алгоритмизация и языки программирования</t>
  </si>
  <si>
    <t>0002620</t>
  </si>
  <si>
    <t>Жангисина Г.Д., Байсалбаева К.Н.</t>
  </si>
  <si>
    <t>Лабораторный практикум по компьютерной графике</t>
  </si>
  <si>
    <t>В лабораторном практикуме по каждой теме приведены основные понятия компьютерной графики, контрольные вопросы и задания для самостоятельного освоения, с целью получения практических навыков технологии работы в графических программах. Предлагается тринадцать лабораторных работ для закрепления дисциплины «Компьютерная графика», которые будут полезны не только студентам технических вузов, а также ученикам старших классов школ, магистрам, аспирантам, докторантам, педагогам и всем, кто интересуется технологией работы в графических редакторах.</t>
  </si>
  <si>
    <t>0002621</t>
  </si>
  <si>
    <t>Жандарбеков Ә.</t>
  </si>
  <si>
    <t>Театр ұжымын басқару және оның режиссурасы</t>
  </si>
  <si>
    <t>Оқу құралы 5В090600-«Мәдени-тынығу жұмысы», 5В040600-«Режиссура», 5В040700-«Актерлық өнер» мамандықтары студенттеріне арналған оқу құралында әдеби материалды, пьесаны сахналық жүйеге, яғни спектакльге айналдырудың бүкіл процесін іске асыру әдістері, режиссерлық шешімдер мен актер шеберлігі элементтерін игеру жолдары айтылады. Театр ұжымын кұру олармен жұмыс істеу мәселесі қарастырылған.</t>
  </si>
  <si>
    <t>0002623</t>
  </si>
  <si>
    <t>Жанзақов М.М.</t>
  </si>
  <si>
    <t>Селекция және тұқым шаруашылығы негіздері 1 бөлім</t>
  </si>
  <si>
    <t>Оқулықта мәдени өсімдіктер, яғни егістік дақылдар селекциясы мен тұқым шаруашылығының негізгі мәселелері мен бағыттары баяндалған. Әлеуетті өнімділігі мен өнімінің сапасы, аурулар мен зиянкестерге төзімділігі үйлескен, табиғи-климаттық жағдайдың күрт өзгеруіне, қарқынды және энергия үнемдейтін технология бойынша өсіруге бейімделген сорттар мен будандар шығарудағы бастапқы материалдарға және оларды алу тәсілдері мен әдістеріне, будандастыру түрлеріне, полиплоидия, анеуплоидия мен гаплоидияның, мутагенездің, гетерозистің, сұрыптау мен оның әдістерінің селекциялық процесте қолданылуына, жалпы селекциялық процесті, сондай-ақ тұқым шаруашылығын ұйымдастыру мен жетілдіру негіздеріне, тұқым сапасын жақсартудың заманауи әдістері мен тәсілдеріне аса көңіл бөлінген.
  Жоғары және орта арнаулы оқу орындарының өсімдік шаруашылығы мамандығы студенттері, магистранттары мен докторанттары, сондай-ақ ауыл шаруашылығы ғылыми-зерттеу мекемелерінің ғылыми қызметкерлеріне арналған.</t>
  </si>
  <si>
    <t>0002624</t>
  </si>
  <si>
    <t>Селекция және тұқым шаруашылығы негіздері 2 бөлім</t>
  </si>
  <si>
    <t>0002627</t>
  </si>
  <si>
    <t>Жанпейісова Қ.Д., Дюсембекова М.Қ., Көпежанова Б.Е.</t>
  </si>
  <si>
    <t>Саясаттану (сызба және кестелер)</t>
  </si>
  <si>
    <t>0002628</t>
  </si>
  <si>
    <t>Жанпеісова Қ.Д. / Жанпеисова/</t>
  </si>
  <si>
    <t>Саяси технологиялар</t>
  </si>
  <si>
    <t>Оқу құралы қолданбалы саясаттанудың негізгі саласының бірі саяси технологияларды түсіндірумен талдауға арналады. ХХІ ғасыр технологиялардың дамып тұрған кезеңі. Мемлекеттік биліктің қалыптасуы мен дамуы ондағы әртүрлі туындаған мәселелердің шешілуі, реттелуі, саяси технологияларға тікелей байланысты. Азаматтық қоғамның басты белгісінің бірі мемле-кеттік билік шешімдерінің халық тарапынан бақылануы болса қазіргі таңда ақпараттық, интернет технологиялары арқылы бұл мәселені жүзеге асыру мүмкіндігі артуда. Сондықтан саяси тех-нологияның басты мәселелерін қамтыған оқу құралы «Саясат-тану» бөлімінің студенттеріне, магистрант, докторант және оқытушыларына арналады</t>
  </si>
  <si>
    <t>0002634</t>
  </si>
  <si>
    <t>Жантасов К.Т., Жантасов М.К., Досалиев К.С.</t>
  </si>
  <si>
    <t>Организация, планирование и управление научно-исследовательской инновационной деятельностью</t>
  </si>
  <si>
    <t>Учебное пособие составлено в соответствии с требованиями учебного плана и программой дисциплины «Организация, планирование и управление научно-исследовательской инновационной деятельностью» и включает все необходимые сведения по курсу данной дисциплины.Владение современными проблемами не только науки, техники и технологий в области безопасность жизнедеятельности и защиты окружающей среды, с получением целевых продуктов, является первостепенной задачей различных отраслей экономики. Кроме этого, для решения поставленной цели необходимо приобретение знаний, навыков по снижению существующих проблем производства и одновременно экологической нагрузки в промышленных регионах, на оснований которого возвможно и улучшение технико-экономических показателей промышленных предприятий, организации и учреждений. Учебное пособие предназначены для слушателей докторантуры специальности 6D073100 – Безопасность жизнедеятельности и защита окружающей среды, а также студентами, магистрантам 6D072000 – Химическая технология неорганических веществ и профессорско-преподовательскому составу для ознакомления с принципами организации и управления инновационными технологиями, широкому кругу читателей для общеобразовательного познания</t>
  </si>
  <si>
    <t>0002635</t>
  </si>
  <si>
    <t>Жантасов Қ.Т. , Б.А. Лавров, Ю.П. Удалов, М.Қ. Жантасов,
 Е.Н. Кочеров, Ш.Б. Тасыбаева</t>
  </si>
  <si>
    <t>Балқымалардың физикалық химиясы</t>
  </si>
  <si>
    <t>Оқу құралы балқымалардың құрылысы мен олардың физикалық қасиеттерін және балқымалардың қатынасы арқылы өтетін химиялық үрдістерінің мәліметтерін мазмұндайды. Сұйық заттардың физика-химиялық қасиеттері мен олардың олардың химиялық құрамдары және жоғары температураларға балқымалардың химиялық кинетикасының негізгі тұрақтылықтарының байланыстары қарастырылған. «Балқымалардың физикалық химиясы» пәніне арналған оқу құралы жоғары оқу орындарының химиялық, металлургиялық, түсті металлургиялық, политехникалық және машина жасау мамандықтарының бакалавриат студенттеріне, магистранттарына, PhD докторанттары мен ғылыми қызметкерлеріне, салалық институттар, университет және колледж оқытушылары мен оқырмандардың кең орталықтарына арналған.</t>
  </si>
  <si>
    <t>0002636</t>
  </si>
  <si>
    <t>Жантасов Қ.Т., Жантасов М.Қ., Қадырбаева А.А., Наукенова А.С.</t>
  </si>
  <si>
    <t>Пайдалы қазбалар орындарын ашық өңдеу және тіршілік қауіпсіздігі</t>
  </si>
  <si>
    <t>«Пайдалы қазбалар орындарын ашық өңдеу және тіршілік қауіпсіздігі» оқу құралында тау – кен жыныстарды және табиғи натрийлі тас тұздарды түрлі кәсіпорындарында өндірістік өнім алу үшін өңдеу алдында қазып алуымен дайындау технологиясы қарастырылған.
 Оқу құралында қысқаша минералдардың физикалық қасиеттері, тау – кенді жыныстардың орналасқан туынды мекенжайларын ашу алдында өткізілетін кептіру, бұрғылау – қопару жұмыстарын, алынған кендерді майдалау, ұсақтау, ұнтақтау, топтау сатыларының қажеттілігімен фосфор, күкірт және тұз қышқылдары өндірістерінде шикізаттарды дайындау технологияларының қысқаша сипаттамалары келтірілген.
 Оқу құралы институт, университет және колледж химия технологиялық мамандықтары мен 5В072000-«Бейорганикалық заттардың химиялық технологиясы» және 5В073100-«Қоршаған ортаны қорғау және өмір тіршілігінін қауіпсіздігі» мамандықтарының студенттері мен оқытушыларына, жалпы білім беретін мектеп оқушылары мен мұғалімдеріне, өндіріс салаларындағы мамандарға арналған.</t>
  </si>
  <si>
    <t>0002637</t>
  </si>
  <si>
    <t>Жантасов Қ.Т., Кенжалиева Г.Д., Байботаева А.Д.</t>
  </si>
  <si>
    <t>Ұжымдық және жеке бас қорғаныс құралдары</t>
  </si>
  <si>
    <t>Оқу құралы жоғары оқу орындарында "Бейорганикалық заттардың химиялық технологиясы" 5В072000 және «Қоршаған ортаны қорғау және өмір тіршілігінң қауіпсіздігі» 5В073100 мамандығының студенттері мен ғылыми және педагогикалық мамандарға арналған оқу құралы. Оқу құралында өндірістерде және ұйымдарда, бейорганикалық заттарды алу технологиясында қызметкерлердің қауіпсіздік жағдайын сақтау үшін қазіргі ұжымдық және жеке басты қорғау құралдары жөніндегі анықтамалық-ақпараттық мәліметтер берілген, олар бір жағынан, халықты апаттардың және авариялардың себебінен болатын төтенше жағдайлардан қорғауға арналған және әскери шиеленісу жағдайынан қорғайды, ал екінші жағынан, өндірістегі жұмысшыларды қорғайтындығы бойынша мәліметтер қарастырылған.Ұсынылып отырған оқу құралы «Ұжымдық және жеке бас қорғаныс құралдары»пәні бойынша жоғары оқу орындарындағы бакалаврларға арнайы бағдарлама бойынша даярлауға арналған оқу бағдарламаларындағы жоспарларына сәйкес жинақталып, стандарт талаптарына, ОӘӘ баспасының жоспарына сәйкес құрастырылып дайындалған. Бакалаврларғаөз бетінше инновациялық технологиялар бойынша ойлануына, шешім қабылдауға жағдай жасалынған. Оқулық ұлттық тілінде әдебиеттердің кемшілігіне байланысты қиын технологиялық және техникалық жоғары оқу орындарын әдістемеліктерімен қамтамасыз ету үшін баспадан шығаруға ұсынылады</t>
  </si>
  <si>
    <t>0002639</t>
  </si>
  <si>
    <t>Жантасов Қ.Т., Молдабеков Ш.М., Айбалаева Қ.Д., Жантасова Д.М., Рахманбердиева Ж.Н., Жумадилова Ж.Т.,. Исмаилов Б.А.</t>
  </si>
  <si>
    <t>Құрамында микроэлементтері бар минералды тыңайтқыштардың инновациялық технологиялары</t>
  </si>
  <si>
    <t>Оқулықта жоғары оқу орындарында «Бейорганикалық заттардың химиялық технологиясы» 5В072000, 6М072000, 6D072000 мамандығының студенттері, магистранттары және доктарнттары мен ғылыми және педагогикалық мамандарға арналған оқулық.
  Оқулықта тыңайтқыштардың экономикалық жағынан ауылшаруашылығы мен кіші және орташа бизнес кәсіпкерлеріне арналған микротыңайтқыштардың пайдалы әсерлігі бойынша және негізгі фосфор шикізаттар мен қоспаларға физико-химиялық қасиеттері бойынша қысқаша мәліметтер қарастырылған. Сонымен қатар, топырақтың құнарлығын жоғарылату жолдары мен оның қабатында өтетін физико-химиялық үрдістері көрсетілген.</t>
  </si>
  <si>
    <t>0002640</t>
  </si>
  <si>
    <t>Жантасов Қ.Т., Сарыпбекова Н.К., Жантасова Д.М.</t>
  </si>
  <si>
    <t>Гербицидтер және инсектофунгицидтер технологиялары</t>
  </si>
  <si>
    <t>Оқулықта жоғары оқу орындарында «Бейорганикалық заттардың химиялық технологиясы» 5В072000, 6М072000, 6D072000 мамандығының студенттері, магистранттары және доктаранттары мен ғылыми және педагогикалық мамандарға арналған оқулық. Оқулықта пестицидтер, гербицидтер және фунгицидтермен, инсектофунгицидтердің туындыларына жеке –жеке сипаттама беріліп, олардың физика –химиялық қасиеттерімен алу технологиялары, тіршілік қауіпсіздігімен қоршаған ортаға зияны бойынша мәліметтер қарастырылған .Ұсынылып отырған оқулық «ГЕРБИЦИДТЕР ЖӘНЕ ИНСЕКТОФУНГИЦИДТЕР ТЕХНОЛОГИЯЛАРЫ » пәні бойынша жоғары оқу орындарындағы магистрлерге, PhD докторанттары мен бакалаврларға арнайы бағдарлама бойынша даярлауға арналған оқу бағдарламаларындағы жоспарларына сәйкес жинақталып, стандарт талаптарына, ОӘӘ баспасының жоспарына сәйкес құрастырылып дайындалған. Магистрлер мен PhD докторанттарды және бакалаврларға, өз бетінше инновациялық технологиялар бойынша ойлауына, шешім қабылдауына жағдай жасалынған. Оқулық ұлттық тілінде әдебиеттердің кемшілігіне байланысты химия технологиялық және техникалық жоғары оқу орындарын әдістемеліктерімен қамтамасыз ету үшін баспадан шығаруға ұсынылады</t>
  </si>
  <si>
    <t>0002644</t>
  </si>
  <si>
    <t>Жанысбекова Г.А.</t>
  </si>
  <si>
    <t>М.Блок. тарих апологиясы, немесе тарихшы Кәсібі</t>
  </si>
  <si>
    <t>М. Блоктың еңбегі әлемдік тарихи ой-пікірдің асыл мұраларының бірінен саналады. Ғалым тарих ғылымының әлі де болса жас ғылым екендігін, оның зерттеу әдіс-тәсілдерінің жетілмегендігін көрсетіп, осы жетіспейтін кешенді жасау үшін бірқатар ой тұжырымдарын жасаған, тарих ғылымының талдаулық ғылымға айналуы үшін әлеуметтанушылық ғылымдармен өзара байланысының маңызын көрсеткен. М. Блоктың тарих ғылымдарына сіңірген еңбектерінің бірі жаңа зерттеу мәселелерін шешуге мүмкіндік беретін компаративтік қатынас жасаудың тәсілдерін айқындауы. «Анналшылдар» мектебінің негізін салушылардың бірі ¬¬- М. Блок Л. Феврмен бірлесе отырып дәстүрлі баяндаушы позитивистік тарихнамаға қарама-қарсы ғылыми тарихты дамытуды жақтады. 
 Аударма 5В011400 «Тарих», 5В020300 «Тарих», 5В020800 ¬ Археология және этнология мамандықтарының студенттеріне арналған.</t>
  </si>
  <si>
    <t>0002646</t>
  </si>
  <si>
    <t>Жаңабаев Қ.Ш., Барлықова Н.Ә.</t>
  </si>
  <si>
    <t>Қазақстан республикасы егістерінің арамшөптері және олармен күрес шаралары</t>
  </si>
  <si>
    <t>Арамшөптерді егіс алқабынан ығыстырып шығару үшін олардың биологиялық ерекшеліктерін және күрес шараларын біліп, оларды ауылшаруашылық өндірісінде толығынан пайдалану қажет. Ол үшін студенттерге университеттерде «Егіншілік» пәнінен толық теориялық білім беріп, оны өндірісте қолдану жолдарын үйрету қажет. Аталған оқу құралында осы мәселелер жөнінде жазылған. Сондықтан ол республиканың аграрлық саладағы жоғары оқу орындарының «Агрономия» мамандықтарының студенттеріне арналған.
 Сондай-ақ, бұл оқу құралы ауылшаруашылық өндірісінің мамандарына да арналған.</t>
  </si>
  <si>
    <t>0002651</t>
  </si>
  <si>
    <t>Жаңақұлов Т.Ж.</t>
  </si>
  <si>
    <t>Мәдениеттану</t>
  </si>
  <si>
    <t>0002653</t>
  </si>
  <si>
    <t>Жаңбыров Ж.Ғ.(Жанбиров), Бахтиярова Е.А., Байбураева Ж.А.</t>
  </si>
  <si>
    <t>Автокөлік логистикасы -ақпараттық жүйелер</t>
  </si>
  <si>
    <t>Транспорт, Логистика</t>
  </si>
  <si>
    <t>0002659</t>
  </si>
  <si>
    <t>Жапбаров А.</t>
  </si>
  <si>
    <t xml:space="preserve">Қазақ тілі стилистикасын оқытудың ғылыми-әдістемелік негіздері. Бесінші кітап </t>
  </si>
  <si>
    <t>Бұл монографияда мектепте қазақ тілінің стилистикасын оқытудың мақсаты мен мазмұны, стилистикалық білім, білік, дағдысын қалыптастыра оқытудың жүйесі мен әдістемесі сипатталады. Онда стилистиканың басты ұғымдарын, категориялары мен функционалды стиль түрлері және тілдік құралдардың стилистикалық қолданылу ерекшеліктерін игертудің әдіс-тәсілдері қарастырылды. Еңбек оқушылардың тілін зерттеушілерге, жоғары оқу орындарының оқытушыларына, магистрант, докторанттарға, студенттерге мен мектеп мұғалімдеріне арналған.</t>
  </si>
  <si>
    <t>0002660</t>
  </si>
  <si>
    <t>978-601-330-848-7</t>
  </si>
  <si>
    <t>Қазақ тілін дамыта оқытудың тәжірибелік әдістері: логикалық амал – тәсілдер. Он бесінші кітап</t>
  </si>
  <si>
    <t>Бұл еңбекте қазақ тілін оқытудағы тәжірибелік жұмыс ретінде логикалық білім берудегі ойлаудың логикалық амалдары мен қалыптары, тәсілдері, ғылыми танымның логикалық әдістері, және логикалық ғылым негіздерінің табиғаты туралы білімдердің жиынтығы тәжірибелік негізде қарастырылған. Сондай-ақ жалпы білім беретін мектеп оқушыларының оқу бағдарламасында қарастырылатын ұғымдарға анықтама беру, ережелердің шарты мен қорытындысын ажыратып, тұжырымдай алу, дедуктивті дәлелдер жүргізе білу, танымдық логикалық амалдарды: анализ, синтез, салыстыру, жалпылау, жіктеу, аналогия, индукция, дедукциялар жөнінде білім, іскерлік, дағдылар қалыптастырудың жолдары қарастырылды. Еңбек педагогикалық жоғары оқу орындарының студенттеріне, магистрант, мұғалімдер мен зерттеушілерге арналған.</t>
  </si>
  <si>
    <t>0002661</t>
  </si>
  <si>
    <t>978-601-330-846-3</t>
  </si>
  <si>
    <t>Қазақ тілін оқытудың тәжірибелік әдістері: мазмұндама жүргізу. Он үшінші кітап</t>
  </si>
  <si>
    <t>Бұл оқу құралында қазақ тілін оқыту арқылы оқушылардың ауызша және жазбаша сөйлеу икемділіктерін дамытуда мазмұндама жұмысын ұйымдастыруды бір жүйеге келтіріп, қазақ тілі мен әдебиеті сабақтарын, жүргізудің әдістемесі берілді. Еңбек жоғары оқу орындарының қазақ тілі мен әдебиет мамандығын меңгеруші студенттер мен мектеп мұғалімдеріне арналды.</t>
  </si>
  <si>
    <t>0002662</t>
  </si>
  <si>
    <t>978-601-330-847-0</t>
  </si>
  <si>
    <t>Қазақ тілін оқытудың тәжірибелік әдістері: Талдау әдісі. Он төртінші кітап</t>
  </si>
  <si>
    <t>Бұл монографияда талдаудың ғылыми негіздер, мақсаты мен мазмұны, талдау дағдысын қалыптастырудың жүйесі мен әдістемесі сипатталып, талдаудың сапалық қасиеттерін қалыптастырудың әдіс-тәсілдері қарастырылған. Зерттеу жұмысында ұсынылып отырған әдістеме оқушылардың анализ, синтез, ой қорытындылары сияқты логикалық амалдар негізінде грамматикалық талдаудың символдық, сызба мен кестелік технологияларын қолдану әдістемесі ұсынылған.
 Еңбек педогогикалық жоғары оқу орындарының оқытушыларына, студенттеріне, магистрант, докторанттарға және мектеп мұғалімдері мен зерттеушілерге арналған.</t>
  </si>
  <si>
    <t>0002663</t>
  </si>
  <si>
    <t>978-601-330-849-4</t>
  </si>
  <si>
    <t>Қазақ тілін оқытудың тәжірибелік әдіс-тәсілдері: жаттығу әдісі. Он екінші кітап</t>
  </si>
  <si>
    <t>Оқу құралында қазақ тілін оқытудағы жаттығу жүргізудің лингвистикалық, психологиялық, дидактикалық негіздері, оқушылардың білім, білік, дағдыларын қалыптастырудағы жаттығудың әдістемесі қарастырылған. Еңбек педагогикалық жоғары оқу орындарының студенттеріне, магистранттар, мұғалімдер мен зерттеушілерге арналған.</t>
  </si>
  <si>
    <t>0002664</t>
  </si>
  <si>
    <t>978-601-330-850-0</t>
  </si>
  <si>
    <t>Қазақ тілін оқытудың тәжірибелік әдіс-тәсілдері: шығарма жаздыру әдістемесі. Он бірінші кітап</t>
  </si>
  <si>
    <t>Бұл оқу құралында мектепте шығарма жаздырудың әдіс-тәсілдері қарасытырылды. Онда оқушылардың шығармашылық қабілетін арттыру мақсаты мен оқыту үдерісінде шығарма жаздырудың әдістемесі сипатталып, сондай-ақ мектеп оқушыларының тілін дамыта оқыту мақсатында мәтін құрастыруға үйрету шығарма жұмысының түрлерін жазуға жаттықтырудың жолдары қарастырылды. Оқу құралы жоғары оқу орындарының қазақ тілі мен әдебиеті мамандығының игеруші студенттерге, магистранттарға және мектеп мұғалімдері мен зерттеушілерге арналған.</t>
  </si>
  <si>
    <t>0002667</t>
  </si>
  <si>
    <t>978-601-330-855-5</t>
  </si>
  <si>
    <t>Мәтін туралы білім, білік және дағдысын қалыптастыру арқылы оқушылардың тілін дамыта оқытудың ғылыми-әдістемелік негіздері. Жетінші кітап</t>
  </si>
  <si>
    <t>Бұл оқу құралында оқушылардың мәтін туралы теориялық білім мен олардың тілін дамыту ретінде мәтін құрастырудың әдіс-тәсілдері қарастырылды. Онда мәтін құрастыру біліктілігі мен дағдысын қалыптастыру¬¬¬¬ арқылы оқушылардың тілін дамыту әдістемесі берілді. Сонымен бірге, мәтінмен жұмыстарының түрлері анықталып, орта мектеп оқушыларына мәтін жаздырудың әдіс-тәсілдері сипатталады. Бұл еңбек жоғары оқу орындарының қазақ тілі мен әдебиет мамандығын меңгеруші студенттер мен магистранттарға, оқытушылар мен мектеп мұғалімдеріне және зерттеушілерге арналған.</t>
  </si>
  <si>
    <t>0002668</t>
  </si>
  <si>
    <t>978-601-330-853-1</t>
  </si>
  <si>
    <t>Оқушылардың ауызша сөйлеу әрекетін дамыта оқытудың ғылыми-әдістемелік негіздері. Екінші кітап</t>
  </si>
  <si>
    <t>Монографияда тілдік қарым-қатынастың ауызша сөйлеу әрекетін үлгертудің лингвистикалық, психологиялық, физиологиялық, психолингвистикалық, дидактикалық негіздері, білім, білікғ, дағдыларын қалыптастырудағы дамыта оқытудың әдістемесі қарастырылған.
 Еңбек педагогикалық, жоғары оқу орындарының оқытушыларына, магистрант, докторанттарға, студенттерге және мектеп мұғалімдері мен зерттеушілерге арналған.</t>
  </si>
  <si>
    <t>0002670</t>
  </si>
  <si>
    <t>978-601-330-852-4</t>
  </si>
  <si>
    <t>Оқушылардың орфографиялық икемділіктері мен дағдысын қалыптастыра оқытудың ғылыми-әдістемелік негіздері. Тоғызыншы кітап</t>
  </si>
  <si>
    <t>Бұл монографияда оқушылардың орфографиялық икемділіктері мен дағдыларын қалыптастыра оқытудың ғылыми - әдістемелік негіздері, оның мақсаты мен мазмұны, сауатты жазу дағдысын қалыптастыра оқыту жүйесі мен әдістемесі сипатталды. Онда жазудың емлелік икемділік пен дағдыларының жүйесі, тіл білімдік негізі, жаттықтырудың әдіс –тәсілдері қарастырылды. Еңбек педагогикалық жоғары оқу орындарының студенттеріне, магистрант, докторанттарға және оқытушылар мен мектеп мұғалімдеріне арналған.</t>
  </si>
  <si>
    <t>0002673</t>
  </si>
  <si>
    <t>978-601-330-851-7</t>
  </si>
  <si>
    <t>Оқушылардың тыныс белгілерді дұрыс қою икемділігі мен дағдыларын қалыптастырудың ғылыми-әдістемелік негіздері. Оныншы кітап</t>
  </si>
  <si>
    <t>Бұл монографияда оқушылардың сауатты жазу икемділіктері мен дағдыларын қалыптастыра оқытудың ғылыми-әдістемелік негіздері, оның мақсаты мен мазмұны, тыныс белгілерді дұрыс қою дағдысын қалыптастыра оқытужүйесі мен әдістемесі сипатталды. Онда жазудың тыныс белгілер туралы икемділік пен дағдыларының жүйесі, тіл білімдік негізі, жаттықтырудың әдіс-тәсілдері қарастырылды Еңбек педогогикалық жоғары оқу орындарының студенттеріне, магистрант, докторанттарға, оқытушылар мен мектеп мұғалімдеріне арналған.</t>
  </si>
  <si>
    <t>0002675</t>
  </si>
  <si>
    <t>Жарикбаев К.Б. (Жарықбаев Қ.Б.)</t>
  </si>
  <si>
    <t>Жалпы психология</t>
  </si>
  <si>
    <t>0002676</t>
  </si>
  <si>
    <t>Жантану оқулығы. (Толықтырып, өңделінген 10-шы басылым.)</t>
  </si>
  <si>
    <t>0002677</t>
  </si>
  <si>
    <t>978-601-327-006-7</t>
  </si>
  <si>
    <t>Он томдық таңдамалы шығармалар жинағы: Жалпы психология: ІІтом</t>
  </si>
  <si>
    <t>Кітапта психология ғылымының соңғы жылдардағы жетістік-терімен қатар осы салада республикамызда жүргізілген ғылыми-зерттеу жұмыстарының нәтижелері өңделіп, толық тырылып қайтадан ұсынылып отыр. Оқулық жоғары және арнаулы орта оқу орындарының, университеттер мен пединституттардың мұғалімдер даярлайтын барлық факультеттердің студенттеріне арналған.
 Оқулықтың 7-рет басылымы ҚР білім және ғылым министр-лігінің Ы. Алтынсарин атындағы бірінші дәрежелі сыйлығын алған.</t>
  </si>
  <si>
    <t>0002678</t>
  </si>
  <si>
    <t>Он томдық таңдамалы шығармалар жинағы: Қазақтың психологиялық ой-пікірлерінін калыптасуы мен дамуы Iтом</t>
  </si>
  <si>
    <t>Автор қазақ халқының бірнеше ғасырлық психологиялық ой-пікірлерінің түп-төркініне (VI-XX ғғ.) шолу жасайды. Қазақстанда психология ғылымының қалыптасуымен даму жолдарына, оның үлес қосқан Х. Досмұханбетов, Ж. Аймауытов, М. Жұмабаев, Т. Тәжібаев, Б.Момышұлы еңбектеріне талдау жасып. 
 Кітап жоғары оқу орындарының ғылымдарымен студенттеріне, орта мектеп мұғалімдері мен оқушыларына, көпшілік оқырманға арналған</t>
  </si>
  <si>
    <t>0002680</t>
  </si>
  <si>
    <t>Жаркевич О.М.</t>
  </si>
  <si>
    <t>Базы данных и экспертные системы</t>
  </si>
  <si>
    <t>Учебное пособие составлено в соответствии с учебной программой дисциплины «Базы данных и экспертные системы» для студентов специальности 5В073200 «Стандартизация и сертификация».В учебном пособии рассмотрены классификация баз данных при проектировании, системы управления базами данных, классификация экспертных систем и методы экспертных оценок и методы групповой экспертизы</t>
  </si>
  <si>
    <t>0002681</t>
  </si>
  <si>
    <t>Статистические методы управления качеством продукции и процессами в машиностроении</t>
  </si>
  <si>
    <t>Учебное пособие предназначено для студентов специальности 5В071200 «Машиностроение», 5В073200 «Стандартизация и сертификация (по отраслям)».В учебном пособии рассмотрены методы контроля качества продукции в машиностроении, основанные на применении математической статистики, и состояния технологического процесса с целью поддержания его устойчивости и обеспечения заданного уровня качества выпускаемой продукции. Рассмотрены вопросы качества работы станков и анализа точности механической обработки</t>
  </si>
  <si>
    <t>0002685</t>
  </si>
  <si>
    <t>Жармакин Б. К.</t>
  </si>
  <si>
    <t>VHDL тілінде цифрлық электроника элементтерін бағдарламалау</t>
  </si>
  <si>
    <t>Оқу құралында оқу үрдісі барысында цифрлық құрылғылардың техникалық және математикалық құрамдарын біріктіру мәселесі қарастырылған. Жоғары технологиялардың өте жылдам дамуы, осы үрдіске сай жаңа инженерлік кадрларды талап етуде. Өндірісте цифрлық құрылғыларды жобалаушы мамандарға сұраныс өсе беретін болады. Бұл оқу құралының көмегімен оқушы жастар цифрлық құрылғылардың құрылысымен қатар, оларды қалай программалауды оқып үйренетін болады. VHDL бағдарламалау тілінде цифрлық құрылғылардың моделдері құрастырылған. Осы оқу құралын жоғары оқу орындарының «Ақпараттық жүйелер», «Есептеу техникасы», «Радиоэлектроника», «Математикалық және компьютерлік моделдеу» мамандықтардың студенттеріне, оқытушыларына және өзінің білім деңгейін көтеруге ынталанған білім алушыларға арналған.</t>
  </si>
  <si>
    <t>0002686</t>
  </si>
  <si>
    <t>Цифрлық электроника элементтерін ARDUINO платформасында бағдарламалау және құрастыру</t>
  </si>
  <si>
    <t>Оқу құралында цифрлық құрылғыларды АРДУИНО контроллері арқылы құрастыру қарастырылған. Программалар С++ тілінде жазылған және әр бағдарламаға түсініктемелер жазылған. Жинақтауыш тақташада цифрлық құрылғыларды құрастыру арқылы білім алушылар әр – түрлі техникалық құрылғыларды өзінің күшімен жинастыруға машықтанады. Бұл оқу құралында сонымен қатар PROTEUS программа ортасында цифрлық құрылғылардың прототиптерін қалай құрастыруға болатыны көрсетілген. Оқу құралының соңындағы қосымшаларда PROTEUS пен программа жазатын ортаны компьютерге қалай орнатылатыны толықтай баяндалған. Бұл оқу құралының көмегімен оқушы жастар цифрлық құрылғылардың құрылысымен қатар, оларды қалай құрастыру мен программалауды оқып үйренетін болады. Осы оқу құралын жоғары оқу орындарының «Ақпараттық жүйелер», «Есептеу техникасы», «Радиоэлектроника», «Математикалық және компьютерлік моделдеу» мамандықтардың студенттеріне, оқытушыларына және өзінің білім деңгейін көтеруге ынталанған білім алушыларға арналған</t>
  </si>
  <si>
    <t>0002687</t>
  </si>
  <si>
    <t>Изучение основ аналоговой электроники и датчиков на платформе ARDUINO</t>
  </si>
  <si>
    <t>В данном учебном пособии в наиболее развернутом виде рассмотрены элементы аналоговой электроники и компоненты радиотехнических устройств. Отдельной главой выделен лабораторный практикум по основам полупроводниковой электроники и работа с данными устройствами в среде САПР PROTEUS. Также рассмотрены наиболее часто встречающиеся в различных любительских проектах датчики для работы с платформой ARDUINO. Данное учебное пособие призвано помочь учащейся молодежи в освоении основ аналоговой электроники. Можно рекомендовать учащимся старших классов, колледжей для внеклассной работы в кружках радиомоделирования и основ робототехники.Учебное пособие можно рекомендовать для обучения студентов направления «Радиоэлектроника», «Информационные системы», «Электротехника», «Вычислительная техника» и другим техническим специальностям. Также он может быть полезен преподавателям, студентам, учащимся старших классов, колледжей и лицам самостоятельно изучающих основы электроники.</t>
  </si>
  <si>
    <t>0002688</t>
  </si>
  <si>
    <t>Аналогтық электроника негіздері мен сенсорларды ARDUINO платформасында оқыту</t>
  </si>
  <si>
    <t>Бұл оқу құралында аналогтық электроника элементтері және радиоэлектрондық құрылғылардың компоненттері бірінші және екінші тарауларда анағұрлым кеңейтілген түрде қарастырылған. Оқу құралының үшінші тарауы жартылай өткізгіш электрониканың негіздері мен осы құрылғылармен PROTEUS АЖЖ – да жұмыс істеуге арналған зертханалық практикум түрінде жасалған. Төртінші тарауыда ARDUINO платформасымен жұмыс істеуге арналған түрлі әуесқойлық жобаларда жиі кездесетін сенсорлар қарастырылған.Бұл оқу құралы студенттерге аналогтық электроника негіздерін оқып – білуге ​​көмектесу үшін жасалған. Оқу құралын мектептердегі жоғарғы сынып және колледждердің оқушылары мен ЖОО – ның студенттеріне радиомодельдеу, робототехника негіздерін үйренуге арналған үйірмелерге қолдануға кеңес береміз.Оқу құралы «Радиоэлектроника», «Ақпараттық жүйелер», «Электротехника», «Есептеу техникасы» және басқа да техникалық бағыттарының мамандықтарының студенттеріне оқытуда ұсынылады.Сонымен қатар бұл оқу құралы техникалық мамандықтағы оқу жүргізетін ұстаздар мен жоғары сынып пен колледж оқушыларына, студенттерге және электроника негіздерімен өздігімен оқып – үйренушілерге пайдалы болуы мүмкін.</t>
  </si>
  <si>
    <t>0002690</t>
  </si>
  <si>
    <t>Жарылгапов Ж. Ж.</t>
  </si>
  <si>
    <t>Жанр және көркемдік әдіс</t>
  </si>
  <si>
    <t>0002692</t>
  </si>
  <si>
    <t>Жарылгапов Ж.Ж., Мырзахметов А.А.</t>
  </si>
  <si>
    <t>Қазіргі қазақ әдебиеті</t>
  </si>
  <si>
    <t>0002702</t>
  </si>
  <si>
    <t>Жетписбаев Б.А. Усенова О.А.</t>
  </si>
  <si>
    <t>Обменные процессы в отдаленном периоде после воздействия ионизирующего гамма-облучения</t>
  </si>
  <si>
    <t>0002703</t>
  </si>
  <si>
    <t>Жетписбаева Б.А., Шайхызада Ж. Г., Сугралина Л.М.</t>
  </si>
  <si>
    <t>Английский язык для естественнонаучных специальностей</t>
  </si>
  <si>
    <t>Данное учебное пособие подготовлено для магистрантов юридических специальностей. В него включены основные сведения по грамматике и четырем основным видам речевой деятельности на основе специальной лексики. Основной материал содержит тексты со словарными пояснениями и разнообразными упражнениями. Тематика текстов: законодательство, международное право, защита прав человека и т.д. Тексты основаны на фактическом материале, журнальных статьях и документах таких стран как, США, Великобритания и Казахстан.
 Пособие позволит развить и закрепить навыки чтения, письма и аудирования, а так же устного и письменного изложения профессиональных материалов.</t>
  </si>
  <si>
    <t>0002704</t>
  </si>
  <si>
    <t>Жетписбаева Б.А., Асанова Д.Н., Тлеужанова Г.К., Айтбаева Б.М., Серебрякова Н.П.</t>
  </si>
  <si>
    <t>Русско-казахский лингводидактический словарь-справочник</t>
  </si>
  <si>
    <t>Справочное издание</t>
  </si>
  <si>
    <t>В словаре-справочнике дано толкование наиболее употребительных лингводидактических терминов на русском и казахском языках с переводом на английский, немецкий, французский языки, отражающиих современный уровень развития теории обучения иностранным языкам и базисных для нее дисциплин. 
 Словарь-справочник рекомендуется студентам специальностей полиязычного образования, а также магистрантам, преподавателям вузов, учителям общеобразовательных школ и всем, кто интересуется проблемами изучения и преподавания языков.
  Анықтамалық сөздікте шетел тілдерін және оның базалық пәндерін оқыту теориясы дамуының қазіргі деңгейін көрсететін ағылшын, неміс, француз тілдеріндегі аудармасымен орыс және қазақ тілдерінде жиі қолданылатын лингводидактикалық терминдердің түсініктемесі берілген. 
  Анықтамалық сөздік көптілді білім беру мамандықтарының студенттеріне, сонымен қатар магистранттарға, жоғары оқу орындарының оқытушыларына, жалпы білім беретін мектептердің мұғалімдеріне және тілдерді зерттеу мен оқыту мәселелеріне қызығушылық танытатын барлық адамдарға ұсынылады.</t>
  </si>
  <si>
    <t>0002705</t>
  </si>
  <si>
    <t>Жетписбаева Б.А., Муратбекова А.А., Шелестова Т.Ю., Тычинская Л.Ю.</t>
  </si>
  <si>
    <t>Англо- казахско-русский словарь по химии</t>
  </si>
  <si>
    <t>В последнее время интенсивно развивается разные отрасли промышленности, в том числе химический и нефтехимичсий секторы, что в свою очередь повышает спрос на специалистов химиков-технологов, которые являются профессионалами в своей области, а также владеющие иностранными языками. На сегодняшний день отсутствуют англо-казахско-русские словари химических терминов. Предлагаемый специалистам химического профиля данный словарь химической терминологии содержит значительное количество слов для перевода и работы с химическими текстами. Словарь полезен при переводе текстов химического содержания с английского языка на казахский и русский языки и наоборот</t>
  </si>
  <si>
    <t>0002706</t>
  </si>
  <si>
    <t>Жетписбаева Б.А., Серебрякова Н.П., Артамонова К.С.</t>
  </si>
  <si>
    <t>Vocabulary in Use(A1,A2)</t>
  </si>
  <si>
    <t>Данный практикум содержит упражнения, направленные на формирование лексического минимума, необходимого студентам для владения английским языком на уровнях А1, А2. Материал предлагается в соответствии с Типовой учебной программой по базовому курсу английского языка для специальностей полиязычного образования (2010 г.). 
 Практикум предназначен для подготовки студентов специальностей полиязычного образования, а также для студентов 1 курса языковых специальностей.</t>
  </si>
  <si>
    <t>0002708</t>
  </si>
  <si>
    <t>Жетписбаева Б.А., Утеубаева Э.А.</t>
  </si>
  <si>
    <t>Теория и практика формирования иноязычной коммуникативной компетенции юристов</t>
  </si>
  <si>
    <t>В монографии раскрываются теоретические основы и эмпириче-ские аспекты формирования иноязычной коммуникативной компе-тенции юристов на примере послевузовского образования. Коммуни-кация в профессиональной деятельности юриста играет первостепен-ную роль, так как она неизбежно предполагает взаимодействие с другими людьми. В связи с этим подготовка юристов должна ориентироваться на выработку их коммуникативной компетенции, основанной на формировании навыков профессионально-ориентированного общения на родном и иностранном языках. Формирование иноязычной коммуникативной компетенции юристов обусловлено новой социальной ситуацией, динамичностью и интенсивностью межгосударственных обменов, ориентацией законодательно-нормативной базы Республики Казахстан на интеграцию с мировым сообществом, а также функционированием международных информационных баз данных по юриспруденции.
 Предназначена для магистрантов, исследователей, преподавате-лей высших учебных заведений.</t>
  </si>
  <si>
    <t>0002709</t>
  </si>
  <si>
    <t>Жетписов /Жетпісов С.У./</t>
  </si>
  <si>
    <t>Туристік кластер</t>
  </si>
  <si>
    <t>Оқу қуралы</t>
  </si>
  <si>
    <t>Қазіргі дүниежүзілік экономиканың даму жағдайында туризм жетекші және динамикалық дамушы салалардың бірі болып отыр. Туризм – әлемдiк экономикада басты рөлдiң бiрiн атқарады. Дүниежүзiлiк Туристiк Ұйымның деректерi бойынша туризм әлемдегi жалпыұлттық өнiмнiң оннан бiр бөлiгiн, халықаралық инвестицияның 11 пайыздан астамын, әлемдiк өндiрiстiң әрбiр 9-шы жұмыс орнын қамтамасыз етедi. Оқу қуралы туристік пәндерді окитын жогаргы оку орындарынын студенттері және магистранттарына арналган. Оны жалпы білім беру мектептері мен арнайы туристерді оку орындарынын мұғалімдері және де тәжірибе мамандарыныц жетілдіру саласында да пайдалануга болады</t>
  </si>
  <si>
    <t>0002711</t>
  </si>
  <si>
    <t>Жетписов С.У.</t>
  </si>
  <si>
    <t>Туристский кластер</t>
  </si>
  <si>
    <t>0002715</t>
  </si>
  <si>
    <t>Жетпісов Қ.(Жетписов), Түсіпов Ж.А., Мархабатов Н.Д.</t>
  </si>
  <si>
    <t>Жиындар теориясы, математикалық логика, сандар теориясы және алгоритмдер теориясы бойынша есептер жинағы</t>
  </si>
  <si>
    <t>Есептер жинағы математика, қолданбалы математика, информатика, ақпараттық жүйелер мамандықтары бойынша білім алушы жоғары оқу орындарының студенттері мен магистранттарына арналған.</t>
  </si>
  <si>
    <t>0002717</t>
  </si>
  <si>
    <t>Жәмбек С.Н., Тлеубердина Г.Т.</t>
  </si>
  <si>
    <t>Әдебиет теориясы</t>
  </si>
  <si>
    <t>язык казахский,литература</t>
  </si>
  <si>
    <t>Бұл оқу құралында «Әдебиет теориясы» пәнінің алдында тұрған міндеттер мен мақсаттар сараланып, оны шешудің жолдары қарастырылады. Көркем образ табиғатын, көркем әдебиеттің өнер ретіндегі болмысы, көркем шығарманың сыры мен сипаты, өзіндік бітімі оның көркемдік компоненттері арқылы байыпталады. Әдеби даму, әдеби қозғалыс үдерісіндегі ағым, бағыт, көркемдік әдіс пен стиль мәселелері жан-жақты талданып, таразыланады. Оқу құралының соңында терминологиялық ұғымдар сөздігінің минимумы, пәнге байланысты бақылау сұрақтары берілген. Оқу құралы әдебиетшілер мен оқытушыларға, студенттер қауымына арналған.</t>
  </si>
  <si>
    <t>0002724</t>
  </si>
  <si>
    <t>Жидеқұлова Г.Е., Солтанаева С.Л., Бекмолдаева Қ.Б.</t>
  </si>
  <si>
    <t>Объектіге бағытталған программалау 1 том</t>
  </si>
  <si>
    <t>Оқу құралында программалау процесінің объектіге бағытталған кезеңдері мен Delphi7 ортасында программалау технологиялары көрсетілген, әр кезеңге мысалдар қарастырылып, олардың програм-малары қүрылған және тараулар бойынша жаттығулар мен бақылау сұрақтары келтірілген. Оқу құралын информатика, ақпараттық жүйелер, есептеу техникасы және программалық қамтамасыз ету мамандығында оқитын студенттер, мұғалімдер, жоғарғы оқу орындарында, Delphi7-ні өз бетімен үйренушілер және де программалауға қызығушылық танытушылар пайдалануға болады</t>
  </si>
  <si>
    <t>0002725</t>
  </si>
  <si>
    <t>Объектіге бағытталған программалау 2 том</t>
  </si>
  <si>
    <t>0002727</t>
  </si>
  <si>
    <t>Жиенбекова А. А.</t>
  </si>
  <si>
    <t>Қазақтардың сәндік қолданбалы өнері</t>
  </si>
  <si>
    <t>Сәндік-қолданбалы өнер, оның халықтың көркем шығармасы мен құндылықтар жұйесі контекстіндегі сипаты табылып оқу құралында зерттеу нысаны ретінде қарастырылған. Табиғатты тұтас түсіну және сәндік-қолданбалы өнердің адамның әлемге деген қатынасын материалдандыру құралы ретінде, оның қазақ халқы өнерінің ұлттық өзіндігін айқындаудағы және іске асырудағы қызметінің тағайындалуы қарастырылған.
 Ізденістің нысаны және пәні зерттеудің басты бағытын, мақсатын белгілейді, оқу құралы студенттер мен магистранттарға, осы мәселелерімен шуғылданатын мамандар мен көпшіліктерге арналады.</t>
  </si>
  <si>
    <t>0002728</t>
  </si>
  <si>
    <t>Жиенбекова А.А.</t>
  </si>
  <si>
    <t>Әлеуметтік салада социологиялық зерттеулерді жүргізудің әдістемесі</t>
  </si>
  <si>
    <t>Оқу құралы «Әлеуметтік салада әлеуметтік зерттеу жүргізу әдістемесі» пәнінен жазылған. Ұсынылып отырған оқу құралында әлеуметтік зерттеу әдістерін әлеуметтік саласында қолдану жолдары кеңінен көрсетілген. Әлеуметтік зерттеу әдістерді қолданып, қызметін ғылыми негізде ұйымдастырып, жетілдіремін деушілерге көмегін көрсетеді.
 Оқу құралы бағдарламаға сәйкес жоғары және орта, арнаулы оқу орындарында және басшы қызметкерлерінің қолдануы үшін ұсынылады. 
 Оқу құралы 050905-Әлеуметтік жұмыс мамандығының студенттері мен оқытушыларға, Әлеуметтік салада әлеуметтік зерттеу жүргізу әдістемесі пәніне қызығушылық танытушы көпшілік қауымға арналған. Оқу құралда материалдарды бекіту үшін сұрақтар, әдебиеттер тізімі, берілген.</t>
  </si>
  <si>
    <t>0002729</t>
  </si>
  <si>
    <t>Жиенбекова А.А., Дарибаева Р.Д., Төлегенова К.К.</t>
  </si>
  <si>
    <t>Әлеуметтік жұмыстың әдістері мен технологиялары</t>
  </si>
  <si>
    <t>Оқулық оқу жоспарының талаптарына, пән бағдарламасына сай құрастырылған, студенттердің өзіндік жұмысты орындауға қажетті барлық мәліметтер енгізілген, және де әлеуметтік қорғау жүйе саласында тәжірибелік қызмет атқаратын мамандарға даярланған.
 5В090500 – «Әлеуметтік жұмыс» мамандығы студенттеріне арналған.</t>
  </si>
  <si>
    <t>0002730</t>
  </si>
  <si>
    <t>Жиенбекова А.А., Саухамбаева М.Ж.</t>
  </si>
  <si>
    <t>Патронат және патронаттық отбасылармен әлеуметтік жұмыс</t>
  </si>
  <si>
    <t>Оқу құралында мемлекетіміздегі жетім балалардың жағдайы, олардың тұлғалық әлеуметтенуіндегі педагогикалық-психологиялық ерекшеліктері, отбасыға орналастырудың патронаттық формасы туралы сипатталады. Оқу құралының мақсаты – студент жастарды жетім балаларды әлеуметтендірудегі жаңа отбасыға бейімдеудің түрлі жолдары туралы білімдер жүйесін қалыптастыру. Болашақ әлеуметтік қызметкерлер оқу құралындағы мағлұматтар арқылы келешекте атқарар қызметімен танысады.</t>
  </si>
  <si>
    <t>0002731</t>
  </si>
  <si>
    <t>Жоламанов А.</t>
  </si>
  <si>
    <t>Мемлекет және құқық теориясы</t>
  </si>
  <si>
    <t>Оқу құралы 050905-«Әлеуметтік жұмыс», сондай-ақ гуманитарлық мамандықтардың студенттеріне арналған.</t>
  </si>
  <si>
    <t>0002732</t>
  </si>
  <si>
    <t>Жолдасбеков А.А., Примбетова С.К.</t>
  </si>
  <si>
    <t>Денсаулық психологиясы</t>
  </si>
  <si>
    <t>Денсаулық психологиясы оқу құралы жоғары оқу орнының психология педагогика мамандығының бағдарламасына сәйкес құрастырылған. Денсаулық психологиясы – денсаулықтың психологиялық себептері жайлы, оны сақтау, бекіту дамыту әдістері және құралдары жайлы ғылым. Денсаулық психологиясына адамның өмірге келуінен өліміне дейін денсаулығын сақтау тәжрибесі енеді. Оның нысаны атақты ауру тұлға емес денсаулық болып табылады. Оқу құралында дәріс сабақтарында өтілетін лекциялардың қысқаша мазмұны мен әдебиеттер тізімі берілген. Оқу құралы психология, педагогика мамандығының студенттеріне арналған.</t>
  </si>
  <si>
    <t>0002736</t>
  </si>
  <si>
    <t>Жолдасов С.Қ /Джолдасов С.К. , Койшибаева Г.Д.</t>
  </si>
  <si>
    <t>Су шаруашылық кешені</t>
  </si>
  <si>
    <t>Оқу құралында курстық жұмыс пен дипломдық жұмыстың бөлімін орындау кезіндегі су шаруашылық есептерінің әдістемесі келтіріледі және ұсыныстар беріледі. Тараулардың мақсаты, міндеттері және мазмұны келтіріледі, су тұтыну мөлшерлері берілген, Су шаруашылық кешені (СШК) бөлінген күрделі қаржылардың экономикалық тиімділігін бағалау келтірілген. Оқу құралы 5В080500-«Су ресурстары және суды пайдалану» мамандығының күндзгі және сырттай оқитын студенттерге «Су ресурстарын кешенді пайдалану» пәні бойынша курстық жұмыстарды орындауға мақсатталған, және де «Гидротехникалық құрылыс және құрылымдар» мамандығында оқитын студенттер де пайдалана алуы мүмкін.</t>
  </si>
  <si>
    <t>0002737</t>
  </si>
  <si>
    <t>Жолдасов С.Қ.</t>
  </si>
  <si>
    <t>Бойлық саңылаулы құмтұтқыштарды жобалау әдіснамасы</t>
  </si>
  <si>
    <t>Монографияның мақсаты - Қазақстан Республикасының далалық-құмды аумақтарындағы каналдарда кеңінен пайдаланылатын құмтұтқыш құрылымдарының конструкциялары жайлы, бойлық саңылаулы құмтұтқыштарды жобалау және оларды қолдану нәтижелері туралы мәліметтер, құмтұтқыштардың жаңа конструкцияларын каналға үйлестіру бойынша ұсыныстар беру және магистранттарға, докторанттарға, ғылыми қызметкерлерге жобалау жұмыстарын орындағанда құмтұтқыштарды есептеу мен жобалаудың әдіснамасы берілген.Монография, мамандығы 6М080500-«Су ресурстары және суды пайдалану», 6М074400-«Гидротехникалық құрылыс және құрылымдар» және 6М081000-«Мелиорация, жерді баптау және қорғау» магистранттарына, докторанттарға, жоо-ның ғалымдарына және де тұндырғыштар мен құмтұтқыштарға жұмысы байланысты ғылыми қызметкерлерге арналған.«Бойлық саңылаулы құмтұтқыштарды жобалау әдіснамасы» монографиясы «Су ресурстары» кафедрасы мәжілісінде (Хаттама № 4 «30» қараша 2015ж.) және «Су шаруашылығы, экология және құрылыс» институтының оқу-әдістемелік бюросы мәжілісінде  (Хаттама №3, «26» қараша 2015ж.) қаралып, М.Х.Дулати атындағы ТарМУ ғылыми-техникалық Кеңесі шешімімен баспадан шығаруға ұсынылған</t>
  </si>
  <si>
    <t>0002738</t>
  </si>
  <si>
    <t>Су тасымалы жүйелерінің жалғастыру құрылымдарының конструкцияларын зерттеу және жетілдіру</t>
  </si>
  <si>
    <t>Монографияның мақсаты - су шаруашылығында қолданылатын жасанды бұжырлықты тезағарлар конструкциясын жасау және зерттеу, жалғастыру құрылымы ретінде пайдаланылатын жасанды бұжырлы тезағарлардың жұмысын зерттеп, тиімділігін көтеруді іске асыру, жаңа конструкциялы жасанды бұжырлықты тезағарларды өндірісте қолдану мен пайдалану бойынша ұсыныстар беру және магистранттарға, докторанттарға, ғылыми қызметкерлерге жобалау жұмыстарын орындау кезінде тезағарларды есептеу мен жобалаудың әдістемесін беру.Монография, мамандығы 6М080500-«Су ресурстары және суды пайдалану» және 6М074400-«Гидротехникалық құрылыс және құрылымдар» магистранттарына, докторанттарға, жоо-ның ғалымдарына және де су тасымалы жүйелерінің жалғастыру құрылымдарының конструкцияларымен жұмысы байланысты ғылыми-зерттеу институтының қызметкерлеріне арналған.«Су тасымалы жүйелерінің жалғастыру құрылымдарының конструкцияларын зерттеу және жетілдіру» монографиясы «Су ресурстары» кафедрасы мәжілісінде (Хаттама №4 «30» қазан 2015 ж.) және «Су шаруашылығы, экология және құрылыс» институтының оқу-әдістемелік бюросы мәжілісінде (Хаттама №3, 26 қараша 2015 ж.) қаралып, баспадан шығаруға ұсынылған. Сурет 31. Кестелер 10. Әдебиеттер саны – 51.</t>
  </si>
  <si>
    <t>0002739</t>
  </si>
  <si>
    <t>Жолдасов С.Қ. (Джолдасов C.К.), 
 Г.Е.Қожамқұлова</t>
  </si>
  <si>
    <t>Гидравлика пәнінен есептік-графикалық тапсырма орындауға арналған</t>
  </si>
  <si>
    <t>Әдістемелік құрал, гидравлика курсының жұмысшы бғдарламасына сәйкес жасалған және алты тараудан тұрады. Олардың әрбірінде есептік-графикалық тапсырма (ЕГТ) ретінде шығарылуы мен схемалары көрсетіліп типтік берілген. Әдістемелік нұсқау 5В080500-«Су ресурстары және суды пайдалану», 5В081000-«Мелиорация, жерді баптау және қорғау», 5В070800-«Мұнай-газ ісі», 5В073100-«Тіршілік әрекеті қауіпсіздігі және қоршаған ортаны қорғау» мамандықтары студенттері үшін арналған.</t>
  </si>
  <si>
    <t>0002740</t>
  </si>
  <si>
    <t>Жолдасов С.Қ.(Джолдасов С.К.), Қожамқұлова Г.Е.</t>
  </si>
  <si>
    <t>Су нысандарының мониторингі және геоақпараттық жүйелер</t>
  </si>
  <si>
    <t>Оқу құралында бакалаврлерге, магистранттарға және докторанттарға - ҚР және көршілес мемлекеттер аумағындағы трансшекаралық өзендер алабындағы су шаруашылығы нысандарында орын алатын төтенше жағдайлардың (тасқындар, су басу, бөгеттер мен мұздық көлдердің жарылуы және т.б.) қаупін бағалау мен су нысандарына мониторинг жүргізу тәсілдері туралы қажетті деңгейдегі білім берілген. Тараулардың мақсаты, міндеттері мен мазмұны анықталған. Оқу құралы - «Су ресурстары және суды пайдалану», «Гидротехни-калық құрылыс және құрылымдар», «Мелиорация, жерді баптау және қорғау» және т.б. мамандықтағы күндізгі және сырттай оқитын студенттерге, магистранттар мен докторанттарға арналған</t>
  </si>
  <si>
    <t>0002741</t>
  </si>
  <si>
    <t>Жолдасова Ш.А., Джуламанова З.К.</t>
  </si>
  <si>
    <t>Оқу құралы жоғары техникалық оқу орындарында инженер мамандар дайындауға арналған. «Мемлекеттік стандартқа» сәйкестіріліп жасалған. Оның көлемі «Материалдар кедергісі» пәнінің негізгі тарауларын қамтиды. Оқу құралындағы есептер және оларды шешу жолдары студенттердің пәнді өз бетінше меңгеруіне және өзіндік бақылау жұмыстарын шығаруда үлкен көмегі бар.</t>
  </si>
  <si>
    <t>0002742</t>
  </si>
  <si>
    <t>Жолдасова К.</t>
  </si>
  <si>
    <t>"Сандық әдістер" пәні бойынша лабораториялық практикум</t>
  </si>
  <si>
    <t>Оқулық 10 бөлімнен тұрады. Әр бөлім бойынша теориялық мағлұматтар, әр тақырыпқа бiрдей деңгейлi 30 варианттан тұратын - лабораториялық жұмыстарға тапсырмалар берiлген және де әр тапсырманың бір вариантының шығару жолы көрсетілген. Оқу құралының лабораториялық-практикалық жұмыстарға тапсырмалары “Практикум по вычислительной математике“ (Г.Н.Воробьева, А.Н. Данилина, М.Высшая школа 1990г.) кiтабының негiзiнде жазылған. Оқулықтағы тақырыптар “Сандық әдістер ” курсына жасалған бағдарлама бойынша құрастырылып, жоғары оқу орындарында педагогикалық мамандықтарда оқитын білімгерлерге арналған.</t>
  </si>
  <si>
    <t>0002743</t>
  </si>
  <si>
    <t>Жолдубаева А.К.</t>
  </si>
  <si>
    <t>Культурология: практикум</t>
  </si>
  <si>
    <t>Практикум по культурологии используется для повторения учебного материала, лучшего усвоения и систематизации полученных знаний.
 Практикум по культурологии позволяет выявить, в какой степени студенты овладели знаниями основных научных фактов культурологических дисциплин, их теоретических положений, социальных норм, а также способами познавательной деятельности.
 Все темы, предложенные в практикуме, сопровождаются методическими указаниями и списком учебной и научной литературы. Используя приведенные в списке источники, студент может углубить свои знания в той или иной теме.</t>
  </si>
  <si>
    <t>0002744</t>
  </si>
  <si>
    <t>Жолдубаева А.К., Затов К.А.</t>
  </si>
  <si>
    <t>Негізгі мектеп және мәдениетті антропологияның бағыттары</t>
  </si>
  <si>
    <t>Оқу құралында XIX-XX ғасырларда пайда болған мәдени антропологияның әртүрлі мектептері мен бағыттары, адам мен мәдениет құбылысын зерттеудегі қадымдар (эволюционизм, диффузионизм, құрылымдық-функционалдық талдау, биологиялық бағыт, психоаналитикалық бағыт, психологиялық бағыт) қарастырылады.
 Осы курс аумағында қарастырылған мәдени антропологиялық зерттеулердің ортақ бір мақсаты – көптеген көзқарастарды, мектептер мен бағыттарды зерделей отырып тарихи-мәдени үрдістерге қатысты оқырманның өз көзқарасын және оның бойында өзіндік ой тұжырымдау мәдениетін қалыптастыру</t>
  </si>
  <si>
    <t>0002747</t>
  </si>
  <si>
    <t>Жолымбаев О.М., Берікханова Г.Е.</t>
  </si>
  <si>
    <t>Элементарлық математика</t>
  </si>
  <si>
    <t>«Элементарлық математика» оқулығы Информатика және Физика стандартына, типтік оқу жоспарына сәйкес жазылған. Кітап 28 дәрістен тұрады. Бұл кітапта мектептің мұғалімін даярлау үшін математикадан қажетті материалдар жеткілікті дәрежеде берілген. Мектептің математикасымен қоса жоғары математиканың элементтері комплекс сандар және ықтималдықтар теориясы кең мағынада түсіндіріледі. Бұл оқулық университеттердінің және педагогикалық институттардың күндізгі және сыртқы бөлімінде оқитын студенттерге арналған.</t>
  </si>
  <si>
    <t>0002748</t>
  </si>
  <si>
    <t>Жолымбаев О.М., Берікханова Г.Е., Бахтинова Э.Т.</t>
  </si>
  <si>
    <t>Математика (Бастапқы және орта кәсіптік білім алатын оқушыларға арналған)</t>
  </si>
  <si>
    <t>Бұл оқулық экономикалық, техникалық және гуманитарлық колледждердің бастапқы және орта кәсіптік білім алатын оқушылары үшін "Математика" пәнінің мемлекеттік стандартына, бағдарламасына сәйкес дайындалған. Әр тақырыптың соңында оқушыларға практикалық жұмыс үшін жеткілікті мөлшерде жаттығулар берілген. Оқулық колледж оқушыларының математикадан орта білім алуын қамтамасыз етіп, кәсіби деңгейін қалыптастыру, ары қарай білімін жетілдіру үшің қажетті база жасайды.</t>
  </si>
  <si>
    <t>0002754</t>
  </si>
  <si>
    <t>Жорабеков С.К., Кунжигитова Г.Б.</t>
  </si>
  <si>
    <t>Композиция негіздері</t>
  </si>
  <si>
    <t>Оқу құралы «Композиция негіздері» Композиция пәннің оқу жоспары мен типтік бағдарламасының талаптарына сәйкес құрастырылған және тәжірибелік тапсырмаларын орындауға қажетті мәліметтерді қамтиды.
 Оқу құралы негізгі міндеттері - студенттердің графикалық, кескіндемелік, композициялық таным, талғамдарының қалыптасуына ықпал жасау, пәннің арнаулы үйлесім әдістерін қалыптастыру, студенттердің кәсіптік шеберлігін дамыту және өз пікірін кескіндемелік, графикалық түрде көрсету қабілеттерін дамыту.</t>
  </si>
  <si>
    <t>0002755</t>
  </si>
  <si>
    <t>Жоранова Н.Ж.</t>
  </si>
  <si>
    <t>Жоғарғы деңгейлі бағдарламалау тілдерінің негізі</t>
  </si>
  <si>
    <t>0002756</t>
  </si>
  <si>
    <t>Жороқпаева М.Д.</t>
  </si>
  <si>
    <t>Оқу құралы жоғары және арнаулы оқу орындарының орыс тобы студенттеріне арналған. Тіл үйренушілердің тілдік қарым-қатынасқа еркін түсе білуге, тілдік қорларын молайтуға, ой ұшқырлықтарын дамытуға, сөйлеу мәдениетін қалыптастыруға бағытталған</t>
  </si>
  <si>
    <t>0002757</t>
  </si>
  <si>
    <t>Тыңдалым теориясы мен әдістемесі</t>
  </si>
  <si>
    <t>Еңбекте қазақ тілін студенттерге тыңдалым үрдісі арқылы үйретудің ғылыми-әдістемелік негіздері тұжырымдалып, қазақ тілін үйретудегі тыңдалым үрдісінің басты ерекшеліктері анықталып, тыңдалымды игерудің тиімді жолдары ұсынылады</t>
  </si>
  <si>
    <t>0002758</t>
  </si>
  <si>
    <t>978-601-310-642-1</t>
  </si>
  <si>
    <t>Жубакова С.С.</t>
  </si>
  <si>
    <t>Воспитание политической культуры старшеклассников</t>
  </si>
  <si>
    <t>В данном учебном пособии раскрываются научно-теоретические и методические аспекты воспитания политической культуры старшеклассников в современных условиях. Рекомендовано для преподавателей вузов, учителей, докторантов, магистрантов, студентов</t>
  </si>
  <si>
    <t>0002759</t>
  </si>
  <si>
    <t>Теория и практика инклюзивного образования</t>
  </si>
  <si>
    <t>В учебном пособии раскрываются теоретико-методологические и методические основы реализации инклюзивного образования, а также особенности организации социально-педагогической работы в образовательном учреждении, раскрываются важные профессиональные компетенции педагогических работников. Учебное пособие предназначено для специалистов воспитательных и образовательных учреждений — педагогов, психологов, логопедов и дефектологов, а также студентов, магистрантов, докторантов, преподавателей педагогических вузов</t>
  </si>
  <si>
    <t>0002760</t>
  </si>
  <si>
    <t>Жубакова С.С., Байменова Б.С.</t>
  </si>
  <si>
    <t>Инклюзивное образование</t>
  </si>
  <si>
    <t>В учебно-методическом пособии раскрываются исторические тенденции развития инклюзивного образования в мире и Казахстане, сущность и способы реализации педагогики инклюзии, особенности социально-педагогической деятельности в условиях инклюзивного образования.Учебно-методическое пособие предназначено для специалистов воспитательных и образовательных учреждений — педагогов, психологов, логопедов и дефектологов, а также студентов, магистрантов, докторантов, преподавателей педагогических вузов</t>
  </si>
  <si>
    <t>0002762</t>
  </si>
  <si>
    <t>Жубатырова Б.Т.</t>
  </si>
  <si>
    <t>История дошкольной педагогики</t>
  </si>
  <si>
    <t>Учебно-методическое пособие «История дошкольной педагогики» для специальности 5В010100-«Дошкольное обучение и воспитание» - имеет ярко выраженную профессиональную направленность. В данном учебно-методическом пособии рассмотрены проблемы формирования дошкольной педагогики как науки, раскрываются различные научные точки зрения, включены контрольные вопросы и задания для самопроверки, необходимые для подготовки и становления, будущих педагогов. Учебно-методическое пособие предназначено для студентов специальности 5В010100–«Дошкольное обучение и воспитание» и педагогов дошкольной организации.</t>
  </si>
  <si>
    <t>0002763</t>
  </si>
  <si>
    <t>Психолого-педагогические основы игры. Ойынның педагогикалық-психологиялық негіздері</t>
  </si>
  <si>
    <t>Данный курс лекции рассматривается проблемы развития и воспитания детей дошкольного возраста посредством основного вида деятельности. Целью издания является анализ изучения психолого-педагогических основ игры дошкольников, раскрытие сущности детских игр, обучение методам руководства игровой деятельности детей дошкольного возраста. Раскрываются различные научные точки зрения ученых. Преимуществом курса является то, что он предлагается на двух языках, взаимодополняющих друг друга. Курс лекции предназначен для обучающихся по специальности «Дошкольное обучение и воспитание» и работников дошкольного образования.</t>
  </si>
  <si>
    <t>0002769</t>
  </si>
  <si>
    <t>Жумабаева З.Е.</t>
  </si>
  <si>
    <t>Кәсіби қазақ тілі. (Құқықтану мамандықтарына арналған). 2-басылым</t>
  </si>
  <si>
    <t>казахский язык</t>
  </si>
  <si>
    <t>Бұл оқулық құқықтану мамандықтарына қазақ тілі пәнін кәсіби деңгейде оқытуға арналған. Оқулықпен жұмыс жүргізуді жеңілдету үшін оқу материалдары арнайы жүйемен жіктелген. Бірінші арнайы жинақталған құқықтану кәсіп саласына қатысты мәтіндер енгізіліп, оларды оқуға дидактикалық тұрғыдан жағдай жасалған, кәсіби лексикамен жабдықталған тапсырмалар жиынтығы, арнайы кәсіби мәліметтер, мамандық тілін меңгеруге ықпалын тигізетін оқу материалдары бар. Оқулық құрамында сұхбат үлгілері ұсынылған, қазақ тілінің теориялық материалдары қазақ тілін қайталауға арналған дидактикалық үлгілер берілген.</t>
  </si>
  <si>
    <t>0002770</t>
  </si>
  <si>
    <t>Жумабаева З.Е., Калимова А.Д.</t>
  </si>
  <si>
    <t>Педагогические основы игры</t>
  </si>
  <si>
    <t>Предлагаемое учебное пособие состоит из шести учебных ресурсов, которые включают в свое содержание теоретический и практический учебные материалы, тестовые задания для самоконтороля и самостоятельной работы. Пособие может использоваться в педагогическом процессе вуза при подготовке будущих педагогов и воспитателей детских садов; учителей начальных классов. Данное учебное пособие предназначено для студентов специальностей 5В010100 - «Дошкольное обучение и воспитание», 5В010200 - «Педагогика и методика начального обучения», учителей начальных классов, педагогов и воспитателей детских садов, а также может быть использовано организаторами детского досуга, педагогами-организаторами, сфера деятельности которых связана с вопросами игры и практикой применения игры в образовательных и воспитательных целях.</t>
  </si>
  <si>
    <t>0002772</t>
  </si>
  <si>
    <t>Жумабеков М.К., Бодеев М.Т.</t>
  </si>
  <si>
    <t>Спорт журналистикасы</t>
  </si>
  <si>
    <t>Оқу-әдістемелік құралында Қазақстандағы спорт журналистикасының жүйесі мен спорттық бұқаралық ақпарат құралдарының даму тарихы қарастырылған. Барлық мамандандырылған спорттық басылымдарға жан-жақты сипаттама беріліп, арнайы спорттық басылымдардың қарастыратын тақырыптары, мәселелері, тілдік ерекшеліктері мен кадрлық әлеуеті қарастырылған. Сонымен қатар Қазақстанда спорт журналистикасының даму басымдылықтары анықталған. 
 Оқу-әдістемелік құралы журналистика мамандығында оқитын студенттерге, спорт журналистикасы саласында қызмет ететін мамандарға арналған.</t>
  </si>
  <si>
    <t>0002773</t>
  </si>
  <si>
    <t>Жумабеков М.У.</t>
  </si>
  <si>
    <t>Жаңа кезеңдегі ағылшын-балтық елдері қатынастарының тарихы</t>
  </si>
  <si>
    <t>Оқу құралында тарихи деректерге және зерттеулерге сүйене отырып, Англиядағы капиталистік қатынастардың даму генезисі мен Балтық жағалауы елдері және Англия арасындағы сауда-экономикалық, дипломатиялық қатынастардың дамуының алғышарттары, барысы, нәтижелері қарастырылады. 
 Оқу құралы 5В050200 – «Саясаттану», 5В020300 – «Тарих», 5В020200 – «Халықаралық қатынастар» мамандықтарының студенттері үшін.</t>
  </si>
  <si>
    <t>0002774</t>
  </si>
  <si>
    <t>Жумабекова Б.К.</t>
  </si>
  <si>
    <t>Кәсіби бағытталған шетел тілі (неміс тілі)</t>
  </si>
  <si>
    <t>0002775</t>
  </si>
  <si>
    <t>Коммуникативно-прагматические аспекты категории побудительности на материале казахского и немецкого языков</t>
  </si>
  <si>
    <t>0002776</t>
  </si>
  <si>
    <t>Жумабекова Б.К., Мостовая М.Н.</t>
  </si>
  <si>
    <t>Профессионально-ориентированный язык (немецкий язык)</t>
  </si>
  <si>
    <t>0002777</t>
  </si>
  <si>
    <t>Жумабекова Ф.Н.</t>
  </si>
  <si>
    <t>Педагогикалық мамандыққа кіріспе (Жоғары оқу орындарына арналған оқулық)</t>
  </si>
  <si>
    <t>0002778</t>
  </si>
  <si>
    <t>Жумагулов А.Б.</t>
  </si>
  <si>
    <t>Қазақ әдебиетін дәуірлеу тарихы</t>
  </si>
  <si>
    <t>«Қазақ әдебиетін дәуірлеу тарихы» монографиясында ұлттық әдебиеттанудағы қазақ әдебиетінің тарихын дәуірлеудің бір ғасырға жуық ғылыми тәжірибелері талданып, дәуірлеудің геторогенді, автогенді, хронологиялық принциптерінің ғылыми және әдіснамалық негіздері қарастырылады. Сөз өнерін дәстүр және жалғастық арнасының тарихи сабақтастығы тұрғысынан дәуірлеудің отандық әдебиеттанудағы ғылыми тәжірибелері талданады.
 Монография университеттің филология факультеті студенттеріне, магистранттарына, әдебиетші мамандарға арналған.</t>
  </si>
  <si>
    <t>0002783</t>
  </si>
  <si>
    <t>Жумагулова С.К.</t>
  </si>
  <si>
    <t>Ақпараттық қауіпсіздік және ақпаратты қорғау</t>
  </si>
  <si>
    <t>0002789</t>
  </si>
  <si>
    <t>Жумадина Ш. М.</t>
  </si>
  <si>
    <t>Данное учебное пособие рекомендуется для студентов специальности 5В060700 – Биология, студентов и магистрантов естественнонаучных специальностей высших учебных заведений. Учебное пособие направлено на усвоение теоретического материала, овладение приемами физиологических экспериментальных исследований и применения их на практике</t>
  </si>
  <si>
    <t>0002790</t>
  </si>
  <si>
    <t>Жумадина Ш.М.</t>
  </si>
  <si>
    <t>Адам және жануарлар физиологиясы</t>
  </si>
  <si>
    <t>Адам және жануарлар физиология курсының оқу құралы биологиялық мамандықтар бойынша білім алатын студенттерге арналған. Сонымен қатар бұл, магистранттарға, оқытушыларға, лаборанттарға да көмекші құрал ретінде ұсынылады. Бұл әдістеме студенттердің зертханалық-тәжірибелік жұмыстарды өздігінен немесе оқытушының көмегімен жүргізуіне мүмкіндік береді. Әдістемені пайдалана отырып студенттер сабақтың және жасалатын тәжірибенің жоспарымен алдын-ала таныса алады. Олардың көпшілігі студенттердің ойлау қабілеті мен зерттеушілік машықты дамыту бағытында құрастырылған</t>
  </si>
  <si>
    <t>0002791</t>
  </si>
  <si>
    <t>Жумадина Ш.М., Рахметова А.М.</t>
  </si>
  <si>
    <t>Замануи биологияның мәселелері</t>
  </si>
  <si>
    <t>Оқу құралы биологияның қазіргі мәселелерін ескереді. Заманауи хронобиологиялық мәселелері, адамдардың пайда болуы мен нәсілдерінің мәселелері, қазіргі генетика мен микробиологияның модельдік объектілері, адамдардың мінез-құлығының биоәлеуметтік негіздері, аурулармен күрестері, өмірді ұзарту және т.б. туралы мәліметтері берілген.
 Оқу құралы университеттердің докторанттары мен магистранттарына, оқытушыларға, биология, медицина мамандарына, басқа да ғылым және білімге құштар оқырмандарға арналған.</t>
  </si>
  <si>
    <t>0002792</t>
  </si>
  <si>
    <t>Жумакаева Б.Д.</t>
  </si>
  <si>
    <t>0002794</t>
  </si>
  <si>
    <t>Жуманбекова Н.З., Исыпова Н.В.</t>
  </si>
  <si>
    <t>Вводно-фонетический курс немецкого языка (для студентов специальности 5В011923 «Иностранный язык: два иностранных языка»)</t>
  </si>
  <si>
    <t>В учебном пособии представлен курс лекций по фонетике немецкого языка для студентов 1 курса специальности 5В011923 «Иностранный язык: два иностранных языка», к ним прилагаются практические задания</t>
  </si>
  <si>
    <t>0002795</t>
  </si>
  <si>
    <t>Жуматаева Е.</t>
  </si>
  <si>
    <t>Ғабит Мүсіреповтің шеберлігі</t>
  </si>
  <si>
    <t>0002796</t>
  </si>
  <si>
    <t>Жоғары мектеп дидактикасы</t>
  </si>
  <si>
    <t>«Жоғары мектеп дидактикасы» оқу құралында «дидактика» түсінігі жан-жақты талданып берілген. Педагогиканың бір саласы ретінде дидактиканың даму генезисі зерттеліп, тарихи деректер мен мағлұматтар жинақталған. Сонымен бірге дидактиканың методологиялық, философиялық негіздері ашылған. Оқу құралында әдіснамалық жүйе жинақталып, оның маңыздылығы сұрыпталған. Студенттердің парасаттау мүмкіндігін жоғары деңгейге ұмтылдыратын жүйе түзілген. Студенттердің ішкі интеллектуалды әлеуетін дамыту амалдары ұсынылған. Нақтылап айтсақ, жоғары мектепте студенттердің танымдық деңгейліктерге жіктей білу технологиясы, жоғары білімді студенттердің өздігінен дамытудың педагогикалық негіздері, біліктілікті ғылыми тұрғыда дамытудың ұштастықта келуінің моделі, эвристикалық, проблемалық, модульдік технологиялардың интеграциясы сияқты инновациялық тұрғыдағы ұстанымдары еңбектің ең құнды тұсы.</t>
  </si>
  <si>
    <t>0002797</t>
  </si>
  <si>
    <t>Жоғары мектепте әдебиетті білімденудің инновациялық технологияларымен оқыту</t>
  </si>
  <si>
    <t>0002798</t>
  </si>
  <si>
    <t>Жоғары мектепте оқытудың біртұтас дидактикалық жүйесінің теориясы</t>
  </si>
  <si>
    <t>Оқу құралында жоғары оқу орнында жүргізілетін гуманитарлық бағыттағы ғылым негіздерінің дидактикалық біртұтас құрылым-жүйесінің тарихы мен бүгінгісі және постиндустриалды Қазақстан Республикасының алыс болашағының моделі жайлы жаңаша пайым-тұжырым беріледі. Қазақстан, Ресей, Шығыс, Батыс елдеріндегі зерттелімдердің нәтижесін нысанада ұстау жайылы сындарлы ой-түйін жасалады.
 Әсіресе, политехникалық бағыттағы жоғары мектептің дидактикасын зерттеген ғалымдарға, атап айтсақ, педагогика ғылымдарының докторы, профессор А. Е.Әбілқасымованың ғылыми тұжырымдарына толық талдау түйінделеді. Автор біртұтас дидактикалық жүйесінің теориясын оқырман назарына ұсынады.</t>
  </si>
  <si>
    <t>0002799</t>
  </si>
  <si>
    <t>Мемлекеттің «мәңгілік ұлт» саясатын жүзеге асыруда қазақ тілін эко-номика мамандықтарына ие болатын студенттердің меңгеруінің маңызы зор.Тіл меңгерудің өнерін қамту сөйлесім іс-әрекеттің белгілі бір бағытқа бағдарлануымен жүзеге асырылады.Бұл орайда тілдік орта туғызудың амалдары қарастырылады. Бұл оқу құралында қазақ тілін мамандыққа қатысты меңгерудің әдіснамасы әрі тілдік категориямен, әрі экономика саласындағы білуге тиісті біліктілік тұрғысында құрастырылды.Фонетика, лексика, морфология, синтаксис бұрындары үзік-үзік оқылып келсе, бұл еңбекте оның біртұтас жүйелі жиынтық (матрица) ретінде ұсынылып отыр. Сол секілді тіл меңгерудің бірінші сатысындағылар үшін - мәтіндеме мамандықтың ерекшелігін ескеру тұрғысында зерделенді.</t>
  </si>
  <si>
    <t>0002800</t>
  </si>
  <si>
    <t>Қазақстан майдангер жазушыларының шығармалары арқылы оқушыларға патриоттық тәрбие беру</t>
  </si>
  <si>
    <t>0002802</t>
  </si>
  <si>
    <t>Орындаушылық өнер</t>
  </si>
  <si>
    <t>0002803</t>
  </si>
  <si>
    <t>Основы современной дидактики</t>
  </si>
  <si>
    <t>0002804</t>
  </si>
  <si>
    <t>Этнопедагогика народов Республики Казахстан: факторы развития и перспективы</t>
  </si>
  <si>
    <t>0002809</t>
  </si>
  <si>
    <t>Жумашев /Zh.Zh. Zhumashev. G.B.Kossaliyeva. S.N.Sarymbekova.</t>
  </si>
  <si>
    <t>BIOCHEMISTRY OF CARBOHYDRATES AND LIPIDS</t>
  </si>
  <si>
    <t>Educational-methodological manual on biochemistry of animals</t>
  </si>
  <si>
    <t>The educational-methodical manual on biochemistry of animals is devoted to the chemicalnature, structural features, properties of the carbohydrates and lipids their role in life. The base attention are given on the biochemicalrole of carbohydrates and lipids as the most important biochemical components, whichknowledge will help Students, Magistrs, Ph- doctorats and all to another, wishing more to understand and acquire deep biochemical processes of carbohydrates and lipids metabolism and use them in practical work and improve their health</t>
  </si>
  <si>
    <t>0002810</t>
  </si>
  <si>
    <t>Жумашев Ж.Ж., Камбаров А.А.</t>
  </si>
  <si>
    <t>Биохимия иммуноглобулинов сельскохозяйственных животных</t>
  </si>
  <si>
    <t>0002811</t>
  </si>
  <si>
    <t>Жунисбеков С., Үркімбаев М., Жашен С.</t>
  </si>
  <si>
    <t>Машина бөлшектері</t>
  </si>
  <si>
    <t>Механика. Сельскохоз</t>
  </si>
  <si>
    <t>Бұл машина жасау жөніндегі советтік және шетелдік ғылым мен тәжірибеге сүйене отырып, белгілі бір жүйе бойынша жазылған. Мұнда негізінен халық шаруашылығының барлық салаларында қолданылатын машиналар мен қондырғылардың бөлшектері жайлы егжей-тегжей айтылады.Жоғарғы оқу орындарының студенттеріне арналған</t>
  </si>
  <si>
    <t>0002812</t>
  </si>
  <si>
    <t>Жунисбекова /Zhunisbekova D.</t>
  </si>
  <si>
    <t>Mathematics. Conspectus of lecture</t>
  </si>
  <si>
    <t>Conspectus of lectures is written according to the requirements of curriculum and the program of discipline “Mathematics” for students of the 1st course of specialty 5В070100 – Biotechnology. Conspectus of lectures is designated for students of technical specialties studying the course “Mathematics”, “Higher mathematics”, “Algebra and geometry”, “Mathematical analysis”, “Probability theory and Mathematical statistics” in English. It can be used for preparation to the lectures, as well as for independent work and practicum.</t>
  </si>
  <si>
    <t>0002813</t>
  </si>
  <si>
    <t>Жунисбекова /Zhunisbekova D.A., Dzhumagalieva A.I./</t>
  </si>
  <si>
    <t>Methodical guide for practicum on the discipline “Mathematics 3»</t>
  </si>
  <si>
    <t>Математика,Радиотехника, электроника и коммуникации</t>
  </si>
  <si>
    <t>The methodical guide is written according to the requirements of curriculum and the program of discipline “Mathematics 3” for students of the 2nd course of specialties 5B071800 – Electro electronics, 5В071900 - Radio technique, electronics and communications. The methodical guide is designated for students studying the course “Mathematics 3” in English. The methodical guide can be used for preparation to the practicum, as well as for independent work of students.</t>
  </si>
  <si>
    <t>0002814</t>
  </si>
  <si>
    <t>Жунисбекова Д. Дулатов С.Р. /Zhunisbekova D.A. Dulatov S.R.</t>
  </si>
  <si>
    <t>Mathematical analysis (Differential equations)</t>
  </si>
  <si>
    <t>This book is written according to the requirements of curriculum and typical programs of all technical specialties on “Mathematics” and “Mathematical analysis” disciplines.This book is designated for students studying the course “Mathematics” and “Mathematical analysis” in English. It can be used for preparation to the lectures, as well as for independent work and practicum</t>
  </si>
  <si>
    <t>0002815</t>
  </si>
  <si>
    <t>Жунисбекова Д., Аширбаев Х., Тажибекова Т., Дулатов С.</t>
  </si>
  <si>
    <t>Математика 1</t>
  </si>
  <si>
    <t>конспект лекций</t>
  </si>
  <si>
    <t>Настоящий курс лекций составлен в соответствии с требованиями учебного плана и программой дисциплины «Математика 1» специальностей 5B071900 – Радиотехника, электроника и телекоммуникации, 5В070200 – Автоматизация и управление, включает весь лекционный, а также практический материал программы и предназначен для преподавателей и студентов данных специальностей. 
 Овладение основными понятиями, основными формулами и способами их применения при решении практических задач курса «Математика 1» призван данный конспект лекций, который рекомендуется использовать в учебном процессе.</t>
  </si>
  <si>
    <t>0002821</t>
  </si>
  <si>
    <t>Жунисбекова Д.А. /Zhunisbekova D.A.</t>
  </si>
  <si>
    <t>Linear algebra</t>
  </si>
  <si>
    <t>This book is written according to the requirements of curriculum and typical programs of all technical specialties on Math discipline. This book is designated for students studying the course “Mathematics”, “Higher Mathematics”, and “Linear Algebra and Analytic Geometry” in English. It can be used for preparation to the lectures, as well as for independent work and practicum</t>
  </si>
  <si>
    <t>0002822</t>
  </si>
  <si>
    <t>Жунисбекова Д.А. /Zhunisbekova D.A./</t>
  </si>
  <si>
    <t>Conspectus of lectures on the discipline «Mathematics 3»</t>
  </si>
  <si>
    <t>Conspectus of lectures is written according to the requirements of curriculum and the program of discipline “Mathematics 3” for students of the 2nd course of specialties 5В071800 – Electro energetic, 5В071900 - Radio technique, electronics and communications.
 Conspectus of lectures is designated for students studying the course “Mathematics 3” in English. It can be used for preparation to the lectures, as well as for independent work and practicum.</t>
  </si>
  <si>
    <t>0002823</t>
  </si>
  <si>
    <t>Methodical guide for individual work of students on the discipline “Mathematics 3”</t>
  </si>
  <si>
    <t>The methodical guide is written according to the requirements of curriculum and the program of discipline “Mathematics 3” for students of the 2nd course of specialties 5В071800 – Electro energetic, 5В071900 - Radio technique, electronics and communications.The methodical guide is designated for students studying the course “Mathematics 3” in English. The methodical guide can be used for preparation to independent work, as well as for practicum. The methodical guide is discussed and recommended for publication by the meeting of HM department (protocol №3 as of 08.10.2015) and committee on innovation technologies and methodical software of the higher school “Textile and Food Engineering” (protocol №3 as of 26.10.2015)</t>
  </si>
  <si>
    <t>0002825</t>
  </si>
  <si>
    <t>Жунисбекова Д.А., Аширбаев Х.А.</t>
  </si>
  <si>
    <t>Алгебра и геометрия. Конспект лекций</t>
  </si>
  <si>
    <t>0002832</t>
  </si>
  <si>
    <t>Жунусов А. А.</t>
  </si>
  <si>
    <t>Құрылымдық геология</t>
  </si>
  <si>
    <t>Окулықта жер қыртысындағы шөгінді, магмалық, метаморфтық таужыныстардың жатыс пішіндері,үзіліп - ауысқан қабаттар, қатпарлар мен жарылысты бұзылыстар, қатпарлы зоналар, платформалар мен шеткі ойыстар кұрылымдары қарастырылған. Геологиялық карталар, олардың номенклатурасы жайлы мағлұматтар баяндалған. Оқулық көлеміндегі колданылған арнайы терминдердің глоссарийлері мен қазіргі күндегі қолданыстағы қазақша атаулары берілген.
 Оқулық геологиялық мамандықтарды меңгеруге талпынған студенттерге, магистранттарға, еңбек жолдарын жаңа бастаған геолог-практиктерге ұсынылады.</t>
  </si>
  <si>
    <t>0002838</t>
  </si>
  <si>
    <t>Журавлева Е. А.</t>
  </si>
  <si>
    <t>Концептосфера русского языка в полиэтничном обществе Казахстана</t>
  </si>
  <si>
    <t>Учебное пособие посвящено разработке проблемы формирования концептосферы полиэтничного общества. В контексте современной научной парадигмы даны представления о вариативности лексической системы и полинациональном характере русского языка, представлена модель концептосферы поликультурного социума, выявлены ее содержательные соствляющие, определены взаимосвязи семантического, семиотического и концептуального пространств в рамках взаимодействия культур, выделена роль этнокультурных концептов как важнейших элементов концептосферы. В качестве иллюстративного материала привлекаются данные СМИ Казахстана на русском языке.
 Пособие предназначено для студентов, магистрантов и преподавателей филологических факультетов высших учебных заведений, а также всех интересующихся проблемами когнитивной лингвистики и варьирования национальных языков.</t>
  </si>
  <si>
    <t>0002841</t>
  </si>
  <si>
    <t>Журавлева Е.А.</t>
  </si>
  <si>
    <t>Словарь аббревиатур по СМИ Казахстана</t>
  </si>
  <si>
    <t>0002842</t>
  </si>
  <si>
    <t>Журавлева Е.А., Асмагамбетова Б.М., Ташимханова Д.С., Яворская Э.Э., Тё М.В., Ешекенева А.К.</t>
  </si>
  <si>
    <t>Настоящее учебное пособие является основополагающим в научно-профессиональной подготовке студентов казахских отделений вузов, имеющих достаточно высокую подготовку в области практического овладения русским языком. Содержание учебного пособия отвечает целям и задачам обучения русскому языку как средству научной деятельности. Пособие состоит из двух взаимодополняющих частей: 1) практические занятия, включающие теоретический материал, комплекс закрепляющих упражнений и задания для самостоятельной работы; 2) приложение, содержащее тексты, задания, тесты по темам занятий, темы рефератов, глоссарий, словарь переводной, сокращения по специальностям, справочную литературу. Все материалы приложения направлены на совершенствование навыков профессионально-ориентированного общения по профилю конкретной специальности: физико-математического, физико-технического, информационно-технического, социально-гуманитарного и общественно-политического направлений. Учебное пособие предназначено для преподавателей и студентов высших учебных заведений Республики Казахстан.</t>
  </si>
  <si>
    <t>0002852</t>
  </si>
  <si>
    <t>Жусупова Л.К.</t>
  </si>
  <si>
    <t>История Казахстана в тюркских источниках</t>
  </si>
  <si>
    <t>Книга посвящена рукописным фондам Казахстана. В их числе такие знаменитые и признанные авторы и составители письменных источников и архивных материалов, как Утемиш Хаджи, Абу-л-Гази Бахадур-хан, Кадыргали Жалайири, Мухаммад Хайдар Дулати, Машхур Жусип Копеев, Шакарим Кудайбердиев, Курбангали Халиди и др. Поэтому имеются все основания полагать, что в действительности устная историческая традиция по истории Казахского ханства в XV–XVIII вв. была зафиксирована и в письменной форме.</t>
  </si>
  <si>
    <t>0002853</t>
  </si>
  <si>
    <t>Мәшһүр Жүсіп Көпейұлы - энциклопедист</t>
  </si>
  <si>
    <t>Монография қазақ елінің ғұлама ғалымы, энциклопедист Мәшһүр Жүсіп Көпейұлына арналған.Мұнда ғалымның өмірі мен заманы туралы мәліметтер, оның көзін тірісінде жарияланғын еңбектері мен кейінен жарыққа шыққан шығармалары және ол туралы зерттеулер мен пікірлер берілген. Оқу құралы Мәшһүр Жүсіп Көпейұлы ғылыми тұғырнамасының деректанушылық көзқарасына тыңғылықты талдаулар ұсынады.</t>
  </si>
  <si>
    <t>0002855</t>
  </si>
  <si>
    <t>Жусупова Р.К.</t>
  </si>
  <si>
    <t>Национальная политика и межнациональные отношения в Казахстане на современном этапе</t>
  </si>
  <si>
    <t>В условиях современного Казахстана государственная национальная политика имеет большое значение в вопросе сохранения этносоциальной стабильности в силу основных причин: республика является полиэтническим, с другой – транзитным государством, в настоящее время этносоциальный вопрос является наиболее важным, влияющим на общественно-политическую, экономическую, культурную сферы республики. Изучена сущность становления и развития национальной политики Республики Казахстан в сфере межэтнических отношений, выявлены оптимальные социально-экономические и политические условия для дальнейшей эволюции демократической модели государственной национальной политики на современном этапе. Пособие рекомендовано студентам и магистрантам исторических, политологических специальностей, а также для всех кто интересуется историей национальной политики и проблемами межэтнических отношений в Казахстане.</t>
  </si>
  <si>
    <t>0002858</t>
  </si>
  <si>
    <t>Жуынтаева З.Н.</t>
  </si>
  <si>
    <t>Сөз таптарының мәтінтүзімдік cипаты</t>
  </si>
  <si>
    <t>Монографияда қазақ тіл біліміндегі сөз таптарының мәтінтүзімдік сипаты қарастырылған. Сөз таптарының, оның ішінде, есімдіктердің, шылаулардың, сан есімдер мен үстеулердің мәтін байланыстырудағы қасиеттері сөз болады. Монография филологтарға, магистранттар мен жоғары оқу орындарының студенттеріне арналған.</t>
  </si>
  <si>
    <t>0002859</t>
  </si>
  <si>
    <t>Тарихи мәтін синтаксисі</t>
  </si>
  <si>
    <t>Бұл оқу құралы жоғары орындарының филология факультетінде оқылатын “Қазақ тілінің тарихи грамматикасы” курсында оқыту, зерттеу нысаны тарихи мәтіндер деп көрсетілгенмен, шын мәнінде мәтіндердің грамматикалық сипаттары назардан тыс қалып отырады. Бұл оқу құралы осы олқылықтың орнын толтыру мақсатында жазылып отыр. 
 Оқу құралы филология факультеттерінің студенттеріне, магистранттарға және аспиранттарға арналған.</t>
  </si>
  <si>
    <t>0002861</t>
  </si>
  <si>
    <t>Жүнісбеков С. (Жунисбеков Сагат), Жақияев Д.Қ., Жүнісбеков Т.М., Мәлібеков А.Қ., Жашен С.Ж.,</t>
  </si>
  <si>
    <t>Техникалық механика пәнін игеруге және есептері мен есептеу – сызба жұмыстарын орындауға арналған</t>
  </si>
  <si>
    <t>Оқу-әдістемелік құралында су шаруашылығындағы конструкция элементтері мен машина бөлшектеріндегі жүктеулер түрін анықтап, оларды беріктікке, қатаңдыққа және орнықтылыққа есептеу тәсілдері сипатталған. Әдістемелік құралында «Техникалық механика» пәнінің негізгі бөлімдері бойынша теориялық мәліметтер, есептеу – сызба жұмыстарының бастапқы берілгендері мен жұмыстың орындалу үлгілері келтірілген. Есептердің орындалу тәсілдері мен есеп нәтижелерінің бағалануы сипатталған.</t>
  </si>
  <si>
    <t>0002862</t>
  </si>
  <si>
    <t>Жүнісбеков С. (Жунисбеков), Жашен С.Ж., Жүнісбеков Б.С.</t>
  </si>
  <si>
    <t>Уран өндіруге арналған негізгі әдістерді салыстырмалы түрде экологиялық – экономикалық талдау. Сравнительный эколого-экономический анализ основных методов добычи урана</t>
  </si>
  <si>
    <t>Бұл еңбекте, сұрыпталған нақты мәліметтерге сүйеніп, радиоэкологияның әсері туралы жалпы халыққа, қоғамдық пікірді қалыптастырушы белсенділерге, еліміздің әлеуметтік-экономикалық мәселелерін шешіп жүрген жауапты тұлғаларға қарапайым түрде объективті ақпарат беру. Қазақстан уран өнімдеріне өте бай екенін, атом энергетикасы басқа энергия көздеріне қарағанда экологиялық, экономикалық тұрғыдан тиімді екенін оқырмандарға жеткізу. Уран өндіру саласында жерасты ұңғылап шаймалау әдісі сияқты жаңа технологияларды, қауіпсіздікті қамтамасыз ететін жаңа жабдықтарды пайдаланып, кәсіби деңгейі жоғары жұмысшы, инженер кадрларын дайындап, Қазақстан шаруашылығына атом энергетикасын енгізу бүгінгі күннің талабы екенін ел алдында айта кету. Жаһанды энергетикалық дағдарыс тығырығынан шығаратын ең дұрыс және жалғыз жол - ол атом энергетикасы екенін жалпы халыққа түсіндіру. Авторский коллектив основной задачей данной работы видел в том, чтобы на основе имеющегося обширного фактического материала в упрощённом варианте представить населению республики максимально объективную информацию о проблемах радиоэкологии. Это книга адресовано тем, кто формирует общественное мнение, а особенно административным работникам, на которых лежит ответственность за принятие прекрасных решений по социально-экономическому развитию регионов. В книге обобщен материал, показывающий экономическую целесообразность, техническую и экономическую безопасность и социальную необходимость развития атомной энергетики. Сейчас большинство стран мира стремительно наращивает темпы строительства атомных электростанций. Казахстан, обладающий огромным запасом урана – самого дешёвого топлива для атомных электростанций, передовой экологически чистой технологией его добычей и квалифицированными кадрами, обязан использовать этот потенциал</t>
  </si>
  <si>
    <t>0002863</t>
  </si>
  <si>
    <t>Жүнісбеков С. /Жунисбеков, Жашен С.Ж., Жүнісбеков Б.С.</t>
  </si>
  <si>
    <t>Минералды шикізаттарды өндіру және қайта өңдеу кездеріндегі радиоэкологиялық мәселелер. Радиоэкологические проблемы добычи и переработки минерального сырья</t>
  </si>
  <si>
    <t>Бұл еңбектегі авторлар ұжымының негізгі мақсаты – республика халықтарының назарын келесі жауапты мәселелерге аудару:Адамзат үздіксіз ізденістері арқылы көптеген жаңа заттарды, сонымен қатар жаңа техногенді радионуклидтерді тапқаны бәрімізге мәлім. Бұл жетістіктер адам баласының алдына радиациялық қауіптің табиғатын терең зерттеуді, қоршаған ортадағы оның деңгейін күнделікті өлшеп, талдап отыру міндеттерін жүктейді; Ең бастысы радиоактивтілікті сауатты түрде сараптап, радиоактивті материалдардан адамзат үшін экологиялық және экономикалық тұрғыдан өте тиімді арзан атом энергиясын алып халық игілігіне пайдалану. Сондықтан жаңа технологияны қолдану арқылы жаңа өндіріс орындарын ашқан кезде, осы қос фактор сол өндірістердің тағдырын анықтайтын шешуші көрсеткіштері болып қалыптасуы керек. Жалпы, халық өндірістердің адамзатқа әкелетін пайдаларымен қатар олардың қоршаған ортаға тигізетін әсерлері туралы толық ақпараттар алып тұруға құқылы</t>
  </si>
  <si>
    <t>0002864</t>
  </si>
  <si>
    <t>Жүнісбеков С. /Жунисбеков/, Джакияев Д.Қ.</t>
  </si>
  <si>
    <t>Серпімділік, пластикалық, жылжу теорияларының негіздері</t>
  </si>
  <si>
    <t>Кітапта құрылыс, машина жасау, жобалау кездерінде кеңінен пайдаланылатын серпінділік, пластикалық және жылжу деформация теорияларының негізгі теңдеулері беріледі де, сол теңдеулер арқылы тұрмыста жиі кездесетін, әр түрлі құрылыс элементтерінің, машина бөлшектерінің беріктігін, қатаңдығын, және орнықтылығын теориялық жолмен есептеу, зерттеу, жобалау әдістері қысқа түрде қарастырылады.Бұл ғылыми еңбек техникалық жоғары оқу орындарындарының білімгерлеріне, ұстаздарына және машина жасау, құрылыс салаларында жұмыс істейтін инженерлер мен ғылыми ізденісте жүрген қызметкерлерге арналады</t>
  </si>
  <si>
    <t>0002865</t>
  </si>
  <si>
    <t>каз/рус/англ</t>
  </si>
  <si>
    <t>Жүнісбеков С.(Жунисбеков Сагат), Жақияев Д.Қ., Жашен С.Ж.,</t>
  </si>
  <si>
    <t>Серпімділік теориясының негіздері. Основы теории упругости. Fundam.of the theory of elas.</t>
  </si>
  <si>
    <t>Кітапта құрылыс, машина жасау, жобалау кездерінде кеңінен пайдаланылатын серпімділік теорияларының негізгі теңдеулері беріледі де, сол теңдеулер арқылы тұрмыста жиі кездесетін, әр түрлі құрылыс элементтерінің, машина бөлшектерінің беріктігін, қатаңдығын, және орнықтылығын теориялық жолмен есептеу, зерттеу, жобалау әдістері қысқа түрде қарастырылады.
 Бұл ғылыми еңбек техникалық жоғары оқу орындарындарының білімгерлеріне, ұстаздарына және машина жасау, құрылыс салаларында жұмыс істейтін инженерлер мен ғылыми ізденісте жүрген қызметкерлерге арналады.
 В учебном пособии выведены основные уравнения теории упругости, которые широко применяются при расчетах элементов конструкций, деталей машин, строительных материалов и др. на прочность, на жесткость и на устойчивость.
 Учебное пособие предназначено для студентов высших технических учебных заведений, обучающихся по специальностям: механика, машиностроение, строительство, горное дело и другие.
 А также данное учебное пособие полезно для молодых преподавателей технических вузов, начинающих научных работников в области механики, машиностроения и строительства.</t>
  </si>
  <si>
    <t>0002866</t>
  </si>
  <si>
    <t>Минералды шикізаттарды өндіру және қайта өңдеу кездеріндегі радиоэкологиялық мәселелер. Радиоэкологические проблемы добычи и переработки минерального сырья. Radioecological issues of mineral resources mining and processing</t>
  </si>
  <si>
    <t>Бұл еңбектегі авторлар ұжымының негізгі мақсаты – республика халықтарының назарын келесі жауапты мәселелерге аудару:
 Адамзат үздіксіз ізденістері арқылы көптеген жаңа заттарды, сонымен қатар жаңа техногенді радионуклидтерді тапқаны бәрімізге мәлім. Бұл жетістіктер адам баласының алдына радиациялық қауіптің табиғатын терең зерттеуді, қоршаған ортадағы оның деңгейін күнделікті өлшеп, талдап отыру міндеттерін жүктейді. Ең бастысы радиоактивтілікті сауатты түрде сараптап, радиоактивті материалдардан адамзат үшін экологиялық және экономикалық тұрғыдан өте тиімді арзан атом энергиясын алып халық игілігіне пайдалану. 
  Сондықтан жаңа технологияны қолдану арқылы жаңа өндіріс орындарын ашқан кезде, осы қос фактор сол өндірістердің тағдырын анықтайтын шешуші көрсеткіштері болып қалыптасуы керек.
  Жалпы, халық өндірістердің адамзатқа әкелетін пайдаларымен қатар олардың қоршаған ортаға тигізетін әсерлері туралы толық ақпараттар алып тұруға құқылы.
 Основной задачей данной работы авторский коллектив видел в том, чтобы обратить внимание населения нашей республики на следующие важные проблемы:
 Мировое сообщество за счет своей деятельности получило заметное распространение в биосферном кругообороте не только ранее известных, но и новых, техногенных (искусственных) радионуклидов. Это поставило человечество перед необходимостью объективно оценивать природу и масштабы радиационной опасности.
 При этом уровень радиационной опасности необходимо объективно оценивать на фоне значительных выгод, которые дают результаты практи-ческого использования радиоактивности на благо человечества. Поэтому интенсивность развития любой отрасли, применяемые новые технологии должны оцениваться из разумного сочетания этих двух факторов.
 Книга адресована всем гражданам Казахстана, которые имеют право знать не только ожидаемые достижения и пользу индустриально-инновационного развития экономики, но и возможные экологические про-блемы.</t>
  </si>
  <si>
    <t>0002868</t>
  </si>
  <si>
    <t>Жүнісов А.А. (Жунусов А.А.)</t>
  </si>
  <si>
    <t>Геологиялық карта түсіру әдістері</t>
  </si>
  <si>
    <t>Оқу құралында далалық геологиялық зерттеулердің принципы, әдістері мен әр түрлі табиғи, геологиялық жағдайларда далалық карта түсірудін жолдары көрсетілген. Далалық геологиялық зерттеулердің нәтижесінде жер қыртысындағы әр түрлі құрамды (шөгінді, магмалық, метаморфты), жасты, пішінді таужыныстары мен олардың геологиялық кезеңдердегі өзгерістері айқындалады. Осыларды геологиялық әдістер көмегімен зерттеу, әр түрлі масштабты, мазмұнды карта жасақтау болашақ маманның негізгі міндеті болып табылады. Далалық материалдарды өңдеу,әрлеу,интерполяциялау мен бағалау тәртібі де көрсетілген. Мұнда геологиялық терминдердің қазақша атаулары мен тест сүрақтары берілген. Геология мамандығын меңгергісі келетін университет пен колледж студенттеріне,геологиялық түсіру жүмыстарымен айналысатын геологтарға арналған</t>
  </si>
  <si>
    <t>0002870</t>
  </si>
  <si>
    <t>Жүсіпбеков Ә., Ходжибергенов Д.</t>
  </si>
  <si>
    <t>Қатты дененің құрылысы мен қасиеті</t>
  </si>
  <si>
    <t>0002872</t>
  </si>
  <si>
    <t>Жұмабаева З. Е.</t>
  </si>
  <si>
    <t>Мұнай-газ ісі мамандарына арналған кәсіби қазақ тілі (элективтік курс оқулығы)</t>
  </si>
  <si>
    <t>Бұл оқулық мұнай-газ ісі мамандарын кәсіптендіру деңгейінде кредиттік жүйе технологиясымен оқытуға арналған. Оқу материалдары кластерлік арнайы жүйемен жіктелген. Оқулыққа мұнай-газ кәсібі сала-сына қатысты мәтіндер енгізіліп, оларды оқуға дидактикалық тұрғыдан жағдай жасалған. Кәсіби лексикамен жабдықталған тапсырмалар, арнайы кәсіби мәліметтер, мамандықты мемлекеттік тілде меңгеруге ықпалын тигізетін оқу материалдары бар. Теориялық негізгі тірек ретінде сөзжасам және лексикологияға байланысты қысқаша мәліметтер алынған. 
 Кітап жоғары оқу орындарының студенттері мен магистранттарына, колледж оқушылары мен оқытушыларына және мұнай-газ саласының мамандарына арналған.</t>
  </si>
  <si>
    <t>0002875</t>
  </si>
  <si>
    <t>Жұмағулова С.К. (Жумагулова С.К.)</t>
  </si>
  <si>
    <t>«Ақпараттық жүйелердегі мәліметтер базасы» оқу құралдың негізгі мақсаты – студенттерде мәліметтер базаларын әзірлеу мен оларды пайдалануға деген жүйелі көзқарас қалыптасыру, заманауи IT-технологиялардың құралдары арқылы ақпараттық жүйелердің ақпараттық қамтамасын құру процесіне теориялық және тәжірибелік дағдыларды бекіту, сонымен бірге мәліметтер базаларын жобалауда пәндік облысқа талдау және сараптау әдістемесін білетін мамандарды даярлау. 
 Оқу құралы ақпараттық технологиялар саласындағы техникалық мамандықтарының студенттеріне арналған, сонымен бірге «Ақпараттық жүйелердегі мәліметтер базасы» пәні бойынша қызығатын тұлғаларға пайдасы бар.</t>
  </si>
  <si>
    <t>0002877</t>
  </si>
  <si>
    <t>Жұмақаева Б.</t>
  </si>
  <si>
    <t>Қазақстан тарихы</t>
  </si>
  <si>
    <t>0002878</t>
  </si>
  <si>
    <t>Жұмасейт Қ.Б., Ерхан Е.Т.</t>
  </si>
  <si>
    <t>Павлодар облыстық теледидары: журналистика кеңістігінде</t>
  </si>
  <si>
    <t>«Павлодар облыстық теледидары: журналистика кеңістігінде» тақырыбында жазылған монографияда Павлодар студиясының алғашқы 1965 жылғы 5 қарашадағы құрылу, ашылу және қалыптасу кезеңдері мен теледидардың кешегі және бүгінгі дәстүр қабысуы, журналистердің, режиссерлердің, дыбыс режиссерлері мен операторлардың, тұтас айтқанда, шығармашылық ұжымының ізденіс жолдарындағы қиындықтары, олардан шығу барысындағы дербес те, ұжымдық ұтымды ұйғарымдары сарапталды. 
 Жергілікті студияның хабарлар таратудағы тәжірибе жинақтауы және оларды теориямен үйлестіруі, әр ақпараттың көрнекілік, деректілік, оқиғаларды талдау, кейіпкерлердің пікірлер алмасу деңгейлерін көтеру мен табиғи бейнелеуші элементтерді қолданудағы журналистика әдістемелерін қолдануы зерделенді</t>
  </si>
  <si>
    <t>0002881</t>
  </si>
  <si>
    <t>Жылқыбекұлы Бекқожа</t>
  </si>
  <si>
    <t>Өлең өлшемдері</t>
  </si>
  <si>
    <t>0002882</t>
  </si>
  <si>
    <t>Өлеңнің құпиясы</t>
  </si>
  <si>
    <t>0002891</t>
  </si>
  <si>
    <t>Забирова А.Т.</t>
  </si>
  <si>
    <t>Қолданбалы әлеуметтану</t>
  </si>
  <si>
    <t>Оқу құралы Қазақстан Республикасының жалпыға бірдей міндетті мемлекеттік стандарты ескеріле отырып, әлеуметтануды оқытудың авторлық тәжірибесі негізінде жазылған және әлеуметтану ғылымының негізгі ұғымдары мен санаттарын, әлеуметтанудағы жаңа бағыттар мен парадигмаларды, сондай-ақ әлеуметтануда деректерді жинау мен оларға талдау жасаудың әдістерін қамтиды. Оқу құралы қазақстандық практикаға сүйене отырып жазылған, қоғамның құрылымындағы және дін мен мәдениет сияқты әлеуметтік институттардағы өзгерістер, сондай-ақ қазіргі заманғы Қазақстан үшін аса маңызды урбанизация және көші-қон сияқты процестер қарастырылады. Автордың зерттеушілік тәжірибесі мен нақты әлеуметтанулық материалдары негізінде әлеуметтануда эмпирикалық ақпаратты жинаудың жаңа әдістері, әлеуметтанулық зерттеудің дизайнын құрастырудың ерекшеліктері ұсынылып отыр. 
 Оқу құралы жоғары оқу орындарының «әлеуметтану», «әлеуметтік жұмыс», «саясаттану», «дінтану» және «тарих» мамандықтары бойынша оқитын студенттеріне арналған. Автор оқу құралы бойынша айтылған оқытушылар мен студенттердің пікірлері мен ескертпелерін ризашылық сезіммен қабылдайды.</t>
  </si>
  <si>
    <t>0002892</t>
  </si>
  <si>
    <t>Практическая социология</t>
  </si>
  <si>
    <t>Учебное пособие написано с учетом государственного общеобязательного стандарта РК, на основе авторского опыта преподавания социологии и охватывает основные понятия и категории социологической науки, новые направления и парадигмы в социологии, а также методы сбора и анализа данных в социологии. Учебное пособие написано с опорой на казахстанскую практику, рассматриваются изменения в социальной структуре общества и в таких социальных институтах как религия и культура, а также такие важнейшие процессы для современного Казахстана как урбанизация и миграция. На основе исследовательского опыта ав-тора, на материалах конкретных социологических исследований представлены новые методы сбора эмпирической информации в социологии, особенности кон-струирования дизайна социологического исследования. 
 Пособие предназначено для студентов высших учебных заведений специаль-ностей «социология», «социальная работа», «политология», «религиоведение» и «история».</t>
  </si>
  <si>
    <t>0002894</t>
  </si>
  <si>
    <t>Завалко Александр Григорьевич</t>
  </si>
  <si>
    <t>Технологическое оборудование для технического обслуживания автомобилей</t>
  </si>
  <si>
    <t>В учебно-методическом пособии рассмотрена классификация, технические характеристики и конструктивные особенности специализированного тех-нологического оборудования для технического обслуживания автомобилей. Освещены вопросы безопасности и обеспечения эффективного использования специализированного технологического оборудования на станциях технического обслуживания автомобилей. Большое внимание уделено методике проекти-рования и расчету основных элементов конструкции. Пособие предназначено для подготовки бакалавров по специальности 5B071300 "Транспорт, транс-портная техника и технологии", а также для подготовки и повышения квалифи-кации специалистов автомобильного транспорта.</t>
  </si>
  <si>
    <t>0002895</t>
  </si>
  <si>
    <t>Завалко Н.А., Сахариева С.Г.</t>
  </si>
  <si>
    <t>В учебнике представлен материал по четырем крупным блокам: общие подхо-ды к использованию современных педагогических технологий; содержание ве-дущих технологий обучения, воспитания и управления образованием. Проана-лизированы достоинства и недостатки каждой технологии, охарактеризованы педагогические условия использования современных технологий в образова-тельном процессе вуза и школы. Изложение теоретического материала в учеб-нике сопровождается заданиями репродуктивного и творческого характера, что позволяет применять учебник для самообразования и самоконтроля. Глоссарий и приложения, размещенные в учебнике позволяют детализировать представ-ления об изучаемом явлении. Книга адресована студентам, магистрантам, пе-дагогам школ и преподавателям вузов.</t>
  </si>
  <si>
    <t>0002896</t>
  </si>
  <si>
    <t>В учебнике, адресованном студентам, магистрантам, педагогам школ и преподавателям вузов, представлен материал по методологическим, теоретическим и практико-ориентированным проблемам этнопедагогического знания. Дана характеристика и раскрыта сущность народного воспитания, этнопедагогической культуры. Широко представлен региональный компонент. Изложение теоретического материала сопровождается заданиями репродуктивного и творческого характера, что позволяет применять учебник для самообразования и самоконтроля.</t>
  </si>
  <si>
    <t>0002897</t>
  </si>
  <si>
    <t>Задиранов А.Н., Лехтмец В.Л., Чернышева А.А.</t>
  </si>
  <si>
    <t>Метод планирования эксперимента и его применение при обработ-ке экспериментальных данных</t>
  </si>
  <si>
    <t>Предлагаемое учебно-методическое пособие предназначено для студентов 1-4 курсов, выполняющих экспериментальные и расчетные задания в ди-пломных и курсовых проектах и при выполнении КНИР. 
 В пособии изложены основы планирования эксперимента, анализ экспериментальных данных и порядок оформления результатов эксперимента.</t>
  </si>
  <si>
    <t>0002904</t>
  </si>
  <si>
    <t>Заркенова Л. С., Омарова Н.Н., Ильясова Б.И.</t>
  </si>
  <si>
    <t>0002905</t>
  </si>
  <si>
    <t>Зарубин М.Ю.</t>
  </si>
  <si>
    <t>Схемотехника</t>
  </si>
  <si>
    <t>0002908</t>
  </si>
  <si>
    <t>Заурбекова К. К.</t>
  </si>
  <si>
    <t>3D моделдеу</t>
  </si>
  <si>
    <t>оку-әдістемелік құрал</t>
  </si>
  <si>
    <t>Бұл оқу-әдiстемелiк құрал жобалау мен дизайнның қазіргі кездегі компьютерлік технологияларының негіздерін меңгеруге арналған және жоғарғы оқу орындарындағы «Компьютерлік графика», «3 D модельдеу» сияқты пәндерге әдістемелік қолдау жасайды. Осы оқу-әдiстемелiк құралдағы зертханалық жұмыс тапсырмаларын орындай отырып, қолданушы-студент компьютерлік жобалау орталарында жұмыс істеу технологияларын және компьютерлік графика негіздерін оқып үйренуге мүмкіндік алады. Оқулық кеңістікте модельдеудің қолданушы-студентке арналған практикалық базалық жиынтығы болып табылады. Бұл құрал математикалық және компьютерлік модельдеу, информатика, ақпараттық жүйелер, жаратылыстану және техника мамандықтары студенттеріне, сонымен қатар жаратылыстану-ғылыми, физика-математикалық және технологиялық бағыттарындағы жоғарғы сынып оқушыларына арналған</t>
  </si>
  <si>
    <t>0002913</t>
  </si>
  <si>
    <t>Зейниденов А.Қ.</t>
  </si>
  <si>
    <t>Наноматериалдарды алу және зерттеу негіздері</t>
  </si>
  <si>
    <t>Оқу құралында наноматериалдардың классификациясы беріліп, олардың қасиеттеріне талдау жасалған. Наноматериалдардың және нанотехнологияның жалпы сипаттамасы беріліп, наноматериалдарды зерттеудің негізгі әдістері қарастырылып, әр түрлі наноматериалдардың құрылымы мен қасиеті, олардың қолдану саласы, оларды алудың ерекшеліктері сипатталған. Студенттер жұмысты орындау барысында нанобөлшектер мен наноматериалдарды алудың кейбір әдістерімен танысып, нанометрлік өлшемдегі объектілермен жұмыс жасау дағдысы қалыптасады және зерттеудің заманауи физика-химиялық әдістерін игереді. Нанотехнологиялар, конденсирленген күй физикасы және химия саласында мамандандырылатын магистранттар мен студенттер үшін</t>
  </si>
  <si>
    <t>0002914</t>
  </si>
  <si>
    <t>Зейнулина А.Ф.</t>
  </si>
  <si>
    <t>Қазақ тілі практикумы</t>
  </si>
  <si>
    <t>0002915</t>
  </si>
  <si>
    <t>Зейнулина А.Ф., Балпанов Н.М.</t>
  </si>
  <si>
    <t>Іскери - кәсіби қазақ тілі</t>
  </si>
  <si>
    <t>0002916</t>
  </si>
  <si>
    <t>Зейнулина А.Ф., Дюсенгазина Н.Н., Жұмжұманова А.Ж.</t>
  </si>
  <si>
    <t>5В070400, 5В070300, 5В060200</t>
  </si>
  <si>
    <t>0002918</t>
  </si>
  <si>
    <t>Зейнуллина А.Ж.</t>
  </si>
  <si>
    <t>Басқару есебінің негіздері</t>
  </si>
  <si>
    <t>Осы ұсынылып отырған оқулықта басқару есебінің негізгі түсініктері және ұғымдары ашылып жазылған. Қазіргі заманға сай басқару есебінің теориялық негіздері, талдау әдістемесі, сонымен қатар кәсіпорындарда басқару есебін және талдауын ұйымдастыруды жетілдіру жолдары қарастырылған. Сондай-ақ, өнімінің өзіндік құнын есептеу, «директ-костинг» жүйесінің мәні, оның ерекшеліктері мен қажеттілігі, маржа табысының есебін ұйымдастыру теориясы және тәжірибесі, оның аудиті, зиянсыздық нүктені анықтау қажеттілігі және талдау әдістемесі, соған байланысты басқарушылық шешімдерді қабылдау үрдісі қарастырылған.
 Сонымен қатар, басқару есебінің құжаттарын өңдеу және талдау әдістемесінің кейбір үлгілерін тәжірибеде пайдалану туралы, баға анықтау үлгісін жетілдіру туралы сұрақтар ашылып жазылды.
 Ұсынылған оқулық жоғарғы оқу орындарының экономика факультетінің оқытушылары және студенттеріне арналған. Кәсіпорындардың тәжірибелік қызметкерлері әдістемелік нұсқау ретінде осы оқулықты қолдана алады.</t>
  </si>
  <si>
    <t>0002919</t>
  </si>
  <si>
    <t>Зейнуллина А.Ж. , Слямова З.А., Толымгожинова М.К.</t>
  </si>
  <si>
    <t>Экономический анализ для бухгалтеров</t>
  </si>
  <si>
    <t>Курс лекций, задачи, тесты</t>
  </si>
  <si>
    <t>В учебном пособии в краткой и доступной для студентов форме рассмотрены теоретические основы экономического анализа хозяйственной деятельности как системы обобщенных знаний о его предмете, методе, функциях, принципах, задачах и методике, также предложены к решению задачи и тесты. Главная цель учебного пособия – помочь студентам овладеть аналитическими инструментами, позволяющими объективно проводить комплексную оценку финансово-хозяйственной деятельности предприятия и на их основе принимать эффективные управленческие решения, способствующие экономическому росту предприятия. 
 Для студентов, обучающихся по специальности 5В050800 «Учет и аудит».</t>
  </si>
  <si>
    <t>0002920</t>
  </si>
  <si>
    <t>Зейнуллина А.Ж. , Толымгожинова М.К., Слямова З.А.</t>
  </si>
  <si>
    <t>Современное состояние управленческого учета и перспективы его развития на отечественных предприятиях</t>
  </si>
  <si>
    <t>Работа посвящена теоретико-методологическим проблемам управленческого учета, связанным со структурированием информации, необходимой для принятия решений по управлению затратами. Большое внимание уделено управленческому учету снабженческой, производственной, коммерческо-сбытовой деятельности, бюджетированию, а также зарубежным системам управленческого учета. Предложен комплексный подход к организации управленческого учета, новые его формы и подходы к организации и структурированию информации, что позволит повысить эффективность менеджмента хозяйствующих субъектов.</t>
  </si>
  <si>
    <t>0002921</t>
  </si>
  <si>
    <t>Зейнуллина А.Ж., Искакова М.С., Сарсенбаева А.А.</t>
  </si>
  <si>
    <t>Ілгерілемелі қаржылық есеп</t>
  </si>
  <si>
    <t>Оқу құралында ілгерлемелі қаржылық есеп корпорациялық басқарудың құралы ретінде бухгалтерлік есептіліктің құрастырылуын жіне олардың есеп жүйесіне әсерін ашып көрсетеді. Корпорациялық есептілікті жасаған кезде есептің креативтік әдістерінің қолдануын қарастырады.
 Ұсынылып отырған оқу құралы жоғарғы оқу орындарының экономика факультетінің оқытушылары, магистранттары және студенттеріне арналған. Кәсіпорындардың тәжірибелік қызметкерлері де әдістемелік нұсқау ретінде осы оқу құралын қолдана алады.</t>
  </si>
  <si>
    <t>0002922</t>
  </si>
  <si>
    <t>Зейнуллина А.Ж., Сарсенбаева А.А.</t>
  </si>
  <si>
    <t>Қызметкерлермен еңбекақы бойынша есеп айырысудың бухгалтерлік есебін ұйымдастыру</t>
  </si>
  <si>
    <t>Монографияда еңбекақының негізгі түсініктері мен ұғымдары жазылған. Қазіргі заманға сай еңбекақының теориялық негіздері, талдау әдістемесі және жетілдіру жолдары қарастырылған. Еңбек ақыны есептеу жолдары, еңбек ақыға әсер ететін факторлар мен еңбек ақыдан ұсталынатын ұсталымдар кеңінен ашылып жазылған.
 Ұсынылып отырған монография жоғарғы оқу орындарының экономика факультетінің оқытушылары, магистранттары және студенттеріне арналған. Кәсіпорындардың тәжірибелік қызметкерлері де әдістемелік нұсқау ретінде осы монографияны қолдана алады.</t>
  </si>
  <si>
    <t>0002923</t>
  </si>
  <si>
    <t>Зейнуллина А.Ж.,Толымгожинова М.К., Паримбекова Л.З., Слямова З.А.</t>
  </si>
  <si>
    <t>Тереңдетілген аудит</t>
  </si>
  <si>
    <t>Осы оқу құралында түгендеу жүргізу тәртібі мен ресімделуі, ағымдағы және ұзақ мерзімді активтер аудитінің маңызды сұрақтары: ақшалай қаржылардың, дебиторлық қарыздың, тауарлы-материалдық қорлардың, негізгі құралдардың, ұзақ мерзімді инвестициялардың, материалды емес активтердің аудиті ашылып жазылды. Сонымен қатар жеке меншік капиталдың, міндеттемелердің, табыстар мен шығындардың аудиті қарастырылды. Аудиттегі қаржылық талдауға үлкен назар аударылды. Оқу құралында тесттер және есептер шығаруға ұсынылды.
 Оқу құралы жоғарғы оқу орындарының экономика факультетінің оқытушылары және магистранттарына арналды. Кәсіпорындардың тәжірибелік қызметкерлері де әдістемелік нұсқау ретінде оқу құралды қолдана алады.</t>
  </si>
  <si>
    <t>0002924</t>
  </si>
  <si>
    <t>Зейнуллина А.Ж./Zeinullina A.Zh., Tolymgozhinova M.K., Slyamova Z.A., Toktayeva A.S.</t>
  </si>
  <si>
    <t>Economic Analysis for Accountants</t>
  </si>
  <si>
    <t>A course of lectures, tasks, tests</t>
  </si>
  <si>
    <t>In the tutorial in a concise and accessible for students form the theoretical basis for economic analysis of economic activity as a system of generalized knowledge of his subject, methods, functions, principles, objectives and methods are also being proposed to solve the problem and tests. The main objective of the training manual - to help students master the analytical tools to objectively conduct a comprehensive assessment of the financial and economic activity of the enterprise and based on them to make effective management decisions, contributing to the economic growth of the enterprise.
 For students enrolled in the specialty 5B050800 "Accounting and Auditing".</t>
  </si>
  <si>
    <t>0002929</t>
  </si>
  <si>
    <t>Су ресурстарын кешенді пайдалану. I том</t>
  </si>
  <si>
    <t>Оқулықта су шаруашылық кешені мен оның құрастырушыларының су ресурстарының режімі мен су сапасына қоятын талаптары қарастырылған. Су қорлары, су қорларын кажетсіну, оларды кешенді пайдалану мен қорғаудын бас тәсімі, су шаруашылық теңдестік және су шаруашылық шаралар мен су шаруашылық есептері келтірілген. Су шаруашылық нысандарының қоршаған ортаға тигізетін кері әсерлері, Қазақстан мен ТМД елдерінің су шаруашылық мәселелері, су ресурстарын кешенді пайдаланудың экономикалық тиімділігін негіздеу сұрақтары сараланған. Су шаруашылығы шараларының қоршаған ортаға келтіретін зияндары, су шаруашылығы кешенінің әлеуметтік-экологиялық-экономикалық тиімділігі мен су шаруашылық жүйелерін және су ресурстарын пайдалану мен қорғауды мемлекеттік басқару мәселелері талданған.Оқулық 5В08 05 00 - су ресурстары және суды пайдалану мамандығының бакалаврларына арналған. 5В073 100 – Қоршаған ортаны қорғау және өмір тіршілігінің қауіпсіздігі; 5В081000 - Мелиорация, жерді баптау және қорғау мамандықтарының білімгерлеріне жарамды. Су шаруашылығы саласының мамандары мен ғылыми-зерттеу мекемелерінің қызметкерлеріне, сонымен қатар су ресурстарын тиімді пайдалану мәселелерімен айналысатын оқырмандар үшін де қызықты.</t>
  </si>
  <si>
    <t>0002930</t>
  </si>
  <si>
    <t>Су ресурстарын кешенді пайдалану. II том</t>
  </si>
  <si>
    <t>0002931</t>
  </si>
  <si>
    <t>Комплексное использование и охрана водных ресурсов. 1 том</t>
  </si>
  <si>
    <t>В учебном пособии анализированы роль водных ресурсов в обеспечении продовольственной безопасности в Республике Казахстан. Приведены результаты оценки водных ресурсов и водопотребления на современное состояние и на перспективу при условии развития водного хозяйства на территориях сопредельных государств. Выделены проблемы сохранения устойчивости развития отраслей экономики и сохранения природных комплексов в бассейне реки. Принципы определения параметров комплексного гидроузла и технико-экономическое обоснование параметров водохранилищ комплексного назначения сопровождается примерами расчета. Освещается принципы обоснования экономической эффективности использования водных ресурсов в отраслях экономики и в особенности в орошаемом земледелии. Подчеркнуты необходимость определения платы за воду и учета гидрометеорологических особенностей регионов при планировании развития водного хозяйства на перспективу. Необходимые нормативные и справочные материалы приведены в приложениях.</t>
  </si>
  <si>
    <t>0002933</t>
  </si>
  <si>
    <t>Проблемы управления водными ресурсами в маловодные и многоводные года (на примере отдельных рек Республики Казахстан).</t>
  </si>
  <si>
    <t>В учебном пособии освещены принципы управления водными ресурсами в годы малой водности и приемы борьбы с наводнениями в многоводные года. Приведены возможные методы и мероприятия по недопушению глубоких недодач при формировании катастрофических маловодных режимов стока рек. Освещены особенности об эксплуатации водохозяйственных объектов в маловодные и многоводные года. Показаны принципиальные положения по определению стока рек в зонах влияния антропогенных воздействий и особенности управлению водными ресурсами в бассейнах трансграничных рек. В отдельных случаях приемы расчета сопровождаются конкретными примерами. Учебное пособие может быть использовано научными работниками, сотрудниками проектно-изыскательских и эксплуатационных организации водного хозяйства, а также специалистами занимающихся и нтересующихся проблемами рационального использования водных ресурсов бассейна реки.</t>
  </si>
  <si>
    <t>0002935</t>
  </si>
  <si>
    <t>Методические указания по выполнению дипломного проекта (работы) и программа преддипломной практики для бакалавров специальности 5В061000 – Гидрология</t>
  </si>
  <si>
    <t>Методические указания предназначены для студентов – бакалавров специальности 061000 – Гидрология Настоящее методическое указание устанавливает требования к уровню подготовки выпускника по подготовке дипломированного специалиста по специальности 06 1000 «Гидрология». Приведены рекомендации к организации и выполнениюдипломной(го)работы (проекта), ее(го) защите, составу и форме необходимых документов по оформлению.</t>
  </si>
  <si>
    <t>0002936</t>
  </si>
  <si>
    <t>Использование природных ресурсов и экологическая обстановка. Оценка развития экономики страны</t>
  </si>
  <si>
    <t>Анализированы уровень использования водно-земельных ресурсов и полезных ископаемых в Республике Казахстан. Обобщены материалы о водных ресурсах, водопотреблении и водообеспеченности по континентам мира и в Казахстане за ретроспективные и перспективные периоды. С уровнем развития отраслей экономики возрастают техногенные нагрузки на недра, почву, системы поверхностных и подземных вод, на состояние атмосферного воздуха. Ухудшается экологическая обстановка и состояние здоровья и продолжительность жизни населения не погвышается. И как результат влияют на экономическое развитие государства и на конкурентоспособность товаров на мировом рынке.
  Рассмотрены проблемы оценки экономического развития стран. Предложен новый критерий и методология по оценке развития экономик стран с учетом уровня использования природных ресурсов и обеспечиения экологической безопасности в окружающей среде. 
  В приложениях приведены:- проект предисловия к экологическому кодексу Республики Казахстан 2019 года; 
 - предлагаемые автором некоторые определения, понятия, аксиомы и законы.</t>
  </si>
  <si>
    <t>0002938</t>
  </si>
  <si>
    <t>Зәуірбек Ә.К., Елбасиева Б.Б.</t>
  </si>
  <si>
    <t>Геодезия негіздері</t>
  </si>
  <si>
    <t>Оқу-әдістемелік нұсқау</t>
  </si>
  <si>
    <t>Әдістемелік нұсқауда инженерлік құрылысты жобалау және салу кезеңдерінде инженерлік геодезия әдістерінің қажет екендігі көрсетілген. Мысалы, өзен алаптарында гидрологиялық бекеттер мен гидрометриялық өлшеулер жүргізгенде; суғару массивін, канал, гидротехникалық құрылыстар мен экономика салаларын сумен қамтамасыз ету жұмыстарын жобалау, салу және пайдалану кезеңдерінде, көпірлер, аэродромдар, құбырлар, электр және байланыс желілерін жүргізгенде; әртүрлі өнеркәсіп және азаматтық ғимараттар мен құрылыстарды жобалау мен салғанда, пайдалы қазбаларды іздеу, барлау және өндіру жұмыстарында; әртүрлі құрылыстарды және оның элементтерін салу және пайдалану кездерінде пайда болатын: қисаю, созылу, бұзылу деформацияларын анықтағанда инженерлік геодезия әдістері қолданылады.Әдістемелік нұсқауда Геодезиялық оқу практикасын жүргізуді ұйымдастыру, геодезиялық аспаптардың қауіпсіздік ережесі және олардың дұрыс қолданылуы мен техника қауіпсіздігі мен өртке қарсы шаралар және қоршаған ортаны қорғау сұрақтары келтірілген.Кешенді су торабының құрылымы мен гидротехникалық имараттардың маңыздылығы және оларды жобалау, салу және пайдалану кезеңдерінде теодолиттік түсіріс пен нивелирлік түсірістер және сызықтық имараттарды трассалау, өзен учаскесінің горизонтальдары көрсетілген планын жасау жұмыстарын жүргізу технологиялары, оларды өлшеу мен математикалық және графикалық өңдеу мәселелері мысалдарымен көрсетілген.</t>
  </si>
  <si>
    <t>0002939</t>
  </si>
  <si>
    <t>Зәуірбек Ә.К., Керімбай Б.С.</t>
  </si>
  <si>
    <t>Су пайдаланудың экологиялық және экономикалық негіздері</t>
  </si>
  <si>
    <t>Оқу-әдiстемелiк құралы</t>
  </si>
  <si>
    <t>Оқу-әдістемелік құралы су ресурстарын пайдаланудың экологиялық және экономикалық негізгі ұғымдарын, көрсеткіштер мен теориялық түсініктемелерін қарастырады. Су пайдаланудың, су сапасын жақсартудың, инновациялық қызмет түрлерін жетілдірудің ілімдік және әдіснамалық негіздерін айқындайды. Су шаруашылығы кешенінің индустриалды инновациясының негізгі теориялық мәнін түсіндіреді. 
 Оқу-әдістемелік құралы гидролог мамандар даярлайтын жоғарғы оқу орындарының студенттеріне арналған.</t>
  </si>
  <si>
    <t>0002940</t>
  </si>
  <si>
    <t>Зәуірбек Ә.К./ Зауырбек</t>
  </si>
  <si>
    <t>Сборник рекомендации по отдельным проблемам гидрологии, водного хозяйства и охраны окружающей среды</t>
  </si>
  <si>
    <t>Сборник рекомендации</t>
  </si>
  <si>
    <t>В книгу сведены разработки автора выполненные индивидуально и в соавторстве в области гидрологии и рационального использования и охраны водных ресурсов бассейна реки:
 - рекомендации для оценки экологической обстановки и экологическому районированию территории бассейнов рек по уровню загрязнения водных ресурсов;
 - рекомендации по обоснованию социально-эколого-экономической эффективности мероприятий по корректировке параметров действующих водохранилищ в бассейнах сточных и бессточных рек;
  - временные рекомендации по расчету гидрологических характеристик речного стока при антропогенных воздействиях.
  Книга предназначена для научных работников, специалистов проектно-изыскательских и эксплуатационных организации гидрологии, водного хозяйства и охраны окружающей среды, инженерно-техническим кадрам, а также широкому кругу читателей занимающихся и нтересующихся проблемами гидрологии и рационального использования водных ресурсов бассейна реки.</t>
  </si>
  <si>
    <t>0002941</t>
  </si>
  <si>
    <t>Зинина О.В., Ребезов М.Б., Бауыржанова А.З.</t>
  </si>
  <si>
    <t>Консервы мясные баночные</t>
  </si>
  <si>
    <t>В учебном пособии рассмотрен современный ассортимент мясных баночных консервов, технологический процесс производства, используемое оборудование, требования к качеству готовой продукции. Приведена методика расчетов при производстве консервов. Представлены тесты для самоконтроля.
 Учебное пособие предназначено для студентов по направлениям: продукты питания животного происхождения, технология продовольственных продуктов; пищевая биотехнология; технология перерабатывающих производств; пищевая безопасность.</t>
  </si>
  <si>
    <t>0002942</t>
  </si>
  <si>
    <t>Зинина О.В., Ребезов М.Б., Асенова Б.К.</t>
  </si>
  <si>
    <t>Инновационные технологии переработки сырья животного происхождения</t>
  </si>
  <si>
    <t>В учебном пособии рассмотрены инновационные технологии переработки сырья мясной, молочной и рыбной отраслей, способы интенсификации технологических процессов, пути рационального использования сырья. 
 Учебное пособие предназначено для магистров дневной и заочной форм обучения по направлениям: продукты питания животного происхождения, технология продовольственных продуктов; пищевая биотехнология, технология перерабатывающих производств; пищевая безопасность.</t>
  </si>
  <si>
    <t>0002944</t>
  </si>
  <si>
    <t>Зиядин С.Т.</t>
  </si>
  <si>
    <t>Цифрлы экономика негізінде салаларды әртараптандыру</t>
  </si>
  <si>
    <t>Цифрлы экономика жағдайы қазіргі таңдағы маңызды мәселелердің бірі. Оқу құралы теориялық материалдан, мәселелерді шешу мысалдарынан, жаңалықтардан тұрады. Оқу құралы жоғарғы оқу орындарының студенттеріне, магистранттарына, оқытушыларына ұсынылады.</t>
  </si>
  <si>
    <t>0002945</t>
  </si>
  <si>
    <t>Зияева Г.К.</t>
  </si>
  <si>
    <t>Биологияға кіріспе(Переизданное)</t>
  </si>
  <si>
    <t>0002946</t>
  </si>
  <si>
    <t>Биологиялық эволюция</t>
  </si>
  <si>
    <t>Оқулықта биологиялық эволюцияның негізгі процесі – организмдердің ұйымдастырылу деңгейлері мен органдар, елнр эволюциясы қарастырылады. Оқулық биология мамандықтарының студенттеріне арналған.</t>
  </si>
  <si>
    <t>0002948</t>
  </si>
  <si>
    <t>Зобнин Н.Н.</t>
  </si>
  <si>
    <t>сборник лекций по дисциплине</t>
  </si>
  <si>
    <t>Сборник лекций по дисциплине «Основы научных исследований» составлен в соответствии с требованиями учебного плана и программой дисциплины «Основы научных исследований» и включают все необходимые сведения по теоретической части дисциплины.В курсе лекций по дисциплине «Основы научных исследований» изложен теоретические основы курса «Основы научных исследований» согласно перечня предлагаемого программой по данной дисциплине. В частности методы проведения типовых экспериментальных научных исследований, таких как изучение вязкости, поверхностного натяжения металлургических расплавов, применение основ математической статистики, математического планирования эксперимента в металлургии, основ математической оптимизации металлургических процессов в металлургиии т.д.Методические указания предназначены для студентов специальности 5В070900 - Металлургия очной и заочной формы обучения.</t>
  </si>
  <si>
    <t>0002949</t>
  </si>
  <si>
    <t>Теория металлургических процессов</t>
  </si>
  <si>
    <t>методические указания к выполнению лабораторных работ по дисциплине</t>
  </si>
  <si>
    <t>Методические указания составлены в соответствии с требованиями учебного плана и программой дисциплины «Теория металлургических процессов» и включают все необходимые сведения по выполнению тем лабораторных работ курса.В методических указаниях изложен порядок выполнения лабораторных работ по курсу «Теория металлургических процессов», описание использованных экспериментальных установок и последовательность обработки экспериментальных данных. Изложены краткие теоретические основы изучаемых процессов. Работы представлены по разделам дисциплины - теория пирометаллургических, электрометаллургических и гидрометаллургических процессов.Методические указания предназначены для студентов специальности 5В070900 - Металлургия.</t>
  </si>
  <si>
    <t>0002950</t>
  </si>
  <si>
    <t>Металлургическое материаловедение</t>
  </si>
  <si>
    <t>Методические указания составлены в соответствии с требованиями учебного плана и программой дисциплины «Металлургическое ма-териаловедение» и включают все необходимые сведения по выполнению практических занятий курса. В методических указаниях изложен порядок выполнения практических занятий, расчетных работ по курсу «Металлургическое материаловедение» согласно перечня предлагаемого программой по данной дисциплине. В частности выбор температуры под закалку стали заданной марки, описание превращений, протекающих при этом процессе. Вычерчивание диаграммы состояния железо-карбид железа, указа-ние структурные составляющие во всех областях диаграммы, описание превращений и построение кривых охлаждения (с применением правила фаз) для сплавов с заданным содержанием углерода и т.д. Значительное количество данных относительно производственных режимов термической, химико-термической и термомеханической обработки получены авторами в результате стажировки на таких предприятиях как ТОО «ФеррумВтор», Карагандинский литейный завод. На этих заводах авторами изучались микроструктура доэвтектоидных и заэвтектоидных сталей и чугунов подвергнутых различным видам обработки.Методические указания предназначены для студентов специальности 5В070900 - Металлургия очной и заочной формы обучения.</t>
  </si>
  <si>
    <t>0002951</t>
  </si>
  <si>
    <t>Проектирование литейных цехов</t>
  </si>
  <si>
    <t>Учебно-методическое пособие посвящено общим вопросам проектирования литейных – цехов. Приведена классификация и состав литейных цехов и заводов. Рассмотрены примеры расчета производственной программы выбора и расчета основного и вспомогательного оборудования литейного производства. Выявлены особенности проектирования литейных цехов со специальными видами литья – литье в оболочковые формы, литье под давлением, литье в металлические формы (кокиля). Учебно-методическое пособие предназначено для студентов высших учебных заведений по специальности 5В070900 – Металлургия для самостоятельного изучения соответствующих разделов лекционного курса дисциплин МВС 2.3 - «Оборудование производства черной металлургии» (программа подготовки «Металлургия черных металлов), МВС 1.3 - «Оборудование производства цветной металлургии» (программа подготовки «Металлургия цветных металлов»).</t>
  </si>
  <si>
    <t>0002952</t>
  </si>
  <si>
    <t>Планирование и постановка НИР в металлургии</t>
  </si>
  <si>
    <t>В учебнике освещены методы первичной и вторичной математической обработки результатов экспериментов математическое планирование проведения НИР, построение корреляционных и регрессионных моделей технологических процессов в металлургии, Даны общие сведения о планировании эксперимента, краткая характеристика методики составления планов эксперимента для моделей первого и второго порядков. Общие положения о планировании второго порядка. Ортогональные центральные композиционные планы второго порядка. Рототабельные планы второго порядка. Рассмотренны прикладные компьютерные программы для полного термодинамического анализа металлургических процессов, моделирования металлургических процессов - доменного, конверторного. Предложены варианты использования данных программ для решения задач прикладных НИР.</t>
  </si>
  <si>
    <t>0002953</t>
  </si>
  <si>
    <t>Химия и металлургия кремния солнечного качества</t>
  </si>
  <si>
    <t>Металлургия, химия</t>
  </si>
  <si>
    <t>Курс лекций разработан в рамках новой дисциплины «Химия и металлургия кремния солнечного качества», которую предполагается внедрить в учебные планы образовательной программы 5В070900-Металлургия. В курсе лекций собран обширный материал, касающийся инновационных и традиционных технологий производства кремния солнечного качества. Осуществлена классификация технологических процессов. Прослежена генеалогия развития технологий в кремниевой отрасли и взаимосвязи между различными видами технологических процессов. В частности описаны Хлорсилановая, Моносилановые и гибридные технологии, Проблемы термодинамики восстановления хлорсилана и разложения моносилана. Изучены новые направления развития плазменных реакторов в технологии SOG Si, технология четыреххлористого кремния – важный элемент технологий SOG Si, металлотермическое получение SOG Si классика и современные направления в Японии, электрохимическое получение SOG Si, Йодный транспорт в технологии SOG Si. Оценены перспективы технологии суперфосфатов в производстве SOG Si. Рассмотрены перспективы обновленных методов Бриджмена (направленной кристаллизации) в производстве SOG Si и индукционной плавки в холодном тигле. Описаны также традиционные способы производства монокристаллического кремния по методу Чохральского, в бестигельной зонной плавке, легирование SOG Si и основы механической обработки. Освещены вопросы экономики производства. Курс лекций прошел апробацию в условиях Сибирского Федерального университета (СФУ), г.Красноярск, РФ где составитель прочитал основные тезисы курса в форме отдельной проблемной лекции в порядке академического обмена профессорско-преподавательским составом между ЮКГУ им.М.Ауезова и СФУ.</t>
  </si>
  <si>
    <t>0002954</t>
  </si>
  <si>
    <t>Проектирование металлургических цехов, фабрик обогащения и подготовки металлургического сырья</t>
  </si>
  <si>
    <t>Учебное пособие составлено в соответствии с требованиями учебного плана и программой дисциплины «Проектирование металлургических цехов, фабрик обогащения и подготовки металлургического сырья» и включают все необходимые сведения для освоения данного предмета.
  В пособии изложен порядок выполнения, расчетных работ и описаны теоретические основы подходов к решению данных задач по курсу «Проектирование металлургических цехов, фабрик обогащения и подготовки металлургического сырья» согласно перечня предлагаемого программой по данной дисциплине. В частности расчеты оборудования и объемно-планировочные решения обогатительных фабрик, агломерационного, доменного, конверторного, электросталеплавильного, ферросплавного, литейного, прокатного цехов и заводов. Значительная часть методик расчета изучалась авторами в процессе стажировок на различных металлургических предприятиях РК. На таких заводах как Карагандинский литейный завод, Аксуский завод ферросплавов, Металлургический комплекс ТОО «Казцинк», ТОО «ФеррумВтор», ТОО «Нуран».</t>
  </si>
  <si>
    <t>0002956</t>
  </si>
  <si>
    <t>Зозуля Т.Н., Айтжанова Д.Н.</t>
  </si>
  <si>
    <t>Мировой политический процесс</t>
  </si>
  <si>
    <t>В данном учебном пособии рассматриваются основные направления и проблемы мирового политического процесса. Авторы рассмотрели ведущие тенденции политического развития мира: глобализацию, локализацию, изоляционизм, интеграцию, дезинтеграцию, демократизацию, развитие авторитарных процессов. Большое внимание уделено тому, как изменения, происходящие на уровне политической системы мира, приводят к изменению международной повестки дня. Учебное пособие «Мировой политический процесс» предназначено для политологов, социологов, ученых-обществоведов, преподавателей, студентов и магистрантов, обучающихся по специальности «Политология».</t>
  </si>
  <si>
    <t>0002957</t>
  </si>
  <si>
    <t>Зозуля Т.Н., Каримова С.М.</t>
  </si>
  <si>
    <t>Политическая модернизация</t>
  </si>
  <si>
    <t>0002958</t>
  </si>
  <si>
    <t>Прикладная политология</t>
  </si>
  <si>
    <t>0002960</t>
  </si>
  <si>
    <t>Золотарева Л.Р.</t>
  </si>
  <si>
    <t>Описание и анализ произведения искусства</t>
  </si>
  <si>
    <t>Книга является инновационным пособием по курсу «Описание и анализ произведения искусства» для высших учебных заведений. На основе системного подхода раскрываются понятийный аппарат дисциплины, эстетическая теория и морфология искусства, специфические особенности пластических искусств; показано произведение искусства как язык, знак, текст; рассматриваются методологические основы анализа художественного произведения, принципы и методы атрибуционной работы, жанровые формы и методы искусствоведческого исследования; предлагаются методические материалы для самостоятельной творческой работы студентов, тестовые задания. 
 Рекомендуется студентам по специальностям «Изобразительное искусство и черчение», «Искусствоведение», «Культурология», «Музееведение», «Филология», «Дизайн», «Архитектура», магистрантам, аспирантам, преподавателям вузов, колледжей, школ, специалистам.</t>
  </si>
  <si>
    <t>0002963</t>
  </si>
  <si>
    <t>Золотарева Л.Р., Лебедев С.А.</t>
  </si>
  <si>
    <t>Современный дизайн</t>
  </si>
  <si>
    <t>Универсальное по диапазону учебное пособие охватывает проблемы современного дизайна (архитектурного, предметного, выставочного, графического) во взаимосвязи с проблемами современной архитектуры. Анализ основных событий и тенденций развития современного дизайна, творческие портреты лидеров мирового дизайна, современные теории дизайна и дискуссия о дизайне сочетается с воспроизведением широкой панорамы художественно-культурных событий ХХ века, рубежа ХХ – ХХІ столетия.
 Рекомендуется бакалаврам по специальностям «Дизайн», «Дизайн архитектурной среды», «Графический дизайн» в системе университетского образования, а также магистрантам и преподавателям в системе дизайн-образования.</t>
  </si>
  <si>
    <t>0002964</t>
  </si>
  <si>
    <t>Золотарева Л.Р., Рева М.В., Кипшаков С.А.</t>
  </si>
  <si>
    <t>История материальной культуры и дизайна</t>
  </si>
  <si>
    <t>В учебном пособии рассматривается история материальной культуры и дизайна доиндустриальных цивилизаций: ревнего Египта, Древней Греции, Древнего Рима, средневекового Востока, а также стран Западной Европы и России от средневековья до рубежа XIX–XX веков. Особое внимание уделяется процессам становления и развития дизайна в странах Западной Европы, США, Японии, России в XX веке, начале XXI столетия. Самостоятельный раздел посвящен проблемам этнодизайна Казахстана. Предназначено для бакалавров дизайна широкого профиля, магистрантов, преподавателей в области дизайн-образования.</t>
  </si>
  <si>
    <t>0002965</t>
  </si>
  <si>
    <t>Зубаиров 0.3., Тлеукулов А.Т., Нусипбеков М.Ж.</t>
  </si>
  <si>
    <t>Очистка и использование сточных вод для орошения</t>
  </si>
  <si>
    <t>0002966</t>
  </si>
  <si>
    <t>Зубаиров О.З.</t>
  </si>
  <si>
    <t>Инновационные способы полива и использования их для орошения</t>
  </si>
  <si>
    <t>0002967</t>
  </si>
  <si>
    <t>Сточные воды и использование их в сельском хозяйстве</t>
  </si>
  <si>
    <t>0002969</t>
  </si>
  <si>
    <t>Зубаиров О.З. Тілеуқұлов А.Т., Нұрмамбетов Д.Д.</t>
  </si>
  <si>
    <t>Мелиоративтік жүйелерді жобалау</t>
  </si>
  <si>
    <t>0002970</t>
  </si>
  <si>
    <t>Зубаиров О.З., Габдеев Х.Н., Рау А.Г., Тлеукулов А.Т.</t>
  </si>
  <si>
    <t>Оросительная мелиорация</t>
  </si>
  <si>
    <t>0002971</t>
  </si>
  <si>
    <t>Зубаиров О.З., Нүсіпбеков М.Ж., Набиоллина М.С.</t>
  </si>
  <si>
    <t>Суғару мелиорациясы және мелиоративтік жүйелерді жобалау пәндері бойынша практикум</t>
  </si>
  <si>
    <t>Мелиорация саласының теориялық негізін талдап меңгеру үшін практикалық сабақтардың басты мақсаты қаралған. Атап айтқанда суғару жүйесін таңдау, суғаруға берілген судың сапасын анықтау, берілген суды өлшеу есепке алу, дақылдардың суғару режимдерін әртүрлі әдістермен есептеу және суғару әдістерінің негізгі түрлері қаралған. Оларды жобалау, есептеу, ауыспалы егістік жүйесін жобалау, каналдардың су өтімдерін анықтап параметрлерін есептеу қарастырылған. Каналдардың сүлбасын тұрғызу және орман жолақтарын жобалау. Көлтабандап суғару, төгінді суларды суғаруға пайдалану және лабораториялық жұмыстар қарастырлған.</t>
  </si>
  <si>
    <t>0002972</t>
  </si>
  <si>
    <t>Зубаиров О.З., Тілеуқұлов А.Т.</t>
  </si>
  <si>
    <t>Суғару мелиорациясы</t>
  </si>
  <si>
    <t>Мелиорацияның табиғатқа, қоршаған ортаға тигізетін әсері, оны пайдалану жолдары, суғару мелиорациясының түрлері сипатталған. Нарықтық экономика жағдайында суды үнемді пайдалану жолдары, Суғару жүйелері мен құрылымдарын тиімді пайдалану шаралары қарастырылған. Суғару мелиорациясының негізгі бағыты, жүргізу технологиясы, суғару жүйелері, оларды есептеу және суғару жүйелерін пайдалану жолдары берілген. Суғару мелиорациясы бағытындағы соңғы инновациялық жетістіктер сипатталған.
 Оқулық жоғары оқу орындарының ауыл және су шаруашылығы мамандықтарына арналған.</t>
  </si>
  <si>
    <t>0002979</t>
  </si>
  <si>
    <t>Ибадуллаева З.О.</t>
  </si>
  <si>
    <t>Қазақ халқының құрамындағы қожалар (тарихи-этнографиялық зерттеу)</t>
  </si>
  <si>
    <t>0002980</t>
  </si>
  <si>
    <t>Ибадуллаева З.Ө.</t>
  </si>
  <si>
    <t>Қазақтың дәстүрлі материалдық мәдениеті</t>
  </si>
  <si>
    <t>Бұл оқу құралында материалдық мәдениеттің негізгі белгілері, атап айтқанда ағаштан, теріден, сүйек және мүйізден, сондай-ақ металл ұқсату нәтижесіндегі қолөнер туындылары жан-жақты қамтылған. Сондай-ақ баспананың түрлері, оның жасау жабдықтары, қазақтың дәстүрлі киім түрлері мен зергерлік әшекей бұйымдары мен олардың қыр сыры қарастырылады. Бұл оқу құралы жоғарғы оқу орындарының археология және этнология мамандықтарына, сондай-ақ тарих мамандығы бойынша оқитын студенттерге, музей қызметкерлеріне арналған</t>
  </si>
  <si>
    <t>0002981</t>
  </si>
  <si>
    <t>Ибатаев Ж.Э„ Сулеймен Е.М,</t>
  </si>
  <si>
    <t>Жарғақшалық бөлу әдістері</t>
  </si>
  <si>
    <t>Химия Биотехнология Экология</t>
  </si>
  <si>
    <t>Жарғақшалық бөлу және концентрлеу әдістері қазіргі таңда суды және ауаны тазарту, олардың құрамын анықтау, технологиялық орталарды бөлу, медициналық препараттарды, тағам өнімдерін өндіру мақсаттарында кеңінен қолданылып келеді. Жарғақшалық бөлу әдістеріне негізделген технология дәстүрлі амалдарды тиімді, әрі реагентсіз жағдайда жүргізуге, технологияны автоматтандыруға және химиялық технологияны тұйықтауға мүмкіндік береді. Сонымен бұл технологиялар жасыл энергетика, экология талаптарын толық қанағаттандырып, болашақта тек даму бағытында жүретін сала болады. Оқу құралында жарғақшалардың жасалуы, қолданылуы, үрдістердің ерекшеліктері, даму кезеңдері жайлы жан-жақты білім берілген. Кітап химия, химиялық технология, биотехнология, экология мамандықтары бойынша оқитын студенттерге, магистранттарға және жалпы жарғақшалық технология саласы бойынша ізденуші адамдарға арналған.</t>
  </si>
  <si>
    <t>0002984</t>
  </si>
  <si>
    <t>Ибатов М.К., Мухтаров Т.М., Кутьенко С.Ю.</t>
  </si>
  <si>
    <t>Методы и средства управления дорожным движением</t>
  </si>
  <si>
    <t>В пособии представлены разделы, дающие представления об основах управления дорожным движением. Приведены основные составные части автоматизированных систем управления дорожным движением, описаны технические средства, взаимодействие между ними, их функции и возможности. Включено описание математического обеспечения. Описаны основные этапы проектирования и внедрения АСУД, уделено внимание задаче определения эффективности систем. Для проверки знаний в конце каждого раздела приведены контрольные вопросы. Пособие предназначено для студентов специальности 5В090100 «Организация перевозок, движения и эксплуатация транспорта» и магистрантов специальности и 6М090100 «Организация перевозок, движения и эксплуатация транспорта».</t>
  </si>
  <si>
    <t>0002985</t>
  </si>
  <si>
    <t>Ибатов М.К., Пак Ю.Н., Пак Д.Ю.</t>
  </si>
  <si>
    <t>Компетентностный подход в инженерном образовании</t>
  </si>
  <si>
    <t>В монографии в концептуальном плане изложены методологические аспекты компетентностного подхода как новой парадигмы высшего образования. Описаны суть профессионализма и профессиональной компетентности. Дан анализ развития компетентностного подхода в высшем образовании. Представлен сравнительный анализ знаниево-ориентированного и компетентностного подхода в контексте Болонского процесса и развития Национальной системы квалификаций. Рассмотрены особенности формирования образовательных программ высшего технического образования в формате компетенций и ГОСО нового поколения. Обозначена важная роль преподавателя в реализации этой методологии в инженерном образовании. Представлены фрагменты компетентностной модели выпускника, разработанной на основе социального партнерства высшей школы и сферы труда. Книга предназначена для преподавателей, научных сотрудников, студентов, магистрантов и докторантов, а также работников образования и сферы труда, интересующихся проблемами вузовской педагогики и модернизации инженерного образования в направлении повышения его конкурентоспособности.</t>
  </si>
  <si>
    <t>0002986</t>
  </si>
  <si>
    <t>Ибилдаев Б.</t>
  </si>
  <si>
    <t>Долговечность подшипниковых узлов машин с упругими посадками</t>
  </si>
  <si>
    <t>Монография посвящена вопросам повышения долговечности подшипниковые узлов машин за счет снижения износа подшипников и улучшения условий работы подшипниковых узлов при восстановлении посадок наружных колец подшипников эластомерами Монография состоит из введения, пяти основных глав, заключения и списка использованных источников. Проведен анализ долговечности подшипников качения, причин отказов подшипников качения, способов снижения неравномерности распределения нагрузки между телами качения подшипников. Изложены теоретические предпосылки повышения долговечности подшипников качения, с посадками из эластомера герметик 6Ф, результаты исследований и их анализ и рекомендации по повышению долговечности подшипников качения и эксплуатации подшипников качения.</t>
  </si>
  <si>
    <t>0002992</t>
  </si>
  <si>
    <t>Ибрагимов Ж.</t>
  </si>
  <si>
    <t>Саяси құқықтық ілімдер тарихы</t>
  </si>
  <si>
    <t>Саяси құқықтық ілімдер тарихы оқулығында ежелгі кезеңнен қазіргі күнге дейінгі саяси және құқықтық идеялар, саяси құқықтық жүйелердің, институттардың және қатынастардың тәртіпке келтірілген тәжірибесіне қатысты саяси құқықтық идеялар мен доктриналарға жүйелі талдау жасаланады. Бүгінгі таңдағы саяси-құқықтық реформалардың қайнар көздері ретінде әр заманның заңгер-ғалымдарының құқықтық ілмдеріне тарихи-құқықтық тұрғыдан шолу жасалады
  Оқулық заңтану, халықаралық құқық мамандықтары бойынша білім алушыларға, мемлекет және құқық, заңнама саласына қызыға қарайтын көпшілік қауымға арналған</t>
  </si>
  <si>
    <t>0002993</t>
  </si>
  <si>
    <t>Ибрагимов Ж.И.</t>
  </si>
  <si>
    <t>Қазақ әдет-ғұрып құқығындағы дауларды шешудің өзекті мәселелері</t>
  </si>
  <si>
    <t>Ғылыми еңбек Елбасының «Болашаққа бағдар: рухани жаңғыру» мақаласына орай әдет-ғұрып, салт-дәстүрлердің ұлттық код ретінде қалыптасуы және даму эволюциясына арналған. Еңбекте қазақтың әдет-ғұрып құқығының қоғамдағы дауларды құқықтық реттеуші қызметі ерекше ашып көрсетіледі. Рухани жаңғыру аясындағы азаматтардың мемлекетіне қызмет етуіндегі құқықтық сана мен құқықтық мәдениеттің үлкен роль атқаратындығы ғылыми деректер, мұрағат құжаттары негізінде жан-жақты, жүйелі түрде зерделенген. Еңбекте әдет-ғұрып, салт-дәстүрлердің бүгінгі талаптарға сәйкестендіріліп қолданылуы рухани жаңғыру аясында құқықтық дамуға үлкен серпілістер беретіндігі айтылады.Еңбек заң факультетінде білім алушыларға, сот және құқық қорғау органдарының қызметкерлеріне, қазақ елінің құқықтық рухани жаңғыруына қызыға қарайтын көпшілік қауымға арналған.</t>
  </si>
  <si>
    <t>0002994</t>
  </si>
  <si>
    <t>Роль  обычного права казахов в общественной модернизации.</t>
  </si>
  <si>
    <t>Настоящая работа посвящена рассмотрению системы споров и формам и методам регулирования и роли обычного права в общественной модернизации. В монографии на основе широкого комплексного анализа изучено правовое регулирование спорных отношений по казахскому обычному праву. Работа дополняет имеющиеся работы по вопросам обычного права казахов. На основе анализа архивных материалов, сборников материалов и документов обычного права казахов выработаны рекомендации, направленные на разрешение теоретических и практичсеких вопросов регулятивной функции традиционной системы.Для обучающихся группы образовательных программ право, преподавателей вузов, научных и практических работников.</t>
  </si>
  <si>
    <t>0002997</t>
  </si>
  <si>
    <t>Ибрагимов О.М., Құрақбаев Ж.С.</t>
  </si>
  <si>
    <t>Қолданбалы криптография</t>
  </si>
  <si>
    <t>Оқу құралында қолданбалы криптографияның жалпы мәселелері, яғни ақпаратты қорғау және оның мәселелері, криптографиялық шифрлардың тарихы, математикалық модельдері, шифрлеу алгоритмдері, криптографиялық қасиеттері мен шифрлеу стандарттары қаралған. Объектке бағытталған бағдарламалау ортасында криптожүйе құру технологиясы көрсетілген. Оқу құралында осы аталған мәселелер мысалдармен көрнекі түрде сипатталған. Сонымен қатар оқу құралында берілген жеке тапсырмалар мен тест сұрақтары, оның мазмұнын түсінуге көмектеседі.
 Оқу құралы университеттiң 6М060200 – «Информатика» мамандығы бойынша оқитын магистранттарға арналған.</t>
  </si>
  <si>
    <t>0002998</t>
  </si>
  <si>
    <t>Ибрагимов О.М., Нысанов Е.А., Құрақбаев Ж.С.</t>
  </si>
  <si>
    <t>Web-бағдарламалау негіздері.</t>
  </si>
  <si>
    <t>Оқу құралында динамикалық гипермәтіндік құжаттарды құру технологиясы қарастырылған. Онда HTML, JavaScript және РНР бағдарламалау тілдерінің синтаксисі, тэгтері, операторлары мен функциялары қаралған. Web-құжатта CSS технологиясы және JavaScript, РНР скрипттерден пайдалану әдістері көрсетілген. Оқу құралында осы аталған мәселелер мысалдармен көрнекі түрде сипатталған. Сонымен қатар оқу құралында берілген жеке тапсырмалар мен тест сұрақтары, оның мазмұнын түсінуге көмектеседі.
 Оқу құралы университеттiң 5В060200 – «Информатика» мамандығы бойынша оқитын студенттерге арналған.</t>
  </si>
  <si>
    <t>0002999</t>
  </si>
  <si>
    <t>Ибрагимов У.М.</t>
  </si>
  <si>
    <t>Web бағдарламалауға кіріспе</t>
  </si>
  <si>
    <t>Оқу құралында динамикалық гипермәтіндік құжаттарды құру технологиясы қарастырылған. Онда HTML, JavaScript және РНР бағдарламалау тілдерінің синтаксисі, тэгтері, операторлары мен функциялары қаралған. Сонымен қатар CSS технологиясын және скрипттерден пайдалану әдістері көрсетілген. Оқу құралында осы аталған мәселелер мысалдармен көрнекі түрде сипатталған. Ал оқу құралында берілген жеке тапсырмалар мен тест сұрақтары, оның мазмұнын түсінуге көмектеседі. 
 Оқу құралы университеттiң 5В060200 – «Информатика» мамандығы бойынша оқитын студенттерге арналған.</t>
  </si>
  <si>
    <t>0003000</t>
  </si>
  <si>
    <t>Ибрагимова Г.Н.</t>
  </si>
  <si>
    <t>Экологиялық сараптама. Лабораториялық практикум</t>
  </si>
  <si>
    <t>Лабораториялық практикум 5В060600 - “Химия” мамандығы-ның “Химиялық криминалистикалық және экологиялық сараптама” мамандануы бойынша дайындалып жатқан студенттерге арналған. 
 Лабораториялық практикум әр түрлі саладағы және салаара-лық экологиялық сараптау жұмыстары жөніндегі мағлұматтардың ерекшеліктері мен техникалық-нормативтік құжаттардың (стандарт-тарға, нормаларға, ережелерге және т.б.) негіздеріне және әдістеме-лік материалдарға (әдістемелік құралдарға, нұсқауларға, әдістемелік нұсқауларға және т.б.) сүйене отырып жазылған.
 Лабораториялық практикум жоғары оқу орындарының эколо-гиялық бағыттағы мамандықтары бойынша білім алып жүрген студенттерге арналған.</t>
  </si>
  <si>
    <t>0003003</t>
  </si>
  <si>
    <t>Ибрагимова Г.Н., Қоңырбаев Ә.Е.</t>
  </si>
  <si>
    <t>Бейорганикалық заттардың кристаллохимиясы</t>
  </si>
  <si>
    <t>Оқу құралында кристалл және кристалдық зат, кристаллдар симметриясы мен проекцияларына, бүтін сандар заңы және көпқырлы кристалдардың аналитикалық әдістемесінің жазылуына, бейорганикалық заттар мен силикаттардың кристаллохимиясының негізгі шарттары мен ережелеріне кеңінен тоқталған.</t>
  </si>
  <si>
    <t>0003004</t>
  </si>
  <si>
    <t>Электрические сети и системы</t>
  </si>
  <si>
    <t>В учебном пособии рассмотрены вопросы, изучаемые дисциплиной «Электрические сети и системы». Теоретический материал охватывает темы курса, читаемом для студентов специальности «Электроэнергетика»: элементы и конструкция электрических сетей; схемы замещения и параметры линий электропередач и силовых трансформаторов; определение потерь мощности в элементах и напряжения в узлах сети; практические способы расчета разомкнутых и замкнутых электрических систем. Теоретический материал сопровождается примерами расчетов. В приложении представлены справочные данные, необходимые для выполнения индивидуального задания по проектированию электрической сети промышленного района. Предназначено для студентов технических специальностей, а также преподавателей колледжей, ВУЗов и специалистов, работающих в электроэнергетической области.</t>
  </si>
  <si>
    <t>0003005</t>
  </si>
  <si>
    <t>Электрооборудование станций и подстанций</t>
  </si>
  <si>
    <t>В учебном пособии рассмотрены вопросы, изучаемые дисциплиной «Электрические станции и подстанции». Теоретический материал охватывает темы курса, читаемом для студентов специальности «Электроэнергетика»: виды и конструкция электрооборудования распределительных устройств электрических подстанций; теоретические сведения, на которых базируется выбор электрооборудования различного класса напряжения. В приложении приведены технические сведения некоторых типов электрических аппаратов, на сегодняшний день выпускаемых отечественной и зарубежной промышленностью.Предназначено для студентов-бакалавров и магистрантов технических специальностей, а также преподавателей колледжей, ВУЗов и специалистов, работающих в электроэнергетической области</t>
  </si>
  <si>
    <t>0003010</t>
  </si>
  <si>
    <t>Ибраев Ж.С.</t>
  </si>
  <si>
    <t>Жер бетіндегі көлік құралдары</t>
  </si>
  <si>
    <t>Оқу құралы құрылым, құрылғының негізі, теміржол және автомобиль көлігінде пайдаланылатын көлік құралдарының негізгі техникалық сипаттамаларын қамтиды. Оқу құралы 5B090100 – Тасымалдауды, жол қозғалысын ұйымдастыру және көлікті пайдалану мамандығында оқитын студенттерге пайдасы зор болмақ.</t>
  </si>
  <si>
    <t>0003011</t>
  </si>
  <si>
    <t>Локомотив шаруашылығы және локомотивтерді пайдалану</t>
  </si>
  <si>
    <t>0003012</t>
  </si>
  <si>
    <t>Методы оценки восстановления работоспособности деталей и узлов транспортной техники</t>
  </si>
  <si>
    <t>0003013</t>
  </si>
  <si>
    <t>Электрлі жылжымалы құрамға техникалық қызмет көрсету және оны жөндеуді ұйымдастыру</t>
  </si>
  <si>
    <t>0003014</t>
  </si>
  <si>
    <t>Современные методы диагностики подвижного состава</t>
  </si>
  <si>
    <t>В учебном пособие изложены:
 - методы оценки технического состояния объектов – отдельных узлов и агрегатов или подвижного состава в целом,
 - классификация средств технического диагностирования и их основные задачи, - методы диагностирования и средства технической диагностики, применяемые на железнодорожном транспорте.</t>
  </si>
  <si>
    <t>0003015</t>
  </si>
  <si>
    <t>Техническое диагностирование и их основные задачи</t>
  </si>
  <si>
    <t>0003018</t>
  </si>
  <si>
    <t>Ибраев Н.Х., Гладкова В.К.</t>
  </si>
  <si>
    <t>Атомдық спектроскопия</t>
  </si>
  <si>
    <t>Оқу құралы атомдық спектроскопия бойынша негізгі теориялық мағлұматтарды құрайды. Бұл оқу құралында атомдық спектрлердің құрылымы, плазманы диагностикалаудағы спектроскопиялық әдістердің тақырыптары бойынша зертханалық жұмыстардың циклының орындалуын қамтамасыз ететін атомдық спетроскопияның негізгі теориялық мәліметтері бар. 
 Жоғары оқу орындарындағы физика-техникалық факультетінің 5В071600 – «Прибор жасау» және басқа да инженерлік-техникалық мамандықтарында оқитын студенттерге зат құрылымын және спектроскопия облысында спектроскопиялық әдістерді оқып үйренуге, сонымен қатар магистранттарға, PhD докторанттарына арналған.</t>
  </si>
  <si>
    <t>0003024</t>
  </si>
  <si>
    <t>Ибраимова Ж.Ж.</t>
  </si>
  <si>
    <t>Қазақ тіліндегі айрықша құрылымды сөйлемдер синтаксисі</t>
  </si>
  <si>
    <t>Оқу құралы мектеп және жоғары оқу орындарының оқу құралдарының назарынан тыс қалып жүрген қазақ тіліндегі айрықша құрылымды синтаксистік бірліктерді оқыту мақсатында жазылып отыр. 
 Филология факультеттерінің студенттеріне, магистранттарға арналған.</t>
  </si>
  <si>
    <t>0003025</t>
  </si>
  <si>
    <t>Ибраимова Ж.Ж., Шаймаганбетова Ж.Ж.</t>
  </si>
  <si>
    <t>Учебно-методическое пособие «Профессиональный русский язык» составлено в соответствии с Типовой учебной программой дисциплины по специальности «Дизайн». Цель пособия - формирование и совершенствование теоретических знаний, речевых и коммуникативных умений и навыков студентов, необходимых в будущей профессиональной деятельности. Материал подобран и структурирован с учетом современных требований, предъявляемых к подготовке специалистов в вузах. В пособии представлены адаптированные тексты по специальности «Дизайн», глоссарии, задания для практических занятий, а также творческие развивающие задания для СРС. Учебно-методическое пособие «Профессиональный русский язык» предназначено для углубленной подготовки обучающихся по специальности «Дизайн» и ориентировано на современные требования и стандарты образования.</t>
  </si>
  <si>
    <t>0003029</t>
  </si>
  <si>
    <t>Ибылдаев М.Х.</t>
  </si>
  <si>
    <t>Көлік құралдарының қауіпсіздігі</t>
  </si>
  <si>
    <t>Оқу құралында автокөліктердің конструктивтік қауіпсіздігін реттейтін отандық және халықаралық нормативтік актілер кел- тірілген. Автокөліктің белсенді, енжарлы, апаттан кейінгі және экологиялық қауіпсіздігіне әсер ететін, оның пайдалану қасиет-тері қаралған. Жол көлік оқиғасының санын азайтуға қажетті ав- токөліктің тарту және тежеу динамикасының, тұрақтылығының, басқарымдылығының, жай жүруінің және мәліметтілігінің мән-дері көрсетілген. Жол қозғалыс қауіпсіз-дігінің автокөліктің аг- регаттарының және бөлшектерінің техникалық жағдайына бай- ланыстылығы қаралған. Оқу құралы «Көлік, көлік техникасы және технологиялары» және «Тасымалдауды, қозғалысты ұйымдастыру және көлікті пайдалану» мамандықтарында оқитын білімгерлерге арналған.</t>
  </si>
  <si>
    <t>0003030</t>
  </si>
  <si>
    <t>Мұнай-газ саласындағы техника және технологиялар</t>
  </si>
  <si>
    <t>0003033</t>
  </si>
  <si>
    <t>Игенбаева Р. Т.</t>
  </si>
  <si>
    <t>0003036</t>
  </si>
  <si>
    <t>Игибаева А.К. , Б.Т. Абалакова, А.К. Козыбаева</t>
  </si>
  <si>
    <t>Әлеуметтік педагогика</t>
  </si>
  <si>
    <t>Әлеуметтік педагогика – ортаның, қоғамның, тәрбиеге, әлеуметтенуге әсер ету факторын зерттейтін педагогиканың бір саласы. 
 Оқу құралы жоғары оқу орындарының оқу жоспарына, мемелекеттік жалпы білім беру стандартына сәйкес жазылған.
 Оқу құралында қарастырылған әлеуметтік педагогикалық мәселелердің негізгі идеялары мен мазмұны тыңғылықты айқындалып, ғылыми дәрежесі көтерілген. Сонымен бірге оқу құралында пән мазмұнын дамытуға сай негізгі ұғымдар, тест сұрақтары, ғылыми және курстық жұмыс тақырыптары және үш деңгейге жіктелген қосымша әлеуметтік-педагогикалық тапсырмалар топтамасы берілген.
 Оқу құралы жоғары оқу орындарының педагогтары мен студенттеріне арналған.</t>
  </si>
  <si>
    <t>0003038</t>
  </si>
  <si>
    <t>Игибаева А.К., А.Т.Дюсенбаева</t>
  </si>
  <si>
    <t>Оқу құралы ғылыми-педагогикалық бағыт бойынша білім алып жатқан магистранттарға арналған «Педагогика» типтік оқу бағдарламасы негізінде жасалған. Оқу құралында жоғары мектепте тұтас педагогикалық үрдісті басқарудың теориялық және технологиялық аспектілері қарастырылған және магистранттарға білім алу барысында болашақ кәсіби әрекеттің жеке элементтерін модельдеуге мүмкіндік береді. Оқу құралы магистранттар мен жоғары оқу орындарының оқытушыларына арналған.</t>
  </si>
  <si>
    <t>0003041</t>
  </si>
  <si>
    <t>Игильманов Ж.А., Кусаинова Г.Д., Игильманов А.А.</t>
  </si>
  <si>
    <t>Инженерлік геодезия</t>
  </si>
  <si>
    <t>5В071100 – Геодезия жане картография , 5В049000 - Қурылыс (салалар бойынша) мамандығы бойынша жогаргы оқу орындарында білім алушыларға арналған.</t>
  </si>
  <si>
    <t>0003044</t>
  </si>
  <si>
    <t>Игисинова Ж.Т.,</t>
  </si>
  <si>
    <t>Өсімдіктердің көбею биологиясы</t>
  </si>
  <si>
    <t>Оқу құралында өсімдіктердің көбею биологиясының ерекшеліктері қарастырылады. Материал қазіргі биологиялық зерттеулерге сүйене отырып, өсімдіктердің көбеюі төменгі сатыдағы өсімдіктерге жататын балдырлардан бастап жоғары сатыдағы - жабық тұқымды өсімдіктерге дейін күрделене түсу бағытында құрылған, көбеюдің жалпы сипаттамасы, балдырлардың, жоғары сатыдағы споралы өсімдіктер мен тұқымды өсімдіктердің көбею мүшелерінің құрылысы және көбею жолдары көрсетілген, ұрпақ және ядро фазаларының алмасуына басты назар аударылған.
 Оқу құралы «6M060700 – Биология» мамандығының магистрлеріне арналғанымен, жоғары оқу орындарының биология, экология мамандықтарының студенттері және мектеп мұғалімдері дарында оқушылармен жұмыс жүргізген кезде қолдана алады.</t>
  </si>
  <si>
    <t>0003045</t>
  </si>
  <si>
    <t>каз/англ</t>
  </si>
  <si>
    <t>Игисинова Ж.Т., Кабатаева Ж.К.</t>
  </si>
  <si>
    <t>Микробиология вирусология негіздерімен пәніне арналған зертханалық жұмыстар</t>
  </si>
  <si>
    <t>Әдістемелік құрал биология мамандығының оқу бағдарламасына сәйкес студенттерге зертханалық және өз бетімен атқарылатын жұмыстарды орындау барысында басшылыққа алынады. Аталмыш әдістемелік құралда берілген оқу материалдары студенттердің зертханалық сабақтарда микроағзалардың ерекшеліктерін сараптап, қорытындылауға мүмкіндік береді. Әдістемелік құралда зертханалық сабақтардың әдіс-тәсілдерінің сипаттамасы қазақ және ағылшын тілінде берілген. 
 Әдістемелік құралды экология, география мамандығының студенттері және биология мәселелеріне қызығушылық танытып жүрген магистранттар, ғылыми қызметкерлер, мектеп мұғалімдері де қолдана алады.</t>
  </si>
  <si>
    <t>0003060</t>
  </si>
  <si>
    <t>Изимова Р., Махамбетов М.Ж.</t>
  </si>
  <si>
    <t>Микробиология және вирусология негіздері</t>
  </si>
  <si>
    <t>Биология, биотехнология</t>
  </si>
  <si>
    <t>Оқу құралында микроорганизмдер туралы жалпы түсінік беріліп,прокариоттар мен вирустардың морфологиясы, жүйеленуі, физиологиясы, зат алмасуы, генетикасы мен экологиясы туралы баяндалған. Оқу құралы мазмұнының негізгі бөлімдерінде микроорганизмдердің қазіргі заманғы өнеркәсіпте, өндірісте, гендік, клеткалық инженерияда қолданылуы туралы ғылыми зерттеулер нәтижелеріне мән беріледі. Барлық баяндалған тақырыптар бойынша тестілік тапсырмалар және бақылау сұрақтары келтірілген. Оқу құралы университеттердің биология, биотехнология, экология, медицина мамандықтары студенттері мен магистранттарына, микробиология және вирусология саласындағы ғылыми қызметкерлерге және осы салаға қызығушылығы бар барша оқырмандарға арналған.</t>
  </si>
  <si>
    <t>0003061</t>
  </si>
  <si>
    <t>Изимова Роза</t>
  </si>
  <si>
    <t>Адам плацентасын іріңді хирургияда қолдануды микробиологиялық және иммунологиялық негіздеу</t>
  </si>
  <si>
    <t>Монографияда адам планцетасын іріңді хирургия мен онкологиялық клиникалардағы науқастардың жалпы жағдайларының жақсаруына қолдануы, сондай-ақ емдеудің нәтижелігі ғылыми тұрғыда негізделген, детоксикациялық ем әдістерінің қолданылуы айқындалған. Жалпы жүргізілген зерттеулердің нәтижесінде планцетаның айқын детоксикацялық, бактериосорбциялық қасиеттері мен физиологиялық ерекшеліктері, микрофлорасы анықталған. Адам планцентасын жан-жақты емдік әсері олардан көптеген биологиялық белсенді заттар алынатыны, сол себепті биосорбент, биостимулятор ретінде қолдану туралы тәжірибелерінде негізделген тұжырымдарды қамтиды. Монография кең ауқымды оқырмандарға, медицина және биология саласындағы ғылыми қызметкерлер мен мамандарына, жоғары оқу орнының студенттері, магистрлары, оқытушыларына арналған.</t>
  </si>
  <si>
    <t>0003064</t>
  </si>
  <si>
    <t>Изумрудов В.А., Касымова Ж.С., Мусабаева Б.Х., Мурзагулова К.Б.</t>
  </si>
  <si>
    <t>Полиэлектролитные мультислои: получение, свойства и применение</t>
  </si>
  <si>
    <t>Монография посвящена рассмотрению методов получения и изучения свойств полиэлектролитных мультислоев и полиэлектролитных микро- и нанокапсул с целью создания новых объектов с модифицированными поверхностями, используемых для решения ключевых задач науки и техники. Подробно описан метод самосборки мультислоев путем их электростатического послойного формирования (Layer-by-Layer или LbL техники), рассмотрены подходы к получению и изучению свойств биополиэлектролитных мультислоев, в том числе на основе природного полимера хитозана. Отдельное внимание уделено вопросам применения полиэлектролитных мультислоев и полиэлектролитных мультикапсул в биотехнологии, фармакологии, медицине, биохимии и технике. Приводятся результаты собственных исследований авторов по микрокапсулированию противотуберкулезных препаратов с помощью различных биополимеров методом ионотропного гелеобразования и по эффективности включения препаратов в микрокапсулы и пролонгированного их высвобождения при значениях рН, соответствующих различным участкам желудочно-кишечного тракта (ЖКТ). Монография предназначена для широкого круга специалистов, работающих в области полимерной химии, фармацевтики, фтизиатрии и может быть полезна магистрантам и студентам старших курсов химических, фармацевтических и медицинских специальностей. Монография написана при финансовой поддержке Министерства образования и науки Республики Казахстан, грант№ 0794/ГФ4.</t>
  </si>
  <si>
    <t>0003065</t>
  </si>
  <si>
    <t>Икласова К.Е.</t>
  </si>
  <si>
    <t>Бағдарламалау бойынша есептерді шешуге арналған әдістемелік құрал</t>
  </si>
  <si>
    <t>0003071</t>
  </si>
  <si>
    <t>Ильясов К.</t>
  </si>
  <si>
    <t>Материалтанудан зертханалық практикум</t>
  </si>
  <si>
    <t>0003073</t>
  </si>
  <si>
    <t>Ильясов Р. М., Бердалиева А. А., Овчинников В. А.</t>
  </si>
  <si>
    <t>Силовые преобразователи электрической энергии</t>
  </si>
  <si>
    <t>Учебное пособие предназначено для студентов электротехнических специальностей. Изучение курса «Силовые преобразователи электрической энергии» базируется на знании физики, теоретической электротехники, электрических машин и физических основ электроники. 
 При изложении курса с учетом специфики направления подготовки студентов основное внимание уделено не разработке преобразователей, а их правильному выбору и применению. Поэтому подробно рассматриваются регулировочные, внешние и энергетические характеристики преобразователей различных типов. Большое внимание уделено улучшению энергетических показателей преобразователей, уменьшению их вредного влияния на питающую сеть и улучшению качества выходного напряжения.</t>
  </si>
  <si>
    <t>0003079</t>
  </si>
  <si>
    <t>Имакова Г.У.</t>
  </si>
  <si>
    <t>Қолданбалы саясаттану</t>
  </si>
  <si>
    <t>0003080</t>
  </si>
  <si>
    <t>Саяси психология</t>
  </si>
  <si>
    <t>Оқулық жоғарғы оқу орындарында оқытылатын саяси психологияның дәстүрлік типтік бағдарламасына негізделіп жасалды. Оқулықта саяси психологияның жалпы мәселелері, танымдық процестер, жеке адам мәселесі және саяси тұлғаның эмоционалдық аумағы мәселесі мен қасиеті, сапалары жөніндегі ғылыми – қолданбалы ақпарат осы заманғы психологиялық теориялар негізінде терең әрі ауқымды берілді. Бұл оқулық жоғарғы оқу орындарының саясаттану мамандығы студенттеріне арналған.</t>
  </si>
  <si>
    <t>0003087</t>
  </si>
  <si>
    <t>Иманбаев С.М.</t>
  </si>
  <si>
    <t>Альбом схем по уголовному праву Республики Казахстан (Общая часть)</t>
  </si>
  <si>
    <t>В учебно-методическом пособии в схематическом виде раскрывается содержание курса «Уголовное право Республики Казахстан: Общая часть» в соответствии с учебной программой и тематическим планом изучения данной дисциплины. Альбом схем предназначен для студентов, слушателей, магистрантов, аспирантов, адъюнктов, докторантов юридических специальностей, изучающих Уголовное право, а также рекомендуется профессорско-преподавательскому составу, сотрудникам правоохранительных, судебных органов и всем изучающим Общую часть уголовного права</t>
  </si>
  <si>
    <t>0003088</t>
  </si>
  <si>
    <t>Иманбаева А.Б.</t>
  </si>
  <si>
    <t>Жуықтап есептеу әдістері</t>
  </si>
  <si>
    <t>«Жуықтап есептеу әдістері» дәрістер жинағы пән бағдарламасының және оқу жоспары талаптарына сәйкес құрастырылды. 5B060100-Математика мамандығының студенттері үшін арналған. «Жуықтап есептеу әдістері» пәнінен дәрістер жинағы сабақтарының тақырыптарына сәйкес жасалды. Бұл жинағ студенттер үшін тиімді қосымша әдебиет ретінде ұсынылып отыр</t>
  </si>
  <si>
    <t>0003089</t>
  </si>
  <si>
    <t>Математика в экономике</t>
  </si>
  <si>
    <t>Учебное пособие состоит из элементов аналитической геометрии и линейной алгебры, дифференциального и интегрального исчисления, дифференциальных уравнений, рядов, элементов теории вероятностей и математической статистики</t>
  </si>
  <si>
    <t>0003091</t>
  </si>
  <si>
    <t>Иманбаева З. О.</t>
  </si>
  <si>
    <t>Басқару есебі</t>
  </si>
  <si>
    <t>«Басқару есебі» оқу құралында басқару есебінің теориялық негіздері, процедуралары, оның бастапқы принциптері және логикасы қарастырылады. Сонымен қатар нарық жағдайында кәсіпорынның табыстылық көрсеткіштерінің жүйесі, табыстардың рөлі және негізгі функциялары зерттеледі. Рентабельділік көрсеткіштерінің мәні және рөлі анықталады, капиталдың табыстылық деңгейіне факторлардың әсер етуін талдау әдістемесі, өндірістік қорлардың рентабельділік деңгейінің талдау факторлық моделі қарастырылады. Капиталды пайдалану және орналастыруда, әріптестерді таңдауда, кәсіпорынның бәсекелестігін анықтауда, пайдаланусыз қалған мүмкіндіктерді бағалауда басқару есебінің мәні анықталады. Сонымен бірге кәсіпорынның қаржылық тұрақтылығын сипаттайтын көрсеткіштер жүйесі зерттеледі, кәсіпорынның кредиторлық берешектігінің құрамы мен құрылымы және кредиторлық берешек талданады. Кәсіпорын қызметінің нәтижелілігі және қаржылық тұрақтылықтың талдауы көрсетіледі. Бұл оқу құралы ЖОО-ның студенттеріне, магистранттарына, докторанттарына,
 оқытушыларына және жалпы оқырман қауымға арналады</t>
  </si>
  <si>
    <t>0003092</t>
  </si>
  <si>
    <t>Иманбаева Л.Х., Смирнов Ю.М.</t>
  </si>
  <si>
    <t>Ұсынылып отырған оқулық 5B071200 - «Машинажасау», 5В072400 - «Технологиялық машиналар және жабдықтау» мамандықтарында кредиттік технологиямен оқитын студенттерге, әрі жас оқытушыларға арналған. Бұл жоғарғы техникалық оқу орындарының қазақ бөлімдерінде оқитын студенттердің теориялық механика пәнін тереңірек меңгеруіне жетекшілік ететін оқулық болып саналады. Оның мазмұны теориялық механика пәнінің қазіргі кездегі программасына сәйкестірілген. Сонымен бірге, әрбір тараудан кейін бірқатар типтік есептер мен мысалдардың толық шешімдері берілген және студенттердің өздері шешуіне есептер ұсынылған.</t>
  </si>
  <si>
    <t>0003093</t>
  </si>
  <si>
    <t>Иманбеков М.М., Абылайхан С.М</t>
  </si>
  <si>
    <t>Мeктeпкe дeйінгі білім бeру мeн тәрбиeлeудeгі қaзіргі пeдaгогикaлық тeхнологиялaр</t>
  </si>
  <si>
    <t>Оқу құpaлы</t>
  </si>
  <si>
    <t>Оқу құpaлындa мeктeпкe дeйінгі ұйымның оқу-тәрбие үдерісінде қолдaнылaтын жaңa пeдaгогикaлық тeхнологиялaр жaйындa мәceлeлeр қaрacтырылып, олaрдың түрлeрінe, ерекшеліктеріне жaн-жaқты тоқтaлғaн. Оcы куpcты мeңгepгeн мaмaндap мeктeп жacынa дeйiнгi бaлaлapды оқытудa, тәрбиeлeудe, ұйымдacтырылғaн оқу қызметі барысында жаңа педагогикалық технологияларды қолдaнуға үйpeнeдi. Oқу құpaлы бiлiм бepу бaғытындaғы мaмaндapғa, пeдaгoгикa мaмaндығы бoйыншa бiлiм aлaтын cтудeнттepгe, мaгиcтpaнттap мeн дoктopaнттapғa, oқу-тәpбиe ұйымдapының жeтeкшiлepi мeн әдicкepлepгe, тәpбиeшiлepгe apнaлғaн</t>
  </si>
  <si>
    <t>0003094</t>
  </si>
  <si>
    <t>рус каз англ</t>
  </si>
  <si>
    <t>Иманбердиева С.К., Оспанбекова Р.</t>
  </si>
  <si>
    <t>Орысша-қазақша-ағылшынша экономикалық сөздік-тілдескіш. Русско-казахский-английский экономический словарь-разговорник. Russian-kazakh-english economic dictionary-phrase book</t>
  </si>
  <si>
    <t>Настоящий словарь-разговорник, обучающего характера содержит наиболее часто употребляемые, а также узко специальные слова и выражения, связанные с экономикой. Перед каждым тематическим разделом приведены отдельные термины и терминологические сочетания, способствующие развитию специальной речи. Разговорник построен не только в форме диалогов, но и охватывает необходимые модели по которым пользователи могут развивать не только разговорную, но и специальную, профессиональную речь, заменив в нем отдельные термины и терминологические сочетания. Разговорник предназначен для усвоения и развития разговорной и специальной речи в сфере экономики.</t>
  </si>
  <si>
    <t>0003095</t>
  </si>
  <si>
    <t>Иманбердиева С.Қ.</t>
  </si>
  <si>
    <t>Лингвоелтанымдық атаулар сыры</t>
  </si>
  <si>
    <t>Бұл кітапта лингвоелтанымдық (процедент) атаулар табиғаты ашылған. Сонымен бірге 230-дай атаудың мәні, қазақ лингвомәдени қауымда қабылдануы және паремияда қолданысы, тіл иелерінің атауды қабылдаудағы түсінігі анықталған. Кітап филология саласындағы зерттеушілер, жоғары оқу орындарының оқытушылары мен студенттеріне, жалпы оқырман қауымға, лингвомәдениеттану, ономастикаға қызығушылық танытушыларға, қазақ тілін үйренушілерге арналған</t>
  </si>
  <si>
    <t>0003096</t>
  </si>
  <si>
    <t>Тарихи ономастикалық Кеңістік (Х-ХІV ғғ. түркі жазба ескерткіштері негізінде)</t>
  </si>
  <si>
    <t>Бұл еңбекте орта ғасыр түркі жазба ескерткіштерінің ономастикалық кеңістігі қарастырылған.Тарихи поэтонимдердің когнитивтік тұрғыдан, мәтін ішіндегі функционалдық-прагматикалық қырынан талдануы еңбек өзектілігінің болмысын танытады. Орта ғасыр ескерткіштеріндегі ономастикалық кеңістік анықталып, онимдік топтар мен құрылымдық типтері айқындалуы, мәтін түзуші онимдік бірліктерге қатысты концептуалдық танымның кодқа салынуы мен жалқы есімдердің атаушы, жекелеуші тілдік бірлік ретінде қарастырылуы ғалымның еңбегінің жемісі. Тарихи ескерткіштердегі онимдерді сол кезден ақпарат беруші тарихи-мәдени код ретінде танып, оны қазіргі тілмен байланыстыра зерттеу тарих қойнауындағы онимдердің қалыптасуы мен даму сипатын айқындауға мүмкін беретіні сөзсіз. Кітап филология саласындағы зерттеушілер, жоғары оқу орындарының оқытушылары мен студенттеріне, жалпы оқырман қауымға, лингвомәдениеттану, ономастикаға қызығушылық танытушыларға, қазақ тілін үйренушілерге арналған</t>
  </si>
  <si>
    <t>0003097</t>
  </si>
  <si>
    <t>Иманғазинов М.М.  /  Имангазинов М.М.</t>
  </si>
  <si>
    <t>"Тамаша адамдар өмірі" сериясы бойынша Ілияс Жансүгіров</t>
  </si>
  <si>
    <t>0003098</t>
  </si>
  <si>
    <t>Иманғазинов М.М.</t>
  </si>
  <si>
    <t>Ильясоведение</t>
  </si>
  <si>
    <t>Учебное пособие по курсу «Ильясоведение» посвящено неповторимой жизни и богатому, многогранному творчеству Ильяса Жансугурова. Ильяс Жансугуров был не только поэтом, он известен еще и как большой прозаик, драматург, сатирик и талантливый переводчик. Ильяс Жансугуров занимает огромное место в истории казахской культуры, литературы и журналистики. Своим творчеством он внес значительный вклад в формирование нового художественного метода в казахской литературе. Данное учебное пособие рекомендуется для студентов-филологов и журналистов, а также для широкого читательского круга.</t>
  </si>
  <si>
    <t>0003100</t>
  </si>
  <si>
    <t>Антика әдебиеті. Хрестоматия</t>
  </si>
  <si>
    <t>0003101</t>
  </si>
  <si>
    <t>Ілияс Жансүгіров өмірі мен шығармашылығы</t>
  </si>
  <si>
    <t>Ілияс Жансүгіров өмірі мен шығармашылығы» арнаулы курсы бойынша оқу құралы. Жоғары оқу орындарының филология мамандықтары ішіндегі 5В011700 – қазақ тілі мен әдебиеті студенттеріне студенттеріне арналған</t>
  </si>
  <si>
    <t>0003103</t>
  </si>
  <si>
    <t>Имангалиева Б.С., Торсыкбаева Б.Б.</t>
  </si>
  <si>
    <t>Мектепте химиялық эксперименттерді жүргізу әдістемесі</t>
  </si>
  <si>
    <t>Оқу құралы «химия», «химия және биология» мамандығы бойынша жоғары оқу орындары студенттеріне, сонымен қатар колледждер мен орта мектеп оқытушыларына, магистранттарға арналған. Оқулықта бейорганикалық және органикалық химиядағыэксперимент есептеулері, шығарту әдістемесі,өз бетімен орындауға арналған есептер мен жаттығулар,тест тапсырмаларыкелтірілген. Қосымшада есеп шығаруға қажетті кестелер қарастырылған.</t>
  </si>
  <si>
    <t>0003104</t>
  </si>
  <si>
    <t>Имандосов А.Т.</t>
  </si>
  <si>
    <t>Көлік құралдарымен жолаушы тасымалдау негіздері</t>
  </si>
  <si>
    <t>Оқу құралында жолаушылар тасымалдаушы автомобиль көліктерін коммерциялық пайдалану және басқару; жолаушылар ағымын жасақтау, оны анықтау және зерттеу әдістері; қалада және қала маңындағы аудандарда тиімді маршруттар жүйесін жасақтау; жолаушылар тасымалдаушы автокөлік құралдарының түрлері мен техникалық-пайдалану мінездемелері және олардың қажетті санын анықтау әдістері; жүргізушілер еңбегін ұйымдастыру; жылжымалы құрамның қозғалысын ұйымдастыру; жолаушылар тасымалдаушы көлік құралдарының қозғалысын бақылау және басқару жүйесі туралы мәліметтер берілген.Қалалық, қала маңында және қала аралық жолаушылар тасымалдаушы автомобиль көліктері жұмысының техникалық пайдалану көрсеткіштерін анықтау бойынша білімгерлердің және магистранттардың өзбетінше орындауы тиіс болған есептердің варианттары берілген. Есептерді шешу үшін қажетті формулалар және формула үшін қабылданған шартты белгілеулер келтірілген. Есептерді шығару бойынша әдістемелік нұсқаулар беріліп, әр түрлі тақырыпқа берілген есептерді шешу жолдары мысалдармен көрсетілген</t>
  </si>
  <si>
    <t>0003108</t>
  </si>
  <si>
    <t>Иманжүсіп Р.</t>
  </si>
  <si>
    <t>Портреты эпохи репрессий</t>
  </si>
  <si>
    <t>Издание второе, переработанное и дополненное. В учебном пособии представлены материалы о жизни творчестве известных казахских писателей и поэтов, репрессированных в годы сталинского режима: Жусипбека
 Аймауытова, Ахмета Байтурсынова, Миржакыпа Дулатова, Магжан
 Жумабаева, Шакарима Кудайбердиева, Иманжүсупа Кутпанова
  Предлагаются художественные переводы произведений, выполнены автором. Предназначается преподавателям, учителям, студентам, магистрантам.</t>
  </si>
  <si>
    <t>0003152</t>
  </si>
  <si>
    <t>Исабаева Г. М.</t>
  </si>
  <si>
    <t>Аналитическая химия (количественные, физико-химические методы анализа)</t>
  </si>
  <si>
    <t>В учебном пособии излагаются основы химического и физико-химического метода анализа, описаны (гравиметрические, титриметрические) и инструментальные (оптические, электро-химические, хроматографические) методы количественного анализа. Особое внимание уделено проблеме пищевых производств в аспекте аналитической химии, химизму процессов обработки сырья и продуктов пищевой промышленности.Пособие выполнено в соответствии с типовой программой. Предназначено для студентов специальности «Технология продовольственных продуктов», «Стандартизация и сертифкация», «Экология»</t>
  </si>
  <si>
    <t>0003153</t>
  </si>
  <si>
    <t>Емдік тамақтану технологиясы</t>
  </si>
  <si>
    <t>«Емдік тамақтану технологиясы» оқу құралында, кең таралған әр түрлі ауруларға шалдыққандар үшін, емдік тамақтану технологиясы берілген. Сонымен қатар, аурудың эпидемиологиясы, ауырған мүшенің физиологиясы да жазылған. Ерекше назар жүкті әйелдердің, бала емізген әйелдердің, жасы ұлғайған адамдардың тамақтану тәртіптері мен кейбір сәнді диеталарға бөлінген.Аталмыш оқу құралы «Азық-түлік технологиясы», «Мейрамхана және мейманхана ісі», «Туризм», «Әлеуметтік жұмыс» мамандықтарда оқитын студенттерге және қызығушылық білдіргендерге арналған</t>
  </si>
  <si>
    <t>0003154</t>
  </si>
  <si>
    <t>Курс органической химии излагается на основе современных теоретических представлений в соответствии с утвержденной типовой программой для специальности «Технология продовольственных продуктов».
 Особое внимание уделяется общим закономерностям, останавливаясь в то же время на свойствах наиболее важных органических соединений, подробно рассматриваются те соединения, которые составляют основную массу органического вещества пищевого сырья и готовой продукции (углеводы, белки, липиды, карбоновые и аминокислоты).</t>
  </si>
  <si>
    <t>0003155</t>
  </si>
  <si>
    <t>Особенности технологии национальной и зарубежной кухни (казахская кухня, кухня стран СНГ, восточная кухня)</t>
  </si>
  <si>
    <t>Курс «Особенности технологии национальной и зарубежной кухни» является курсом по выбору для специальностей «Технология продовольственных продуктов», «Туризм», «Ресторанное дело и гостиничный бизнес».Студентам предлагается краткое исследование кулинарных традиций и особенностей национальных кухонь различных народов, дается представление о характерных приемах приготовления пищи, содержит рецептуры наиболее популярных и вкусных блюд. Учебное пособие поможет не только правильно приготовить блюдо, но и изысканно подать его, а также составить меню согласно обычаям и вкусовым пристрастиям различных народов.В курсе также рассматривается географическое положение, климатические условия, религиозные табу и этногенез той или иной национальности и в соответствии с этим различие технологий блюд данной национальной кухни, что очень полезна студентам специальности «Туризм».Учебное пособие опирается на Сборник рецептур блюд зарубежной кухни профессора Васюковой А.Т.</t>
  </si>
  <si>
    <t>0003156</t>
  </si>
  <si>
    <t>Химия для специальности "Экология"</t>
  </si>
  <si>
    <t>В учебном пособии излагаются основы общей и неорганической химии, химии атмосферы, гидросферы и литосферы.Освещается современная теория строения атома, энергетика характеристики химических реакций и общие свойства растворов.Обосновывается биогеохимический круговорот и роль химических элементов в жизни живых организмов. Большое внимание уделено влиянию некоторых химических соединений на окружающую среду.Предназначено для студентов специальности «Экология».</t>
  </si>
  <si>
    <t>0003157</t>
  </si>
  <si>
    <t>Ет және ет өнімдері. Мясо и мясопродукты</t>
  </si>
  <si>
    <t>кейс</t>
  </si>
  <si>
    <t>Қазіргі кезде, 7 млрд адамды етпен қамтамасыз ету үшін, дүние жүзінде 60 млрд бас мал өсіруде – бүл деген бүкіл адамзат тарихында болмаған сан. 2050 жылы жер жүзінде 9 млрд адам өмірсүреді екен, енді дамып кележатқан мемлекеттерде тұтынушылық қасиеттері өзгере бастайды, сол себептен етті өткен кезендерденде көп қабылдайтын болады, сонда мал саны- 100 млрдқа дейін өсетіні абзал</t>
  </si>
  <si>
    <t>0003158</t>
  </si>
  <si>
    <t>Спортивная диетология</t>
  </si>
  <si>
    <t>Учебное пособие «Спортивная диетология» рассматривает вопросы спортивной нутрициологии, лечебно-восстановительного питания для восстановления организма спортсменов после интенсивных физических нагрузок и при наиболее распространенных заболеваниях. Особое внимание уделено питанию спортсменов – юниоров, а так же токологическому и геронтологиче-скому питанию. Пособие знакомит с основным содержанием распространённых «модных» диет. 
 Учебное пособие предназначено для магистрантов, студентов, тренеров, врачей и преподавателей.</t>
  </si>
  <si>
    <t>0003159</t>
  </si>
  <si>
    <t>Технология спортивного и лечебного питания</t>
  </si>
  <si>
    <t>Курс «Основы технологии спортивного и лечебного питания» является курсом по выбору для специальностей: «Технология продовольственных продуктов», «Стандартизация и сертификация», «Социальная работа», «Ту-ризм», «Ресторанное дело и гостиничный бизнес», «Физическая культура и спорт».
 В пособии рассматриваются вопросы по спортивной нутрициологии, во-просы лечебно-профилактического питания при наиболее распространенных заболеваниях. Особое внимание уделено токологическому и геронтологиче-скому питанию. Пособие подробно знакомит с основными принципами вегета-рианства и распространённых «модных» диет.</t>
  </si>
  <si>
    <t>0003162</t>
  </si>
  <si>
    <t>Исабеков Б.Н.</t>
  </si>
  <si>
    <t>Индустриально-технологическое развитие Казахстана</t>
  </si>
  <si>
    <t>Рассматриваются теоретико-методологические разработки и выводы отечественных и зарубежных исследователей по научному обоснованию основных направлений индустриально-технологического развития Казахстана и обеспечение модернизации реального сектора экономики 
 Выявленные в процессе исследования основные тенденции, закономерности и механизмы развития основных направлений индустриально-технологического развития Казахстана и обеспечение модернизации реального сектора экономики могут быть использованы органами государственной власти и управления при формировании устойчивого развития хозяйственной системы в условиях усиления глобальной конкуренции, при разработке региональных программ социально-экономического развития.
 Работа предназначена для студентов, магистрантов, докторантов, преподавателей вузов, научных работников, главных специалистов и руководителей предприятий производственной сферы</t>
  </si>
  <si>
    <t>0003163</t>
  </si>
  <si>
    <t>Исабеков Б.Н., Қарақұлова А.Б.</t>
  </si>
  <si>
    <t>Аутсорсинг. Аутстаффинг. Аутплейсмент</t>
  </si>
  <si>
    <t>0003175</t>
  </si>
  <si>
    <t>Исаева А. У.</t>
  </si>
  <si>
    <t>«Концепция биорекультивации нефтезагрязненных почв и вод юга Казахстана» 1 том</t>
  </si>
  <si>
    <t>В монографии представлены научные и методические основы концепции биологической очистки нефтезагрязненных почв и сточных вод с использованием жизнедеятельности различных биологических объектов в аридных условиях юга Казахстана. Издание может служить пособием для студентов, аспирантов и научных работников, проводящих исследования в области экологической биотехнологии.</t>
  </si>
  <si>
    <t>0003176</t>
  </si>
  <si>
    <t>«Концепция биорекультивации нефтезагрязненных почв и вод юга Казахстана» 2 том</t>
  </si>
  <si>
    <t>0003177</t>
  </si>
  <si>
    <t>978-601-330-442-7</t>
  </si>
  <si>
    <t>Исаева А. У., Исаев Е. Б.</t>
  </si>
  <si>
    <t>Лабораторный практикум по дисциплине "Введение в биологию"</t>
  </si>
  <si>
    <t>В учебном пособии представлены лабораторные работы по основным разделам биологии. В учебном пособии последовательно показаны лабораторные занятия от используемых биологических методов исследования до физиолого-биохимических процессов. Издание может служить пособием для студентов специальностей: биология, география, экология, аспирантов и научных работников.</t>
  </si>
  <si>
    <t>0003178</t>
  </si>
  <si>
    <t>Методические указания для самостоятельной работы студентов (СРС) по дисциплине «Биология»</t>
  </si>
  <si>
    <t>Методические указания составлены в соответствии с требованиями учебного плана и учебной программой курса дисциплины «введение в биологию» и включают все необходимые сведения по выполнению тем самостоятельной работы студентов.Методические указания рекомендуется для студентов, обучающихся по специальностям: биология, география, экология</t>
  </si>
  <si>
    <t>0003179</t>
  </si>
  <si>
    <t>Исаева А. У./Issayeva</t>
  </si>
  <si>
    <t>Modern achievements of biotechnology</t>
  </si>
  <si>
    <t>"Современные достижения биотехнологии" Пособие составлено в соответствии с требованиями учебной программы и дисциплины программы. Пособие содержит краткое изложение лекций, планы практических занятий и список экзаменационных вопросов.
 Пособие предназначено для студентов всех форм обучения по специальностям «Биология», «Биотехнология».</t>
  </si>
  <si>
    <t>0003180</t>
  </si>
  <si>
    <t>Исаева А.И.</t>
  </si>
  <si>
    <t>М.С. Мұқановтың этнология ғылымы мен отан тарихына қосқан үлесі</t>
  </si>
  <si>
    <t>0003181</t>
  </si>
  <si>
    <t>978-601-342-809-3</t>
  </si>
  <si>
    <t>Исаева А.У.</t>
  </si>
  <si>
    <t>Основы биогеотехнологии металлов</t>
  </si>
  <si>
    <t>В учебном пособии приведен материал об истории становления и основных направлениях развития биогеотехнологии, ее составных частях, группах микроорганизмов, участвующих в превращениях соединений металлов в Природе и их использовании в горно-металлургическом цикле. Представлены данные об сипользовании биологических объектов в биоиндикации и биоремедиации почв и вод,загрязненных тяжелыми металлами. Данное учебное пособие предназначено для проведения спецкурсов у студентов, магистрантов, докторантов различных форм обучения по специальностям: биология, биотехнология, экология.</t>
  </si>
  <si>
    <t>0003182</t>
  </si>
  <si>
    <t>В лабораторном практикуме приведен материал об истории становления и основных направлениях развития биогеотехнологии, ее составных частях, группах микроорганизмов, участвующих в превращениях соединений металлов в Природе и их использовании в горно-металлургическом цикле. Представлены данные об сипользовании биологических объектов в биоиндикации и биоремедиации почв и вод,загрязненных тяжелыми металлами. Лабораторный практикум предназначен для проведения спецкурсов у студентов, магистрантов, докторантов различных форм обучения по специальностям: биология, биотехнология, экология.</t>
  </si>
  <si>
    <t>0003183</t>
  </si>
  <si>
    <t>Исаева А.У., Жумадулаева А.И.</t>
  </si>
  <si>
    <t>Профессиональный русский язык
 для студентов-биологов</t>
  </si>
  <si>
    <t>Дисциплина «Профессиональный русский язык» представляет собой область знаний, включающую в содержание русский язык, основы профессии и специальности, культуру деловой коммуникации в общем цикле подготовки студентов биологических специальностей. 
 Задачи дисциплины следующие: овладение системой базовых понятий и терминологии биологических дисциплин; овладение системой прагматических единиц речевого уровня; обогащение фоновых знаний энциклопедическими и интеллектуально- культурными сведениями о специальности; развитие умений и навыков написания и защиты учебно-научной работы по специальности; развитие умений и навыков написания и защиты учебно-научной речи студентов в диалогической/монологической, устной/письменной форме.
 Данное учебное пособие составлено на основе доступной информации и предназначено для студентов биологическх специальностей.</t>
  </si>
  <si>
    <t>0003184</t>
  </si>
  <si>
    <t>Исаева А.У., Исаев Е.Б.</t>
  </si>
  <si>
    <t>Организация и планирование научно-исследовательской работы в биологии</t>
  </si>
  <si>
    <t>В учебном пособии представлены подходы к организации и планировании НИР с учетом требовании системы менеджмента качества (СМК) и ГОСТ РК ИСО 9001–2001. Показаны пути определения актуальности выбранной темы исследований, описание объекта и методов исследования, методы статистической обработки результатов, принципы работы с литературными источниками и оформление аналитического обзора, составление выводов и заключений по НИР. Издание может служить пособием для студентов, аспирантов и научных работников.</t>
  </si>
  <si>
    <t>0003185</t>
  </si>
  <si>
    <t>Исаева А.У., Мессиаш Б., Лешка Б., Успабаева А.А., Тлеукеева А.Е.</t>
  </si>
  <si>
    <t>Роль альгофлоры в экобиотехнологии</t>
  </si>
  <si>
    <t>В монографии описано состояние водных ресурсов Южного Казахстана, представлены результаты гидробиологического обследования ряда водоемов, исследования аллелопатических свойств нитчатых водорослей, показана возможность культивирования альгофлоры и использования их в экобиотехнологических целях. Монография предназначена для научных сотрудников, работников природоохранных и экологических учреждений, студентов и магистрантов, обучающихся по специальностям «Биология», «Биотехнология», «Экология».</t>
  </si>
  <si>
    <t>0003186</t>
  </si>
  <si>
    <t>Исаева Г.К.</t>
  </si>
  <si>
    <t>Қаржылық жоспарлау және болжау</t>
  </si>
  <si>
    <t>Оқу құралында қаржылық жоспарлау мен болжаудың теориялық және тәжірибелік аспектілері қарастырылып, қаржы жоспарын құруда қажет болатын мәліметтер келтірілген. Оқу құралын 5B050509 - «Қаржы» мамандығының студенттері, кәсіпкерлер, банк және сақтандыру компанияларының қызметкерлері, сонымен қатар экономика аясындағы мәселелерге қызығушылық танытқан басқа да тұлғалар пайдалана алады. Оқу құралы 5B050900 - «Қаржы» мамандығының студенттеріне арналған.</t>
  </si>
  <si>
    <t>0003187</t>
  </si>
  <si>
    <t>Исаева Г.К. / Issayeva G.K.</t>
  </si>
  <si>
    <t>History of Economic Doctrines</t>
  </si>
  <si>
    <t>Textbook is made according to requirements of the curriculum and the program of discipline "History of Economic Doctrines" and includes all necessary data on performance of lectures and seminar occupations of a rate by that. Textbook is intended for students of economical specialties.</t>
  </si>
  <si>
    <t>0003192</t>
  </si>
  <si>
    <t>Исакова С.А.</t>
  </si>
  <si>
    <t>Аудит теориясы</t>
  </si>
  <si>
    <t>Құрал экономикалық мамандықтардың студенттеріне, аспиранттарына және оқытушыларына, біліктілікті жоғарылату курстары мен орталықтарының тыңдаушыларына, кәсіби бухгалтерлер мен аудиторларды дайындауға сонымен қатар бухгалтерлер мен аудиторлар - практиктерге, қаржылық бақылау қызметінің басқа органдарының қызметкерлеріне арналған. ҚР білім және ғылым министрлігі, ҚР жоғары оқу орындарының экономикалық мамандықтары бойынша ОЭБ және М.Х Дулати атындағы Тараз мемлекеттік университетінің Ғылыми Кеңесі ұсынған. Бұл еңбекті немесе оның бөліктерін автордың келісімінсіз таратуға және авторлық құқық жөніндегі нормаларға қайшы келетін басқа да әрекеттерге тыйым салынады, әрі заң бойынша жазаланады</t>
  </si>
  <si>
    <t>0003193</t>
  </si>
  <si>
    <t>978-601-330-945-3</t>
  </si>
  <si>
    <t>Исакова С.С.</t>
  </si>
  <si>
    <t>Қазақ терминтанымы: лексикалық құрамы, жасалу тәсілдері, прагматикалық қызметі</t>
  </si>
  <si>
    <t>Бұл еңбекте қазақ терминтанымының лексикалық құрамы, жасалу тәсілдері, прагматикалық қызметі қарастырылады. Жалпы тіл біліміндегі және қазақ тіл біліміндегі термин зерттеудің жайы, терминологиялық лексика, әдеби тіл, жалпыхалықтық тіл мәселелері сөз болады. Қазақ тіл біліміндегі термин туралы жазылған ой-пікірлерге талдау жасалынады. Қазақ терминологиясының даму кезеңдері, термин жасау қағидаттары қарастырылады. Терминнің танымдық табиғаты, оның басқа функционалдық стилдерде қолдану ерекшеліктері туралы дәлелді пікірлер келтірілген. Еңбекті салалық ғылымдар терминдерін зерттеушілерге, тіл мамандарына, жоғары оқу орындарының филология факультеттерінің студенттеріне пайдалануға ұсынылады. Ол «Қазіргі қазақ тілінің терминологиясы», «Терминтаным» және «Қазақ тілінің лексикологиясы» атты негізгі курстарға қосымша ретінде пайдалануға болады.</t>
  </si>
  <si>
    <t>0003195</t>
  </si>
  <si>
    <t>Исакова С.С., Садирова К.К., Исмет Б., Закирова Ф.К.</t>
  </si>
  <si>
    <t>Қазақша-түрікше-башқұртша сөздік</t>
  </si>
  <si>
    <t>Қазақша-түрікше-башқұртша және түрікше-қазақша-башқұртша сөздікте күнделікті әлеуметтік-тұрмыстық және ауызекі сөйлеу тілінде жиі қолданылатын сөздер мен сөз тіркестері берілген. Аталған сөздікте жазу-сызуы әртүрлі түркі халықтарының бір-бірімен еркін араласуына қажетті тұрмыстық лексика қамтылған. Сөздіктің құрылымы үш бөлімнен тұрады: тақырыптық топтарға бөлінген күнделікті әлеуметтік-тұрмыстық лексика және әліпби ретімен берілген сөздер мен сөз тіркестері, грамматикалық терминдер сөздігі үш тілде ұсынылған. Сөздік оқушыларға, студенттерге, тіл мамандарына және көпшілік оқырманға арналған.</t>
  </si>
  <si>
    <t>0003196</t>
  </si>
  <si>
    <t>Исам /Isam T. Kadim. A.Serikbaeva. G.Raiymbek</t>
  </si>
  <si>
    <t>LABORATORY MANUAL FOR FOOD ANALYSIS</t>
  </si>
  <si>
    <t>This manual contains a collection of the most common laboratory procedures performed in the nutritional evaluation of feeds and foods. It is a multipurpose collection of procedures designed for students, professionals in chemical analysis of various products. This laboratory is designed to introduce students and professionals in area of Food Science to methods of analyses which are commonly used to characterise foods and feeds. This includes the Proximate Analysis, Van Soest fibre analysis and selected methods of characterising energy, trace- and major-elements, amino acid, fatty acid, vitamins, cholesterol.</t>
  </si>
  <si>
    <t>0003197</t>
  </si>
  <si>
    <t>Исамадиева С.А.</t>
  </si>
  <si>
    <t>Историография истории библиотечного дела в Казахстане (1917-1991 гг.)</t>
  </si>
  <si>
    <t>В монографии комплексно, объективно анализируются труды казахстанских ученых по вопросам библиотечного дела Казахстана. 
 Автор показывает освещение проблем библиотечного строительства в трудах казахстанских ученых – историков и библиотечных специалистов, с целью выявления основных направлений, тенденций, особенностей казахстанской историографии по теории и практики библиотечного дела.
 Монография адресуется научным работникам, преподавателям, студентам, специалистам библиотечного дела, а также всем, кого интересует история библиотечного дела Казахстана.</t>
  </si>
  <si>
    <t>0003198</t>
  </si>
  <si>
    <t>Исамадиева С.А., Курбатова Н.К</t>
  </si>
  <si>
    <t>Библиография Казахстана</t>
  </si>
  <si>
    <t>В учебном пособии систематизированы сведения по истории и становлению библиографии Казахстана, о современных тенденциях ее развития.Учебное пособие адресовано студентам библиотечных вузов и колледжей, библиотекарям-практикам.</t>
  </si>
  <si>
    <t>0003199</t>
  </si>
  <si>
    <t>Исанова Б.Х. , Жаксыбаева Г.Ш.</t>
  </si>
  <si>
    <t>Циклдік қосылыстар химиясы</t>
  </si>
  <si>
    <t>Циклдік қосылыстар органикалық химияның екінші бөліміның ғылым саласы ретінде қалыптасуына әсер етті. Ұсынылып отырған оқу құрал жоғары дәрежедегі химик-технолог мамандарына қойылатын соңғы уақыттағы талаптарға сай құрастырылған. Оқу құралы үш бөлімнен турады. 
 Бірінші бөлімінде алициклді қатар қосылыстары: циклоалкан, циклоалкен, циклоалкадиен, циклоалкин көмірсутектері, олардың туындылары және терпендер қарастырылған.
 Екінші бөлімінде ароматты қатар қосылыстары: бір және бірнеше бензолды ядросы бар ароматты қосылыстары және олардың туындылары қарастырылған.
 Үшінші бөлімінде гетероциклді қосылыстары қарастырылған: оттек, күкірт және азоттың циклдік қосылыстары. Гетероциклді қосылыстардың табиғатта кеңінен таралуы (витаминдер, алкалоидтер, пигменттер және т.б.), олардың биологиялық процестерде маңызды рөлі осы бөлімде келтірілген.
  «Циклдік қосылыстар химиясы» оқу құралы бакалаврларды және магистрлерді дайындау деңгейіне құрастырылған, оқушылар үшін пайдалы.</t>
  </si>
  <si>
    <t>0003200</t>
  </si>
  <si>
    <t>Исанова Б.Х. , Жуманазарова Г. М.</t>
  </si>
  <si>
    <t>Жалпы химия</t>
  </si>
  <si>
    <t>Оқу құралында жалпы, анорганикалық және органикалық химиядан орта білім алуға арналған бағдармалық материалдар толық қамтылған. Әр тараудың соңынан өз бетімен шығаруға арналған жаттығулар мен есептер берілген және оларды қалай шығарудың әдістірі көрсетілген. Оқу құралы «Химия» мамандықтарының оқу жоспарымен сәйкес бакалаврларды дайындау деңгейіне құрастырылған, студенттер үшін пайдалы.</t>
  </si>
  <si>
    <t>0003201</t>
  </si>
  <si>
    <t>Исанова Б.Х., Жаксыбаева Г.Ш.</t>
  </si>
  <si>
    <t>Алифатты қатар қосылыстарының органикалық химиясы</t>
  </si>
  <si>
    <t>Алифатты қатар қосылыстары органикалық химияның бірінші бөлімі ғылым саласы ретінде қалыптасуына әсер етті. Ұсынылып отырған оқу құрал жоғары дәрежедегі химик-технолог мамандарына қойылатын соңғы уақыттағы талаптарға сай құрастырылған. Оқу құралы төрт бөлімнен турады. 
 Бірінші бөлімінде органикалық химияның теориялық мәселелері, екіншіде - алифатты қатар көмірсутектері, үшіншіде - алифатты қатар көмірсутектердің туындылары, төртіншіде - алифатты қатар көмірсутектердің аралас функциялы туындылары қарастырылған. Оқу құралында органикалық химиядан жалпы білім алуға арналған бағдарламалық материалдар толық қамтылған. 
  «Алифатты қатар қосылыстарының органикалық химиясы» атты оқу құралы бакалаврларды және магистрлерді дайындау деңгейіне құрастырылған, оқушылар үшін пайдалы.</t>
  </si>
  <si>
    <t>0003202</t>
  </si>
  <si>
    <t>Исанова Б.Х., Жуманазарова Г.М.</t>
  </si>
  <si>
    <t>Химия пәні бойынша есептер мен жаттығулардың жинағы</t>
  </si>
  <si>
    <t>Химия пәні бойынша оқу құралында қысқаша теориялық бөлімдер, типтік есептердің шығару үлгілері, өзбетімен орындауға арналған есептер мен жаттығулар, бақылау тапсырмасының нұсқалар және өздік тексеру үшін берілген тесттік сұрақтар келтірілген. Оқу құралы мамандықтардың оқу жоспарымен сәйкес, бакалаврларды дайындау деңгейіне құрастырған.</t>
  </si>
  <si>
    <t>0003203</t>
  </si>
  <si>
    <t>978-601-13-0992-9</t>
  </si>
  <si>
    <t>Исатаева Ф.М.</t>
  </si>
  <si>
    <t>Разработка инновационных подходов к системе управления экономикой региона (на примере Карагандинского региона)</t>
  </si>
  <si>
    <t>0003204</t>
  </si>
  <si>
    <t>Исатаева Ф.М., Кучер В.Н.</t>
  </si>
  <si>
    <t>Әлеуметтік-мәдени сервистің қызмет көрсету технологиясы</t>
  </si>
  <si>
    <t>Оқу құралы студенттерге сервис саласындағы техника мен технологияның ғылыми-теориялық аспектілерін, сондай-ақ, сервистік және туристік қызметті оңтайландыратын нақты әлеуметтік технологияларды зерделеу мүмкіндігін береді.
 Қазіргі жағдайларда сервис жөніндегі маман қызметті оңтайландыру үшін әлеуметтік процестерді технологияландыру дағдыларын меңгеруі қажет. Сондықтан әлеуметтік-мәдени сервистегі техника мен технология ерекшелігін зерделеу білім беру процесінде маңызды орын алады.
 «Әлеуметтік-мәдени сервистің қызмет көрсету технологиясы» оқу құралы 5В090400 «Әлеуметтік-мәдени сервис» мамандығының студенттеріне арналған.</t>
  </si>
  <si>
    <t>0003207</t>
  </si>
  <si>
    <t>Исенова Ф.К.</t>
  </si>
  <si>
    <t>Я хочу говорить по-русски! (русский язык для начинающих)</t>
  </si>
  <si>
    <t>Цeль учeбного пособия – обучить инострaнных студeнтов основным прaвилaм использовaния русского языкa в рaзличных условиях (трaнспорт, здоровьe, спорт, погодa), связaнных с жизнью в Кaзaхстaнe, отвeчaющих трeбовaнию бытовой, социaльно-культурной и учeбной сфeр. 
 Структурa пособия включaeт в сeбя слeдующиe компонeнты: пeрвaя чaсть, состоящaя из 13 тeм, в основe которых лeжaт рaзличныe коммуникaтивныe ситуaции (знaкомство, бeсeдa о сeмьe, поход в супeрмaркeт, приём у врaчa, пeрeдвижeниe по городу и т.д.), которыe позволят студeнту-инострaнцу лучшe ориeнтировaться в русскоязычном окружeнии; вторaя чaсть – грaммaтичeскиe уроки в тaблицaх и трeнировочныe упрaжнeния, выполнeниe которых нaпрaвлeно нa отрaботку нaвыков грaмотной письмeнной рeчи; трeтья чaсть (приложения) – тeксты для чтeния (кaк в aудитории, тaк и сaмостоятeльно). Мaтeриaл пособия рaссчитaн нa aктивизaцию всeх видов дeятeльности студeнтa в изучeнии языкa: говорeниe, письмо, чтeниe, понимaниe прочитaнного и услышaнного.
 Для инострaнных студeнтов, обучaющихся нa fоundatiоn, a тaкжe для всeх тeх, кто дeйствитeльно хочeт нaучиться говорить нa русском языкe.</t>
  </si>
  <si>
    <t>0003208</t>
  </si>
  <si>
    <t>Академическое письмо. Часть1. Работа над созданием эсссе</t>
  </si>
  <si>
    <t>В учебном пособии рассмотрены основные вопросы, связанные с созданием текста аргументативного (академического) эссе, в частности, описаны конкретные техники написания эссе в соответствии с требованиями по содержанию и оформлению, задания для самостоятельного выполнения и обсуждения в аудитории. Кроме того, в нём предлагается анализ наиболее часто стречающихся (типичных) ошибок при работе над эссе, а также пути решения возникающих у студентов проблем. Для студентов 1-го курса, изучающих дисциплину «Академическое письмо», а также для всех тех, кто хотел бы писать свои эссе в соответствии с требованиями по содержанию и структуре.</t>
  </si>
  <si>
    <t>0003209</t>
  </si>
  <si>
    <t>Исимбеков Ж.М., Аубакирова Қ.М., Ахметов Қ. И.</t>
  </si>
  <si>
    <t>Жалпы паразитологиядан жұмыс дәптері</t>
  </si>
  <si>
    <t>Ветеринария, Биология, Экология</t>
  </si>
  <si>
    <t>Оқу –әдістемелік құралында паразитологияның негізгі практикалық және теориялық сұрақтарын шешуге бағытталған паразиттердің тіршілік айналымы, биоценотикалық тіршілік формаларының байланысы жайлы негіздемелер, паразитизмнің биологиялық және морфологиялық бейімделушіліктері, қожайын және паразит арасындағы қатынас, олардың бір-біріне тигізетін әсері қарастырылған. Басылым «Ветеринариялық медицина», «Ветеринариялық санитария», «Биология», «Экология» мамандықтарының студенттері мен магистранттарына арналған.</t>
  </si>
  <si>
    <t>0003210</t>
  </si>
  <si>
    <t>Исимбеков Ж.М., Аубакирова Қ.М., Шапекова Н.Л., Тусупов С.Ж., Койгельдинова А.С.</t>
  </si>
  <si>
    <t>Практикалық паразитология</t>
  </si>
  <si>
    <t>биология,ветенария</t>
  </si>
  <si>
    <t>Оқу құралында паразиттік қарапайымдылар, адам және жануарлар гельминттері, зиянды жәндіктер мен кенелер, сонымен қатар, оларды зертханалық зерттеу әдістері бойынша заманауи деректер жинақталған. Адам және жануарлардың кең таралған паразиттік ауруларын анықтау тәсілдері келтірілген. Құралда паразиттік жәндіктер мен кенелерді жинау әдістері мен оларды есепке алу тәсілдері бар. Сонымен қатар, бірқатар паразиттік нысандарды өсіру жолдары сипатталып, кенелердің трансмиссивті аурулар қоздырғыштарымен зақымдалуын зерттеу әдістері берілген. Басылым паразиттік және трансмиссивті жұқпалардың эпидемиологиясы және эпизоотологиясымен, оларға қарсы күресумен айналысатын ветеринариялық медицина және медициналық паразитолог – дәрігерлерге, эпидемиологтарға, клиникалық лаборанттар мен медицина–биология саласындағы мамандарға, сондай – ақ, «Ветеринариялық медицина», «Ветеринариялық санитария», «Биология», «Экология» мамандықтарының студенттері, магистранттары мен докторанттарына (PhD) арналған.</t>
  </si>
  <si>
    <t>0003212</t>
  </si>
  <si>
    <t>Исин Д.К. , Л.С. Кипнис, С.Б. Кузембаев</t>
  </si>
  <si>
    <t>Оборудование специальных способов литья 1 том</t>
  </si>
  <si>
    <t>Освещены способы литья: кокильное, по выплавляемым моделям, под высоким и низким давлением, центробежное, непрерывное, электрошлаковое и др. Приведены сведения о материалах, литейной оснастке, области применения и перспективах развития этих способов. Описаны конструкции основных агрегатов, механизмов и узлов. Представлены прогрессивные технологические процессы, средства их механизации и автоматизации.Учебник предназначен для бакалавров, магистрантов и докторантов технических специальностей, будет полезным преподавателям колледжей и средних профессиональных учебных заведений, слушателям курсов повышения квалификации и переподготовки кадров, а также практическим работникам предприятий машиностроения и металлургии</t>
  </si>
  <si>
    <t>0003213</t>
  </si>
  <si>
    <t>Исин Д.К., Ибатов М.К.</t>
  </si>
  <si>
    <t>Внедоменные методы получения железа из руды и тенденции их развития</t>
  </si>
  <si>
    <t>В монографии изложены материалы о тенденциях и динамике развития мировой бездоменной металлургии. Монография содержит историческую справку и мотивацию разработки процессов бездоменной металлургии железа. Анализируется современное состояние процессов произ­водства губчатого железа и бездоменного чугуна. Описаны требования к сырью и топливу, физико-химические основы технологии и устройство агрегатов. Изложены теоретические, технологические и экологические вопросы бездоменной металлургии железа, как наиболее значимой альтернативы традиционной металлургии. Рассмотрены вопросы применения продуктов, их качество, предпосылки и перспективы развития бескоксовой металлургии.Книга предназначена для бакалавров, магистрантов, обучающихся по специальностям «Металлургия», «Машиностроение», будет полезным слушателям курсов повышения квалификации и переподготовки кадров, преподавателям и учащимся колледжей, практическим работникам металлургической и машиностроительной промышленности</t>
  </si>
  <si>
    <t>0003214</t>
  </si>
  <si>
    <t>Получение окускованного железорудного сырья и исследование их основных свойств</t>
  </si>
  <si>
    <t>В монографии совокупность предприятий и производств по окускованию руд рассматривается как целостная производственная система, функцио­нально взаимосвязанная с металлургическим производством. В книге рассмотрены вопросы использования в доменной печи окускованных железорудных материалов, их свойства и качество, предпосылки и перспективы развития горно-металлургического комплекса Казахстана. В проведенных опытных плавках отмечено значительное влияние прочности окатышей на газодинамические условия в шахте доменной печи. Наиболее прочными из испытанных материалов были металлизованные окатыши. Эти окатыши не разрушались и в процессе восстановления в шахте доменной печи.Книга предназначена для бакалавров, магистрантов, обучающихся по специальностям «Металлургия», «Машиностроение», будет полезным слушателям курсов повышения квалификации и переподготовки кадров, преподавателям и учащимся колледжей, практическим работникам металлургической и машиностроительной промышленности</t>
  </si>
  <si>
    <t>0003215</t>
  </si>
  <si>
    <t>Исин Д.К., Л.С. Кипнис, С.Б. Кузембаев</t>
  </si>
  <si>
    <t>Оборудование специальных способов литья 2 том</t>
  </si>
  <si>
    <t>0003216</t>
  </si>
  <si>
    <t>Исин Д.К., Рощин В.Е.</t>
  </si>
  <si>
    <t>Современные способы производства и разливки стали: 1-том</t>
  </si>
  <si>
    <t>В учебнике рассмотрены современные и перспективные технологические способы производства стали, освещены их технологические возможности и физико-химические основы металлургических процессов. Систематически изложены основы теории и практики производства стали в кислородных конвертерах, дуговых сталеплавильных печах, а также описаны принципиальные конструктивные решения плавильных агрегатов. Приведены высокотехнологичные типы машин непрерывной разливки стали с кристаллизатором, позволяющим получение заготовки с минимальным количеством неметаллических включений.Учебник предназначен для бакалавров, магистрантов и докторантов технических специальностей, будет полезным преподавателям колледжей и средних профессиональных учебных заведений, слушателям курсов повышения квалификации и переподготовки кадров, а также практическим работникам предприятий машиностроения и металлургии</t>
  </si>
  <si>
    <t>0003217</t>
  </si>
  <si>
    <t>Современные способы производства и разливки стали: 2-том</t>
  </si>
  <si>
    <t>0003218</t>
  </si>
  <si>
    <t>Исин Д.К., Черепахин А.А.</t>
  </si>
  <si>
    <t>Конструкционные материалы и современные технологии их обработки. 1-том</t>
  </si>
  <si>
    <t>В учебнике приведены основные сведения о материаловедении и технологии конструкционных материалов. Рассмотрены вопросы, относящиеся к строению металлов и сплавов, кристаллизации, диаграммам состояния различных систем, современным конструкционным материалам, используемым в машиностроении и других отраслях промышленности. Приведены сведения об основных способах производства металлов, сплавов и неметаллических материалов. Представлены прогрессивные технологические процессы изготовления заготовок и изделий. Учебник предназначен для бакалавров, магистрантов и докторантов технических специальностей, будет полезным преподавателям колледжей и средних профессиональных учебных заведений, слушателям курсов повышения квалификации и переподготовки кадров, а также практическим работникам предприятий машиностроения и металлургии</t>
  </si>
  <si>
    <t>0003219</t>
  </si>
  <si>
    <t>Конструкционные материалы и современные технологии их обработки. 2-том</t>
  </si>
  <si>
    <t>0003220</t>
  </si>
  <si>
    <t>Исин Д.Қ.</t>
  </si>
  <si>
    <t>Құю өндірісінің негіздері. І-том</t>
  </si>
  <si>
    <t>Оқулықта құймалар алудың әдістері баяндалған, олардың технологиялық мүмкіндіктері, физика-химиялық негіздері, сонымен қатар сәйкес жабдықтар мен құралдар туралы мәліметтер келтірілген. Балқыту пештерде шойынды, болатты, түсті металды балқытудың негізгі принциптері мен әдістері келтірілген.Технологиялық процесті жобалау мәселесі түсіндіріледі, қалыптау және өзекті қоспаларды дайындаудың, құю қалыптары мен өзектерді жасаудың қазіргі заманғы және перспективалы процестері қарастырылған. Құм-балшықты қалыптарға құюдың кәдімгі дәстүрлі технологиясынан ерекшеленетін арнайы әдістері баяндалған. Оқулық техникалық мамандықтары бойынша білім алатын бакалаврларға, магистранттарға арналған, Сонымен қатар, докторанттарға, кадрлардың біліктілігін жоғарылату және қайта даярлау курстарының тыңдаушыларына, колледждер оқытушылары мен оқушыларына; сондай-ақ, металлургия, машинажасау өндіріс орындарының инженер-техникалық және ғылыми-зерттеу институттарының ғылыми қызметкерлеріне пайдалы болады</t>
  </si>
  <si>
    <t>0003221</t>
  </si>
  <si>
    <t>Құю өндірісінің негіздері. ІІ-том</t>
  </si>
  <si>
    <t>0003222</t>
  </si>
  <si>
    <t>Исина Б.М. , Малыбаев С. Қ.</t>
  </si>
  <si>
    <t>Тасымалдауды ұйымдастырудағы қазіргі технологиялар</t>
  </si>
  <si>
    <t>Оқулықта теміржол көлігінің жұмыс технологиясы, автомобиль көлігі классификациялары, әуе көлігі артықшылықтары мен кемшіліктері, су көлігінің тасымалдау қабілеттіліктерін жоспарлау қарастырылған. Жүк және коммерциялық жұмыстарды жетілдіру және дамудың негізгі бағыттары берілген. Тасымалданудағы жүктің сақталуын қамтамасыз ету, тасымалдауды ұйымдастыру және қозғалысты басқару қарастырылған. Халықаралық жолаушы әуе жолы тасымалдары, көлiк кемелерiнiң жұмысын техникалық мөлшерлеу қарастырылған.
 Оқулық «Тасымалдауды, жол қозғалысын ұйымдастыру және көлікті пайдалану» мамандығындағы магистранттарға арналған.</t>
  </si>
  <si>
    <t>0003227</t>
  </si>
  <si>
    <t>Исина Б.М., Малыбаев С.К., Балгабеков Т.К.</t>
  </si>
  <si>
    <t>Организация IT технологии перевозочного процесса на железнодорожном транспорте</t>
  </si>
  <si>
    <t>В монографии рассматриваются основные понятия управления перевозочным процессом, принципы и положения, регламентирующие перевозочный процесс транспорта. Перевозочный процесс объединяет все дорожные автоматизированные системы оперативного управления перевозками и интегрирует весь комплекс разработанных программных средств по управлению перевозочным процессом.
 Монография предназначена для научно-технических работников в области транспорта, специалистов железнодорожного транспорта, также для магистрантов и докторантов, занимающихся вопросами транспорта.</t>
  </si>
  <si>
    <t>0003228</t>
  </si>
  <si>
    <t>Исинтаев Т.И.</t>
  </si>
  <si>
    <t>Динамика механических систем</t>
  </si>
  <si>
    <t>В учебном пособии сжато и доступно изложены основы динамики механической системы. Изложены основные понятия и аксиомы и теоремы этого раздела теоретической механики. В каждой главе приведены примеры, которые нужны для успешного овладения теорией и приобретения минимальных навыков в решении задач. В приложении приведены плакаты, в которых кратко представлены материалы, изложенные в учебном пособии.Пособие предназначено для магистрантов, обучающихся в рамках Республиканской программы Государственного инновационно-индустриального развития Казахстана (ГПИИР-2), и будет полезным для преподавателей технических дисциплин, докторантов, магистрантов и студентов инженерных специальностей</t>
  </si>
  <si>
    <t>0003229</t>
  </si>
  <si>
    <t>Қала көшелері мен автомобиль жолдарының көліктік пайдалану сапасы</t>
  </si>
  <si>
    <t>Оқу құралында қала көшелері мен жолдардың көліктік-пайдалау сапасының негізгі сипаттамалары ұсынылған, жол элементтерінің ықпалы және автомобильдердің қимылды тәртібін реттеуші әдістер көрсетілген, көліктер легінің қозғалысының сипаттамаларының есебі берілген,тексеру әдістері және диагностикалау жұмыстарының жос-парлануы мазмұндалған.
 Студенттердің «Көлік, көліктік технология және техника» мамандықтарды дайындауға арналған.</t>
  </si>
  <si>
    <t>0003230</t>
  </si>
  <si>
    <t>Исинтаев Т.И., Қайыпбай Б.Б.</t>
  </si>
  <si>
    <t>Методы утилизации отходов животноводства</t>
  </si>
  <si>
    <t>Рекомендации</t>
  </si>
  <si>
    <t>Ветеринария, животноводство</t>
  </si>
  <si>
    <t>В рекомендациях обобщены технологии переработки отходов животноводства. Основной упор делается на биоконверсию отходов и продукты их переработки. Предлагаемые перспективные технологии обладают несравненным преимуществом — они экологичны. Отходы из опасного источника загрязнения превращаются в ценное сырье для получения удобрений, кормов и горючих материалов.Рекомендации предназначены для специалистов, которым необходимо знать преимущества и недостатки альтернативных систем переработки отходов, работников сельского хозяйства, научно-исследовательских организаций, фермеров и предпринимателей</t>
  </si>
  <si>
    <t>0003231</t>
  </si>
  <si>
    <t>Основы термической обработки опасных биологических отходов</t>
  </si>
  <si>
    <t>В монографии даны основные положения экологического и ветеринарного законов РК, регулирующие вопросы сбора, транспортировки, хранения и утилизации биологических отходов Рассмотрены методы и технологии утилизации биологических отходов, изучен международный опыт по утилизации отходов. Раскрыты современные способы термической утилизации. Даны характеристики и принципы работы инсинераторов и крематоров. Приведены основные неисправности установок и методы их устранения Предназначено для специалистов, занимающихся утилизацией биологических и медицинских отходов, и может быть полезно другим работникам сельского хозяйства, научно-исследовательских организаций, преподавателям и студентам медицинских и ветеринарных специальностей</t>
  </si>
  <si>
    <t>0003237</t>
  </si>
  <si>
    <t>Искаков М.Б.</t>
  </si>
  <si>
    <t>Ақпараттық-өлшеуіш желілер және телеөлшеу</t>
  </si>
  <si>
    <t>Оқу құралында өндіріс орындарын автоматтандыруда кең қолданылатын желілік технологиялар мен телемеханика жүйелер, оның ішінде телеөлшеу жүйелерін ұйымдастыру үшін соңғы кездерде қолданылып жүрген құралдар мен технологиялар қарастырылған. Бірінші тарауда қашықтықтан өндіріс технологияларын бақылау және басқару жүйелерінің құрамы, атқаратын міндеттері мен даму кезеңдері туралы мәліметтер берілген. Екінші тарауда телемеханика жүйелері ішіне кіретін жүйелердің құрылымы, жұмыс істеу реттері берілген. Үшінші және төртінші тарауларда желілерді ұйымдастыруда соңғы кезде кең қолданылып жүрген әдістер мен технологияларға шолу жасалынған, ақпараттық жүйелерде деректерді қорғау мәселелері мен желіде ақпаратты қорғауға арналған әдістер мен әрекеттердің сипаты берілген. Оқу құралының әрбір тарауының соңында әдебиеттер тізімі мен пысықтауға арналған сұрақтар келтірілген. Оқу құралы, жоғарыда аталып кеткен жүйелерді құру, баптау және қолдану мәселелеріне қатынасы бар техникалық мамандықтарды игеруге ұмтылған жоғарғы оқу орындарының студенттеріне арналған</t>
  </si>
  <si>
    <t>0003239</t>
  </si>
  <si>
    <t>Искаков М.Б., Абилдаева Г.Б., Шакирова Ю.К.</t>
  </si>
  <si>
    <t>Объектке бағытталған Java тілі</t>
  </si>
  <si>
    <t>Оқу құралы кіріспе, қорытынды мен екі бөлімнен тұрады. Кіріспеде Java тілінің ерекшеліктері, NetBeans және Eclipse бағдарламалау орталықтары туралы қысқаша мәліметтер келтірілген. «Java тілінің негіздері» деген бірінші бөлімде бағдарламаның лексикалық құрылымы, деректер мен айнымалылардың түрі, бағдарламада орындалатын әрекеттер ретін басқару операторлары қарастырылған. «Java тілінде объектке бағытталған бағдарламалау» деген екінші бөлімде объекттер мен класстар, олардың арасындағы қатынастар мен байланыстар, объекттер мен класстармен жұмыс істеу ерекшеліктері, Java тілінің негізгі пакеттері сипатталған. Оқу құралы «Объектке бағытталған бағдарламалау» мен «Java бағдарламалау тілі» пәндерін оқу кезінде «Ақпараттық жүйелер» және «Есептеу техникасы және бағдарламалық қамтамасыз ету» мамандықтарының бакалаврларына арналған.</t>
  </si>
  <si>
    <t>0003240</t>
  </si>
  <si>
    <t>рус/каз</t>
  </si>
  <si>
    <t>Искакова А. С. , Нұрымов Б. С.</t>
  </si>
  <si>
    <t>MatLab жүйесінде моделдеу элементтері</t>
  </si>
  <si>
    <t>Основу этого учебного пособия составляют лекции и лабораторные занятия по компьютерному модлелированию. Содержание пособия повещенно изучению основ математического моделирования в системе Matlab.Предназначена для студентов и магистрантов естественно-научных и технических специальностей. Оқу-құралына лабораториялық жұмыстар енгізілген. Студенттер математикалық анализден (дифференциалдық және интегралдық есептеулер, дифференциалдық теңдеулерді шешу), комплекс сандардан, векторлар мен матрицалардан негізгі білімдері бар деп ұйғарылады</t>
  </si>
  <si>
    <t>0003241</t>
  </si>
  <si>
    <t>Искакова А.С.</t>
  </si>
  <si>
    <t>Решение задач теории вероятностей в системе Matlab</t>
  </si>
  <si>
    <t>Учебное пособие содержит основные разделы курса теории вероятностей с широким применением прикладного пакета Matlab. Предназначено длястудентов, магистрантов, докторантов, соискателей и преподавателей математических, технических и экономических факультетов высших учебных заведений и научно-исследовательских центров, использующих в своей деятельности прикладные задачи теории вероятностей и систему программирования Matlab</t>
  </si>
  <si>
    <t>0003243</t>
  </si>
  <si>
    <t>Искакова А.С., Нуримов Б.С.</t>
  </si>
  <si>
    <t>Matlab жүйесінде ықтималдықтар теориясының есептер шешімі</t>
  </si>
  <si>
    <t>Оқу құралы ықтималдықтар теориясы курсының негізгі бөлімдеріне Matlab қоданбалы пакетін кеңейтілген қолданумен қамтылған. Студенттерге, магистранттарға, ғылыми ізденушілерге және жоғарғы оқу орнының математикалық, техникалық және экономикалық факультеттердің оқытушыларына және өз қызметтерінде ықтималдықтар теориясының қолданбалы есептері мен Matlab бағдарламалау жүйесін қолданатын ғылыми зерттеу орталықтарына арналған</t>
  </si>
  <si>
    <t>0003244</t>
  </si>
  <si>
    <t>Искакова А.С., Тлеулесова А.Б.</t>
  </si>
  <si>
    <t>Ықтималдықтар теориясы пәнінен есептер жинағы</t>
  </si>
  <si>
    <t>Есептер жинағы кітапшасында ықтималдықтар теориясы бойынша оқу курстарының негізгі бөлімдерінде 500-ге жуық тапсырмалар мен жаттығулар бар. Бұл тапсырма оқушыларға, магистранттарға, докторанттарға, жоғары оқу орындарының математикалық, техникалық және экономикалық факультеттерінің талапкерлеріне және оқытушыларына арналған</t>
  </si>
  <si>
    <t>0003250</t>
  </si>
  <si>
    <t>Искакова М.С</t>
  </si>
  <si>
    <t>Методика преподавания психологии как педагогическая дисциплина и как наука</t>
  </si>
  <si>
    <t>0003251</t>
  </si>
  <si>
    <t>«Арнайы психология»</t>
  </si>
  <si>
    <t>0003252</t>
  </si>
  <si>
    <t>«Психологиялық пәндерді оқытудың әдістемесі» пәнінен магистранттарға арналған лекциялық сабақтар</t>
  </si>
  <si>
    <t>Дәрістік сабақтың әдістемелік нұсқауы дәрістік сабақты ұйымдастырудың негізгі қағидалары мен оны өткізудің кредиттік технологияны есепке ала отырып педагогикалық мамандықтарда қолданудың жолдарын көрсетеді.</t>
  </si>
  <si>
    <t>0003253</t>
  </si>
  <si>
    <t>«Психолого-педагогическая работа с детьми, имеющими недоразвитие речи»</t>
  </si>
  <si>
    <t>0003254</t>
  </si>
  <si>
    <t>Дефектология негіздері</t>
  </si>
  <si>
    <t>0003256</t>
  </si>
  <si>
    <t>Жоғары оқу орында психологиялық қызметі</t>
  </si>
  <si>
    <t>0003257</t>
  </si>
  <si>
    <t>Мектепке дейiнгi балалардын жеке басын қалыптастырудың психологиялық негiздерi»</t>
  </si>
  <si>
    <t>0003258</t>
  </si>
  <si>
    <t>Основы психического развития учащихся с нарушением речи</t>
  </si>
  <si>
    <t>Психическое развитие – одна из важнейших тем исследований в психологии. В современных условиях внимание к этой проблеме обостряется в связи с быстрой сменой технологий, глобального информационного потока. Выбор специального исследования – основы развития психики у учащихся с общим недоразвитием речи стоит приветствовать, поскольку в настоящее время наметилась тенденция роста детей с отклонениями в развитии, в том числе и с речевой патологией.</t>
  </si>
  <si>
    <t>0003259</t>
  </si>
  <si>
    <t>Патопсихология (магистрантарға сабақ жүргізуге арналған оқулық)</t>
  </si>
  <si>
    <t>0003260</t>
  </si>
  <si>
    <t>Патопсихология для для бакалавриата на каз яз</t>
  </si>
  <si>
    <t>«Патопсихология» пәнінен 5В010300 – «Педагогика және психология» мамандықтарына сабақ жүргізуге арналған оқулық</t>
  </si>
  <si>
    <t>0003261</t>
  </si>
  <si>
    <t>Психодиагностика</t>
  </si>
  <si>
    <t>0003262</t>
  </si>
  <si>
    <t>Психологическая диагностика уровня аномального развития детей с нарушениями речи</t>
  </si>
  <si>
    <t>Методические рекомендации</t>
  </si>
  <si>
    <t>Методические рекомендации составлены в соответствии с требованиями учебного плана и программой дисциплины «Психологическая диагностика уровня аномального развития» и включает все необходимые сведения по выполнению тем практических (семинарских) занятий курса. Методические рекомендации предназначены для студентов специальностей психологий.</t>
  </si>
  <si>
    <t>0003263</t>
  </si>
  <si>
    <t>Самопознание</t>
  </si>
  <si>
    <t>0003264</t>
  </si>
  <si>
    <t>Искакова М.С., Акимбаев А.А.</t>
  </si>
  <si>
    <t>Өзін-өзі тану</t>
  </si>
  <si>
    <t>0003267</t>
  </si>
  <si>
    <t>Искендирова С.К.</t>
  </si>
  <si>
    <t>Фондовый рынок Казахстана: история и современность</t>
  </si>
  <si>
    <t>0003269</t>
  </si>
  <si>
    <t>Искиндирова Ж.Ж., Нечаева Е.Л., Айкенова Д.М.</t>
  </si>
  <si>
    <t>Политология: общий курс</t>
  </si>
  <si>
    <t>Учебное пособие содержит систематическое изложение вопросов, связанных с изучением основных категорий и парадигм политической науки. Издание включает учебно-методические материалы для семинарских занятий и самостоятельной работы студентов, контрольные вопросы и задания, тесты, тематику докладов и рефератов, а также глоссарий по курсу. Пособие предназначено для студентов высших учебных заведений, изучающих политологию, и может служить в качестве вспомогательного учебного материала при подготовке к экзаменам</t>
  </si>
  <si>
    <t>0003290</t>
  </si>
  <si>
    <t>Исмагулова А.Е.</t>
  </si>
  <si>
    <t>Бұл оқулықта электр машиналарының соның ішінде; трансформаторлар, асинхронды қозғалтқыш, синхронды қозғалтқыш, тұрақты ток қозға-лтқыштарының жұмыс істеу принциптері, негізгі формулалары, жүктемелік сипаттамалар көрсетілген. Сонымен қатар, электр қозғалт-қыштарының тежелу режимдері, энергетикалық диаграммалары келтірілген.
 Оқулық электр мамандығы бойынша білім алатын жоғары, арнайы оқу орындарының студенттеріне арналған</t>
  </si>
  <si>
    <t>0003294</t>
  </si>
  <si>
    <t>Исмаилов Б.Р., Мелдебекова С.К.</t>
  </si>
  <si>
    <t>Математикалық моделдеуге кіріспе</t>
  </si>
  <si>
    <t>Оқу құралында математикалық моделдеу және негізгі химиялық технология процестерді моделдеу туралы жалпы мәліметтер берілген. Гидродинамикалық және химиялық технология процестерін модельдеуде негіз болып есептелетін Навье-Стокс теңдеулері, оларды шешу тәсілдері, мысал ретінде, экстракциялау, адсорбция процестері, сандық тәсілдер қарастырылған.</t>
  </si>
  <si>
    <t>0003297</t>
  </si>
  <si>
    <t>рус/ англ/ каз</t>
  </si>
  <si>
    <t>Исмаилова Г.К., Жумадилова Г.А., Наревская Т.А., Хасенова К.Е.</t>
  </si>
  <si>
    <t>Русско-казахско-английский словарь терминов с учебно-методическими материалами (для неязыковых специальностей ВУЗов)</t>
  </si>
  <si>
    <t>Для всех спец</t>
  </si>
  <si>
    <t>Цель Русско-казахско-английского словаря терминов с учебно-методическими материалами - формирование и развитие навыков использования терминов по неязыковым специальностям в профессионально-ориентированной языковой среде. Пособие имеет практическую направленность: формирует умения и навыки правильного произношения, написания, понимания и практического использования общенаучных и узкоспециальных терминов. Адресовано студентам, магистрантам и преподавателям высших учебных заведений.</t>
  </si>
  <si>
    <t>0003298</t>
  </si>
  <si>
    <t>Исмаилова Г.К., Дюсекенева И.М., Какимова Ж.Х, Асенова Б.К., Байбалинова Г.М., Мирашева Г.О., Хасенова К.Е.</t>
  </si>
  <si>
    <t>Терминологический словарь для специальностей биотехнологического профиля</t>
  </si>
  <si>
    <t>биотехнология</t>
  </si>
  <si>
    <t>Данный трехъязычный терминологический словарь содержит термины, являющиеся предметной областью биотехнологии. Термины приведены в алфавитном порядке, и, помимо перевода, содержат краткое объяснение. Целью данного словаря является оказание по-мощи в организации учебной деятельности для студентов биотехно-логического профиля в системе полилингвального образования. 
 Словарь предназначен преподавателям вузов, студентам, а также заинтересованному кругу лиц.</t>
  </si>
  <si>
    <t>0003343</t>
  </si>
  <si>
    <t>ИШАНОВА А.</t>
  </si>
  <si>
    <t>Проблемы современных масс-медиа</t>
  </si>
  <si>
    <t>В учебном пособии рассматриваются основные тенденции развития современных масс-медиа Казахстана и России</t>
  </si>
  <si>
    <t>0003344</t>
  </si>
  <si>
    <t>Ишанова А.К, Байбурова А.С.</t>
  </si>
  <si>
    <t>Фельетон в современной печати Казахстана</t>
  </si>
  <si>
    <t>В работе рассматривается один из самых интересных жанров масс-медиа и литературы – фельетон, его жанровая природа, истоки возникновения и связь с фольклорной традицией, выявляются основные типологические разновидности в современной печати Казахстана, жанровая трансформация и функции. Работа адресуется студентам, магистрантам, докторантам факультетов журналистики и филологии</t>
  </si>
  <si>
    <t>0003348</t>
  </si>
  <si>
    <t>Ишенгельдиева М.Г. под ред. Кусаинова Г.М.,</t>
  </si>
  <si>
    <t>Психология воспитания: Практическое руководство</t>
  </si>
  <si>
    <t>Настоящее пособие является практическим руководством для воспитателей дошкольных учреждений, учителей начальных классов, нынешних и будущих родителей, основная цель которого состоит в том, чтобы ознакомить, расширить и углубить знания и практические умения и навыки по психологическим вопросам воспитания.
 Адресуется работникам сферы образования и науки, обучающимся гуманитарных колледжей, педагогических вузов и университетов, родительской общественности.</t>
  </si>
  <si>
    <t>0003349</t>
  </si>
  <si>
    <t>Ишкалова Г.И. , Искакова Г.М.</t>
  </si>
  <si>
    <t>Алғашқы қауымдық қоғам тарихы</t>
  </si>
  <si>
    <t>Оқу құралында алғашқы қауымдық қоғамның қалыптасуы, дамуы және ыдырауы, адамның пайда болуы мәселелері қарастырылған. Ұсынылып отырған оқу құралы «Алғашқы қауымдық қоғам тарихы» пәні бойынша оқу бағдарламасына сәйкес құрастырылған. 
 Аталған оқу құралы жоғарғы оқу орындары мен мектеп ұстаздарына, «Тарих» мамандығы магистранттарына, студенттеріне және тарихқа қызығушы оқырмандарға арналған.</t>
  </si>
  <si>
    <t>0003354</t>
  </si>
  <si>
    <t>Іңкәрбеков Н.О.</t>
  </si>
  <si>
    <t>0003372</t>
  </si>
  <si>
    <t>Кабди К., Босак М., Майерник М.</t>
  </si>
  <si>
    <t>Автокөліктің рециклинг технологиясы</t>
  </si>
  <si>
    <t>Еліміздегі оқу орындарында автокөлік техникасы, өндірістік технологиялар және қоршаған ортаны қорғау бағытында дәріс алып жүрген шәкірттер бұл оқулықтан автокөлік техникасының қалдық түрлерін өндірістік өңдеуден өткізіп, екінші реттік шикізат түрінде кәдеге жарату технологияларының еуропада қалыптасқан озық үлгілерімен таныса алады. Сонымен қатар кез-келген экологиялық мазмұны бар шара ауқымды инвестициялық қаржы шығынын талап ететіндіктен оны жүзеге асыру заңнамалық тұрғыдан мәжбүрлеуге әкеліп соқтыратынын ескере отырып, Еуроодақ аумағындағы жағдайдан түсінік беретін заң талаптары да талқыланған. Оқулықтың бастапқы бір-екі тарауын оқып шығып, өз пікірін білдірген Л.Н.Гумилев атындағы Евразия Ұлттық университетінің ұстазы, PhD доктор Оқас Құрманұлына ризашылығымызды білдіреміз. Оқулық «Автокөлік техникасы», «Өндірістік технологиялар» және «Қоршаған ортаны қорғау» мамандықтары бойынша білім алып жүрген студенттерге және осы сала мамандарына арналады</t>
  </si>
  <si>
    <t>0003373</t>
  </si>
  <si>
    <t>каз /рус</t>
  </si>
  <si>
    <t>Кабдулкаримова К.К., Касымова Ж.С.</t>
  </si>
  <si>
    <t>Оқу практикасы /Учебная практика</t>
  </si>
  <si>
    <t>Оқу құралы /учебное пособие</t>
  </si>
  <si>
    <t>Оқу құралы «Мамандыққа кіріспе» және «Бейорганикалық химия» пәндерінің оқу бағдарламасына негізделіп жазылған. Оқу құралында қауіпсіздік техникасының және химиялық зертханада жұмыс орындау ережелерінің негізгі қағидалары; органикалық және бейорганикалық заттарды тазалау, бөлу, алу әдістерінің негізгі тәсілдері берілген. Практика кезінде орындалатын жұмыстар оқу зертханаларының құралдары мен құрылымдарын жүргізіледі. Оқу құралында практика кезінде орындалған тәжірибелер нәтижелерін математикалық статистика әдісімен өңдеу әдісі берілген. Оқу құралы университеттің химия және химико-технологиялық мамандықтар бойынша оқитын студенттеріне және оқытушыларға арналып жазылған./Учебное пособие соответствует содержанию курсов «Введение в специальность» и «Неорганическая химия»; содержит основные сведения о технике безопасности и порядке при работе в химической лаборатории, основных приемах работы при получении, выделении и очистки неорганических и органических веществ. Для выполнения работ предусмотрено использование учебного лабораторного оборудования и методов обработки результатов. Приведены контрольные вопросы, тестовые задания для закрепления практических навыков. Учебное пособие предназначено для преподавателей и студентов химических и химико-технологических специальностей университетов.</t>
  </si>
  <si>
    <t>0003374</t>
  </si>
  <si>
    <t>Органикалық химия</t>
  </si>
  <si>
    <t>Органикалық химия оқу құралы жоғары оқу орындарының химия мамандығы студенттеріне арналып жазылған. Сонымен бірге оқу құралын химиялық технология, медицина, тағам өндірісі мамандығы студенттері қолдануларына болады. Оқу құралында көмірсутек қосылыстары, олардың құрылысы, реакциялық қабілеттіліктері мен қасиеттері, алифатты (май қатары) қосылыстарының: карбон қышқылдарының, күрделі эфирлердің, майлардың, көмірсулардың қасиеттері мен алыну жолына үлкен көңіл бөлініп құрастырылған.
 Оқу құралы он жеті тараудан тұрады, кредиттік технология бойынша оқу талабына сай жазылған. Білім алушының өздік жұмысына арналған тапсырмалар (БӨЖ), барлық дәріс тақырыптарын қамтитын студенттің білімін қорытынды бағалауға арналған тексеру сұрақтары және оқытушы қатысымен білім алушының орындауына арналған тапсырмалар (БОӨЖ), қолданылған әдебиеттер тізімі берілген.</t>
  </si>
  <si>
    <t>0003375</t>
  </si>
  <si>
    <t>Кабиева С. К., Кряжева Т. В., Остапенко М.С.</t>
  </si>
  <si>
    <t>Лабораторные методы исследования минерального сырья</t>
  </si>
  <si>
    <t>Представляет собой учебное пособие по современных методам лабораторных минералогических исследований, сопровождающих проведение геологоразведочных работ. В сжатой форме с учетом последних достижений науки и техники описаны методы и аппаратура, применяемые для изучения минерального состава геологических проб и продуктов технологической переработки минерального сырья, а также для исследования различных свойств минералов. Сформулированы задачи минералогических исследований. Наряду с изложением традиционных методов минералогического анализа большое внимание уделено новым методам исследования: рентгенодифрактометрическим, электронографическим, электронно-микроскопическим, микрозондовым и др.Учебное пособие предназначено для студентов специальностей 5В072100-«Химическая технология органических веществ», 5В073700-«Обогащение полезных ископаемых» и 5В070100-«Биотехнология» высших технических учебных заведений. Также может быть полезен магистрантам, слушателям курсов повышения квалификации и переподготовки кадров, преподавателям колледжей, техникам-минералогам, технологам и работникам аналитических лабораторий геологоразведочных организаций</t>
  </si>
  <si>
    <t>0003380</t>
  </si>
  <si>
    <t>Электрохимиялық процестердің негізі</t>
  </si>
  <si>
    <t>Оқу құралы «Электрохимиялық процестердің негіздері» курсы химия мамандықтарының бакалавриат студенттерінің бағдарламасына сәйкес. Курстың негізгі теориялық бөлімдері, типтік есептерді шешу мысалдары, тест тапсырмалары, олар үшін анықтамалық деректер бар; сондай-ақ студенттердің осы пәндерді меңгеру барысында орындауы тиіс зертханалық жұмыстардың егжей-тегжейлі сипаттамасы. Студенттердің өзіндік жұмысына арналған.</t>
  </si>
  <si>
    <t>0003381</t>
  </si>
  <si>
    <t>Основы электрохимических процессов</t>
  </si>
  <si>
    <t>Пособие соответствует программе курса «Основы электрохимических процессов» студентов–бакалавров химических специальностей. Содержит основные теоретические разделы курса, примеры решения типовых задач, тестовые задания, справочные данные к ним; а также подробное описание лабораторных работ, которые студенты должны выполнить в ходе освоения данной дисциплины. Предназначено для самостоятельной работы студентов.
 Настоящий учебник составлен в соответствии с программой по электрохимии, поможет подготовить будущих специалистов и научит их получать конкретные результаты. Книга, безусловно, будет полезна магистрантам и студентам университетов и колледжей, изучающим химию, экологию, специалистам-химикам и специалистам обучающимся на металлургию и материаловедение.</t>
  </si>
  <si>
    <t>0003382</t>
  </si>
  <si>
    <t>Кабикенов С.Ж. Ынтықов Т.С.</t>
  </si>
  <si>
    <t>Көлік техникасын техникалық пайдалану негіздері</t>
  </si>
  <si>
    <t>Оқулықта автомобильдерді пайдалану сенімділігінің негізгі аспектілері, сенімділікті өңдеу мен талдау көрсеткіштерінің әдістері мен құралдары, сенімділік сипатындағы негізі қасиеттері мен көрсеткіштері түсіндіріледі. Автомобильдерді пайдалану жүйесіндегі диагностикалаудың орны мен рөлі, диагностикалау үрдісін автоматтандыру, көліктік техниканы диагностикалауды ұйымдастыру мен өткізу қарастырылған. Автокөліктік техниканың техникалық қызметі мен жөндеу үрдістерін қамтамасыз ететін ақпараттық мәселелер мазмұндалған.  Оқулықта басқару әдістері мен шешім қабылдау, үлгілеу, оңтайландырылған критерийлер, сондай-ақ басқарушылық шешім қабылдаудың тәуекел деңгейі мен тиімділігі қарастырылған. Автомобильдерге еңбек нәтижелерін жедел бағалауға негізделген техникалық қызмет көрсету мен жөндеу сапасын басқарудың негізі баяндалынған.   Оқулық жоғары оқу орындарының «Көлік, көлік техникасы және технологиялары» мамандығының магистранттары мен студенттеріне, колледж студенттеріне, сонымен бірге автомобиль көлігі қызметкерлеріне арналған.</t>
  </si>
  <si>
    <t>0003383</t>
  </si>
  <si>
    <t>Кабикенов С.Ж., Жаркенов Н.Б.</t>
  </si>
  <si>
    <t>Көлік техникасын техникалық пайдалану негіздері 1 бөлім</t>
  </si>
  <si>
    <t>Оқу құралында басқару әдістері мен шешімдерді қабылдау әдістері түсіндірілген, оңтайландыру критерийлері, практикалық шектеулер қарастырылған, тәуекел дәрежесі және шешімдерді қабылдау тиімділігі бағаланады. Техникалық пайдалану жүйесінде автомобильдердің күйін анықтау түрлері мен режимдері, қызмет көрсету мен жөндеудің техникалық процесінде күйін анықтау әдістері мен ролі ұсынылған. Техникалық пайдалануды нормативтік қамтамасыз етудің негізгі аспектілері, инженерлік-техникалық қызметті ұйымдастыру және басқару түрлері мен әдістері қарастырылған, автомобильдерді жөндеу мен оларға техникалық қызмет көрсету сапасын басқарудың еңбек нәтижелерін жедел бағалауға негізделген, негізгі принциптері ұсынылған.Бүл оқу құралын 5В071300- «Көлік, көлік техникасы және технологиялары», 5В090100-«Тасымалдау, жол қозгалысын ұйымдастыру және көлікті пайдалану», және «5В012000»-«Кәсіптік оқыту» мамандығы бойынша оқитын студенттер, автокөлік кәсіпорындарының инженерлі-техникалық қызметкерлері пайдалануларына болады</t>
  </si>
  <si>
    <t>0003384</t>
  </si>
  <si>
    <t>Көлік техникасын техникалық пайдалану негіздері 2 бөлім</t>
  </si>
  <si>
    <t>0003385</t>
  </si>
  <si>
    <t>Карьерлік автосамосвалдардың автомобильдік шиналарының ресурсын жоғарылату әдістері</t>
  </si>
  <si>
    <t>Оқу құралында автомобиль шинасының пайда болу тарихы, құрылымы, олардың сенімділігі және «Шұбаркөл-Көмір» АҚ-да пайдаланылатын автомобиль шиналарының сұрыпталымдары әдебиеттерден баяндалып жазылды. Жұмыстың екінші бөлімінде автомобиль шиналарының жүрісіне әсер ететін факторлар, «Шұбаркөл-Көмір» АҚ-да пайдаланылатын автомобиль шиналарына математикалық-статистикалық әдістерді қолдана отыра талдаулар жүргізілді. Талдау барысында GoodYear маркалы автомобиль шинасының қолайлы екені баяндалды. Үшінші бөлімде автомобиль шинасының ресурсын жоғарлату бойынша ұсыныстар мен әдістемелер дайындалынды. Екінші бөлімде жүргізілген талдаулар нәтижесі бойынша ірі габаритті шиналардың пайдалану жүрісінің жеке нормаларын есептеу әдістемесі мен пайдалану көрсеткіштері бойынша үлкен жүк артатын автосамосвалдардың автомобильдік шиналарының болжамдық ресурсын анықтау әдісі ұсынылды..Бұл оқу құралы 6M071300 "Көлік, көлік техникасы және технологиялары", 6М090100 «Көлікті пайдалану және жүк қозғалысы мен тасымалдауды ұйымдастыру» мамандығы бойынша оқитын магистранттарға, автокөлік кәсіпорындарының инженерлі-техникалық қызметкерлері пайдалануларына болады</t>
  </si>
  <si>
    <t>0003386</t>
  </si>
  <si>
    <t>Кабикенов С.Ж., Интыков Т.С. /S.Zh. Kabikenov, T.S. Intykov</t>
  </si>
  <si>
    <t>Fundamentals of transport equipment operation</t>
  </si>
  <si>
    <t>The textbook gives coverage to the principal aspects of vehicle operational reliability, methods and facilities for processing and analyzing reliability indicators, basic properties and indicators of reliability characteristics. It covers the place and role of diagnostics in the system of vehicle operation, automation of diagnostic processes, organization and performance of transport equipment diagnostics. It considers the issues of information support for transport equipment maintenance and repair processes. The textbook envisages the methods of management and decision-making, modeling, optimization criteria, as well as assessing the degree of risk and effectiveness of making managerial decisions. The textbook is intended for students and postgraduates of motor transport faculties of universities, college students, as well as road transport workers.</t>
  </si>
  <si>
    <t>0003387</t>
  </si>
  <si>
    <t>Кабикенов С.Ж., Интыков Т.С., Кириевский М.М., Шалаев В.В.</t>
  </si>
  <si>
    <t>Основы технической эксплуатации транспортной техники</t>
  </si>
  <si>
    <t>В учебнике освещены основные аспекты эксплуатационной надежности автомобилей, методы и средства обработки и анализа показателей надежности, основные свойства и показатели надежностных характеристик. Рассмотрены место и роль диагностирования в системе эксплуатации автомобилей, автоматизации процессов диагностирования, организации и проведения диагностирования транспортной техники. Освещены вопросы информационного обеспечения процессов технического обслуживания и ремонта автотранспортной техники. В учебнике рассмотрены методы управления и принятия решений, моделирование, оптимизационные критерии, а также оценка степени риска и эффективности принятия управленческого решения. Представлены основные принципы управления качеством технического обслуживания и ремонта автомобилей, базирующихся на оперативной оценке результатов труда. Учебник предназначен для студентов, магистрантов и докторантов автотранспортных факультетов вузов, студентов колледжей, а также работников автомобильного транспорта</t>
  </si>
  <si>
    <t>0003388</t>
  </si>
  <si>
    <t>Кабикенов С.Ж., Кириевский М.М., Арпабеков М.И., Сулейменов Т.Б., Баубек А.А.</t>
  </si>
  <si>
    <t>Роль диагностирования при управлении качеством технического обслуживания и ремонта автомобилей</t>
  </si>
  <si>
    <t>В монографии представлена место и роль диагностирования в системе эксплуатации автомобилей, автоматизации процессов диагностирования, организации и проведения диагностирования транспортной техники. Освещены вопросы информационного обеспечения процессов технического обслуживания и ремонта автотранспортной техники. Также рассмотрены методы управления и принятия решений, моделирование, оптимизационные основные принципы управления качеством технического обслуживания и ремонта автомобилей, базирующихся на оперативной оценке результатов труда. Монография предназначена для студентов, магистрантов и докторантов специальностей «Транспорт, транспортная техника и технологии», «Технологические машины и оборудование», а также «Организация перевозок, движения и эксплуатация транспорта» вузов, студентов колледжей, а также работников автомобильного транспорта</t>
  </si>
  <si>
    <t>0003389</t>
  </si>
  <si>
    <t>Кабулов Б.Б., Кудеринова Н.А., Мустафаева А.К., Ануарбекова А.С.</t>
  </si>
  <si>
    <t>Практикум по расчету технологического оборудования предприятий мясной и молочной промышленности. Часть 1</t>
  </si>
  <si>
    <t>В учебном пособии приведены сведения о технологическом оборудовании предприятий мясной и молочной промышленности. Дается теоретическое обоснование технологических процессов переработки мясного и молочного сырья. Рассматриваются как конструкционные факторы: конструкции оборудования, их виды, устройство и характеристика, так и эксплуатационные, а именно: принцип работы, условия эксплуатации и т.д. Приведены основные формулы для технологического расчета.
 Учебное пособие предназначено для студентов вузов специальностей «Технологические машины и оборудование», «Технология продовольственных продуктов»; «Технология перерабатывающих производств; «Стандартизация и сертификация» при изучении дисциплины «Технологическое оборудование отрасли».</t>
  </si>
  <si>
    <t>0003390</t>
  </si>
  <si>
    <t>Кабулов Б.Б., Уразбаев Ж.З., Мустафаева А.К., Аманжолов С.А.</t>
  </si>
  <si>
    <t>Ет және ет-сүйекті шикізатты механикалық өңдеу процестерінің теориялық негіздері мен жабдықтары</t>
  </si>
  <si>
    <t>Монография ет және ет-сүйекті шикізатты механикалық өңдеу процестерін жетілдіруге бағытталған авторлардың ұзақ мерзімді жұмысы болып табылады. Инженерлік физика-химиялық механика негіздері, сонымен қатар ет және ет-сүйекті шикізаттың реологиясы берілген. Ет және ет-сүйекті шикізатты механикалық өңдеу процестерінің (ұсақтау, араластыру, қалыптау) теориялық негіздеуі ұсынылған. Ет және ет-сүйекті шикізатты механикалық өңдеу жабдықтары, сондай-ақ, құрылымдық және де пайдалану факторлары көрсетілген. 
 Кітап тамақ өнеркәсібінің ғылыми және инженерлік қызметкерлеріне, жоғары оқу орындарының студенттеріне, магистранттары мен аспиранттардына арналған.</t>
  </si>
  <si>
    <t>0003391</t>
  </si>
  <si>
    <t>Кабылбекова Г. К.</t>
  </si>
  <si>
    <t>Қазіргі жаратылыстану концепсиясы</t>
  </si>
  <si>
    <t>Оқұ құралы 05070100 «Биотехнология» мамандығы студенттерінің «Қазіргі жаратылыстану концепциялары» пәнін зерделеуіне арналған. Ол сонымен бірге, магистранттарға, бакалавр-биотехнологтарға, биотехнология саласында жұмыс істейтін мамандарға қажет болуы мүмкін.</t>
  </si>
  <si>
    <t>0003392</t>
  </si>
  <si>
    <t>Кабылбекова Г.К.</t>
  </si>
  <si>
    <t>Тағамдық биотехнология</t>
  </si>
  <si>
    <t>Дәрістер циклі</t>
  </si>
  <si>
    <t>Дәрістер циклі талаптарға сай құрастырылған, яғни «Тағамдық биотехнология» пәнін оқытуға арналған талаптар және осы пәнге қатысты барлық қажетті мәліметтер бар әрі емтиханды жақсы тапсыруға мүмкіндік береді. 5В070100 – «Биотехнология» мамандығы бойынша студенттерге арналған барлық оқу түрі үшін</t>
  </si>
  <si>
    <t>0003393</t>
  </si>
  <si>
    <t>Кабылова А.С.</t>
  </si>
  <si>
    <t>Араб-мұсылман мәдениеті</t>
  </si>
  <si>
    <t>Оқу құралында «Араб-мұсылман мәдениеті» курсы шеңберіндегі негізгі мәселелер тақырыптық талдау әдісімен қорытындыланған. Тарихи кезеңдер, формалардың ара-қатынасы, өркениет пен мәдениет сияқты үлкен әлеуметтік мәселелер қазіргі заман сұранысына сай зерттеу қажеттеріне орай талданып, шешіліп отырылады. Еңбекті жазу барысында араб, түрік, ағылшын тіліндегі еңбектер кеңінен пайдаланылған.
 Ұсынылып отырылған еңбек жоғары оқу орындарының студенттеріне, жалпы Шығыс философиясы мен ғылымы тарихына әуестенуші оқырман қауымға арналған.</t>
  </si>
  <si>
    <t>0003394</t>
  </si>
  <si>
    <t>Діндердегі биоэтика мәселесі</t>
  </si>
  <si>
    <t>0003395</t>
  </si>
  <si>
    <t>Кабылшаев К.И.</t>
  </si>
  <si>
    <t>Екінші Дүниежүзілік Соғыс (1939-1945жж.)</t>
  </si>
  <si>
    <t>Орта мектеп мұғалімдері мен оқушыларына, сондай-ақ студенттерге, магистранттарға, тарих пәнінен дәріс беретін оқытушыларға, көмекші оқу құралы ретінде ұсынылып отырған бұл кітапта 1939 – 1945 жылдардағы екінші дүниежүзілік соғыстың тарихы, адамзатқа әкелген қайғы-қасіреті құжаттық деректер негізінде көрсетілген.</t>
  </si>
  <si>
    <t>0003398</t>
  </si>
  <si>
    <t>Каверин В.В., Потёмкина Е.Б.</t>
  </si>
  <si>
    <t>Преобразовательная техника</t>
  </si>
  <si>
    <t>Учебное пособие составлено в соответствии с учебными программами дисциплин “Силовые преобразовательные устройства” для студентов специальностей 5В071800 «Электроэнергетика», 5В070200 “Автоматизация и управление” дневной и заочной форм обучения. Пособие содержит краткие теоретические сведения о расчетных схемах, статических и динамических характеристиках силовых преобразовательных устройств: классификацию и принципы построения управляемых преобразователей электрической энергии; примеры схемотехнических решений управляемых преобразователей постоянного и переменного тока; современные тенденции развития преобразовательной техники.</t>
  </si>
  <si>
    <t>0003400</t>
  </si>
  <si>
    <t>Кадерова Н.Н.</t>
  </si>
  <si>
    <t>Корпоративные финансы. 2-часть</t>
  </si>
  <si>
    <t>Учебное пособие предназначено для формирования знаний о сущности корпоративных финансов, как системы эффективного управления процессами финансирования хозяйственной деятельности коммерческой организации. Дисциплина «Корпоративные финансы» в Республике Казахстан является обязательной для изучения студентами специальности 5В050900 «Финансы». труктура учебного пособия включает 14 глав и построена в полном соответствии с типовой программой, которая в свою очередь разработана в соответствии с государственным общеобразовательным стандартом образования по специальности 5В050900 «Финансы». В предлагаемом издании последовательно освещаются базовые концепции корпоративных финансов, финансовая и инвестиционная политика корпораций, их взаимодействие с участниками финансового рынка; излагаются практические аспекты формирования и использования капитала, доходов (расходов) и прибыли, эффективного управления текущими и внеоборотными активами корпорации; рассматриваются вопросы финансового планирования, бюджетирования и контроля, а также оценки финансового состояния корпорации и пути достижения финансовой устойчивости. Следует отметить, что в учебном пособии большое внимание уделено и таким актуальным проблемам, как корпоративное управление, управление дивидендной политикой и рисками, а также вопросам реструктуризации компаний, их слияний и поглощений. Изложение материала сопровождается множеством практических примеров, иллюстрацией таблиц, схем, графиков, диаграм. Издание рекомендуется для студентов, магистрантов, докторантов, обучающихся по финансовым и экономическим специальностям.</t>
  </si>
  <si>
    <t>0003401</t>
  </si>
  <si>
    <t>Корпоративные финансы. 3-часть</t>
  </si>
  <si>
    <t>0003402</t>
  </si>
  <si>
    <t>Кадырбеков Т. К., Кадырбеков А.Т.</t>
  </si>
  <si>
    <t>Информационное обеспечение системы поддержки принятия решений на предприятии</t>
  </si>
  <si>
    <t>Целью пособия является формирование у студентов теоретических знаний по вопросам применения современных информационных технологий в экономике, управлении и бизнесе, автоматизации бизнес-процессов. В процессе изучения студенты знакомятся с основ­ными тенденциями информатизации в сфере экономики и управления, знакомятся с информационными технологиями в различных областях производственной, управленческой и коммерческой деятельности. Цель пособия состоит в прививании навыков самостоятельной ори­ентации в многообразном рынке компьютерных программ и систем, расширении кругозора в области средств и методов автоматизации бизнес-процессов. Основной задачей изучения дисциплины является приобретение студентами проч­ных знаний и практических навыков в области, определяемой основной целью курса. В результате изучения курса студенты должны свободно ориентироваться во всем многообразии информационных технологий, знать основные способы и режимы обработки экономической информации, а также обладать практическими навыками использования инструментальных и прикладных информационных технологий в раз­личных отраслях экономики, управления и бизнеса. Основными сферами профессионального использования полученных знаний являются экономика и управление, как в рамках отдельного предприятия, так и в рам­ках корпорации, холдинга, государственных систем</t>
  </si>
  <si>
    <t>0003403</t>
  </si>
  <si>
    <t>Кадырбеков Т. К., Кадырбеков С.Т.</t>
  </si>
  <si>
    <t>Прогнозирование экономических процессов на предприятии на основе экономико-математических и эконометрических моделей</t>
  </si>
  <si>
    <t>В данном учебном пособии рассматриваются вопросы практического применения экономико-математических и эконометрических методов в прогнозировании. Рассматриваются простейшие задачи линейного программирования (ЛП) и их решение симплексными методами, графический метод решения задач ЛП с двумя переменными, способы реализации транспортных задач, подходы применения целочисленного программирования в экономике, выполнение корреляционного и регрессионного анализа, построение уравнения тренда и его прогноза методами МНК, скользящей средней, экспоненциального сглаживания, а также анализ и прогнозирование экономического рынка методом экстраполяции. Издание предназначено для обучающихся по направлению информационные технологии и информационные системы инженерных специальностей, а также может быть полезно учащимся других направлений и специалистами</t>
  </si>
  <si>
    <t>0003404</t>
  </si>
  <si>
    <t>Кадырбеков Т.К., Кульмамиров С. А.</t>
  </si>
  <si>
    <t>Управление проектами</t>
  </si>
  <si>
    <t>Изложены основы и базовая терминология анализа инвестиционных проектов, методы и инструментарий расчета показателей эффективности инвестиционных проектов. Даны определения финансовым показателям – прибыль и рентабельность, сущность и содержание понятий точка безубыточности, левериджа, автоматизированной обработки данных. Методы расчета эффективности инвестпроектов, в условиях инфляцуии и риска, эффективности финансовых инвестиций и акций. Приведены методы анализа альтернативных проектов. Для студентов и преподавателей экономических специальностей высших учебных заведений, , менеджерам и предпринимателям</t>
  </si>
  <si>
    <t>0003405</t>
  </si>
  <si>
    <t>Кадырбеков Т.К., Байбулова М.Г.</t>
  </si>
  <si>
    <t>Экономикалық жүйелерді басқару теориясы</t>
  </si>
  <si>
    <t>Оқу құралында экономикалық жүйелерді ұйымдастырудың жүйелі негіздері, басты әдістері мен құру амалдары қарастырылған. Материалдар құрамы бойынша басқару функцияларын, басқару шешімдерін қабылдау, басқару қызметінің тиімділігі бойынша материалдар берілген. Аталмыш оқу құралы студенттерге, магистранттарға, аспиранттарға, оқытушыларға, қызметтің әр саласында жұмыс істейтін практик-менеджерлерге арналған</t>
  </si>
  <si>
    <t>0003406</t>
  </si>
  <si>
    <t>Кадырбеков Т.К., Кадырбеков А.Т. Бозшағұлова С.О.</t>
  </si>
  <si>
    <t>Кәсіпорында шешімдер қабылдауды қолдау жүйесін ақпараттық қамтамасыз ету</t>
  </si>
  <si>
    <t>Оқу құралының мақсаты студенттерге экономикада, басқаруда және бизнесте заманауи ақпараттық технологияларды қолдану, бизнес-процестерді автоматтандыру мәселелері бойынша теориялық білімді қалыптастыру болып табылады. Зерттеу барысында студенттер экономика және басқару саласындағы ақпараттандырудың негізгі үрдістерімен танысады,өндірістік, басқарушылық және коммерциялық қызметтің түрлі салаларындағы ақпараттық технологиялармен танысады. Оқу құралының мақсаты компьютерлік бағдарламалар мен жүйелердің алуан түрлі нарығында өзіндік бағдарлау дағдыларын дарыту, бизнес-процестерді автоматтандыру құралдары мен әдістері саласындағы ой-өрісін кеңейту болып табылады.Пәнді оқытудың негізгі міндеті-студенттердің негізгі мақсаты болып табылатын саладағы берік білім мен практикалық дағдыларды игеруі болып табылады. Курсты оқу нәтижесінде студенттер ақпараттық технологиялардың барлық алуан түрлілігіне еркін бағдарлануы, экономикалық ақпаратты өңдеудің негізгі тәсілдері мен режимдерін білуі, сонымен қатар экономика, басқару және бизнестің жеке салаларында аспаптық және қолданбалы ақпараттық технологияларды пайдаланудың практикалық дағдыларын игеруі тиіс.Алынған білімді кәсіби қолданудың негізгі бағыттары жеке кәсіпорын ішінде де, корпорация, холдинг және мемлекеттік жүйелер шеңберіндегі экономика және менеджмент болып табылады.Алынған білімді кәсіби пайдаланудың негізгі салалары ретінде – жеке кәсіпорын шеңберіндегі, сондай-ақ мемлекеттік жүйелер, холдинг, корпорация шеңберіндегі экономика және басқару болып табылады.</t>
  </si>
  <si>
    <t>0003407</t>
  </si>
  <si>
    <t>Экономико-математические и эконометрические модели прогнозирования</t>
  </si>
  <si>
    <t>Настоящее учебно-методическое пособие (УМП) посвящено разработке лабораторных работ по разделам базовых дисциплин образовательной программы 70300 «Информационные системы» в системе подготовки бакалавров в направлении «Экономические информационные системы». Рассматриваются простейшие задачи линейного программирования (ЛП) и их решение симплексными методами, графический метод решения задач ЛП с двумя переменными, способы реализации транспортных задач, подходы применения целочисленного программирования в экономике, выполнение корреляционного и регрессионного анализа, построение уравнения тренда и его прогноза методами МНК, скользящей средней, экспоненциального сглаживания, а также анализ и прогнозирование экономического рынка методом экстраполяции. Издание предназначено для обучающихся по направлению инфокоммуникационные технологии и информационных систем экономических направлений инженерных специальностей, а также может быть полезно учащимся других направлений и специальностей</t>
  </si>
  <si>
    <t>0003408</t>
  </si>
  <si>
    <t>Кадырбеков Т.К., Мұқанқызы А.</t>
  </si>
  <si>
    <t>Болжаудың экономикалық-математикалық және эконометриялық үлгілері</t>
  </si>
  <si>
    <t>Осы оқу-әдістемелік құрал (ОӘҚ) «Экономикалық ақпараттық жүйелер» бағыты бойынша бакалаврларды даярлау жүйесіндегі 70300 «Ақпараттық жүйелер» білім беру бағдарламасының негізгі пәндері бойынша зертханалық жұмыстарды әзірлеуге арналған. Қарапайым сызықтықбағдарламалау есептерін (СБЕ) және оларды шешудің симплекс әдісін, екі айнымалысы бар СБЕ шешудің графикалық әдісін, транспорттық есептерді шешу жолдарын, бүтін санды бағдарламалауды экономикада қолдану тәсілдерін, корреляциялық және регрессиялық талдауды, трендтің теңдеуін құруды және оны ЕКК әдістерімен болжауды, жылжымалы орта, экспоненталық тегістеу, сондай-ақ экстраполяция әдісі арқылы экономикалық нарықты талдау және болжау қарастырылады. Басылым ақпараттық-коммуникациялық технологиялар саласындағы студенттерге және инженерлік мамандықтардың экономикалық бағыттарының ақпараттық жүйелеріне арналған және басқа да салалар мен мамандықтар студенттеріне пайдалы болуы мүмкін.</t>
  </si>
  <si>
    <t>0003416</t>
  </si>
  <si>
    <t>Каженов Е. Е.</t>
  </si>
  <si>
    <t>Уголовные правонарушения против порядка управления</t>
  </si>
  <si>
    <t>Учебное пособие, написан в соответствии с учебной программой курса уголовного права Республики Казахстан и предназначен для обучающихся в бакалавриате, магистратуре и докторантуре высших учебных заведений юридического профиля</t>
  </si>
  <si>
    <t>0003417</t>
  </si>
  <si>
    <t>Каженов Е.Е.</t>
  </si>
  <si>
    <t>Уголовные правонарушения против общественной безопасности и общественного порядка</t>
  </si>
  <si>
    <t>0003418</t>
  </si>
  <si>
    <t>Каженова Г.Т.</t>
  </si>
  <si>
    <t>Этнокультурные контакты Сибирских казаков с казахами степного края (ХІХ-нач.ХХ в.в.)</t>
  </si>
  <si>
    <t>Монография является первым специальным исследованием,в котором анализируются этнокультурные контакты сибирских казаков с казахами. Рассматриваются исторические условия возникновения контактов казахов и сибирского казачества, проанализированы различные факторы, оказавшие влияние на их взаимоотношения, анализируются торговые и хозяйственно-бытовые взаимосвязи казахов и казаков. Традиционная культура казачества показана как результат адаптации казаков к историческим, природно-географическим и социально-культурным условиям Степного края и к местному населению - казахам. 
 Издание адресовано как исследователям, преподавателям, так и специалистам по проблемам межэтнических отношений, а также широкому кругу читателей</t>
  </si>
  <si>
    <t>0003419</t>
  </si>
  <si>
    <t>Казагачев В.Н.</t>
  </si>
  <si>
    <t>Лабораторный практикум на Delphi</t>
  </si>
  <si>
    <t>Учебное пособие.</t>
  </si>
  <si>
    <t>Данное пособие предназначено для овладения одним из наиболее распространенных языков программирования – Delphi. В ней содержится описание интегрированной среды разработчика, визуальных компонентов, техники программирования и использования среды Delphi для разработки Windows-программ. Предназначено для студентов инженерно-технических специальностей, изучающих дисциплину «Информатика», «Языки программирования», а также рекомендуется для самостоятельного обучения начинающих пользователей, желающих быстро и эффективно создавать Windows-приложения.</t>
  </si>
  <si>
    <t>0003421</t>
  </si>
  <si>
    <t>Математические модели 1 том</t>
  </si>
  <si>
    <t>Физика, математика</t>
  </si>
  <si>
    <t>В учебном пособии представлены модели линейного и целочисленного программирования, классические методы оптимизации, задачи выпуклого и динамического программирования, модели управления запасами и сетевого планирования и управления, элементы теории игр и массового обслуживания. Рассмотрены некоторые вопросы применения ЭВМ для решения задач математического программирования. Приводится большое количество задач с решениями и для самостоятельной работы. Предназначено для студентов специальности «Организация перевозок на транспорте», «Локомотивы», «Вагоны», а также для студентов других инженерно-экономических специальностей, изучающих дисциплину «Математическое моделирование».</t>
  </si>
  <si>
    <t>0003422</t>
  </si>
  <si>
    <t>Математические модели 2 том</t>
  </si>
  <si>
    <t>0003423</t>
  </si>
  <si>
    <t>Основы микропроцессорной техники 1 том</t>
  </si>
  <si>
    <t>Микропроцессорная техника - наиболее быстро развивающаяся область электроники, для успешного овладения которой необходимо с самого начала усвоить современные принципы организации микропроцессорных систем. Освоение ключевых понятий микропроцессорной техники - это основная задача курса. Успех при этом может принести только комплексный подход к проектированию аппаратных и программных средств. Предназначено для студентов инженерно-технических специальностей, изучающих основы микропроцессорной техники и микропроцессорные системы управления, а также изучающих дисциплину «Основы схемотехники», «Основы электроники», "Основы цифровой и вычислительной техники».</t>
  </si>
  <si>
    <t>0003425</t>
  </si>
  <si>
    <t>Основы микропроцессорной техники 3 том</t>
  </si>
  <si>
    <t>0003426</t>
  </si>
  <si>
    <t>Математические модели 3 том</t>
  </si>
  <si>
    <t>В учебном пособии представлены модели линейного и целочисленного программирования, классические методы оптимизации, задачи выпуклого и динамического программирования, модели управления запасами и сетевого планирования, и управления, элементы теории игр и массового обслуживания.Рассмотрены некоторые вопросы применения ЭВМ для решения задач математического программирования. Приводится большое количество задач с решениями и для самостоятельной работы.Предназначено для студентов специальности 5В060200-Информатика, 5В070500-Математическое и компьютерное моделирование, 5В070300-Информационные системы, 6В06112 «Вычислительная техника и программное обеспечение», а также для студентов других инженерно-экономических специальностей, изучающих дисциплину «Математическое моделирование».</t>
  </si>
  <si>
    <t>0003427</t>
  </si>
  <si>
    <t>Математические модели 4 том</t>
  </si>
  <si>
    <t>0003429</t>
  </si>
  <si>
    <t>Казешев А.</t>
  </si>
  <si>
    <t>Экономикалық мамандарға арналған жоғары математика. Есептер жинағы.</t>
  </si>
  <si>
    <t>0003434</t>
  </si>
  <si>
    <t>Кайгородцев А.А.</t>
  </si>
  <si>
    <t>Корпоративное управление</t>
  </si>
  <si>
    <t>Учебное пособие раскрывает основные принципы и механизмы корпоративного управления. Особенностью учебного пособия является то, что в нем описано, как теория корпоративного управления реально применяется в Казахстане. Предназначено для магистрантов специальности «Менеджмент». Оно может быть полезно магистрантам других экономических специальностей, преподавателям экономических и управленческих дисциплин, слушателям курсов повышения квалификации управленческих кадров, а также всем тем, кто по роду своей практической деятельности имеет отношение к управлению корпорациями.</t>
  </si>
  <si>
    <t>0003437</t>
  </si>
  <si>
    <t>Кайгородцев А.А., Кирдасинова К.А.</t>
  </si>
  <si>
    <t>Производственный менеджмент</t>
  </si>
  <si>
    <t>0003438</t>
  </si>
  <si>
    <t>Каймулдинова К.Д.</t>
  </si>
  <si>
    <t>Басқарудың географиялық негіздері</t>
  </si>
  <si>
    <t>Оқу құралында жоғары оқу орындарындағы география мамандықтарының оқу жоспарларына енгізілген «Басқарудың географиялық негіздері» пәнінің негізгі мазмұны автордың осы пән бойынша Абай атындағы ҚазҰПУ-де оқыған дәрістері мен 2012 жылы жарық көрген оқу құралы негізінде баяндалған. Оқу құралында пән құрылымы мен мазмұнын толықтыратын, автордың аудармасымен әртүрлі дерек көздерінен жинақталған қазіргі заманғы хрестоматиялық материалдар қамтылған. Бақылау сұрақтары мен әдебиеттер тізімі әр тақырыптың соңында берілген.
 Оқу құралы география мамандықтары бойынша білім алатын студенттер мен магистранттарға арналған. Сонымен қатар, бұл оқу құралын оқулықты табиғатты қорғау мен тиімді пайдалану, аудандық жоспарлау саласында қызмет ететін мамандар мен мектеп мұғалімдері қосымша дерек көзі ретінде пайдалана алады.</t>
  </si>
  <si>
    <t>0003448</t>
  </si>
  <si>
    <t>Калдияров Д.А., Дашкова В.Ю., Лемещенко О.В</t>
  </si>
  <si>
    <t>Инвестиционные проекты: от моделирования до реализации</t>
  </si>
  <si>
    <t>В учебном пособии «Инвестиционные проекты: от моделирования до реализации» тесно скоррелированы понятия инвестиционный проект как объект экономической оценки и процесс моделирования и реализации инвестиционных проектов как работа с механизмом расчетов различных параметров и показателей проектов. Синергетический эффект от корреляции данных понятий выражается в возрастании эффективности деятельности предприятия в условиях многообразных и сложных бизнес-процессов.В учебном пособии приведены примеры постановки задач инвестиционного анализа, с логической интерпретацией полученных финансово-экономических показателей.Предназначено для студентов, магистрантов, преподавателей экономических специальностей, изучающих и читающих дисциплины по инвестиционной проблематике</t>
  </si>
  <si>
    <t>0003453</t>
  </si>
  <si>
    <t>Калдыбаев Т.</t>
  </si>
  <si>
    <t>Абаеведение</t>
  </si>
  <si>
    <t>Учебное пособие представляет собой конспект лекций по элективному курсу «Абаеведение», в программном содержании которого раскрывается материалы о творческом наследии Абая, об истории исследований его творчества и современных проблемах абаеведения как отрасли литературоведения. К учебному пособию прилагаются избранные стихи и поэмы Абая, его слова назидания, а также статьи о жизни и творчестве великого казахского поэта и мыслителя. Адресовано студентом педагогических специальностей, магистрантам, докторантам, а также всем читателям, которые интересуются проблемами абаеведения.</t>
  </si>
  <si>
    <t>0003457</t>
  </si>
  <si>
    <t>Калдыкозова С.Е. (Калдыгозова)</t>
  </si>
  <si>
    <t>Русский язык для студентов архитектурно-строительных специальностей</t>
  </si>
  <si>
    <t>Язык русский, Архитект.-строит.</t>
  </si>
  <si>
    <t>Учебное пособие предназначено для студентов архитектурно- строительных специальностей. Основная задача пособия – помочь студентам овладеть профессиональной лексикой, расширить его лексический запас, углубить профессиональные знания путем работы с текстами по специальности вуза, развить навыки их профессиональной речемыслительной деятельности на русском языке. В пособии представлен учебный материал, базирующийся на текстах по архитектуре и строительству.</t>
  </si>
  <si>
    <t>0003458</t>
  </si>
  <si>
    <t>Русский профессиональный язык. Профессия - Нефтяник.</t>
  </si>
  <si>
    <t>Язык русский, нефть</t>
  </si>
  <si>
    <t>Учебное пособие предназначено для студентов специальности «Нефтегазовое дело». Основная задача пособия – помочь студентам овладеть профессиональной нефтегазовой лексикой, расширить его лексический запас, углубить профессиональные знания путем работы с текстами по специальности вуза, развить навыки их профессиональной речемыслительной деятельности на русском языке.
 В пособии представлен учебный материал, базирующийся на текстах по нефтегазовому делу, технологии нефти и газа.</t>
  </si>
  <si>
    <t>0003459</t>
  </si>
  <si>
    <t>Русский профессиональный язык. Учебное пособие для студентов специальности «Технологические машины и оборудование"</t>
  </si>
  <si>
    <t>Язык русский, машиностроению</t>
  </si>
  <si>
    <t>Учебное пособие предназначено для студентов специальности «Технологические машины и оборудование». Основная задача пособия – помочь студенту овладеть профессиональной лексикой, расширить его лексический запас, углубить профессиональные знания путем работы с текстами по специальности вуза, развить навыки их профессиональной речемыслительной деятельности на русском языке. В пособии представлен учебный материал, базирующийся на текстах по машиностроению, технологии машин и оборудованию.</t>
  </si>
  <si>
    <t>0003460</t>
  </si>
  <si>
    <t>Тексты по развитию профессиональной речи студентов специальности «БЖД»</t>
  </si>
  <si>
    <t>Язык русский, БЖД</t>
  </si>
  <si>
    <t>Учебное пособие предназначено для студентов специальности «БЖД».
 Основная задача пособия – помочь студентам овладеть профессиональной лексикой, расширить его лексический запас, углубить профессиональные знания путем работы с текстами по специальности вуза, развить навыки их профессиональной речемыслительной деятельности на русском языке.
 В пособии представлен учебный материал, базирующийся на текстах по безопасности и жизнедеятельности.</t>
  </si>
  <si>
    <t>0003461</t>
  </si>
  <si>
    <t>Калдыкозова С.Е.(Калдыгозова), Лесбекова Л.Ж., Рискелдиева Ж.А.</t>
  </si>
  <si>
    <t>Тексты по развитию профессиональной речи студентов специальности «Стандартизация, сертификация и метрология»</t>
  </si>
  <si>
    <t xml:space="preserve">Язык русский,Стандартизация, сертификация </t>
  </si>
  <si>
    <t>Учебное пособие предназначено для студентов специальности «Стандартизация, сертификация и метрология». Основная задача пособия – помочь студентам овладеть профессиональной лексикой, расширить его лексический запас, углубить профессиональные знания путем работы с текстами по специальности вуза, развить навыки их профессиональной речемыслительной деятельности на русском языке.
  В пособии представлен учебный материал, базирующийся на текстах по стандартизации, сертификации и метрологии.</t>
  </si>
  <si>
    <t>0003462</t>
  </si>
  <si>
    <t>Каленова А.А.</t>
  </si>
  <si>
    <t>Уголовное право Республики Казахстан (общая часть) в схемах и таблицах</t>
  </si>
  <si>
    <t>В учебном пособии в графическом виде представлены такие темы, как понятие, задачи и система уголовного права Республики Казахстан, уголовный закон, его действие во времени и пространстве, понятие и состав уголовного правонарушения, элементы состава уголовного правонарушения, стадии совершения преступления, соучастие в уголовном правонарушении, обстоятельства исключающие преступность деяния, понятие и цели уголовного наказания, система и виды наказаний, принудительные меры медицинского характера, особенности уголовной ответственности несовершеннолетних. Представленное учебное пособие призвано оказать помощь в приобретении знаний по дисциплине «Уголовное право (общая часть)», а также по подготовке к внешней оценке учебных достижений студентов, по подготовке к государственным экзаменам. Учебное пособие предназначено для обучающихся по образовательным программам бакалавриата, магистратуры группы образовательных программ «Право».</t>
  </si>
  <si>
    <t>0003463</t>
  </si>
  <si>
    <t>Каленова Т. С.</t>
  </si>
  <si>
    <t>Еуразияшылдық: теория және практика</t>
  </si>
  <si>
    <t>Бұл оқулықта еуразияшылдық идеясының бастаулары, оның қалыптасу тарихы мен басты кезеңдері, классикалық және қазіргі қазақстандық еуразияшылдықтың теориялық ерекшеліктері мен негіздері қарастырылады. Мұнда дәріс мәтіндері, семинар тақырыптары мен БӨЖ тапсырмалары берілді. Оқу құралы колледж және жоғары оқу орындары студенттері, магистранттар мен оқытушыларға арналған</t>
  </si>
  <si>
    <t>0003464</t>
  </si>
  <si>
    <t>Каленова Т.С.</t>
  </si>
  <si>
    <t>Жүсіпбек Аймауытов: қайраткерлігі, ағартушылығы, саяси көзқарасы.</t>
  </si>
  <si>
    <t>Жүсіпбек Аймауытов көпшілік оқырманға жазушы ретінде танымал. Ал оның қоғамдық-саяси қызметі беймәлім болып келді. Бұл еңбекте Ж. Аймауытовтың өмірі мен қоғамдық-саяси қызметі, яғни оның қоғам қайраткері болып қалыптасу эволюциясы, 1917-1930 жж. қоғамдық - мемлекеттік қызметі мен қуғындалу кезеңі республика көлеміндегі мемлекеттік мұрағат деректері мен Өзбекстан Республикасының мемлекеттік мұрағат қорларының құжат материалдары негізінде тұтас қарастырылады. Сонымен қатар, Ж.Аймауытовтың творчестволық мұрасына жүйелі түрде тарихи талдау жасалынды. 
  Кітап тарихшыларға, жоғары оқу орны студенттеріне және жалпы оқырман қауымына арналады.</t>
  </si>
  <si>
    <t>0003466</t>
  </si>
  <si>
    <t>Калиев Б.А.</t>
  </si>
  <si>
    <t>Қазақ тілінің фонетикасы</t>
  </si>
  <si>
    <t>0003467</t>
  </si>
  <si>
    <t>Калиев И.А</t>
  </si>
  <si>
    <t>Политикалык жуйелер және режимдер</t>
  </si>
  <si>
    <t>0003468</t>
  </si>
  <si>
    <t>Политические системы и режимы</t>
  </si>
  <si>
    <t>Данная работа посвящена анализу типологий политических систем и режимов, позволяющего характеризовать крупнейшие этапы политического процесса. В ней раскрываются современные типологии и коренные отличия политических систем по характеру режима, по строению институциональных систем, по фундаментальным параметрам ценностей, позволяющих характеризовать различные этапы политического процесса.
 Учебное пособие предназначено для политологов, ученых-обществоведов, преподавателей, магистрантов, студентов и учащихся.</t>
  </si>
  <si>
    <t>0003469</t>
  </si>
  <si>
    <t>Калиев И.А.</t>
  </si>
  <si>
    <t>Политическая власть</t>
  </si>
  <si>
    <t>В учебном пособии обобщен теоретический материал, раскрывающий содержание, значение теории политической власти, а также выявляются причинно-следственные связи и возможные сценарии развития различных ситуаций, возникающих в сфере политической жизни современного общества.
 Учебное пособие «Политическая власть» предназначено для магистрантов, студентов и учащихся.</t>
  </si>
  <si>
    <t>0003478</t>
  </si>
  <si>
    <t>Калкеева К.Р., Аймагамбетова Р.Х., Джексембаева Г.С.</t>
  </si>
  <si>
    <t>История образования и педагогической науки Казахстана</t>
  </si>
  <si>
    <t>Учебное пособие предназначено для студентов, магистрантов, преподавателей педагогических ВУЗов и колледжей, учителей школ и всем интересующимся вопросами развития образования и педагогической науки Казахстана. Материалы апробированы в ходе проведения учебных занятий студентов очного и заочного отделений, магистрантов, применялись на курсах повышения квалификации педагогических работников</t>
  </si>
  <si>
    <t>0003480</t>
  </si>
  <si>
    <t>Калмагамбетова А.Ш., Дивак Л.А., Садирбаева А.М.</t>
  </si>
  <si>
    <t>Методические указания к практическим работам по дисциплине «Заполнители бетона»</t>
  </si>
  <si>
    <t>Методические указания составлены в соответствии с требованиями учебного плана и программой дисциплины «Заполнители бетона» и включают все необходимые сведения по выполнению практических работ. Методические указания предназначены для студентов строительных специальностей дневного и заочного обучения.</t>
  </si>
  <si>
    <t>0003481</t>
  </si>
  <si>
    <t>Калмагамбетова А.Ш., Пахтеев О.Б.</t>
  </si>
  <si>
    <t>Антикоррозионные и огнезащитные строительные материалы</t>
  </si>
  <si>
    <t>В учебном пособии приведены основы коррозии и защиты металлов, процессы протекающие на границе металл-электролит. Способы защиты металлов от коррозии. Механизм защитного действия и разрушения антикоррозионных покрытий, способы подготовки поверхности под окраску.Представлен научно-технический анализ современных тенденций в технологии производства огнезащитных материалов.Предназначено для магистрантов специальности 6М073000- «Производство строительных материалов, изделий и конструкций» при изучении дисциплины «Антикоррозионные и огнезащитные строительные материалы».</t>
  </si>
  <si>
    <t>0003483</t>
  </si>
  <si>
    <t>Калшабекова Э., Кудабаев Р.Б., Камбаров М.А.</t>
  </si>
  <si>
    <t>Теплоизоляционные и акустические материалы</t>
  </si>
  <si>
    <t>Методическое указание составлено в соответствии с требованиями учебного плана и программой дисциплины « Теплоизоляционные и акустиче-ские материалы» и включает все необходимые сведения для самостоятельной работы студента.Методическое указание предназначено для студентов специ-альности 5В073000 и 050730 - «Производство строительных материалов, из-делий и конструкций»В методическом указании приведены вопросы входного контроля по дисциплинам предыдущих курсов, знание которых позволит бо-лее полно освоить изучаемую дисциплину; текущие вопросы по каждому раз-делу типовой и рабочей программ; вопросы для оценки усвоения каждого модуля и рубежного контроля; тестовые задания итогового контроля знаний; темы курсовых проектов</t>
  </si>
  <si>
    <t>0003487</t>
  </si>
  <si>
    <t>Камалова Н.</t>
  </si>
  <si>
    <t>Қазақтың мәнін жоймас құндылығы</t>
  </si>
  <si>
    <t>Монографияда қазақ дәстүрлі мәдениетінің, соның ішінде мерекелері мен салт-дәстүрлерінің, тарихи-мәдени дамуы, олардың түрлері мен мазмұны дүниетаным қалыптасу негіздеріне сүйене отырып жазылған. Монографияда қазақ халқының қарым-қатынастық мәдениеті, отбасылық мерекелер, шаруашылыққа байланысты дамыған салт-дәстүрлер мен табиғат құбылыстарының өзгерістеріне байланысты күнтізбелік мерекелердің рәсімдік әрекеттері, арнайы бұйымдары мен киілген киімдері, рәсімдік тағамдарының символдық мәніне сипаттама берілген. Мерекелер мен салт-дәстүрлердің бүгінгі өмірге лайықталып, қолданылу тәжірибесінен өткендері енгізілді. Ұлтттық мәдениетті, дәріптеушілерге, мәдениеттанушыларға, қазақ дәстүрлі мәдениетінің сабақтастық табуына ықпал етуші мәдениет қызметкерлеріне, студенттер және жалпы оқырмандарға арналады.</t>
  </si>
  <si>
    <t>0003488</t>
  </si>
  <si>
    <t>Мәдени-тынығу жұмысының ұлттық дәстүрлері</t>
  </si>
  <si>
    <t>Оқулық жоғары оқу орындарының 050906 «Мәдени-тынығу жұмысы» мамандығының студенттеріне арналған. «Мдени-тынығу жұмысының ұлттық дстүрлері» базалық пнінің типтік бағдарламасы негізінде жазылды. Мдени-тынығу жұмысы ұлттық дстүрлерінің тарихи-мдени дамуы, олардың, міндеттері, түрлері мен мазмұны туралы білім қалыптастырып, заманауи талаптар негізінде мдени мекемелердің қызметіне ұлттық сипат енгізу жолдары қарастырылған</t>
  </si>
  <si>
    <t>0003489</t>
  </si>
  <si>
    <t>Каман Улыкпан</t>
  </si>
  <si>
    <t>Жануарлар экологиясы</t>
  </si>
  <si>
    <t>Оқу құралында жануарлар мен оларды қоршаған ортаның өзара байланысы, ортаның факторларының әсеріне жануарлардың бейімделу заңдылықтары баяндалды. Жануарлардың тіршілігіндегі мезгілдік өзгерістер, тіршілік нышандары, жануарлардың популяциясы мен қауымдастығының тұрақты тіршілік ету механизмдері экологиялық және эволюциялық тұрғыдан қарастырылды. Географиялық әрбір белдемнің экологиялық ерекшелігіне сәйкес қалыптасқан жануарлар әлемінің негізгі құрам, құрылымдары сипатталды. Оқу құралы жоғары оқу орындарының биология, экология, география мамандығының студенттеріне арналған.</t>
  </si>
  <si>
    <t>0003490</t>
  </si>
  <si>
    <t>Камаров Р.К., Айдарова М.А.</t>
  </si>
  <si>
    <t>Тау-кен кәсіпорындарының құрылысы</t>
  </si>
  <si>
    <t>Оқулықта тау-кен кәсіпорындарының құрылысы технологиясы мен ұйымдастырылуын жобалау бойынша негізгі мәліметтер баяндалған. Тік оқпандар құрылысының, оқпан албарларының, жазық және көлбеу қазбалардың, оқпан шанақтары кешендерінің технологиялық схемалары қарастырылған. Жоғары тиімділі атылғыш материалдарды және аттырыс тәсілдерін, ұңғымалық комбайндардың жаңа үлгілерін және тиеме-көліктік әдістерді қолдана, тау-кен қазбаларын өтудің бұрғыатпалық және комбайндық тәсілдері анықталып қарастырылған. Кеніштер жағдайларына байланысты өзіжүргіш жабдықтарды қолданып, тау-кен қазбаларын жүргізуге ерекше назар аударылған. Қазақстан кеніштерінде тау-кен қазбаларын шапшаңдықпен өтудің үлгі-өнегелері келтірілген. Көмір шақтылары мен кеніштер жағдайларына қарасты жерасты шанақтық кеніштерді жүргізудің ерекшеліктері қарастырылған. Жерасты тау-кен объектілері құрылысының технологияларын жетілдіру бойынша сипаттамалар келтірілген.
 Шақты беті ғимараттары құрылыстарының технологиялары бойынша негізгі ережелерге дәлел келтірілген. Тасқынды құрылыстың жалпы принциптері, негізгі жұмыстардың түрлері, құрастыру жұмыстарының механикаландыруы мен схемалары баяндалып бейнеленген. Ерекше назар мұнара діңгектерін құруға бөлінген. Оқулық 5В070700 «Тау-кен ісі» мамандығының студенттеріне, магистранттарына және PhD докторанттарына арналған.</t>
  </si>
  <si>
    <t>0003491</t>
  </si>
  <si>
    <t>Строительство горных предприятий</t>
  </si>
  <si>
    <t>В учебнике изложены основные положения по проектированию технологии и организации строительства горных предприятий. Рассмотрены технологические схемы строительства вертикальных стволов, околоствольных дворов, горизонтальных и наклонных выработок, околоствольных бункерных комплексов. Рассмотрены буровзрывные и комбайновые способы проходки горных выработок с применением высокоэффективных взрывчатых материалов и способов взрывания, новых типов проходческих комбайнов и погрузочно-транспортных средств. Особое внимание уделено сооружению горных выработок в условиях рудников с применением самоходного оборудования, приведены примеры из практики скоростных проходок горных выработок на рудниках Казахстана. Рассмотрены особенности сооружения подземных бункерных комплексов в условиях угольных шахт и рудников. Даны рекомендации по совершенствованию технологии строительства подземных горных объектов. Приведены основные положения по технологии строительства сооружений поверхности шахты. Описаны общие принципы поточного строительства, основные виды работ, схемы и механизация всех видов монтажных работ. Особое внимание уделено сооружению башенных копров. Учебник предназначен для студентов высших учебных заведений, обучающихся по направлению подготовки бакалавров, магистрантов и PhD докторантов специальностей 5В070700 «Горное дело».</t>
  </si>
  <si>
    <t>0003492</t>
  </si>
  <si>
    <t>Камарова А.Р. , 
 Плешакова Е.А.</t>
  </si>
  <si>
    <t>Машинажасау технологиясы</t>
  </si>
  <si>
    <t>оқулық құралы</t>
  </si>
  <si>
    <t>Оқулық құралында «Машинажасау технологиясы» пәнінен, технологиялық үрдісі, өндірістің түрлері, сондай ақ машина бөлшектерін өңдеуге қойылатын негізгі талаптар баяндалған. Оқулық құралы, құрамына ғылыми – техникалық қызығушылық, теориялық және тәжрибелік, иллюстрациялар, кестелер, сұлбалар, пайдалы материалдар, келтірілген. Оқулық құралы ЖОО техникалық мамандықтарының «Машинажасау технологиясы» пәнінің оқытуға арналған.</t>
  </si>
  <si>
    <t>0003493</t>
  </si>
  <si>
    <t>Камарова А.Р., Плешакова Е.А.</t>
  </si>
  <si>
    <t>Технология машиностроения</t>
  </si>
  <si>
    <t>В учебном пособии изложен курс для изучения дисциплины «Технология машиностроения», технологический процесс, типы производства, а также основные требования к обработке деталей машин.
 Учебное пособие представляет теоретический и практический и научно-технический интерес, содержит полезные материалы, иллюстрации, таблицы, схемы. Учебное пособие предназначено для технических специальностей ВУЗов изучающих дисциплины « Технология машиностроение».</t>
  </si>
  <si>
    <t>0003500</t>
  </si>
  <si>
    <t>Кампитова Г.А.</t>
  </si>
  <si>
    <t>Алманың барлық қыр-сыры 1 том</t>
  </si>
  <si>
    <t>плодоовощеводство, агрономия</t>
  </si>
  <si>
    <t>Бұл кітапта алма дақылының Қазақстандағы және әлемдегі даму тарихы және жағдайы туралы мәліметтер берілген. Жабайы алма бойынша ғылыми зерттеулер нәтижелеріне талдау жасалған. Алма биологиясы бойынша сұрақтар мәліметтелген, Қазақстанда өсетін, оның ішінде елімізде шығарылған және шет елден жерсіндірілген барлық сорттарға егжей-тегжейлі сипаттама берілген. Кітапта алманың отырғызу материалын өсіру бойынша жеке тарау берілген, онда жеміс көшеттігінің ғылыми негізі, сонымен қатар оған қатысты практикалық және технологиялық сұрақтар толығымен мәліметтелінген. Бұл кітап жоғарғы және кәсіби оқу орындарының жеміс-көкөніс шаруашылығы, биология, экология, биотехнология, агрономия, өсімдік қорғау және карантин, топырақтану және агрохимия мамандықтарының студенттері, магистранттары мен докторанттарына, фермерлер, кәсіпкерлер және әуесқой бағбандар сияқты кең ауқымдағы қолданушыларға арналған</t>
  </si>
  <si>
    <t>0003502</t>
  </si>
  <si>
    <t>Яблоня от «А» до «Я» 1 том</t>
  </si>
  <si>
    <t>В этой книге дана информация об истории развития и состоянии культуры яблони в мире и Казахстане. Дан анализ информации по научным исследованиям дикой яблони. Изложены вопросы по биологии яблони, подробно охарактеризованы все сорта, встречающиеся в Казахстане как местного происхождения, так и интродуцированные. В книге отведена отдельная глава производству посадочного материала яблони, где подробно изложены научные основы, практические и технологические вопросы питомниководства. Книга предназначена для широкого круга пользователей, для студентов, магистрантов и докторантов вузов специальности плодооовощеводство, биологии, экологии, биотехнологии, агрономии, защиты и карантина растений, почвоведения и агрохимии, а также фермеров, предпринимателей и любителей садоводов</t>
  </si>
  <si>
    <t>0003505</t>
  </si>
  <si>
    <t>Кампитова Г.А., Аяпов К.Д., Есеналиева М.Д.</t>
  </si>
  <si>
    <t>Жеміс-көкөніс дақылдарын өндіру</t>
  </si>
  <si>
    <t>Оқулықта жеміс-көкөніс шаруашылығының өндірісінің негіздері, Қазақстанда таралған жеміс-көкөністердің жалпы ерекшеліктері, биологиясы мен оларды өсіру технологиялары келтірілген. Оқулық ауыл шаруашылық жоғары және орта арнаулы оқу орындарының жеміс-көкөніс шаруашылығы мамандықтарының білім алушыларына, ауыл шаруашылығы өндірісі қызметкерлеріне арналған.</t>
  </si>
  <si>
    <t>0003506</t>
  </si>
  <si>
    <t>Кампитова Г.А., Ерболова Л.С.</t>
  </si>
  <si>
    <t>Основы биотехнологии плодовых культур</t>
  </si>
  <si>
    <t>В данном учебном пособии рассмотрены традиционные методы клонального размножения и современные клеточные технологии, используемые в селекции. В учебном пособии обсуждаются вопросы культивирования клеток и тканей высших растений, использования регуляторов роста и развития растений в плодоводстве, использования культуры клеток и ткани в селекции растений, кло-нальное микроразмножение и оздоровление растений, криосохране-ние генофонда. Предназначено для студентов высших учебных заведении и колледжей специальности плодоовощеводства</t>
  </si>
  <si>
    <t>0003518</t>
  </si>
  <si>
    <t>Канарейкина С.Г., Ребезов М.Б., Ибатуллина Л.А., Нургазезова А.Н.</t>
  </si>
  <si>
    <t>Технология цельномолочных и пробиотических продуктов</t>
  </si>
  <si>
    <t>Учебное пособие включает в себя практические и лабораторные работы по технологии цельномолочных и пробиотических продуктов. Предназначен для закрепления теоретического материала и приобретения практических навыков в процессе изучения технологий цельномолочных и пробиотических продуктов. 
 Данное учебное пособие предназначено для бакалавров дневной и заочной форм обучения по направлениям: продукты питания животного происхождения, технология продовольственных продуктов; пищевая биотехнология; технология перерабатывающих производств.</t>
  </si>
  <si>
    <t>0003519</t>
  </si>
  <si>
    <t>Кантуреева Г.О. /Кantureeva G.O./</t>
  </si>
  <si>
    <t>SAFETY OF PRODUCTS OF PROCESSING PRODUCTIONS</t>
  </si>
  <si>
    <t>The book</t>
  </si>
  <si>
    <t>В книге системно изложены экологические и социальные аспекты питания. Особое внимание обращено на нормативно-законодательную основу безопасности пищевой продукции в РК. Показаны основные виды и пути загрязнения продуктов питания из внешней среды и токсинами природного происхождения. Обсуждены потенциальные риски применения генномодифицированных организмов. Рассмотрены способы снижения отрицательного воздействия токсинов на организм человека, описаны основные пищевые и биологически активные добавки. Для студентов, магистрантов, преподавателей, специалистов, организаций и предприятий пищевой индустрии. 
 The book systematically sets out the environmental and social aspects of nutrition. Particular attention is paid to the legal and regulatory framework of food safety in the Republic of Kazakhstan. The basic types and ways of food contamination from the environment and toxins of natural origin are shown. The potential risks of the use of genetically modified organisms are discussed. Ways to reduce the negative impact of toxins on the human body, as well as the basic nutritional and dietary supplements are described. This publication is intended for students, graduate students, and teachers, professionals of organizations and enterprises of the food industry.</t>
  </si>
  <si>
    <t>0003523</t>
  </si>
  <si>
    <t>Капенова А.А., Галиева А.Н., Сыдыкова Б.Т.,</t>
  </si>
  <si>
    <t>Ғылыми-зерттеу іс-әрекетінің негізі</t>
  </si>
  <si>
    <t>ХХІ ғасыр – ғылым мен білім ғасыры. Бүгінде жас буын өкілдеріне жаңаша білім беру жүйесі жолында түбегейлі өзгерістер жүріп жатыр. Жоғары оқу орындарында білім алу барысында кез келген білімгерге баяндама, реферат, дипломдық жұмыс басқа да түрлі ғылыми жұмыстар жазуына тура келеді. Бұл ғылыми жұмыстар бір-бірінен көлемі, күрделілігі жағынан ерекшелінеді. Бір жұмыс қолда бар ғылыми еңбектерге сын көзбен қарап, баға берумен шектелсе, келесісі білімгердің педагогикалық тәжірибеде жүргізген жұмыс нәтижесі, ал енді біреуі ғылыми мәселенің шығармашылықпен шешу қорытындысы болып табылады.
 Оқу құралы 6В0101201, 7М0101201 – «Мектепке дейінгі оқыту және тәрбиелеу», 6В0101301, 7M0101301 – «Бастауыш оқытудың педагогикасы мен әдістемесі», 6В0101901, 7М0101901 – «Дефектология», «8D0101301 - Бастауышта оқыту педагогикасы мен әдістемесі» мамандықтары студенттерінің, магистранттарының, докторанттарының ғылыми-зерттеу жұмыстарына бағыт-бағдар беру мақсатында әзірленген.</t>
  </si>
  <si>
    <t>0003524</t>
  </si>
  <si>
    <t>Капсалямов К.Ж.</t>
  </si>
  <si>
    <t>Формирование состязательной модели уголовного процесса в Республике Казахстан</t>
  </si>
  <si>
    <t>В монографии на основе уголовно-процессуального законодательства Республики Казахстан, изучения судебно-следственной практики, а также имеющегося нормативного и литературного материала подробно рассматриваются возможность внедрения в отечественное уголовное судопроизводство состязательной формы уголовного процесса. Впервые проанализирован генезис состязательности, восходящий к Конституции Республики Казахстан, рассмотрены теоретические и прикладные аспекты проблем состязательности в уголовном процессе. 
 Автор с научной позиции детально рассматривает и характеризует принцип состязательности и равноправия сторон. Особое внимание уделено формированию состязательной модели уголовного процесса на досудебной и судебных стадиях процесса, а также главенствующей роли суда в состязательном типе уголовного судопроизводства. Все это в совокупности нами положено в основу выводов и рекомендаций, ориентированных на законотворчество и правоприменительную практику.
 Книга предназначена для студентов, магистрантов, докторантов и преподавателей юридических вузов, рекомендуется также работникам судебных и правоохранительных органов.</t>
  </si>
  <si>
    <t>0003525</t>
  </si>
  <si>
    <t>Капсалямов К.Ж., Капсалямова С.С.</t>
  </si>
  <si>
    <t>Уголовно-процессуальное право Республики Казахстан. Общая часть. 1том</t>
  </si>
  <si>
    <t>В учебнике излагаются все темы, предусмотренные действующей программой по общей части Уголовно-процессуального права Республики Казахстан, а также ряд новых проблем. Работа отражает современное состояние юридической науки и практики в уголовном судопроизводстве, конституционное и текущее законодательство, происходящие в Казахстане процессы судебно-правовой реформы. Книга подготовлена на основе нового Уголовно-процессуального кодекса Республики Казахстан, вступившего в действие с 1 января 2015 года. При написании работы использовалась учебно-методическая, монографическая литература отечественных и зарубежных ученых, нормативные материалы, а также судебная практика рассмотрения уголовных дел. Учебник предназначается для студентов вузов, а также всех интересующихся вопросами уголовно-процессуального права.</t>
  </si>
  <si>
    <t>0003526</t>
  </si>
  <si>
    <t>Уголовно-процессуальное право Республики Казахстан. Общая часть. 2том</t>
  </si>
  <si>
    <t>0003527</t>
  </si>
  <si>
    <t>Уголовно-процессуальное право Республики Казахстан. Особенная часть. Досудебное производство. 3 том</t>
  </si>
  <si>
    <t>В учебнике излагаются все темы, предусмотренные действующей программой для досудебного производства Уголовно-процессуального права Республики Казахстан, а также ряд новых проблем. Работа отражает современное состояние юридической науки и практики в уголовном судопроизводстве, конституционное и текущее законодательство, происходящие в Казахстане процессы судебно-правовой реформы. Книга подготовлена с учетом внесенных дополнений и изменений в Уголовно-процессуальный кодекс Республики Казахстан от 4 июля 2014 года № 231-V ЗРК. При написании работы использовалась учебно-методическая, монографическая литература отечественных и зарубежных ученых, нормативные материалы, а также судебная практика рассмотрения уголовных дел. Учебник предназначается для студентов вузов, а также всех интересующихся вопросами уголовно-процессуального права</t>
  </si>
  <si>
    <t>0003528</t>
  </si>
  <si>
    <t>Уголовно-процессуальное право Республики Казахстан. Особенная часть. Судебные стадии и особые производства. 4-том</t>
  </si>
  <si>
    <t>В учебнике излагаются все темы, предусмотренные действующей программой для судебного производства, особенностей производства по отдельным категориям дел и особые производства Уголовно-процессуального права Республики Казахстан, а также ряд новых проблем. Работа отражает современное состояние юридической науки и практики в уголовном судопроизводстве, конституционное и текущее законодательство, происходящие в Казахстане процессы судебно-правовой реформы. Книга подготовлена с учетом внесенных дополнений и изменений в Уголовно-процессуальный кодекс Республики Казахстан от 4 июля 2014 года № 231-V ЗРК. При написании работы использовалась учебно-методическая, монографическая литература отечественных и зарубежных ученых, нормативные материалы, а также судебная практика рассмотрения уголовных дел. Учебник предназначается для студентов вузов, а также всех интересующихся вопросами уголовно-процессуального права</t>
  </si>
  <si>
    <t>0003529</t>
  </si>
  <si>
    <t>Капсалямова С.С.</t>
  </si>
  <si>
    <t>Финансовое право Республики Казахстан. 2-том</t>
  </si>
  <si>
    <t>Учебное пособие было подготовлено на основании типовой программы по финансовому праву Республики Казахстан для обучающихся в высших учебных заведениях. В учебном пособие рассматривается новое содержание финансового права, обусловленное изменениями рыночных отношений, а также анализируются важнейшие институты общей части этой отрасли права. Отражено официально опубликованное финансовое законодательство Республики Казахстан. Книга адресована студентам, слушателям, аспирантам и преподавателям юридических и экономических специальностей, рекомендуется также работникам правоохранительных органов, осуществляющих борьбу с экономической преступностью</t>
  </si>
  <si>
    <t>0003530</t>
  </si>
  <si>
    <t>Финансовое право Республики Казахстан. 1-том</t>
  </si>
  <si>
    <t>Учебное пособие было подготовлено на основании типовой программы по финансовому праву Республики Казахстан для обучающихся в высших учебных заведениях. В учебном пособие рассматривается новое содержание финансового права, обусловленное изменениями рыночных отношений, а также анализируются важнейшие институты особенной части этой отрасли права. Отражено официально опубликованное финансовое законодательство Республики Казахстан. Книга адресована студентам, слушателям, аспирантам и преподавателям юридических и экономических специальностей, рекомендуется работникам в финансовой, бюджетной и налоговой сферах, а также для правоохранительных органов, осуществляющих борьбу с экономической преступностью</t>
  </si>
  <si>
    <t>0003531</t>
  </si>
  <si>
    <t>Капсалямова С.С., Ибрагимов Ж.И.</t>
  </si>
  <si>
    <t>Қазақстан Республикасының қаржылық және бюджеттіқ қызметінің өзекті мәселелері</t>
  </si>
  <si>
    <t>Бұл еңбекте Қазақстан Республикасының қаржылық және бюджеттік қызметінің құқықтық реттелуі қарастырылған. Мемлекет Басшысының Жолдауларындағы тапсырмалар мен Ұлт жоспарын орындауға қатысты 100 нақты қадам ауқымындағы құқықтық реформалардың маңыздылығына сәйкес, осы саладағы ең басты мәселелер талданып, баяндалады.Монография құқықтану мамандығы бойынша білім алушыларға және құқық қорғау, қаржы органдарында істейтін қызметкерлерге, осы мәселе қызықтыратын оқырмандарға арналған</t>
  </si>
  <si>
    <t>0003533</t>
  </si>
  <si>
    <t>Капустин В. М.,Рудин М. Г.,Кудинов А.М.,Пусурманова Г.Ж..,Танашев С.Т.</t>
  </si>
  <si>
    <t>Мұнайды өңдеу технологиясы. 4 бөлімді. Төртінші бөлім . I-ші том.
 Жалпы зауыт шаруашылығы</t>
  </si>
  <si>
    <t>Нефтегаз</t>
  </si>
  <si>
    <t>Өндірістің технологиялық схемалары бойынша негізгі ақпарат келтірілген. Мұнай өңдеу зауыттары мен мұнай өнеркәсібін жобалау , мұнай шикізатын қабылдау, мұнай өнімдерін дайындау, сақтау және және тиеп жөнелту салу мәселелері қаралды,. Мұнай өңдеу зауыттарының жылу қуаттылығының және электртехникалық шаруашылығының сипаттамасы берілген.Сумен жабдықтау және кәріз, реагентті, алаулы және қойма шаруашылығы сияқты қазіргі заманғы МӨЗ қызметтеріне көп көңіл бөлінген, газдан құтқару, медициналық, өртке қарсы қызметтерінде болды.Мұнай өңдеу саласына арнайы мамандандар дайындайтын жоғары оқу орындарының бакалаврлары мен магистрлері үшін,сондай-ақ инженерлік-мұнай өңдеу зауыттары мен мұнай өнеркәсібінің зерттеу және жобалау институттарының техникалық қызметкерлеріне арналған/ Приведена основная информация по технологическим схемам производства. Рассмотрены вопросы проектирования нефтеперерабатывающих заводов и нефтяной промышленности , приемки нефтяного сырья, заготовки, хранения и отгрузки нефтепродуктов. Приведена характеристика тепловой мощности и электротехнического хозяйства нефтеперерабатывающих заводов.Большое внимание уделяется службам современных НПЗ, таких как водоснабжение и канализация, реагентное, факельное и складское хозяйство, находились в газоспасательной, медицинской, противопожарной службах.Для бакалавров и магистров высших учебных заведений, осуществляющих подготовку специалистов в области нефтепереработки, а также технических работников инженерно-нефтеперерабатывающих заводов и исследовательских и проектных институтов нефтяной промышленности</t>
  </si>
  <si>
    <t>0003536</t>
  </si>
  <si>
    <t>Капустин В.М. , Гуреев А.А.</t>
  </si>
  <si>
    <t>Технология переработки нефти. Том 3. Физико-химические процессы</t>
  </si>
  <si>
    <t>0003537</t>
  </si>
  <si>
    <t>Технология переработки нефти. Часть 4. Физико-химические процессы</t>
  </si>
  <si>
    <t>0003538</t>
  </si>
  <si>
    <t>Капустин В.М. , Гуреев А.А. , Пусурманова Г.Ж., Танашев С.Т.</t>
  </si>
  <si>
    <t>Мұнай өңдеу технологиясы. 3 бөлім. Физико-химиялық үрдістер.</t>
  </si>
  <si>
    <t>0003539</t>
  </si>
  <si>
    <t>Мұнай өңдеу технологиясы. 4 бөлім. Физико-химиялық үрдістер.</t>
  </si>
  <si>
    <t>0003540</t>
  </si>
  <si>
    <t>Капустин В.М., Танашев С.Т., Пусурманова Г.Ж.</t>
  </si>
  <si>
    <t>Мұнай өңдеу технологиясы. Бірінші бөлім. Мұнайды біріншілік өңдеу</t>
  </si>
  <si>
    <t>Шартты отын және мұнайлық эквивалент туралы түсініктер берілген, Ресей мен әлемдік отын-энергетикалық кешендердің жағдайлары қарастырылған. Мұнай өңдеу дамуының негізгі белестері қысқаша қарастырылған. Мұнай, мұнай фракциялары мен қалдықтардың негізгі физико-химиялық және дисперсілік қасиеттеріне қатысты сұрақтарға, сондай-ақ олардың мұнай өнімдерінің топтық химиялық құрамы мен эксплуатациялық қасиеттерімен байланысына, оларды технологиялық есептеулерде пайдалануға арналған бөлім үлкен орын алған. Моторлық отындардан бастап кокс пен битумдарға дейінгі - мұнай өңдеудің тауарлық өнімдеріне қойылатын негізгі талаптар келтірілген. МӨЗ – дағы ЭЛТҚ, АҚ, ВҚ, АВҚ қондырғыларында мұнайды біріншілік өңдеу және кең бензин фракциясын екіншілік айдау үрдістеріне ерекше көңіл бөлінген. Технологиялық қондырғылардың негізгі аппараттары қысқаша қарастырылып, оларды есептеудің принциптері берілген. Қоршаған ортаны қорғау және құрылғылардың сенімді жұмыс істеу, үрдістерді автоматтандыру сұрақтарына көңіл бөлінген.
 Мұнайлық жоғары оқу орындары мен факультеттері студенттеріне арналған; оқу құралы сондай-ақ мұнай өңдеу саласында жұмыс істейтін мамандарға, экономистерге, экологтарға, мұнай бизнесі – мұнайды өндіруден бастап дайын өнімдерді сатумен айналысатындарға да пайдалы болуы мүмкін.</t>
  </si>
  <si>
    <t>0003541</t>
  </si>
  <si>
    <t>Мұнай өңдеу технологиясы. Екінші бөлім. Мұнайды біріншілік өңдеу</t>
  </si>
  <si>
    <t>0003582</t>
  </si>
  <si>
    <t>Каракулин Л.М., Лапина Л.М.</t>
  </si>
  <si>
    <t>Электромеханика и электротехническое обрудование</t>
  </si>
  <si>
    <t>В учебном пособии приведены формы математического описания линеаризированных систем управления электроприводами. Изложены принципы построения замкнутых систем управления электроприводами, способы настройки простейших контуров регулирования. Представлены схемы реализации типовых регуляторов и их передаточные функции, изложена методика расчета параметров силовой части автоматизированного электроприводами. Показан синтез типовых одноконтурных и двухконтурных структур управления скоростью электропривода. Дана краткая характеристика этапов выполнения курсовой работы.
 Данное пособие может быть использовано студентами специальностей «Электроэнергетика», «Электропривод и автоматизация технологических комплексов» при изучении дисциплины «Системы управления электроприводами».</t>
  </si>
  <si>
    <t>0003583</t>
  </si>
  <si>
    <t>978-601-13-0280-7</t>
  </si>
  <si>
    <t>Каракулин М.Л., Лапина Л.М.</t>
  </si>
  <si>
    <t>Электромеханические системы (асинхронные машины)</t>
  </si>
  <si>
    <t>Учебное пособие представляет вторую часть лекционного курса по дисциплине «Электромеханические системы» посвященную изучению асинхронных машин и включает в себя сведения по конструкции, типам, теории работы, областям применения и особенностям эксплуатации асинхронных машин. Учебное пособие предназначено для студентов специальности 5В070200 – «Автоматизация и управление» при изучении дисциплины «Электромеханические системы», и может быть полезно для студентов специальности 5В071800 – «Электроэнергетика» при освоении ими дисциплины «Электрические машины».</t>
  </si>
  <si>
    <t>0003584</t>
  </si>
  <si>
    <t>Электромеханические системы (трансформаторы)</t>
  </si>
  <si>
    <t>Учебное пособие представляет первую часть лекционного курса по дисциплине «Электромеханические системы», посвященную изучению трансформаторов, и включает в себя сведения по конструкции, типам, теории работы, областям применения и особенностям эксплуатации трансформаторов. Учебное пособие предназначено для студентов специальности 5В070200 – «Автоматизация и управление» при изучении дисциплины «Электромеханические системы» и может быть полезно для студентов специальности 5В071800 – «Электроэнергетика» при освоении ими дисциплины «Электрические машины»</t>
  </si>
  <si>
    <t>0003585</t>
  </si>
  <si>
    <t>Автоматизированный электропривод (500 тестов)</t>
  </si>
  <si>
    <t>Учебное пособие представляет собой сборник тестовых заданий по дисциплинам «Автоматизированный электропривод» и «Теория автоматизированного электропривода», и предназначено для текущего и рубежного контроля знаний студентов, проводимых при изучении данных дисциплин.Учебное пособие предназначено для студентов специальности 5В070200 – «Автоматизация и управление» при изучении дисциплины «Автоматизированный электропривод», и для студентов специальности 5В071800 – «Электроэнергетика» при освоении дисциплины «Теория автоматизированного электропривода»</t>
  </si>
  <si>
    <t>0003586</t>
  </si>
  <si>
    <t>Электромеханикалық жүйелер (асинхронды машиналар)</t>
  </si>
  <si>
    <t>Оқу құралы «Электрмеханикалық жүйелер» пәнінің типті оқыту бағдарламаларына және оқу жұмыс бағдарламаларына сәйкес жасалған. Берілген оқу құралында дәрістер тақырыптары бойынша мәліметтер және зертханалық жұмыстарды орындау кезеңдері толық қарастырылған. Электрмеханикалық жүйелер асинхронды машиналардың типтерін, конструкцияларын, жұмыс теорияларын, қолдану облыстарымен ерекшеліктерін көрсетеді. Оқу құралы 5B070200 «Автоматтандыру және басқару», 5В071800 «Электроэнергетика» мамандықтарының студенттеріне арналған</t>
  </si>
  <si>
    <t>0003587</t>
  </si>
  <si>
    <t>Электрмеханикалық жүйелер (трансформаторлар)</t>
  </si>
  <si>
    <t>Оқу құралының мазмұны «Электромеханикалық жүйелер» пәнінің лекция курсының бірінші бөлімі - трансформаторларға арналған, ол трансформаторлар құрылысынан, типінен, жұмыс теориясынан, қолдану аймағынан және пайдалану ерекшеліктерінен тұрады. Оқу құралын 5В070200 – «Автоматтандыру және басқару» мамандығының студенттері «Электрмеханикалық жүйелер» пәнін оқу кезінде қолданылады, сондай-ақ, 5В071800 – «Электрэнергетика» мамандығының студенттері «Электрлік машина» пәнін оқу кезінде пайдалана алады.</t>
  </si>
  <si>
    <t>0003588</t>
  </si>
  <si>
    <t>Каракулов К.Ж., Примбетова С.К.</t>
  </si>
  <si>
    <t>Организация учебно-познавательной компетентности учащихся</t>
  </si>
  <si>
    <t>0003589</t>
  </si>
  <si>
    <t>Карамолдаева Д.О.</t>
  </si>
  <si>
    <t>Вокалды-хор тәрбиесі</t>
  </si>
  <si>
    <t>Вокалды-хор тәрбиесі оқу құралы 050906 - «Мәдени-тынығу жұмысы» мамандығы бойынша мемлекеттік жалпыға міндетті білім беру стандарты талаптарына сәйкес құрастырылды. Төрт бөлімнен тұратын аталған оқу құралында хормен және жеке ән айту өнерінің негізгі мәселелері, оларды меңгеру әдістемелері, типтік бағдарламаға сәйкес музыкалық материалдар және ән жаттығулары берілген.
  Студенттерге, ЖОО ұстаздарына, бос уақытты ұйымдастырушы мамандарға арналған.</t>
  </si>
  <si>
    <t>0003590</t>
  </si>
  <si>
    <t>Эстрадалық музыка</t>
  </si>
  <si>
    <t>Оқу құралында эстрадалық музыка, оның қалыптасуы мен дамуы, әр түрлі бағыттары, бір-бірімен сабақтастығы, отандық эстрадалық өнер, оның дамуында елеулі орын алған вокалды-аспаптық ансамбльдер тарихи тұрғыда қарастырылады. 
  Оқу құралы жоғары оқу орындарының, колледждердің, музыка мектептерінің арнайы музыкалық білім алып жатқан студенттеріне, оқушыларға, оқытушыларына, мектеп мұғалімдеріне және заманауи музыкамен әуестенуші жалпы көпшілікке арналады</t>
  </si>
  <si>
    <t>0003591</t>
  </si>
  <si>
    <t>Карамурзиев Т.К.</t>
  </si>
  <si>
    <t>Экономическая оценка подземных вод Казахстана 1 том</t>
  </si>
  <si>
    <t>Книга посвящена экономической оценке подземных вод Казахстана. Разработаны теоретические, методические и практические проблемы. Даны практические рекомендации по эффективному использованию прогнозных региональных эксплуатационных ресурсов подземных вод Казахстана. Составлена карта прогнозных затрат на извлечение 1 м3 подземных вод по Казахстану. Книга предназначена для экономистов, гидрогеологов, географов, специалистов водного хозяйства</t>
  </si>
  <si>
    <t>0003592</t>
  </si>
  <si>
    <t>Экономическая оценка подземных вод Казахстана 2 том</t>
  </si>
  <si>
    <t>0003593</t>
  </si>
  <si>
    <t>Көп айнымалы функция талдауы. 1том</t>
  </si>
  <si>
    <t>Оқу құралында көп айнымалыға байланысты функциялар және айқындалмаған функциялар, еселі интегралдар,қисық сызықты және беттік интегралдар,өріс теориясы,кешенді талдауға кіріспе элементтері қарастырылған.Теориялық материалдың соңында бірнеше мысалдар толық шешімдерімен берілген.
  Оқу құралы ЖОО 5В060200-«Информатика» мамандығында оқитын студенттерге арналған.</t>
  </si>
  <si>
    <t>0003594</t>
  </si>
  <si>
    <t>Көп айнымалы функция талдауы. 2том</t>
  </si>
  <si>
    <t>0003598</t>
  </si>
  <si>
    <t>Каргин Д.Б., Кенжалиев Д.И., Мухамедрахимова Г.</t>
  </si>
  <si>
    <t>Физика. Қысқаша анықтамалық. (Под грифом МОН РК)</t>
  </si>
  <si>
    <t>0003599</t>
  </si>
  <si>
    <t>Каргин С. Т. /Kargin S.T., Zhekibayeva B.А., Abildina S.K./</t>
  </si>
  <si>
    <t>Introduction to the teaching profession</t>
  </si>
  <si>
    <t>Studying the course «Introduction to the teaching profession» will allow students to refer the peculiarities of teaching activities to their really motivated life choice, create prerequisites for effective personal development of each student in the educational process, help discover their creative potential, prepare them for continuous professional education. 
 The teaching aid is intended for university teachers, master and undergraduate students majoring in pedagogics, pedagogical college students, as well as school teachers and Professional Development Institute students.</t>
  </si>
  <si>
    <t>0003600</t>
  </si>
  <si>
    <t>Каргин С.Т., Боброва В.В., Смаилова А.Ш.,Семенова А.А.</t>
  </si>
  <si>
    <t>Логопедке арналған альбом</t>
  </si>
  <si>
    <t>учебно методическое пособие</t>
  </si>
  <si>
    <t>0003601</t>
  </si>
  <si>
    <t>рус/каз/анг</t>
  </si>
  <si>
    <t>Каргин С.Т., Карманова Ж.А., Бейсенбекова Г.Б., Манашова Г.Н., Есказинова Ж.А.</t>
  </si>
  <si>
    <t>Русско-казахско-английский терминологический словарь-справочник для студентов специальности - «Педагогика и психология». «Педагогика және психология» мамандығының студеНттеріне арналған орысша-қазақша-ағылшынша терминологиялық сөздік-анықтамасы. Russian-Kazakh-English terminology glossary-reference for students of specialty «Pedagogy and psychology». общепрофессиональная и профилирующая ДЕЯТЕЛЬНОСТЬ. жалпы кәсіби және профильдік іс-әрекеті. General professional and profiling ACTIVITIES 1 том</t>
  </si>
  <si>
    <t>словарь справочник</t>
  </si>
  <si>
    <t>0003602</t>
  </si>
  <si>
    <t>Русско-казахско-английский терминологический словарь-справочник для студентов специальности - «Педагогика и психология». «Педагогика және психология» мамандығының студеНттеріне арналған орысша-қазақша-ағылшынша терминологиялық сөздік-анықтамасы. Russian-Kazakh-English terminology glossary-reference for students of specialty «Pedagogy and psychology». общепрофессиональная и профилирующая ДЕЯТЕЛЬНОСТЬ. жалпы кәсіби және профильдік іс-әрекеті. General professional and profiling ACTIVITIES 2 том</t>
  </si>
  <si>
    <t>0003603</t>
  </si>
  <si>
    <t>Карелхан Н., Серік М., Альжанов А.Қ.</t>
  </si>
  <si>
    <t>Rad Studio ортасында программалау мен параллель есептеулер</t>
  </si>
  <si>
    <t>Оқу құралы жоғары оқу орындарының ақпараттық технологиялар саласы мамандықтарының студенттері мен магистранттарына арналған, сонымен бірге жоғары өнімді параллель есептеулермен айналысатын мамандарға кәсіби қызметтерінде қолдануға болады</t>
  </si>
  <si>
    <t>0003606</t>
  </si>
  <si>
    <t>Карилхан А.К.</t>
  </si>
  <si>
    <t>«Химия» (есептер жинағы) оқу құралы оқу жоспарына және бағдарламасына сәйкес, дәрістік және семинарлық сабақтарға қолданатын мәліметтерді қамтыған. Оқу құралы жоғарғы оқу орындарының 5В072100 «Органикалық заттардың химиялық технологиясы» мамандығында оқитын студенттерге және басқа жоғары оқу орындарында «Химия» пәнін оқитын барлық мамандықтағы студенттерге, сонымен қатар мектеп мұғалімдеріне, химия пәнінен элективті курстарға арналған.</t>
  </si>
  <si>
    <t>0003607</t>
  </si>
  <si>
    <t>Каримбаева Г. Ж., Бақтымбет Ә.С.</t>
  </si>
  <si>
    <t>Учебное пособие написано в соответствии с рабочей программой дисциплины «Экономическая теория» для образовательных программ «Экономика», «Учет и аудит», «Финансы», «Мировая экономика», «Государственное и местное управление», «Менеджмент», «Маркетинг». Рекомендовано для студентов всех форм обучения образовательных программ «Экономика», «Учет и аудит», «Финансы», «Мировая экономика», «Государственное и местное управление», «Менеджмент», «Маркетинг».</t>
  </si>
  <si>
    <t>0003609</t>
  </si>
  <si>
    <t>Каримов С.С.</t>
  </si>
  <si>
    <t>Конструкциялық материалдар технологиясы</t>
  </si>
  <si>
    <t>Конструкциялық материалдар технологиясы оқу құралында техникалар мен технологияларда қолданылатын әр түрлі металл бөлшектердің құймалары туралы, аспаптар мен құрал-саймандардағы өңделуі жайлы баяндалған. Машина жасау өндірістерінде қолданылатын конструкциялық материалдардың тиімді технологиясы келтірілген. Материалдарды дайындау, қалыпқа құю, пісіру арқылы түрлі машиналар бөлшектерін жасаудың технологиясы қамтылған. 
  Оқу құралы жоғары оқу орындарының «Металургия және машина жасау» саласында оқитын мамандықтардың студенттеріне, магистранттарына, докторанттарына арналған.</t>
  </si>
  <si>
    <t>0003610</t>
  </si>
  <si>
    <t>Шитті-мақта талшығын алғашқы өңдеу әдістерін жетілдіру</t>
  </si>
  <si>
    <t>Шитті-мақта талшығын алғашқы өңдеу әдістерін жетілдіру монографиясында бірінші бөлім шитті-мақта талшығын алғашқы өңдеу және джинерлеу машиналарының жағдайы, шитті-мақта талшығын алғашқы өңдеу әдістерін талдау, шитті-мақта құрамындағы ірі қиқым-қоқыстар және тазалау қондырғыларын зерттеуге арналған. Екінші бөлім шитті-мақта талшығын алғашқы өңдеудің тиімділігін жетілдірудің теориялық негіздері, джинерлеу машиналарын зерттеу кезінде анықталған негізгі параметрлер болса, үшінші бөлімде шитті-мақта талшығын ара тісінің қармап алу тәсілдерін зерттеу және жетілдіру, аралы цилиндір білігінің қаттылығын статикалық түрде анықтау зерттеу жолдарымен қарастырылған. 
 Монография жоғары оқу орындарында оқитын «Жеңіл өнеркәсіп» саласындағы студенттерге, магистранттарға, докторанттарға аналған.</t>
  </si>
  <si>
    <t>0003611</t>
  </si>
  <si>
    <t>Исследование и совершенствование процесса очистки от крупного сора волокнистых материалов</t>
  </si>
  <si>
    <t>В данной монографии изучено точное понятие первичной переработки хлопка-сырца от крупного сора волокнистых материалов, и его деталей на очистительных машинах, дается полная информация о процессе очистки хлопка-сырца, рассмотрена регенерация очистительной системы от крупного сора, состоящей из колосниковой решетки, зубчатого барабана и щеточных барабанов в рабочей камере, подробное описание дополнительных источников конструкции механизма. Монография предназначена для студентов, магистрантов, докторантов текстильной и легкой промышленной специальностей ВУЗов и для специалистов данной сферы.</t>
  </si>
  <si>
    <t>0003612</t>
  </si>
  <si>
    <t>Каримов С.С., Г.С.Болыс</t>
  </si>
  <si>
    <t>Тоқыма өндірісінің материалтануы</t>
  </si>
  <si>
    <t>Тоқыма өндірісінің материалтануы оқу құралында табиғи және химиялық талшықтардың құрамы, қасиеттері, жіктелулері бойынша толық мағұлыматтар берілген. Сонымен қатар оқулықта жіп иіру, маталарды алу технологиясы, дайын маталардың құрылымы, құрамы мен қасиеттері, маталарды стандарттау, сортын анықтау, маталардың ассортименті, тоқыма материалдары, тоқылмаған материалдар, киімге қажетті жіптер мен қосымша материалдар, жылулық материалдар топтамасы, дайындалған тігін материалдары тақырыптары кең көлемде қарастырылған. Оқу құралы жоғары оқу орындарының «Тоқыма, Дизайн» саласында оқитын мамандықтардың студенттеріне, магистранттарына, докторанттарына арналған.</t>
  </si>
  <si>
    <t>0003613</t>
  </si>
  <si>
    <t>Каримов С.С., Каримов Д.С., Смаханов Т.С.,</t>
  </si>
  <si>
    <t>Энергосберегающие автомобили</t>
  </si>
  <si>
    <t>В данной монографии изучены общие понятия газотурбинного автомобиля и его деталей, дается полная информация о гибридных автомобилях, рассмотрено подробное описание дополнительных источников электроэнергии для гибридного автомобиля. Монография предназначена для студентов, магистрантов, докторантов транспортно-энергетических специальностей ВУЗов и для специалистов данной сферы.</t>
  </si>
  <si>
    <t>0003614</t>
  </si>
  <si>
    <t>Каримова А.Б.</t>
  </si>
  <si>
    <t>Қатты отын химиясы</t>
  </si>
  <si>
    <t>0003615</t>
  </si>
  <si>
    <t>Каримова Б.С., Кусаинов Г.М., Жетпеисова Н.О.</t>
  </si>
  <si>
    <t>Учебниковедение: Русско-казахский словарь</t>
  </si>
  <si>
    <t>В словаре в алфавитном порядке представлен понятийно-категориальный аппарат наиболее употребляемых терминов в области учебниковедения и учебного книгоиздания, который включает около 1000 слов и выражений. Словарь в странах СНГ подготовлен впервые.
 Адресуется работникам сферы образования и науки, обучающимся гуманитарных колледжей, педагогических вузов и университетов, авторам и экспертам учебных изданий.</t>
  </si>
  <si>
    <t>0003616</t>
  </si>
  <si>
    <t>Каримова Б.С., Кусаинов Г.М., Нургалиева Г.К.</t>
  </si>
  <si>
    <t>Школьный учебник: современное состояние и развитие. 1-том</t>
  </si>
  <si>
    <t>В коллективной монографии рассматриваются актуальные вопросы теории и практики современного школьного учебника, роль, место и функции его в условиях обновления содержания образования в контексте внедрения трехъязычия и перехода казахского языка на латиницу, раскрываются проблемы цифровизации образования и образовательных ресурсов, предлагаются онцептуальные авторские подходы по различным аспектам учебниковедения. Книга адресована работникам сферы образования и науки, обучающимся гуманитарных колледжей, педагогических вузов и университетов, авторам и экспертам учебных изданий, книгоиздателям учебной литературы.</t>
  </si>
  <si>
    <t>0003617</t>
  </si>
  <si>
    <t>Школьный учебник: современное состояние и развитие. 2-том</t>
  </si>
  <si>
    <t>В коллективной монографии рассматриваются актуальные вопросы теории и практики современного школьного учебника, роль, место и функции его в условиях обновления содержания образования в контексте внедрения трехъязычия и перехода казахского языка на латиницу, раскрываются проблемы цифровизации образования и образовательных ресурсов, предлагаются концептуальные авторские подходы по различным аспектам учебниковедения.
 Книга адресована работникам сферы образования и науки, обучающимся гуманитарных колледжей, педагогических вузов и университетов, авторам и экспертам учебных изданий, книгоиздателям учебной литературы.</t>
  </si>
  <si>
    <t>0003622</t>
  </si>
  <si>
    <t>рус,каз,англ</t>
  </si>
  <si>
    <t>Карипбаев Б.И.</t>
  </si>
  <si>
    <t>Терминологический словарь-справочник по курсу "История и философия науки" (русско-казахско-английский)</t>
  </si>
  <si>
    <t>Словарь-справочник</t>
  </si>
  <si>
    <t>Настоящий словарь предназначен для использования в учебном процессе, а также в качестве лексикографического справочника, содержащего материал на русском, казахском и английском язы¬ках. Словарь включает 167 терминов по курсу «История и филосо¬фия науки», расположенных в алфавитном порядке. 
  Словарь-справочник представляет интерес для студентов, ма-гистрантов, докторантов, а также специалистов различных сфер, интересующихся проблемами истории, философии и методологии науки.</t>
  </si>
  <si>
    <t>0003623</t>
  </si>
  <si>
    <t>Карипбаев Б.И., Донецкая Н.А.</t>
  </si>
  <si>
    <t>Теории массовой культуры</t>
  </si>
  <si>
    <t>Хрестоматия содержит фрагменты работ ведущих спе-циалистов в области философского и культурологического знания. Материал, представленный в книге, может быть использован в преподавании курса «Теории массовой культуры», а также в качестве учебного материала при изучени дисциплин социогуманитарного цикла. Предназначается для студентов, магистрантов, преподавателей.</t>
  </si>
  <si>
    <t>0003624</t>
  </si>
  <si>
    <t>Карипбаева Н.Ш, Полевик В.В, Силыбаева Б.М.</t>
  </si>
  <si>
    <t>Ботаниканың оқу практикумы. 1-том</t>
  </si>
  <si>
    <t>Биология и география</t>
  </si>
  <si>
    <t>Бұл кітап Қазақстан Республикасының Білім және Ғылым министрлігі бекіткен типтік оқу бағдарламасына сәйкес ботаника пәнінен оқу практикасын өткізуге байланысты жазылған. Кітап екі бөлімнен тұрады, бірінші бөлімде өсімдіктердің құрылыс ерекшеліктері, биологиясы, экологиясы және зерттеу әдістері берілген. Екінші бөлімде мектеп бағдарламасында биология пәнінде қарастырылатын 15 тұқымдастың бейнеленген анықтағышы құрылған. Ботаниканың оқу практикумы жоғарғы оқу орындарында биология, ауыл-шаруашылық, зоотехника, экология, география, фармакология факультеттерінде оқитын студенттерге, магистранттарға және оқытушыларға арналған. Сонымен қатар бұл кітапты мектептердегі биология пәнінің мұғалімдері мен оқушылары пайдалана алады.</t>
  </si>
  <si>
    <t>0003625</t>
  </si>
  <si>
    <t>978-601-352-551-8</t>
  </si>
  <si>
    <t>Ботаниканың оқу практикумы. 2-том</t>
  </si>
  <si>
    <t>0003626</t>
  </si>
  <si>
    <t>Карипбаева Н.Ш., Қуанышбаева М.Ғ., Полевик В.В., Хромов В.А.</t>
  </si>
  <si>
    <t>Шыңғыстау
 өсімдіктері мен жануарлары</t>
  </si>
  <si>
    <t>Қазақстан Білім және Ғылым министрлігі тарапынан берілген грант бойынша, Шыңғыстау аймағындағы өсімдіктер мен жануарлардың көптүрлілігі зерттелді. Кітапта Шыңғыстау аймағында кездесетін 117 өсімдіктер, 120 бунақденелілер, 76 омыртқалы жануарлар түрлері сипатталған.
 «Шыңғыстау» кітабын жоғарғы оқу орындарында биология, география, ауыл шаруашылығы, зоотехника, экология, фармакология мамандықтарында оқитын студенттер мен магистранттар және мектеп мұғалімдері мен оқушылар пайдалана алады. Сонымен қатар, кітаптағы өсімдіктер мен жануарлардың көптүрлілігіне байланысты ғылыми ақпараттар халық арасында да қызығушылық туғызады, осыған байланысты кітап көпшілік оқырман қауымға арналады.</t>
  </si>
  <si>
    <t>0003627</t>
  </si>
  <si>
    <t>Карипбаева Н.Ш., Полевик В.В., Нағашбекова Л.Ә., Мукаева Г.Т.</t>
  </si>
  <si>
    <t>Макромицеті саңырауқұлақтар</t>
  </si>
  <si>
    <t>Биология, химия</t>
  </si>
  <si>
    <t>Бұл әдістемелік нұсқау жоғарғы оқу орындарының « Биология» және «Химия» мамандықтарының студенттеріне және мектеп мұғалімдері мен оқушыларына арналған. Ұсынылып отырған әдістемелік нұсқауда, макромицетті немесе қалпақты саңырауқұлақтардың 96 түріне морфологиялық және экологиялық сипаттамалары және анықтағышы беріліп отыр.</t>
  </si>
  <si>
    <t>0003628</t>
  </si>
  <si>
    <t>Карипбаева Н.Ш., Полевик В.В., Силыбаева Б.М.</t>
  </si>
  <si>
    <t>Иллюстрированный определитель цветковых растений</t>
  </si>
  <si>
    <t>Иллюстрированный определитель</t>
  </si>
  <si>
    <t>В иллюстрированном определителе дана морфологическая характеристика органов цветковых растений, а также 15 семейств, изучаемых в курсе био-логии, составлены паспорта и ключи определения семейств и родов цветковых растений Казахстана. В данный определитель включено описание 201 рода, в иллюстрациях представлено 224 вида. Книга рекомендована для школьников и учителей, а также студентов био-логов, экологов, географов.</t>
  </si>
  <si>
    <t>0003631</t>
  </si>
  <si>
    <t>Каркинбаева Ш.И., Хасенова К.К., Жунусова А.Ж.</t>
  </si>
  <si>
    <t>Территориальное управление городом</t>
  </si>
  <si>
    <t>Содержание учебного пособия «Территориальное управление городом» исходит из необходимости изучения экономических тенденций и актуальных проблем управления городом. Учебное пособие рассчитано на подготовку специалистов в области государственного и местного управления, усвоение которой необходимо для успешной будущей профессиональной деятельности.</t>
  </si>
  <si>
    <t>0003632</t>
  </si>
  <si>
    <t>Карлиханов Т.К.</t>
  </si>
  <si>
    <t>Арал: прошлое, настоящее и будущее (Под общей редакцией д.т.н., профессора Т.К. Карлиханова)</t>
  </si>
  <si>
    <t>В книге дана общая схема содержания по разделам. Каждые три подраздела в каждой из трех Частей могут расширяться и дополняться при наличии согласованного (общей редколлегией) материала.
 Например, в подразделе «Проекты реабилитации в Приаралье», а их великое множество, нужно будет перечислить по возможности все, но подробно останавливаться только на основных. Таких как: ПРООН-МФСА, ЮНЕСКО, ГЭФ-ПМГ, Всемирного банка развития, так как они были спланированы с учетом комплексных действий всех стран участников международного соглашения по спасению Аральского моря. Затем в подразделе «Результаты проектной деятельности…» подведены итоги на 2013 год по странам участникам. Безусловным лидером здесь является Республика Казахстан с комплексным решением реабилитации Малого Арала.
 Часть третья – будущее. Здесь приведены государственный план развития Приаралья и инвестиции.</t>
  </si>
  <si>
    <t>0003633</t>
  </si>
  <si>
    <t>Совершенствование технологии выращивания риса в низовьях реки Сырдарьи</t>
  </si>
  <si>
    <t>В учебном пособии на основе научных исследований и обобщений передового опыта даются рекомендации на перспективу по дальнейшему развитию промышленного комплекса, рисоводства Юга Казахстана на примере Кызылординской области. В работе рассмотрены пути совершенствования технологии выращивания риса в низовьях реки Сырдарьи на орошаемой территории Кызылординской области. Отмечено, что главной культурой в условиях Кызылординской области должен остаться рис, с учетом внедрения менее влагоемких технологий его возделывания. Научно обосновано, что значительная экономия поливной воды достигается за счет раннего посева риса, так как его всходы при этом обеспечивается за счет осенней – зимней - весенних запасов влаги в почве.
 Опыт всех важнейших рисосеющих районов Центральной Азии, а также результаты многочисленных экспериментов свидетельствует о том, что более высоких урожаев можно ожидать при культуре риса с пересадкой, чем при прямом посеве семян в поле вразброс или рядками.</t>
  </si>
  <si>
    <t>0003638</t>
  </si>
  <si>
    <t>Карменова М.А., Шошак М., Сарсенгалиева Г.Б.,</t>
  </si>
  <si>
    <t>Инновационные технологии в образовании</t>
  </si>
  <si>
    <t>Учебно-методическое пособие «Инновационные технологии в образовании» содержит теоретический и практический материал, который могут использовать как преподаватели, так и студенты данной специальности. Данное учебно-методическое пособие предназначено для студентов 3 курса специальности 5В011100-«Информатика» для изучения элективной дисциплины «Информационные и коммуникационные технологии в образовании». В содержании учебно-методического пособия также имеется тестовая база для проведения контроля знаний студентов и самоконтроля.</t>
  </si>
  <si>
    <t>0003641</t>
  </si>
  <si>
    <t>Карсыбаева З.С.</t>
  </si>
  <si>
    <t>Сборник тестов
 для студентов</t>
  </si>
  <si>
    <t>Данное пособие, составленное в форме тестов, по дисциплине «Выс-шая математика» предназначено для студентов первого курса нематемати-ческих специальностей. Тесты составлены в соответствии с действующей программой по курсу высшей математики для специальностей химия, био-логия, строители, геодезия и картография и т. д.</t>
  </si>
  <si>
    <t>0003642</t>
  </si>
  <si>
    <t>Оқу құралында Абайдың ақындық мұрасы жаңа таныммен қарастырылады. Абай дәстүрінің Алаш әдебиетіндегі жалғастығы, Абай мен М.Әуезов шығармашылығындағы сабақтастық мәселесі жан жақты сараланады. Еңбек абайтану мен әуезовтану саласындағы көкейкесті мәселелерге арналған. 
 Кітап жоғары оқу орындарының оқытушы-ұстаздарына, студенттерге, магистранттарға, PhD докторанттарға және мектеп оқушылары мен мұғалімдеріне арналған.</t>
  </si>
  <si>
    <t>0003647</t>
  </si>
  <si>
    <t>Карыбаева С.Е.</t>
  </si>
  <si>
    <t>С.Мұқанов поэзиясындағы авторлық метафоралардың танымдық ерекшеліктері</t>
  </si>
  <si>
    <t>Бұл монографияда С. Мұқановтың поэзиясындағы авторлық метафоралар когнитивтік аспектіде қарастырылады. Ғылыми еңбек жоғары оқу орындарында «Көркем мәтінді лингвистикалық талдау», «Когнитивтік лингвистика», «Стилистика және тіл мәдениеті» пәндерінен дәріс беруде пайдаланылуға ұсынылады. Сондай-ақ, көркем мәтінге стилистикалық-лингвистикалық талдау жүргізу барысында, С. Мұқанов шығармашылығына арналған арнаулы (таңдау) курстарды оқыту барысында пайдалануға болады.</t>
  </si>
  <si>
    <t>0003648</t>
  </si>
  <si>
    <t>Карымсакова Ж.К., Саяпил А.</t>
  </si>
  <si>
    <t>Основы экономической теории</t>
  </si>
  <si>
    <t>Практикум представляет собой краткое изложение лекций по дисциплине «Основы экономической теории». Издание не является альтернативой учебникам и учебным пособиям для получения фундаментальных знаний, но служит дополнительным пособием для успешной сдачи рубежного, итогового контроля. Его цель – предоставить студентам материал для обсуждения на практических занятиях и для самостоятельной работы. Практикум включает в себя тестовые задания и задачи для закрепления темы. Адресовано студентам вуза всех специальностей, изучающих курс «Основы экономическая теория».</t>
  </si>
  <si>
    <t>0003651</t>
  </si>
  <si>
    <t>Касабеков М.И., Тукешова Г.А.</t>
  </si>
  <si>
    <t>Теориялық механика: Семестрлік жұмыстардың тапсырмалар жинағы</t>
  </si>
  <si>
    <t>Бұл оқу құралы жоғары кәсіптік мамандар дайындайтын теханикалық оқу орындарының күндізгі оқитын бөлімдерінің оқу жоспарлары мен пәннің типтік бағдарламаларына сәйкес даярланған. Ол күндізгі бөлімде оқитын студенттердің семестрлік жұмыстарын мезгілінде орындауға арналған.</t>
  </si>
  <si>
    <t>0003655</t>
  </si>
  <si>
    <t>Касенов К.Р. , Атантаева А.А.</t>
  </si>
  <si>
    <t>Практикум по управлению инновационными проектами</t>
  </si>
  <si>
    <t>Для закрепления теоретических материалов планами практических занятий предусмотрены задания, методические рекомендации к выполнению заданий, тесты для проверки знаний, тематика рефератов, вопросы для подготовки к экзамену, глоссарий, основная и дополнительная литература.. Практикум по управлению инновационными проектами для магистрантов специальностей 6М050700 «Менеджмент», 6М051800 «Управление проектами» и 6М051700 «Инновационный менеджмент»</t>
  </si>
  <si>
    <t>0003656</t>
  </si>
  <si>
    <t>Касенов К.Р., Адельбаева А.К.</t>
  </si>
  <si>
    <t>Кәсіпкерлік стратегияларды таңдау</t>
  </si>
  <si>
    <t>Қазіргі кезде Қазақстан үшін кәсіпкерліктің дамуы өзекті мәселелердің бірі болып табылады. Оқу құралында кәсіпкерлік стратегиялардың дамуы мен келешегі туралы материалдар ұсынылған, кәсіпкерлік стратегияларды басқару, жоспарлау мәселелері қарастырылған. Кәсіпорынның маркетингтік стратегиялары, кәсіпорын дамуының экономикалық стратегиясын қалыптастыру сұрақтары, инновациялық даму стратегиялары, қаржылық стратегиялар, Қазақстан Республикасының стратегиялық бағдарламалары туралы мәселелер тереңінен келтірілген. Қазіргі замандағы кәсіпкерлік стратегиялардың теориялық мәселелері баяндалған. Бұл еңбек «Кәсіпкерлік стратегиялар» пәні бойынша жаңа типтік бағдарлама талабына сәйкес жазылған. Кітап жоғары оқу орын­да­рының экономикалық мамандықтар студенттері мен магистранттар, кәсіпкерлерге, кәсіпорын жетекшілер мамандарына арналған.</t>
  </si>
  <si>
    <t>0003658</t>
  </si>
  <si>
    <t>Касенова Л.Г.</t>
  </si>
  <si>
    <t>Физика. 1 бөлім</t>
  </si>
  <si>
    <t>Осы оқу құралында физиканың мектеп курсы бойынша қысқаша теориялы қ материалдар, формулалар, негізгі заңдар, есеп шығару мысалдары келтірілген. Материалдар ҰТО (НЦТ) ұсынған пәннің бағдарламасы негізінде тестік тапсырмалардың ерекшеліктерін ескере отырып іріктеліп алынған. Оқу құралында ұсынылған тараулар бойынша ҰБТ тапсырмаларда кездесетін теориялық сұрақтардың барлығына дерлік жауап берілген, көрсетілген есеп шығару мысалдары кез келген ұқсас есепті шығаруға мүмкіндік береді. Оқу құралы мектептің жоғарғы сынып оқушыларына, физика пәнінің мұғалімдеріне, техникалық мамандықтарында оқитын колледж және ЖОО студенттеріне және өзін-өзі білімін жетілдіретін тұлғаларға арналған</t>
  </si>
  <si>
    <t>0003660</t>
  </si>
  <si>
    <t>Теория и расчет слоистых пластинчатых конструкций на основе механики композиционных материалов</t>
  </si>
  <si>
    <t>Механика. Строит. Машин</t>
  </si>
  <si>
    <t>В монографии изложена один из вариантов уточненных теории и расчетов слоистых конструкций, в частности пластин широко используемых в различных отраслях техники в качестве основных несущих элементов конструкции. Приведенные в монографии численные результаты для однородной и трехслойных, многослойных плит при различных соотношениях толщин и модулей упругостей материалов, полученных на основе уточненной теории расчета , позволяют выявить действительную работу слоев и их взаимодействия. Настоящая монография предназначено для студентов магистрантов строительных и машиностроительных специальностей изучающих курсы строительной механики и работу строительных конструкций из композиционных материалов, а также представляет интерес для инженерно-технических работников, научных проектных и строительных организаций.</t>
  </si>
  <si>
    <t>0003661</t>
  </si>
  <si>
    <t>Торкөзді стерженді жүйелер</t>
  </si>
  <si>
    <t>Инженерлік механика және Серпімді теория және теория ағымының жалпы оқу бағдарламасында торкөзді стерженді жүйелерді есептеу, оның ең маңызды және сондай кеңейтілген бөлімі ретінде оқыту қарастырылған.Оқу құралы стерженьдер жүйелеріне жататын фермалардың есептеу тәсілдерін мемлекеттік тілде оқыту кезінде қажетті көмек ретінде жазылған.Оқу құралы, құрылыс және жол машина саласында, көпір, шахта құрылыстарына қатысты мамандықтар (ТТ,С,А,КБ) студенттеріне «Инженерлік механика», «Құрылыс механика» пәндерінен есептеу, зертханалық – жобалау тапсырмаларын, курстық, дипломдық жобалау жұмыстарын орындау кездерінде, сонымен қатар, басқа да пәндерден беретін оқытушыларға да пайдалы.</t>
  </si>
  <si>
    <t>0003662</t>
  </si>
  <si>
    <t>Статически неопределимые стержневые системы</t>
  </si>
  <si>
    <t>В учебном пособии рассмотрены такие вопросы, как цель, задачи и основные понятия курса «Основы расчета стержневых систем». Расчет статически неопределимых стержневых систем. Классические методы расчета: метод сил, метод перемещения. Определение перемещения в стержневой системе, расчет неразрезных балок, уравнение трех моментов.В пособии, подробно изложена классическая методика расчета строительной механики для расчета статически неопределимых стержневых систем. Приведены результаты расчета ряда задач изгиба статически неопределимых многопролетных неразрезных балок, арок и рам, ферм.Настоящее пособие предназначено для студентов строительных и машиностроительных специальностей, изучающих курсы строительной механики и работу строительных конструкций, а также может представлять интерес для инженерно-технических работников, научных проектных и строительных организаций.</t>
  </si>
  <si>
    <t>0003663</t>
  </si>
  <si>
    <t>Статически определимые системы</t>
  </si>
  <si>
    <t>В учебной программе курса «Основы расчета стержневых систем» особое место занимает расширенное изучение статических расчетов конструкций, в виде статически определимых систем, обладающие высокими прочностными и жесткостными характеристиками с относительно малой массой, отвечающие реальным эксплуатационным требованиям. Этим требованиям вполне отвечают многопролетные статически определимые балки, трехшарнирные арки и рамы, плоские фермы, распорные и комбинированные, которые все чаще находят широкое применение в различных областях машиностроения и строительства.Учебное пособие предназначено в помощь студентам специальности 5В072900 «Строительство» для самостоятельной работы по выполнению заданий и курсовой работы по расчету статически определимых систем по дисциплине «Основы расчета стержневых систем».Настоящее пособие предназначено для студентов строительных и машиностроительных специальностей, изучающих курсы строительной механики и работу строительных конструкций, а также представляет интерес для инженерно-технических работников, научных проектных и строительных организаций.</t>
  </si>
  <si>
    <t>0003664</t>
  </si>
  <si>
    <t>Стержендер жүйесін есептеу негіздері</t>
  </si>
  <si>
    <t>Оқулықта ғимараттар мен үймереттердің құрылымдарын есептеу үшін теориялық материалдар және шығарылған есептік мысалдар, оған керекті қосымшалары да берілген және құрылыс, транспорттық құрылыс, шахта-құрылыс студенттерін бакалавриат бағдарламасы бойынша оқытуға арналған. Құрылыс механикасының басты тарауы боп саналатын стержендер жүйелерінің есептеу негіздерінің теориялары қарастырылған.Оқулық мазмұны құрылысшылар, сәулетшілер үшін МжМОС негізгі талаптарына және жағдайларына сәйкес тұғырланған.Оқулық құрылыс және жол машина саласында, көпір, шахта құрылыстарына қатысты мамандықтар студенттеріне «Инженерлік механика», «Құрылыс механика» пәндерінен есептеу, зертханалық – жобалау тапсырмаларын, курстық, дипломдық жобалау жұмыстарын орындау кездерінде, сонымен қатар, өндірістік және азаматтық гимараттарды жобалайтын (есептеу саласы бойынша) қызметкерлерге де пайдалануына болады.</t>
  </si>
  <si>
    <t>0003666</t>
  </si>
  <si>
    <t>Касимов А.Т., В.А. Илькун, А.А. Бударагина</t>
  </si>
  <si>
    <t>Машина бөлшектерін есептеу</t>
  </si>
  <si>
    <t>«Машина бөлшектері және құрастыру негіздері», «Машиналарды жобалау» пәндерінің жалпы оқу бағдарламасында бөлшектерді есептеу, оның ең негізгі және кеңейтілген бөлімі ретінде оқытылады. Оқу құрал, осы жоғары айтылған курстардың бағдарламасына сай «Машина жасау», «Көлік техникасы және технологиясы» «Қондырғылар технологиясы» саласындағы мамандықтарға қатысты оқитын студенттерге арналып жазылған.Оқу құралы машина құрылысындағы, жол-көлік машина, қондырғылар технологиясы салаларындағы күндізгі және сырттан оқитын студенттерге «Машина бөлшектері және құрастыру негіздері» , «Машиналарды жобалау» пәндерінен орындалатын бақылау, курстық жұмыстарына және курстық, дипломдық жобалау жұмыстарына арналған .</t>
  </si>
  <si>
    <t>0003667</t>
  </si>
  <si>
    <t>Касимова Б.Р.</t>
  </si>
  <si>
    <t>Электр тізбек теориясы</t>
  </si>
  <si>
    <t>0003668</t>
  </si>
  <si>
    <t>Касимова Б.Р., Арпабеков М.И., Куанышбаев Ж.М., Баубек А.А.</t>
  </si>
  <si>
    <t>Теория электрических цепей</t>
  </si>
  <si>
    <t>В учебном пособии подробно рассматриваются методы расчета и физические процессы активных и пассивных электрических цепей, а также частотные и временные характеристики различных цепей, приводятся алгоритмы расчета с использованием компьютера. Рассмотрены традиционные и новые вопросы теории линейных и нелинейных электрических цепей. Рассмотрены традиционные и новые вопросы теории линейных и нелинейных электрических цепей, электромагнитных явлениях и сформулированы основные понятия и законы теории электрических и магнитных цепей. Учебное пособие предназначено для студентов энергетических и технических специальностей.</t>
  </si>
  <si>
    <t>0003669</t>
  </si>
  <si>
    <t>Касимова Б.Р., Скакова А.Ж.</t>
  </si>
  <si>
    <t>ЭЕМ-ді ұйымдастыру</t>
  </si>
  <si>
    <t>Көпшілік назарына ұсынылып отырған оқу құралында ЭЕМ-нің негізгі функционалдық элементтері, мультипрограммалық ЭЕМ жұмысын ұйымдастыру, дербес ЭЕМ-дегі жадыны басқару жүйесі жәнеесептеуiш жүйелерінiң архитектурасы қарастырылады. Соның ішінде арифметикалық логикалық құрылығысы; басқару құрылғысы және бірнеше жұмысшы регистрлердің жұмыс істеу принциптері қарастырылады. Микропроцессор бір немесе бірнеше интегралдық схемадан тұрады. Сонымен қатар оларды ұйымдастыру, ұйымдастыруға байланысты саясатты жүргізу жолдары және жұмыс жасау жолдары туралы деректер келтірілген.</t>
  </si>
  <si>
    <t>0003670</t>
  </si>
  <si>
    <t>Касимова Б.Р., Шакирова Р.Е.</t>
  </si>
  <si>
    <t>Электротехникадан зертханалық практикум</t>
  </si>
  <si>
    <t>Электр тізбектерінің теориясы пәні тұрақты және айнымалы тоқтар тізбектерінде физикалық процесстерін сонымен осы тізбектерді есептеу әдістерін зерттеді қамтиды. Электр энергия ең әмбебаб энергия түрі болып табылады. Осы пән негізінде басқа электротехникалық пәндерді үйренуге болады. Зертханалық жұмыстар виртуал түрде Multisim бағдарламасын қолданып жасалған.</t>
  </si>
  <si>
    <t>0003674</t>
  </si>
  <si>
    <t>Касымов С.К., Асенова Б.К., Нургазезова А.Н., Нурымхан Г.Н., Игенбаев А.К., Муслимова Н.Р.</t>
  </si>
  <si>
    <t>Технология мяса и мясных продуктов</t>
  </si>
  <si>
    <t>В учебном пособие рассмотрены приемка сырья на предприятиях мясоперерабатывающей промышленности, методы определения каяества исходного сырья и готовой продукции, технологии производства мясных продуктов с указанием технологических режимов, ассортимент мясной продукции. Особенное внимание выделено температурным, временным и другим режимам обработки мясного сырья. Рассмотрены научно-практические аспекты мясного производства. Учебное пособие предназначено для обучающихся специальности «5В072700, 6М072700, 6D072700 – Технология продовольственных продуктов», «6М073500, 6D073500 – Пищевая безопасность»</t>
  </si>
  <si>
    <t>0003675</t>
  </si>
  <si>
    <t>Касымов С.К., Нургазезова А.Н., Нурымхан Г.Н., Кулуштаева Б.М., Игенбаев А.К.</t>
  </si>
  <si>
    <t>Тамақ өнімдерін зерттеуде қолданылатын әдістер мен әдістемелер</t>
  </si>
  <si>
    <t>Оқу құралында тамақ өндірісі саласының шикізаттарын және дайын өнімдерін зерттеу әдістері және әдістемелері қарастырылған. Тамақ өнімдерін сапасын зерттеудің негізгі әдістеріне жеке тоқтала отырып, оның ерекшеліктері, артықшылықтары мен кемшіліктері, зерттеу әдістерін орындау тәртіптеріне ерекше назар аударылған. Тамақ өндірісінің ғылыми-тәжірибелік аспектілері қарастырылды. Оқу құралы «5В072700-Азық-түлік тағамдары технологиясы», «5В072800-Өндеу өндірістерінің технологиясы» мамандықтарының студенттеріне және «6М072700-Азық-түлік тағамдары технологиясы», «6М072800-Өндеу өндірістерінің технологиясы», «6М073500-Тағам қауіпсіздігі» мамандықтарының магистранттарына арналған оқу құралы ретінде ұсынылады.</t>
  </si>
  <si>
    <t>0003683</t>
  </si>
  <si>
    <t>978-601-13-0281-4</t>
  </si>
  <si>
    <t>Касымова А. Х., Давлетова А. Х., Рахимжанова М., Адырбекова А.</t>
  </si>
  <si>
    <t>Компьютерлік графика</t>
  </si>
  <si>
    <t>Оқу құралы ЖОО оқытушылары, ғылыми қызметкерлер, магистранттар мен студенттерге арналған, мақсаты - тәжірибеге жаңа ақпараттық-коммуникативтік технологияларды енгізу жолымен білім беру үрдісінің тиімділігін көтеру; педагогикалық және ақпараттық-коммуникациялық технологиялардың бірігуі негізінде оқыту сапасын жақсарту; оқытушылардың ашық ақпараттық қоғам дүниетанымын қалыптастыру; ақпараттық-коммуникациялық технологияларды пайдалану әдістемесі, графикалық тапсырмалар жүйесі, оларды құру ерекшелігі саласында, пайдалану және білім беруді ілгерілендіру жағдайында графикалық тапсырмаларды шешу әдістері және компьютерлік графиканы оқыту әдістемесімен байланысты мәселелер жүйесі саласында оқытушылардың біліктілігін көтеру</t>
  </si>
  <si>
    <t>0003691</t>
  </si>
  <si>
    <t>Кемел М., Бакирбекова А.М.</t>
  </si>
  <si>
    <t>Управление персоналом в государственной службе</t>
  </si>
  <si>
    <t>В учебном пособии рассмотрены теоретические основы системы управления персоналом в системе государственных органов; представлены научные и практические аспекты формирования, использования, развития персонала государственных организаций; раскрыты направления работы кадровой службы по обеспечению основных функций управления персоналом.В пособие включены контрольные вопросы тематика рефератов и тестовые задания для самопроверки, приведены глоссарий терминов и библиографический список специальной литературы. Учебное пососбие предназначено для преподавателей, магистрантов и студентов вузов специальности «Государственное и местное управление».</t>
  </si>
  <si>
    <t>0003694</t>
  </si>
  <si>
    <t>Кемелбеков Қ.Б. (Кемельбеков К.Б.)</t>
  </si>
  <si>
    <t>Қазақтың әдеп мәдениеті</t>
  </si>
  <si>
    <t>Оқу құралы кредиттік бағдарламада студенттерге «Мәдениеттану» пәнінен гуманитарлық- педагогикалық мамандықтарына қосымша материал ретінде арналған. Оқу құралының негізгі тұжырымдары мен қағидалары елімізде мәдениеттану, этика, философия пәндерін оқытуда және қазақ халқының этикалық мәдени мұрасына байланысты қазіргі кезеңге қатысты арнаулы курстарды дайындауға көмегін береді.</t>
  </si>
  <si>
    <t>0003695</t>
  </si>
  <si>
    <t>Кемелбеков Қ.Б. (Кемельбеков К.Б.), Оразымбетова З.Ш., Еркінбекова Ә.С. Дуйсебаев М.Т.</t>
  </si>
  <si>
    <t>Дінтану</t>
  </si>
  <si>
    <t>Оқу құралында Қазақстанда орын алып, кеңінен таралған дәстүрлі және дәстүрлі емес діндердің жалпы тарихы мен ілімі, Қазақстанда таралу аумағы мен өзіндік ерекшеліктері қарастырылған. Басылым дінтанушыларға, бакалавр, магистрант ұстаздарға, мемлекеттік ұйымдарда дін мәселесімен айналысатын әр түрлі деңгейдегі мемлекеттік қызметкерлерге және жалпы дін мәселесіне қызығушылық танытатын көпшілікке арналады. Дінтану оқу құралы Білім берудің тиісті деңгейлерінің мемлекеттік жалпыға міндетті білім беру стандарттары ҚР Үкіметінің 23 тамыз 2012 ж. 1080 Қаулысына сәйкес құрастырылды.</t>
  </si>
  <si>
    <t>0003696</t>
  </si>
  <si>
    <t>Кемелова Г.С., Лосева И.В., Аубакирова А.А.</t>
  </si>
  <si>
    <t>Оқу-әдістемелік әдебиеттерді бекітуге және баспадан шығаруға дайындау. Подготовка учебно-методической литературы к утвеждению и изданию</t>
  </si>
  <si>
    <t>Әдістемелік ұсыныстар</t>
  </si>
  <si>
    <t>Әдістемелік нұсқаулықта оқу-әдістемелік әдебиеттерді дайындау бойынша бекітуге және баспадан шығару әдісі үшін негізгі талаптар ұсынылған. Әдістемелік нұсқаулықтар Қазақстан Республикасының Денсаулық сақтау және әлеуметтік даму министрлігі мен Білім және Ғылым министрлігінің нормативтік құжаттары мен МЕМСТ негізінде дайындалған.</t>
  </si>
  <si>
    <t>0003697</t>
  </si>
  <si>
    <t>Кемельбекова Ж.</t>
  </si>
  <si>
    <t>Бағдарламалау тілдері және технологиялары</t>
  </si>
  <si>
    <t>Бағдарламалау тілдері және технологиялары оқу құралы жоғарғы оқу орындарындағы техникалық бағытта білім алып жатқан студенттерге арналған. С++ тілінде программалауды үйрену компьютерлік технологияларды игергісі келетін әрбір маманның алғашқы қадамдарының бірі болуы тиіс. Олай дейтініміз С/С++ және осыларға ұқсас тілдер қазіргі кезде үздіксіз даму үстінде. Сол себепті назарларыңызға ұсынылып отырған оқу құралының алдына қойған мақсаты студенттерді тиімді де қысқа мәтінді программалар жазуға және олардың нәтижелерін алып, түрлендіру істеріне машықтандыру болып табылады</t>
  </si>
  <si>
    <t>0003698</t>
  </si>
  <si>
    <t>Кенбаев Б.Қ., Жанзақов М.М., Оналов С.Ж., Мырзабек К.А.</t>
  </si>
  <si>
    <t>Егіншілік 1 бөлім</t>
  </si>
  <si>
    <t>Оқулықта ғылыми егіншілік заңдары, өсімдік тіршілігі, топырақ және оның құнарлығы, топырақты тиімді пайдалану мен құнарын арттырудағы арам шөптермен күресу, топырақ өңдеу, дұрыс ауыспалы егістерді пайдалану сондай-ақ егістік жерлер топырағын эрозиядан қорғаудың агротехникалық негіздері мен аймақтық егіншілік жүйелері қамтылған. Жоғары және орта арнаулы оқу орындарының өсімдік шаруашылығы мамандығы студенттері мен магистранттарына және ауыл шаруашылығы өндірісіндегі мамандарға арналған. Учебник содержит законы научного земледелия, жизни растений, почвы и ее плодородия, борьбы с сорняками при рационализации и рациональном использовании почв, обработке почвы, использовании правильного севооборота, а также агротехнических основ и систем регионального земледелия для защиты пахотных земель от эрозии. Специализируется для студентов и магистрантов высших и средних специальных учебных заведений растениеводства и агропромышленного комплекса.</t>
  </si>
  <si>
    <t>0003699</t>
  </si>
  <si>
    <t>Егіншілік 2 бөлім</t>
  </si>
  <si>
    <t>0003701</t>
  </si>
  <si>
    <t>Кенбаев Б.Қ., Жанзақов М.М., Бегалиев Қ.Б., Мырзабек К.А.</t>
  </si>
  <si>
    <t>Агрономия негіздері 2 бөлім</t>
  </si>
  <si>
    <t>Оқулық ауыл шаруашылығы өндірісі – егіншіліктегі өсімдіктер тіршілігі, қолданылатын тыңайтқыш түрлері, арам шөп түрлері және олармен күресу шараларының, топырақ өңдеу мен мелиорациялық шаралардың, ауыспалы егістер мен оларды енгізу және игерудің, егіншілік жүйелерінің, сондай-ақ егістік дақылдардың таралуы мен морфологиялық белгілері, биологиялық қасиеттері, сорттары, өсіру агротехникасының ғылыми негіздерін қамтиды.
  Жоғары және арнайы орта оқу орындарындағы аграрлық техника және технология мамандығы студенттері мен магистранттарына, сондай-ақ агроөнеркәсіп өндірісіндегі мамандарға арналған.</t>
  </si>
  <si>
    <t>0003703</t>
  </si>
  <si>
    <t>Кенжалиев Д.И.</t>
  </si>
  <si>
    <t>Астрономияның алғашқы тараулары</t>
  </si>
  <si>
    <t>0003704</t>
  </si>
  <si>
    <t>Электродинамика және арнаулы салыстырмалық теориясы</t>
  </si>
  <si>
    <t>0003705</t>
  </si>
  <si>
    <t>Астрофизика</t>
  </si>
  <si>
    <t>Ұсынылып отырған оқу құралында автор астрономияның маңызды бөлімі – астрофизика мәселелерін қарастырады. Бұл кітаптың қажеттілігі астрономиядан қазақ тіліндегі оқу құралдарының жетіспеушілігінен туындылап отыр. Әсіресе астрофизика саласынан қазақ тіліндегі басылымдар жоқтың қасы екендігі белгілі. Қазір оқырман қауымды осы салалардың мәселелерімен ана тілінде таныстыратын кітап енді-енді шыға бастады. Толық көлемді астрономия мәселелерімен таныстыратын оқулық өте аз. Авторлар оқу құралында астрономияның астрофизиканың саласына, курсқа терең талдау жасаған. Оқу құралында қамтылған мәселелер жоғарғы оқу орындарының «Физика», мамандықтарында оқитын студенттерге, орта мектеп оқытушыларына астрофизика саласынан білімін тереңдетуге көмегін тигізеді.</t>
  </si>
  <si>
    <t>0003707</t>
  </si>
  <si>
    <t>Электрдинамика (Төртінші түзетілген және толықтырылған басылым) МОН РК</t>
  </si>
  <si>
    <t>Ұсынылып отырған оқу құралында автор теориялық физиканың маңызды бөлімі -классикалық электрдинамика мен арнаулы салыстырмалылық теория негіздерін қарастырған. Бұл мәселелер мектептің физика курсының бағдарламасында елеулі орын алады. Сол себепті болашақ физика пәні оқытушысының бұл саладан білімі терең болуы тиіс. Сонымен бірге болашақ ғалым, инженер және техникалық қызметкер үшін де электрдинамикадан білімі саяз болмағаны қажет. Осы тұрғыдан теориялық физика пәнінің болашақ маман үшін маңызы жоғары. Бірақ қазір теориялық физиканың осы бір маңызды бөліміне арналған, және қазақ тілінде жазылған оқулықтар аз, ал оқу құралдары жоқтың қасы. Автордың бұл оқу құралы мол сұраныстың орнын толтырар деп үміттенеміз. Ұсынылып отырған оқу құралының бұрыңғы басылымдармен салыстырғанда, осы үшінші басылымында көп толықтырулар және түзетулер енгізілген</t>
  </si>
  <si>
    <t>0003709</t>
  </si>
  <si>
    <t>Кенжалиев Д.И., Мырзакулов Р.</t>
  </si>
  <si>
    <t>Термодинамика және статистикалық физика.</t>
  </si>
  <si>
    <t>0003715</t>
  </si>
  <si>
    <t>Кенжебаева А.Ә.</t>
  </si>
  <si>
    <t>Қытай –қазақ әдебиеттеріндегі әйелдер шығармашылығының алатын орны</t>
  </si>
  <si>
    <t>Бұл монографияда өз туындыларында әйел тұлғасын, олардың нәзік болмысын танытуға арнаған жазушылар Ш.Құмарова, Ш.Бейсенова, А.Кемелбаева, Д. Мамырбаева, Г. Шойбекова, Л.Қоныс, Чжаң Айлин, Чжаң Цзе, Чжаң Каңкаң, Уаң Аньи, Цан Сюе т.б. прозалық тундыларындағы әйел тематикасы мен әйел бейнесін ғылыми тұрғыдан салыстыра отырып қарастырылған. Аталған еңбек жоғарғы оқу орындарының филология және шығыстану факультеттерінде «Әдебиет теориясы», «Қазіргі заманғы қытай әдебиеті», «Шығыс әдебиеттануына кіріспе», «ХХ-ХХІ ғасырлар тоғысындағы қытай әдебиетіндегі заманауи тенденциялар», «Қазіргі заманғы қазақ әдебиеті», «Қазіргі таңдағы әйелдер шығармашылығы» пәндеріне және арнаулы курстарда кеңінен пайдалануға болады деп есептейміз. Монографияда берілген аналитикалық тұжырымдар сондай-ақ қазіргі таңдағы әйел санасының өзіндік ерекшеліктерін зерттеп жүрген философтар мен психологтар, әлеуметтанушылар мен мәдениеттанушылар үшін құнды дерек көзі болады деген үміттеміз.</t>
  </si>
  <si>
    <t>0003716</t>
  </si>
  <si>
    <t>ХХ- ХХІ ғасырлар тоғысындағы қытай әдебиеті</t>
  </si>
  <si>
    <t>Қазақстанда Қытайдың ХХ- ХХІ ғасырлар тоғысындағы әдеби процестері динамикасы кешенді түрде зерттеген және Қытай әдебиетіндегі постмодернизм туралы қарастырылған еңбектер жоқтың қасы. Берілген оқулықта мейнстриммен ара қашықтық сақтаған «перифериялық» прозаға басты назар аударылады.Сонымен қатар Қазақстан жұртшылығына бейтаныс боп келген Қытайдың 80-ші жылдардың аяғы мен 90-шы жылдардың басындағы қаламгерлер шығармашылығы жан-жақты талданған. ХХ – ХХІ ғасырлар тоғысындағы қытай әдебиеті атты оқу –әдістемелік құралы шығыстану факультеті қытайтану кафедрасының «Шетел филологиясы» мамандығы магистранттары, бакалаврлары үшін дайындалған.</t>
  </si>
  <si>
    <t>0003717</t>
  </si>
  <si>
    <t>Кенжебаева М.Т., Досымова О.Ж.</t>
  </si>
  <si>
    <t>Нақты және әртүрлі өлкетанулық ақпаратсыз туристік маршруттар мен экскурсияларды ұйымдастыру мүмкін емес. Сондықтанда туристік - өлкетанулық жұмыстардың негізін және өлкетанулық зерттеулерді жүргізу әдістерін білу, туризм саласында кәсіби мамандарды даярлаудың ажырамас бөлігі болып табылады.Туристік өлкетану іс-әрекеттері адамның қоршаған ортаға деген түрлі сезімдерін білдіре алады. Осы мақсатта ұсынылып отырған оқу құралы «Туризм» мамандығының білім алушыларына, туризм саласы кәсіпорындарының мамандары мен жетекшілеріне арналған.«Туристік өлкетану» оқу құралында өңіріміздегі туристік объектілері қарастырылған. Оқу құралында тест сұрақтары мен аралық бақылау сұрақтары беріліп, әртүрлі тақырыпшалар мен өлкетанудың тарихы ұсынылған</t>
  </si>
  <si>
    <t>0003720</t>
  </si>
  <si>
    <t>Кенжебай Р.Н., Аманбаева М.А</t>
  </si>
  <si>
    <t>Географияның зерттеу әдістері</t>
  </si>
  <si>
    <t>«Географияның зерттеу әдістері»магистранттар даярлауда оқытылатын таңдау пәндерінің бірі болып табылады. Оқу құралы Мемлекеттік жалпыға білім беретін стандарт негізінде жоғарғы оқу орнынан кейінгі білім беру орталығының бағдарламасына сәйкес құрастырылған. Оқу құралында дәріс сабақтарында өтілетін дәрістердің қысқаша мазмұны, жоспарлары, магистранттың білімін бекіту сұрақтары, терминдер және әдебиеттер тізімі берілген. Бұл пән географиялық білім беру жүйесінде әсіресе, ғылыми-педагогикалық бағыттағы магистранттар үшін маңызы пән болып есептелінеді. Пәннің білім берудегі міндеті магистранттарға тұрақты даму мен қазіргі ғаламдық мәселелер, табиғатты тиімді пайдалану, энергетикалық және шикізат мәселесі, физикалық және әлеуметтік-экономикалық географияның зерттеу әдістері жайында терең мағлұмат беру.</t>
  </si>
  <si>
    <t>0003726</t>
  </si>
  <si>
    <t>Кенжебекова Р.И., Молдабек Қ</t>
  </si>
  <si>
    <t>Бастауыш сынып математикасынан сыныптан тыс жұмыстар: теориясы мен әдістемесі</t>
  </si>
  <si>
    <t>Бастауышта оқыту педагогикасы мен әдістемесі мамандығының студенттеріне бастауыш мектепте математикадан өткізілетін сыныптан тыс жұмыстарды оқудан жүйелі білім беруге, оның негізгі мәселелерімен таныстыруға, сыныптан тыс оқу жұмыстардың нақты тақырыптары айшықталып, өтілу әдіс-тәсілдері мен теориясы қарастырылған Оқу құралын 5В010200 – «Бастауышта оқыту педагогикасы мен әдістемесі» мамандығының студенттері , магистранттары мен оқытушылары, бастауыш мектептің мұғалімдері, ата-аналар мен қалың оқырман қауым пайдалана алады.</t>
  </si>
  <si>
    <t>0003727</t>
  </si>
  <si>
    <t>Кенжебекова Р.И., Молдабек Қ.</t>
  </si>
  <si>
    <t>Бастауыш сыныптағы қызықты математикалық тапсырмалар</t>
  </si>
  <si>
    <t>Оқу құралы бастауыш сыныптағы қызықты математикалық тапсырмалар қарастырылған. Еңбек 5В010200 – Бастауыш оқытудың педагогикасы мен әдістемесі мамандығының студенттеріне арналған. Бастауыш мектеп оқушыларының әр сыныптарда пайдаланылатын қызықты тапсырмалар жүйесі нақты берілген. 
 Оқу құралы студенттерге, бастауыш мектеп мұғалімдеріне, магистранттарға әдістемелік тұрғыдан пайдалы.</t>
  </si>
  <si>
    <t>0003734</t>
  </si>
  <si>
    <t>Кенжеходжаев М.</t>
  </si>
  <si>
    <t>Астықты өңдеу өндірістерінің технологиялық машиналары</t>
  </si>
  <si>
    <t>0003735</t>
  </si>
  <si>
    <t>978-601-327-212-2</t>
  </si>
  <si>
    <t>Кенжин Б.М., Смирнов Ю.М.</t>
  </si>
  <si>
    <t>Көміртектес сілемдер жағдайын қадағалау әдістері</t>
  </si>
  <si>
    <t>Оқу құралы қадағалау барысында тектоникалық бұзылу байқалғанда – қоршаған ортаға бейім- көмір қойнауына динамикалық әсер ететін жаңа әдіс енгізу құралын әзірлеуге арналған. Осы әдісті енгізу үшін гидравликалық дірілдеткіштер және екпінді механизмдер зерттеліп ұсынылған. Жүргізілген аналитикалық және тәжірибелік зерттеулер кешені ішкі тиімді өлшемдер шамасы мен әртүрлі жағдайда қолданылатын дірілдеткіш-сейсмикалық модульдердің көрсеткіштерін ұсынуға мүмкіндік туғызды. Алынған нәтижелер жерасты қойнауларын ұтымды өндіретін технологиялық процестерді ұсынуға және кенеттен газ бен көмір қалдықтарын шығаруды, қауіпсіздікті барынша болдырмау жағдайларын ұсынуға мүмкіндік береді. Оқу құралы техникалық жоғарғы оқу орындарының тау-кен мамандығы магистранттары мен студенттері оқу процесінде қолдану үшін әзірленген</t>
  </si>
  <si>
    <t>0003736</t>
  </si>
  <si>
    <t>Методы исследования импульсных систем с объемным гидроприводом</t>
  </si>
  <si>
    <t>Монография посвящена разработке средств реализации нового метода динамического воздействия на угольный массив – адаптивного – при обнаружении и мониторинге тектонических нарушенностей. Для реализации метода рекомендованы и исследованы гидравлические вибрационные и ударные механизмы. Проведенный комплекс аналитических и экспериментальных исследований позволил рекомендовать рациональные величины внутренних параметров и выходных показателей вибрационно-сейсмических модулей для различных условий использования. Полученные результаты дают возможность рекомендовать технологические процессы подземной добычи с максимальным эффектом и с минимальной безопасностью, исключающие внезапные выбросы угля и газа. Книга рассчитана на инженерно-технических и научных работников, занятых в угледобывающей промышленности, студентов, магистрантов и аспирантов горных специальностей технических вузов</t>
  </si>
  <si>
    <t>0003738</t>
  </si>
  <si>
    <t>Керимбаева Р.К., Отошева Ж.А.</t>
  </si>
  <si>
    <t>Бала тілі –бал</t>
  </si>
  <si>
    <t>0003739</t>
  </si>
  <si>
    <t>Керимбаева Р.К., Шилменбетова Н.Ә.</t>
  </si>
  <si>
    <t>Ойлан да, тап</t>
  </si>
  <si>
    <t>0003744</t>
  </si>
  <si>
    <t>Керимбекова М./Kerimbekova M., Savelova T., T.Chunihina, M.Shubakova</t>
  </si>
  <si>
    <t>WORKBOOK ON THE PROFESSIONAL-ORIENTED ENGLISH LANGUAGE FOR THE STUDENTS OF THE SPECOALTY "BIOLOGY"</t>
  </si>
  <si>
    <t>This training manual is intended for the first-year students of the “Biology” specialty on “Professional - oriented foreign language” subject.
 The main purpose of the training manual - to help students in mastering vocabulary and grammar on the themes presented in the educational-methodical manual. 
 The manual includes 13 texts on molecular biology and chemistry, which corresponds to the curriculum program. The manual is built on the basic didactic principles of teaching from simple to complex. Adapted texts are provided with a new vocabulary on the subject that includes transcription involving pronunciation skills practice. The manual has the final control test consisting of 100 test items for consolidating the vocabulary and grammar.
 The authors propose a thematic Anglo-Russian-Kazakh dictionary for the students’ help. The question-answer form of exercises system is given for fixing the lexical material and the exercises have a communicative character. Training manual contains tasks to find a word definition and a basis for making the dialogues. Each topic is linked to the lexical new grammatical phenomena, it contains a series of exercises aimed at repetition and consolidation of the studied material. 
 The manual ensure the development of skills needed for reading and understanding the medical literature, and for the speech within the program requirements.</t>
  </si>
  <si>
    <t>0003746</t>
  </si>
  <si>
    <t>Керимкулов Ж.С., Кучеренко Д.А., Сариева А.С.</t>
  </si>
  <si>
    <t>Методические указания к лабораторным работам по геоинформационным системам</t>
  </si>
  <si>
    <t>метод указания</t>
  </si>
  <si>
    <t>Методическое пособие по "Геоинформационным системам" разработано для практических занятий по курсу "Геоинформационные системы" специальности «Геодезия и картография». Методические указания предполагает самостоятельную работу с ним студентов и выполнение практических заданий. В методическом пособии кратко охарактеризована актуальность ГИС для применения в различных сферах жизнедеятельности человека; рассмотрены вопросы формирования правильного проекта для изучения определенных проблем в сфере экологии, геологии, и других задачах. Кратко дается описание новейших спутников ДЗЗ, процессов мониторинга земной поверхности.</t>
  </si>
  <si>
    <t>0003747</t>
  </si>
  <si>
    <t>Керімбай Б.С., Керімбай Н.Н.</t>
  </si>
  <si>
    <t>Экономическая и социальная география мира (второе издание)</t>
  </si>
  <si>
    <t>УМК</t>
  </si>
  <si>
    <t>Учебно-методический комплекс составлен в соответствиии учетом специфики подготовки дипломированых специалистов и требованиями Государственного образовательного стандарта. Комплексный подход авторов к изучению географической среды в целом и ее пространственной диффериенциации в условиях разных территорий и акваторий Земли позволяет рассматривать природные, экономические и социальные факторы, формирующие и изменяющиие окружающую среду, в их равноправном взаимодействии. Это наиболее эффективный путь формиртвания системы геоэкологических, геоэкономических, социокультурных взглядов, ценностей, отношений студентов не только на эмоциональном, но и на рациональном уровне. Таким образом, в основу содержания УМК положено изучение значения географической среды для жизни и деятельности человека и общества. Учебно-методический комплекс предназначен для преподпвателей и студентов бакалавров и обучающихся колледжей среднеспециальных учебных заведений.</t>
  </si>
  <si>
    <t>0003748</t>
  </si>
  <si>
    <t>Керімбай Н.Н.</t>
  </si>
  <si>
    <t>Геоинформатика негіздері 1 том, 3-басылым</t>
  </si>
  <si>
    <t>Бұл оқу құралы география және жаратылыс тану ғылымдарының мамандарына, бакалавр, магистрант және докторантарға арналған.ХХ ғасырда География мен информатиканың тоғысуынан пайда болған жаңа бағыт – геоинформатика деп аталады. Геоинформатика ғылымы басқа ғылымдар сияқты географиялық ақпараттардың қағида-ларын, әдістерін, дәрістерді технологиялау, жинақтау, жүйелеу әрекет-терін жасайды. Геоинформатика негізгі мақсатына, осы айтылған әрекеттерді жүзеге асыруға геоақпараттық жүйе жасау арқылы жетеді. Геоинформатика-классикалық география және картография дәстүрлері мен әдістерін, теориясын, қолданбалы математика, информатика және компьютерлік техниканың мүмкіншіліктерін сабақтастыратын кешенді ғылым.</t>
  </si>
  <si>
    <t>0003749</t>
  </si>
  <si>
    <t>Сандық картография 2-басылым</t>
  </si>
  <si>
    <t>Картографияның маңызды саласы болып табылатын - сандық картография қазіргі кездегі технологияға байланысты қолданылып жүрген түсірісті кешен болып табылады. Сандық картография өзінің құрамына лазерлік сканер және сандық аэрофотокамераны біріктіреді. Сандық картография жергілікті жердің және жер бедерінің, ортотопландардың, қосалқы материалдардың жоғары дәлдікті сандық үлгісін бірден алуға мүмкіндік береді және соңғы өнімдердің сапасын көтеруге ықпал етеді. Соңғы өнім ретінде сандық топографиялық план алынады.</t>
  </si>
  <si>
    <t>0003750</t>
  </si>
  <si>
    <t>978-601-330-944-6</t>
  </si>
  <si>
    <t>Геоинформатика негіздері  2 том, 3-басылым</t>
  </si>
  <si>
    <t>0003755</t>
  </si>
  <si>
    <t>Кәрімов Ж.К., Ш.Д.Дәленов, Д.Қ.Найманов</t>
  </si>
  <si>
    <t>Ірі қарамал шаруашылығы</t>
  </si>
  <si>
    <t>оқулық және оқу құралы жоғарғы ауыл шаруашылығы оқу орнының «зоөтехния» мамандығының студенттеріне арналған. Ірі қарамал шаруашылығын нәтижелі дамытудың ерекше жолы, бұл саланы төлығымен интенсивті технологияға көшіру, әрі әр табынның сапасын жақсарту, сұрыптау және жұп таңдау тәсілдерін молынан қолдану, мал азығын молайту, мал азығының сапасын жақсарту болып саналады.</t>
  </si>
  <si>
    <t>0003763</t>
  </si>
  <si>
    <t>Кибитова Р.К. , Кузьменко В.И. г.</t>
  </si>
  <si>
    <t>Вагондар және контейнерлер</t>
  </si>
  <si>
    <t>0003764</t>
  </si>
  <si>
    <t>Кибитова Р.К., Касымова А.К., Утюленов У.К.</t>
  </si>
  <si>
    <t>Вагондарды құру және жөндеу технологиясы</t>
  </si>
  <si>
    <t>0003767</t>
  </si>
  <si>
    <t>Килибаев А.А.</t>
  </si>
  <si>
    <t>Жеңіл атлетика</t>
  </si>
  <si>
    <t>Оқулық/ учебник</t>
  </si>
  <si>
    <t>Оқулық жеңіл атлетиканы оқытудың әдістемелік негіздері, яғни ойынның техникалық және тактикалық элементтерін ұтымды орындау жолдары, дене тәрбиесін жетілдірудің және оны ұйымдастырудың қағидаларын дамытудың жолдары қарастырылған. Оқулық қалың оқырманға, жоғары және орта оқу орындарындағы студенттермен дене тәрбиесі пәнінің оқытушылары үшін арналған.В учебнике рассматриваются методические основы обучения легкой атлетике, которые включают в себя способы эффективного выполнения технико-тактических элементов игры, а также способы совершенствования физического воспитания и принципы его организации. Учебник предназначен для широкого круга читателей, преподавателей физкультуры с учащимися высших и средних учебных заведений.</t>
  </si>
  <si>
    <t>0003770</t>
  </si>
  <si>
    <t>Ким В.А., Ким Э.А./ Kim V.A., Kim E.V.</t>
  </si>
  <si>
    <t>Patriotic consciousness, conviction, outlook and personality (methodology, theory, practice)</t>
  </si>
  <si>
    <t>The monograph features an unconventional approach to one of the fundamental problems of philosophy, pedagogy, psychology and sociology. Spiritual, moral and patriotic education is considered by authors as reflection of social being and production of the ideal (ideas, views, opinions, imaginations, and so on). Patterns of moral and Patriotic consciousness, beliefs and worldview of their forms (pedagogical, moral, Patriotic, scientific, political, religious, philosophical), their functions and relationships are revealed in interaction with the public-a multi-ethnic practice, the actual processes of the modern stage of development of a multi-ethnic society. The monograph is addressed to the faculty of pedagogy and psychology, advocates, students, students, teachers and all who are self-studying the philosophy of patriotism and internationalism and interested in them. В монографии представлен нестандартный подход к одной из фундаментальных проблем философии, педагогики, психологии и социологии. Духовное, нравственно-патриотическое воспитание рассматривается авторами как отражение общественного бытия и производства идеала (идей, взглядов, мнений, фантазий и т. Д.). Закономерности нравственно-патриотического сознания, убеждений и мировоззрения их форм (педагогические, нравственные, патриотические, научные, политические, религиозные, философские), их функции и взаимоотношения выявляются при взаимодействии с общественно-многоэтнической практикой, актуальными процессами современного этапа развития многоэтнического общества. Монография адресована педагогическому и психологическому факультету, адвокатам, студентам, студентам, преподавателям и всем, кто самостоятельно изучает философию патриотизма и интернационализма и интересуется ими.</t>
  </si>
  <si>
    <t>0003771</t>
  </si>
  <si>
    <t>Ким В.А., Ким Э.В.</t>
  </si>
  <si>
    <t>Патриотическое сознание, убеждение, мировоззрение и личность (методология, теория, практика)</t>
  </si>
  <si>
    <t>Монографию отличает нетрадиционный подход к одной из фундаментальных проблем философии, педагогики, психологии и социологии. Духовно-нравственное и патриотическое воспитание рассматривается авторами как отражение общественного бытия и производство идеального (идей, представлений, взглядов, воображений и т.д.). Закономерности духовно-нравственного и патриотического сознания, убеждения и мировоззрения особенности их форм (педагогической, моральной, патриотической, научной, политической, религиозной, философской), их функций и связи раскрываются во взаимодействии с общественно-полиэтнической практикой, реальными процессами современного этапа развития полиэтнического общества. Монография адресована преподавателям кафедр педагогики и психологии, пропагандистам, магистрантам, студентам, учителям школ и всем, кто самостоятельно изучает философию патриотизма и интернационализма и интересуется ими.</t>
  </si>
  <si>
    <t>0003772</t>
  </si>
  <si>
    <t>Полиэтнический принцип духовно-нравственного воспитания учащихся многонационального коллектива. (Теоретические и методологические аспекты)</t>
  </si>
  <si>
    <t>Предлагаемое пособие предназначается, прежде всего, студентам педагогических вузов, а также учителям школ и классным руководителям. Его можно использовать для углубленного изучения лекционного курса по духовно-нравственному и патриотическому воспитанию, для подготовки к семинарским и практическим занятиям, во время педагогической практики, самоподготовки. А также он может быть использован в лекционных и практических занятиях в ИПК. Направление методологии и теории научного познания и социальной практики духовно-нравственного воспитания, неразрывно связано с полиэтнической жизнью многонационального общества. Принципы полиэтнического подхода в духовно-нравственном воспитании еще не нашло широкое применение в современной психолого-педагогической</t>
  </si>
  <si>
    <t>0003773</t>
  </si>
  <si>
    <t>Ким И.С.</t>
  </si>
  <si>
    <t>Конструирование одежды</t>
  </si>
  <si>
    <t>Учебное пособие предназначено для изучения предмета «Конструирование одежды» и является частью учебно-методического комплекта по специальности «Технология и конструирование изделий легкой промышленности». В пособии изложены материалы для изучения теории и практики конструирования одежды на типовые и индивидуальные фигуры. Описаны методы построения чертежей деталей типовых и модельных конструктивных основ плечевой и поясной одежды для женщин, рассмотрены особенности конструирования современной одежды из натурального меха и трикотажа, представлена информация по проектированию одежды специального назначения. 
 Учебное пособие предназначено для студентов специальности 5В072600-«Технология и конструирование изделий легкой промышленности».</t>
  </si>
  <si>
    <t>0003774</t>
  </si>
  <si>
    <t>Художественное проектирование костюма</t>
  </si>
  <si>
    <t>Учебное пособие предназначен для изучения предмета «Художественное проектирование костюма» и является частью учебно-методического комплекса по специальности «Технология и конструирование изделий легкой промышленности». Освещены понятия стиля и моды, история моделирования и принципы художественного оформления одежды, теоретические основы моделирования костюма, элементы, средства и закономерности художественно-графической композиции, этапы творческого процесса, методы художественного проектирования костюма как объекта дизайна, использование творческих источников при моделировании, а также современные тенденции и направления моды.Учебное пособие предназначен для студентов специальности 5В072600-«Технология и конструирование изделий легкой промышленности».</t>
  </si>
  <si>
    <t>0003775</t>
  </si>
  <si>
    <t>Лабораторный практикум по дисциплине «Технология изделий легкой промышленности 1» для студентов специальности 5В072600 – «Технология и конструирование изделий легкой промышленности»</t>
  </si>
  <si>
    <t>Методические указания составлены в соответствии с требованиями рабочего учебного плана и программой дисциплины «Технология изделий легкой промышленности 1»  включает все необходимые сведения по выполнению лабораторных работ, которые позволяют глубоко и детально изучить наиболее сложные разделы курса, а также привить студентам навыки самостоятельной, творческой работы.В методических указаниях изложены 15 лабораторных тем, рассчитанных для проведений занятий по 2 часа на одну тему.</t>
  </si>
  <si>
    <t>0003776</t>
  </si>
  <si>
    <t>Дизайн костюма</t>
  </si>
  <si>
    <t>Конспект лекции</t>
  </si>
  <si>
    <t>Конспект лекции составлен в соответствии с требованиями рабочего учебного плана и программой дисциплины на базе учебной и научной литературы «Дизайн костюма» и включает все необходимые сведения согласно учебной программы дисциплины, которые позволяют глубоко и детально изучить наиболее сложные разделы курса, а также привить студентам навыки самостоятельной, творческой работы.</t>
  </si>
  <si>
    <t>0003780</t>
  </si>
  <si>
    <t>Ким И.С., Каюмова У.Р., Доскараева С.О.</t>
  </si>
  <si>
    <t>Художественно-графическая композиция.</t>
  </si>
  <si>
    <t>Конспект лекции составлен в соответствии с требованиями рабочего учебного плана и программой дисциплины на базе учебной и научной литературы «Художественно-графическая композиция» и включает все необходимые сведения согласно учебной программы дисциплины, которые позволяют глубоко и детально изучить наиболее сложные разделы курса, а также привить студентам навыки самостоятельной, творческой работы.</t>
  </si>
  <si>
    <t>0003782</t>
  </si>
  <si>
    <t>Ким И.С.,Махмудова М.А.</t>
  </si>
  <si>
    <t>Методические указания составлены в соответствии с требованиями рабочего учебного плана и программой дисциплины «Художественно-графическая композиция» и включает все необходимые сведения по выполнению тем практических занятий, которые позволяют глубоко и детально изучить наиболее сложные разделы курса, а также привить студентам навыки самостоятельной, творческой работы.</t>
  </si>
  <si>
    <t>0003783</t>
  </si>
  <si>
    <t>Ким И.С.Джанпаизова В.М., Баширова С.А., Койланова А.А.</t>
  </si>
  <si>
    <t>Учебник предназначен для изучения дисциплины «Дизайн костюма» и является частью учебно-методического комплекса по специальности «Технология и конструирование изделий легкой промышленности». Освещены понятия стиля и моды, история моделирования и принципы художественного оформления одежды, теоретические основы моделирования костюма, элементы, средства и закономерности художественно-графической композиции, этапы творческого процесса, методы художественного проектирования костюма как объекта дизайна, использование творческих источников при моделировании, а также современные тенденции и направления моды.</t>
  </si>
  <si>
    <t>0003784</t>
  </si>
  <si>
    <t>Ким И.С.Джанпаизова В.М., Рахманкулова Ж.А., Махмудова М.А.</t>
  </si>
  <si>
    <t>Конструирование изделий детского ассортимента</t>
  </si>
  <si>
    <t>Учебное пособие предназначено для изучения предмета «Конструирование изделий детского ассортимента» и является частью учебно-методического комплекта по специальности «Технология и конструирование изделий легкой промышленности». В пособии изложены материалы для изучения теории и практики конструирования одежды для детей различных возрастных групп. Описаны методы построения чертежей деталей типовых и модельных конструктивных основ плечевой и поясной одежды для детей, рассмотрены особенности конструирования современной одежды, представлена информация по проектированию детской одежды.</t>
  </si>
  <si>
    <t>0003785</t>
  </si>
  <si>
    <t>Ким И.С.Доскараева С.О.</t>
  </si>
  <si>
    <t>Управление качеством продукции изделий легкой промышленности</t>
  </si>
  <si>
    <t>Конспект лекции составлен в соответствии с требованиями рабочего учебного плана и программой дисциплины на базе учебной и научной литературы «Управление качеством продукции изделий легкой промышленности» и включает все необходимые сведения согласно учебной программы дисциплины, которые позволяют глубоко и детально изучить наиболее сложные разделы курса, а также привить студентам навыки самостоятельной, творческой работы.</t>
  </si>
  <si>
    <t>0003786</t>
  </si>
  <si>
    <t>Ким И.С.Махмудова М.А.</t>
  </si>
  <si>
    <t>Художественное оформление и моделирование швейных изделий</t>
  </si>
  <si>
    <t>Конспект лекции составлен в соответствии с требованиями рабочего учебного плана и программой дисциплины на базе учебной и научной литературы «Художественное оформление и моделирование швейных изделий» и включает все необходимые сведения согласно учебной программы дисциплины, которые позволяют глубоко и детально изучить наиболее сложные разделы курса, а также привить студентам навыки самостоятельной, творческой работы.</t>
  </si>
  <si>
    <t>0003787</t>
  </si>
  <si>
    <t>Ким И.С.Нурсейтова М.К.</t>
  </si>
  <si>
    <t>Технология изделий легкой промышленности</t>
  </si>
  <si>
    <t>Конспект лекции составлен в соответствии с требованиями рабочего учебного плана и программой дисциплины на базе учебной и научной литературы «Технология изделий легкой промышленности» и включает все необходимые сведения согласно учебной программы дисциплины, которые позволяют глубоко и детально изучить наиболее сложные разделы курса, а также привить студентам навыки самостоятельной, творческой работы.</t>
  </si>
  <si>
    <t>0003788</t>
  </si>
  <si>
    <t>Ким И.С.Рахманкулова Ж.А.</t>
  </si>
  <si>
    <t>Конструирование изделий легкой промышленности 1</t>
  </si>
  <si>
    <t>Методические указания к практическим занятиям по дисциплине</t>
  </si>
  <si>
    <t>Методические указания составлены в соответствии с требованиями рабочего учебного плана и программой дисциплины «Конструирование изделий легкой промышленности 1» и включают все необходимые сведения по выполнению тем практических занятий, которые позволяют глубоко и детально изучить наиболее сложные разделы курса, а также привить студентам навыки самостоятельной, творческой работы, процесса изготовления изделия.</t>
  </si>
  <si>
    <t>0003791</t>
  </si>
  <si>
    <t>Алгоритмдер және деректер құрылымы</t>
  </si>
  <si>
    <t>Оқу құралында алгоритмдер, алгоритмдердің күрделілігі, алгоритмдер қасиеттері және деректер типтері мен құрылымы сияқты тақырыптар қарастырылған.Сонымен қатар сұрыптау, іздеу, рекурсивті алгоритмдері және деректер құрылымы тақырыптары ұсынылған. Оқу құралы пәннің типтік оқу бағдарламасына сәйкес құрастырылған.Оқу құралын ОПСБ (оқу пәнін сыртқы бағалау) дайындыққа пайдалануға болады.Оқу құралы жоғары оқу орнының информатика мамандығының білім алушылары мен оқытушыларына арналған</t>
  </si>
  <si>
    <t>0003792</t>
  </si>
  <si>
    <t>Веб-дизайн</t>
  </si>
  <si>
    <t>«Веб-дизайн» оқулығы «Веб-дизайн» пәні бойынша «Информатика» мамандығының студенттеріне арналған. «Веб-дизайн» оқулықта Веб-беттерді беттеу даму тарихы, беттеу кезеңдері форматтардың сан алуандығы, модульділік және беттеу тәсілдерінің түрлері, кестелік тәсіл, қабатпен беттеу, блоктық беттеу, фреймдермен беттеу, бетті белгілеу, макеттер түрлері сияқты мәселелер қарастырылған. «Веб-дизайн» оқулығында веб-дизайнның технологияларын пайдалану мысалдары келтірілген.</t>
  </si>
  <si>
    <t>0003793</t>
  </si>
  <si>
    <t>Өндірістік программалау</t>
  </si>
  <si>
    <t>«Өндірістік программалау» оқулығы «Өндірістік программалау» пәні бойынша «Информатика» мамандығының магистранттарына арналған. «Өндірістік программалау» оқулықтың мазмұны өндірістік программалық жобаларын командалық жасауына қатысуға жол ашады. Оқулықта өндірістік программалау мысалдары келтірілген.</t>
  </si>
  <si>
    <t>0003794</t>
  </si>
  <si>
    <t>Оптимизация бизнес-процессов</t>
  </si>
  <si>
    <t>Монография посвящена проблеме оптимизации бизнес-процессов. В монографии дается обзор и пример критериям и показателям эффективности бизнес-процессов, обзор методологий оптимизации бизнес – процессов, краткое описание инструментов моделирования, краткий обзор языков моделирования бизнес-процессов на базе XML. В монографии дается пример практической реализации усовершенствования бизнес-процессов отдела бухгалтерского учета на основе внедрения целевой модели предприятия добывающей отрасли.</t>
  </si>
  <si>
    <t>0003795</t>
  </si>
  <si>
    <t>Өндірістік программалау (2 басылым, толықтырылған)</t>
  </si>
  <si>
    <t>0003804</t>
  </si>
  <si>
    <t>Кист В. Э., Габов Ю.А., Апполонский С.М.</t>
  </si>
  <si>
    <t>Экологическая безопасность Казахстана</t>
  </si>
  <si>
    <t>0003807</t>
  </si>
  <si>
    <t>Экология человека. ІІІ-том</t>
  </si>
  <si>
    <t>Предлагаевая вниманию читателей монография представляет собой аналитическое обощение и критическое рассмотрение обширной информации по проблемам, имеющим отношение к экологии человека. Данная работа является завершением семитомного труда авторов по проблемам региональной экологии Казахстана. Впервые сделана попыткасистемно рассмотреть сложный комплекс природных, техногенных и социальных условий и факторов, влияющих на здоровье и продолжительность жизни людей во всех регионах страны. на казахстанском материале изучены тенденции и некоторые специфические вопросы экологозависимых заболеваний в период 1991-2009 гг. В книге содержатся новые результаты научных исследований экологозависимых заболеваний и предлагаются меры по распространению экологической этики, образования и воспитания в Казахстане. Монография предназначена для студентов и преподавателей ВУЗов, а также для политиков, законодателей и управленцев.</t>
  </si>
  <si>
    <t>0003812</t>
  </si>
  <si>
    <t>Кичкинаков Г.К., Баубеков С.Д.</t>
  </si>
  <si>
    <t>Лабораторный практикум по технологии резины</t>
  </si>
  <si>
    <t>0003814</t>
  </si>
  <si>
    <t>Теория, практика нефтепромысловых машин и эффективность их эксплуатаций</t>
  </si>
  <si>
    <t>0003815</t>
  </si>
  <si>
    <t>Кишубаева А.Т.</t>
  </si>
  <si>
    <t>Автоматизация типовых технологических процессов и производств</t>
  </si>
  <si>
    <t>Методические указания к вып лабор работ</t>
  </si>
  <si>
    <t>В методических указаниях изложены задачи в области автоматизации, основные принципы регулирования и управления. Лабораторные работы выполняются с использованием промышленных контроллеров SIEMENS, стендов по пневматике компании FESTO, конвейерной линии системы MPS-500. Отражен современный уровень автоматизации технологических процессов</t>
  </si>
  <si>
    <t>0003816</t>
  </si>
  <si>
    <t>Классен В.К., Таймасов Б.Т.</t>
  </si>
  <si>
    <t>Цементология: структура, свойства цементов и оптимизация технологических процессов</t>
  </si>
  <si>
    <t>В учебнике изложены состав, свойства, химико-технологические основы процессов производства портландцемента, оптимальная модульная характеристика клинкера, оценка пригодности сырья, традиционное и нетрадиционное сырье. Показаны методы подготовки, усреднения и хранения сырьевых компонентов, закономерности процессов измельчения. Описаны процессы помола сырья при сухом способе производства, вертикальные мельницы, роллер-прессы, современные системы помола и сушки угля, методы оптимизация сжигания топлива, пути оптимизации и повышения энергоэффективности цементного производства. Изложены физико-химические процессы в печных системах сухого способа, особенности работы печных систем с декарбонизаторами, способы повышения стойкости футеровки. Показаны пути устранения технологических нарушений процесса обжига клинкера, повышения его активности, оптимизации процесса обжига, способы и методы экономии топлива. Показаны состав и свойства цементов и вяжущих низкой водопотребности, механизм формирования их структуры и свойств. 
  Учебник предназначен для магистрантов специальности 6М075300 - Химическая технология тугоплавких неметаллических и силикатных материалов, обучающихся по Программе ГП ИИР-2.</t>
  </si>
  <si>
    <t>0003820</t>
  </si>
  <si>
    <t>Кобдиков М.А.</t>
  </si>
  <si>
    <t>Оптимизация диспетчерского управления поездной и грузовой работой на основе автоматизации перевозочного процесса</t>
  </si>
  <si>
    <t>0003821</t>
  </si>
  <si>
    <t>Организация перевозок и управление движением.- 1 том</t>
  </si>
  <si>
    <t>0003822</t>
  </si>
  <si>
    <t>Организация перевозок и управление движением.- 2 том</t>
  </si>
  <si>
    <t>0003823</t>
  </si>
  <si>
    <t>Кобдиков М.А. Бежанов З.С.</t>
  </si>
  <si>
    <t>Технология управления поездной работой</t>
  </si>
  <si>
    <t>0003824</t>
  </si>
  <si>
    <t>Кобдиков М.А., Бежанов З.С.</t>
  </si>
  <si>
    <t>Темір жол полигонында пойыздар жұмысының басқару технологиясы</t>
  </si>
  <si>
    <t>0003826</t>
  </si>
  <si>
    <t>Кобдиков М.А., Мустапаева А.Д.</t>
  </si>
  <si>
    <t>Принципы развития мировой сети железных дорог на перспективу</t>
  </si>
  <si>
    <t>0003827</t>
  </si>
  <si>
    <t>Кобдикова Ш.М.</t>
  </si>
  <si>
    <t>Жол қозғалысын ұйымдастыру</t>
  </si>
  <si>
    <t>0003829</t>
  </si>
  <si>
    <t>Ковальская С. И.</t>
  </si>
  <si>
    <t>Историография истории Казахстана</t>
  </si>
  <si>
    <t>Учебное пособие представляет собой изложение ключевых проблем историографии истории Казахстана. В пособии дана характеристика особенностей функционирования исторического знания у казахов в изустной и письменной форме, специфика мусульманской историографии истории Казахстана, а также прослежены основные тенденции развития казахстанской исторической науки, особенности изучения истории Казахстана за рубежом, охарактеризованы новейшие методологические подходы к изучению отечественной истории. 
 Пособие изложено в 8 лекциях, сопровождаемых списком рекомендованной литературы, а также вопросами для самопроверки, темами рефератов и глоссарием. Кроме того, приложена программа курса «Историография истории Казахстана».
 Пособие предназначено для бакалавриата гуманитарных вузов по дисциплине «Историография истории Казахстана», а также для специалистов в области исторических исследований, интересующихся вопросами развития отечественной историографии.</t>
  </si>
  <si>
    <t>0003831</t>
  </si>
  <si>
    <t>Ковтун О.А.</t>
  </si>
  <si>
    <t>Selected lectures on history of Kazakhstan</t>
  </si>
  <si>
    <t>“Selected lectures on history of Kazakhstan” cover the period from the most ancient time till the formation and development of the Kazakh khanate. The material is intended for English -speaking students at KSMU to prepare for the state examination in history of Kazakhstan as well as materials for classes.</t>
  </si>
  <si>
    <t>0003832</t>
  </si>
  <si>
    <t>Кожабаева Л. Ж.</t>
  </si>
  <si>
    <t>Организация самостоятельной работы на занятиях по композиции</t>
  </si>
  <si>
    <t>Предлагаемое учебное пособие разработано для студентов 3 курса специальности «Изобразительное искусство и черчение» в помощь при подготовке самостоятельной работы заданий СРС по дисциплине «Композиция». Цель самостоятельной работы по композиции для студентов специальности «Изобразительное искусство и черчение» - расширение и углубление знаний, умений и навыков композиционной деятельности.</t>
  </si>
  <si>
    <t>0003833</t>
  </si>
  <si>
    <t>Кожабаева С.А.</t>
  </si>
  <si>
    <t>Микро-макроэкономический анализ</t>
  </si>
  <si>
    <t>В данной работе излагаются основные темы и проблемы микро- макроэкономики в логически продуманной и обоснованной последовательности. Значение экономической науки в системе общественных наук, безусловно, ключевое, о чем свидетельствует, например, тот факт, что это единственная социальная наука, по которой присуждается Нобелевская премия – важнейший индикатор места и роли науки в обществе. Дело в том, что экономическая наука изучает самые основы общественного воспроизводства – решающего двигателя социально-экономического прогресса и главного фактора повышения уровня и качества жизни человечества. Макроэкономика изучает функционирование и развитие национального хозяйства страны в целом, анализирует наиболее актуальные проблемы экономики, воздействие экономической политики государства на экономическую жизнь общества. В макроэкономической науке сосуществуют и взаимодействуют различные теоретико-методологические направления мировой экономической мысли, каждое из которых обладает как достоинствами, так и недостатками. 
 Книга предназначена для преподавателей вузов, студентов и магистрантов, обучающихся по эко¬номическим специальностям и направлениям.</t>
  </si>
  <si>
    <t>0003834</t>
  </si>
  <si>
    <t>Кожабекова Г.А., Абдижаппарова Б.Т.</t>
  </si>
  <si>
    <t>Өсімдік және жануар шикізатын термиялық өңдеу</t>
  </si>
  <si>
    <t>«Өсімдік және жануар шикізатын термиялық өңдеу» оқулығы өсімдік және жануар текті өнімнің термиялық өңдеу саласындағы негізгі теориялық және практикалық аспекттерді көрсетеді. Оны құрастыруда тамақ инженериясы саласындағы алдыңғы қатарлы шетел әдебиеттерінен материалдар пайдаланылды.</t>
  </si>
  <si>
    <t>0003835</t>
  </si>
  <si>
    <t>Кожагулов С.К. (Қожағұлов С.Қ. )</t>
  </si>
  <si>
    <t>Асыл арқау</t>
  </si>
  <si>
    <t>Монография жоғары оқу орны студенттеріне, магистранттар мен докторанттарға және поэзияны, Ілияс және Жетісулық ақындар мұрасын ардақтайтын оқырман қауымға ұсынылады. Ақын поэзиясының тақырыптық - идеялық арқауындағы ұлттық, алаштық рухты, тілі мен көркемдігін, стилін, текстологиясын, ақындық мектебін, Абаймен үндестігін зерттеуге арналған.</t>
  </si>
  <si>
    <t>0003839</t>
  </si>
  <si>
    <t>Кожас А.К.</t>
  </si>
  <si>
    <t>Технология строительного производства II</t>
  </si>
  <si>
    <t>Учебное пособие соответствует требованиям учебного плана и типовой программы дисциплины «Технология строительного производства II» и включает краткий лекционный курс.
 В пособии изложены основные положения по технологии возведения зданий и сооружений при изучении курса «Технологии строительного производства II»и предназначено для студентов специальности 5В072900– «Строительство» всех форм обучения.</t>
  </si>
  <si>
    <t>0003840</t>
  </si>
  <si>
    <t>Технология строительного производства IIІ</t>
  </si>
  <si>
    <t>Учебное пособие соответствует требованиям учебного плана и типовой программы дисциплины «Технология строительного производства IІI» и включает краткий лекционный курс.
 В пособии изложены основные положения по технологии возведения зданий и сооружений при изучении курса «Технологии строительного производства IІI»и предназначено для студентов специальности 5В072900– «Строительство» всех форм обучения.</t>
  </si>
  <si>
    <t>0003841</t>
  </si>
  <si>
    <t>Кожас А.К., Касимов А.Т., Төлеубаева Ш.Б.</t>
  </si>
  <si>
    <t>Құрылыс алаңын тік тегістеу кезіндегі жер жұмыстары өндірісін жобалау</t>
  </si>
  <si>
    <t>архитект. Строительство</t>
  </si>
  <si>
    <t>Оқу құрал «Құрылыс өндірісінің технологиясы I» пәнінің типтік бағдарламасының талаптарына сәйкес келеді және құрылыс алаңын тік тегістеу кезіндегі жер жұмыстары ӛндірісін жобалау бойынша курстық жұмысын орындауға әзірленген. Оқу құралы «Құрылыс өндірісінің технологиясы І» курсын оқу барысында «Құрылыс алаңын тік тегістеу кезіндегі жер жұмыстары өндірісін жобалау» бойынша курстық жұмысын жасауға маңызды әдебиет және 5В072900 – «Құрылыс» мамандығында оқитын барлық мамандандырудың білімалушыларына арналған</t>
  </si>
  <si>
    <t>0003842</t>
  </si>
  <si>
    <t>Кожас А.К., Төлеубаева Ш.Б.</t>
  </si>
  <si>
    <t>Технология возведения зданий из монолитного железобетона</t>
  </si>
  <si>
    <t>Учебное пособие предназначено для использования в курсовом проектировании технологии возведения монолитных железобетонных конструкций в курсах «Технология строительного производства I», «Технология возведения зданий и сооружений», а также при дипломном проектировании и разработано для студентов специальностей 5В072900 «Строительство» (траектории «Технология промышленного и гражданского строительства», «Расчет и проектирование зданий и сооружений»)</t>
  </si>
  <si>
    <t>0003843</t>
  </si>
  <si>
    <t>Кожас А.К., Ю.Н. Пчельникова</t>
  </si>
  <si>
    <t>Проектирование производства земляных работ</t>
  </si>
  <si>
    <t>Учебное пособие соответствует требованиям типовой программы дисциплины «Технология строительного производства I» и разработана для выполнения курсовой работы на производство земляных работ.
 В пособии изложены основные положения и содержание технологической карты для выполнения курсовой работы «Проектирование производства земляных работ» при изучении курса «Технологии строительного производства I» и предназначено для студентов специальностей 5В072900 – «Строительство» и 5В042000 «Архитектура» всех форм обучения.</t>
  </si>
  <si>
    <t>0003844</t>
  </si>
  <si>
    <t>Проектирование производства земляных работ при вертикальной планировке строительной площадки</t>
  </si>
  <si>
    <t>Учебное пособие соответствует требованиям типовой программы дисциплины «Технология строительного производства I» и разработана для выполнения курсовой работы на производство земляных работ.
 В пособии изложены основные положения и содержание технологической карты для выполнения курсовой работы «Проектирование производства земляных работ при вертикальной планировке строительной площадки» при изучении курса «Технологии строительного производства I» и предназначено для студентов специальностей 5В072900 – «Строительство» и 5В042000 «Архитектура» всех форм обучения.</t>
  </si>
  <si>
    <t>0003849</t>
  </si>
  <si>
    <t>Кожевников С.К.</t>
  </si>
  <si>
    <t>Методы полевых экологических исследований</t>
  </si>
  <si>
    <t>В учебном пособии дается описание как традиционных, так и перспективных полевых методов изучения экологии водных экосистем, почв и травянистых фитоценозов. Пособие предназначено для студентов, магистрантов и докторантов, занимающихся вопросами изучения наземных и водных экосистем</t>
  </si>
  <si>
    <t>0003850</t>
  </si>
  <si>
    <t>Кожиков Ж.А., Бодиков С.Ж.</t>
  </si>
  <si>
    <t>Дизайндағы сызбаларды орындаудың негізгі ережелері</t>
  </si>
  <si>
    <t>Әдістемелік құралда дизайн мамандығы бойынша «Инженерлік графика» пәнінде оқылатын конструкторлық құжаттардың бірегей жүйесі стандарттарына сәйкес сызбаларды орындаудың негізгі ережелері қарастырылған.
 Сызбаны орындау барысында қолданылатын негізгі мәліметтер, сонымен қатар конструкторлық құжаттардың бірегей жүйесі стандарт- тарының ережелерін игеруге көмектесетін, сызбаларды орындаудың негізгі ережелеріне сәйкес мысалдар қарастырылып, қазіргі оқыту үдерісінің талаптары негізінде жаңа әдістемелік құрал ретінде ұсыныл ған</t>
  </si>
  <si>
    <t>0003855</t>
  </si>
  <si>
    <t>Койбагарова Т.</t>
  </si>
  <si>
    <t>Turbo Pascal программалау тілі</t>
  </si>
  <si>
    <t>Оқулықта Турбо Паскаль тілінде программалау бастамалары, деректердің құрылымданған типтері, ішкі программалар, рекурсиялар, файлдық типтер, Турбо Паскальдың графикалық мүмкіндіктері жеткілікті қарастырылған, програм-малардың көптеген мәтіндері келтірілген. Рекурсиялық әдіспен құрылған, көптеген есептердің программалары қарастырылған. Теориялық материалдар мысалдармен түсіндірілген, көптеген демонстрациялық программалармен көрнекіленген және әр параграфта пысықтау сұрақтары, жаттығулар, есептер берілген. Оқулық информатика және математикалық мамандықтарында оқитын студенттерге, программалау тілін қарастыратын мұғалімдерге, орта білім беру оқу орындары мен мектеп оқушыларына, сонымен қатар програмалауды өз бетімен игеріп үйренушілерге арналған.</t>
  </si>
  <si>
    <t>0003856</t>
  </si>
  <si>
    <t>Информатика (каз)</t>
  </si>
  <si>
    <t>Оқу-әдістемелік құралда информатика теориялық негіздерінің іргелі ұғымдары – ақпарат және ақпараттық үрдістер, әртүрлі ақпараттың ұсынылуы және мағыналы, ықтималды өлшемі, есептеуіш техниканың арифметикалық және логикалық негіздері, алгоритмдеу және модельдеу негіздері толықтырылып баяндалған. Нейман автоматты есептеуіш машинасының функционалды және құрылымды ұйымдастырылу принциптері мен қазіргі дербес компьютерледің модульді архитектурасы қарастырылған. Дербес компьютердің аппараттық жабдықталуы, құрылғылардың сипаттамалары толықтырылған. Қолданбалы программалардың ортасында әр түрлі ақпаратпен жұмыс жасау, деректер қоры және желілік технолгиялар сипатталған. Құрал «Информатика» және «Информатиканың теориялық негіздері» пәндерін оқитын педагогикалық жоғарғы оқу орындарының студенттеріне арналған. Оны жалпы білім беру мектептері мен арнайы орта оқу орындарының мұғалімдері және де оқу-ағарту мамандарының білімін жетілдіру саласында да пайдалануға болады.</t>
  </si>
  <si>
    <t>0003859</t>
  </si>
  <si>
    <t>Койшибаева К.Ж., Джабагина З.К., Садыбекова Г.Г.</t>
  </si>
  <si>
    <t>0003860</t>
  </si>
  <si>
    <t>Койшибаева К.Ж., Джабагина У.К.</t>
  </si>
  <si>
    <t>Электрлік өлшеулер</t>
  </si>
  <si>
    <t>0003861</t>
  </si>
  <si>
    <t>Койшибаева К.Ж., Койшиев Т.К, Еркелдесова Г.Т.</t>
  </si>
  <si>
    <t>0003862</t>
  </si>
  <si>
    <t>Койшибаева К.Ж., Тажикова С.Ш.</t>
  </si>
  <si>
    <t>Электромеханика және электротехникалық жабдық</t>
  </si>
  <si>
    <t>0003863</t>
  </si>
  <si>
    <t>Койшиев Т.К.</t>
  </si>
  <si>
    <t>Қайта жаңғырылатын энергия көздері</t>
  </si>
  <si>
    <t>«Жаңғыртылатын энергия көздері» пәні бойынша оқу құралы жоғары білім беретін оқу орындарының «Электрэнергетика» мамандығы бойынша оқитын студенттеріне арналған.
 Бұл оқу құралына дәріс сабақтары енгізілген.
 Оқулық құралда жаңғыртылатын энергия көздерін пайда-ланудың теориялық негіздері және энергетикалық қондырғылардың жұмыс істеу тәртіптері қарастырылған. Сонымен қатар кітапта жаңғырылатын энергия көздеріне негізделген қондырғылардың сұлбалары, оның есептік зерттеу жұмыстары мен математикалық үлгілері берілген.</t>
  </si>
  <si>
    <t>0003864</t>
  </si>
  <si>
    <t>Электроника және күштік техника пәнінен оқу құралы</t>
  </si>
  <si>
    <t>0003869</t>
  </si>
  <si>
    <t>Коккоз М.М., Эттель В.А.</t>
  </si>
  <si>
    <t>Машина тетіктері</t>
  </si>
  <si>
    <t>Оқулықта жалпылай қолданылатын бөлшектер мен түйіндерді дайындаудың конструкциялары және технологиялары; ажырайтын және ажырамайтын қосылыстар; үйкеліспен және ілінісумен берулер; біліктер мен оьтер; сырғу және тербелу мойынтіректері және муфтылар теориялары мен есептеулер негіздері қарастырылған. Оқулық «Машина жасау», «Технологиялық машиналар және жабдықтар» және «Көлік, көлік техникасы және технологиясы» мамандықтары бойынша оқитын студенттерге арналған. Магистранттар, біліктілігін жоғарылату және кадрларды қайта дайындау курстарын тыңдаушылар, колледж оқытушылары мен білім алушылары, ҒЗИ-тың және зауыттардың инженерлік-техникалық жұмыскерлері пайдалана алады.</t>
  </si>
  <si>
    <t>0003870</t>
  </si>
  <si>
    <t>Коккозева К.К.</t>
  </si>
  <si>
    <t>Арнайы педагогика (сұрақ-жауап түрінде)</t>
  </si>
  <si>
    <t>Оқу құралында арнайы білім беру жүйесінің негізгі мәселелері қарастырылған. Оқу құралы арнайы педагогиканың даму перспективаларын және қазіргі жағдайларын, негізгі функцияларын және білім беру мекемелерінде іске асыру ерекшеліктерін сұрақ-жауап түрінде сипаттайды. Осы мәселенің мән-мағынасын түсінудің негізгі жолдары сарапталған. 
 Оқу құралы бакалавриат білім беру бағдарламасы бойынша студенттерге арналған. Сондай-ақ, магистратура тыңдаушыларына, арнайы білім беру жүйесіндегі іс-тәжірибе жұмыскерлеріне пайдалы болуы мүмкін.</t>
  </si>
  <si>
    <t>0003871</t>
  </si>
  <si>
    <t>Оқу құралында арнайы білім беру жүйесінің негізгі мәселелері қарастырылған. Оқу құрал арнайы педагогиканың даму перспективалары және қазіргі жағдайларын, негізгі функцияларын және білім беру мекемелерінде іске асыру ерекшеліктерін сипаттайды. Осы мәселенің мән-мағынасын түсінудің негізгі жолдары сарапталған, сапаны басқарудағы ГОСО рөлі қарастырылған. Білім беру процесіндегі педагогқа мінездеме беріледі. 
 Оқу құралы бакалаврият білім беру бағдарламасы бойынша студенттерге арналған. Сондай-ақ, магистратура тыңдаушыларына, білім беру жүйесіндегі іс-тәжірибе жұмыскерлеріне пайдалы болуы мүмкін</t>
  </si>
  <si>
    <t>0003872</t>
  </si>
  <si>
    <t>Коккозева К.Ш., Байчинов Р.Т.</t>
  </si>
  <si>
    <t>Инсульттен кейінгі кезеңде тұлғаларды комплексті оңалту</t>
  </si>
  <si>
    <t>Еңбекте инсульттен кейінгі кезеңде тұлғаларды комплексті оңалтудың ғылыми-теориялық және тәжірибелік негіздері кең көлемде көрсетілген. Бүгінгі таңда, біздің ойымызша, халықтың денсаулығын сақтап, оңалту, рухани жаңғырту өзекті мәселе болып табылады. Халықтың рухани және физиологиялық, яғни денсаулық тұрғысы дамуының бірден-бір мүмкіндігі өмір болмысын, халық тағдырын өзертуге көздейді. «Халықтың денсаулық жағдайына байланысты еліміздің адами ресурстары кез-келген мемлекеттің стратегиялық әлеуеті болатыдығы күмән тудырмайды. 
 Аталған еңбекте инсульттен кейінгі кезеңде тұлғаларды комплексті оңалтудың ғылыми-теориялық және тәжірибелік негіздері мемлекеттік тілде тұңғыш рет баяндалған деп айсақ та артық болмайды деп санаймыз.</t>
  </si>
  <si>
    <t>0003879</t>
  </si>
  <si>
    <t>Колумбаева З.Е.</t>
  </si>
  <si>
    <t>XV-XVII ғғ.қазақ тарихы фольклорлық нұсқасы</t>
  </si>
  <si>
    <t>Монографияда қазақ тарихының айшықты кезеңдері XV-XVІІ ғғ. тарихи тұлғалар өмірі мен саяси оқиғаларын тарихи фольклор деректері арқылы жазу көзделген.
 Монография жоғары оқу орындарының оқытушылары және докторанттар мен магистранттарына арналған.</t>
  </si>
  <si>
    <t>0003880</t>
  </si>
  <si>
    <t>Комбаев К.К.</t>
  </si>
  <si>
    <t>В учебнике даны материалы самостоятельных работ студентов по дисциплине «Метрология, стандартизация, сертификация и технические измерения». Работа соответствует учебной программе. 
 В учебнике рассматриваются современное состояние, проблемы и направления совершенствования стандартизации, метрологии и сертификации. 
 Учебник предназначен для студентов всех механических и немеханических специальностей.</t>
  </si>
  <si>
    <t>0003881</t>
  </si>
  <si>
    <t>Метрология, стандарттау және сертификаттау. 2 басылым</t>
  </si>
  <si>
    <t>Оқу құралында «Метрология, стандарттау және сертификаттау» пәні бойынша, Қазақстан Республикасының Мемлекеттік стандарттау және сертификаттау жүйелерімен, ұлттық, өңірлік және Халықаралық деңгейлерде стандарттау және сертификаттау жөніндегі нормативтік құжаттарымен таныстырады. Оқу құралында стандарттаудың, метрологияның және сертификаттаудың осы заманғы жағдайы, мәселелері және жетілдіру бағыттары қарастырылады. Оқу құралы техникалық жоғарғы оқу орындарының студентеріне арналған. Магистранттарға, колледждер оқытушлары мен оқушыларына, ҒЗИ және зауттардың инженерлік-техникалық жұмыскерлеріне пайдалы болуы мүмкін. 2-ші басылым, жаңартылған және толықтырылған</t>
  </si>
  <si>
    <t>0003882</t>
  </si>
  <si>
    <t>Разработка технологии электролитно-плазменной обработки низкоуглеродистой легированной стали бурового инструмента</t>
  </si>
  <si>
    <t>0003883</t>
  </si>
  <si>
    <t>Метрология, стандарттау және сертификаттау</t>
  </si>
  <si>
    <t>Оқулықта «Метрология, стандарттау және сертификаттау» пәні бойынша, жұмыс оқу бағдарламасына сәйкес, барлық механикалық және басқа да мамандық студенттердің өзіндік жұмыстарын орындау үшін материалдар берілген. 
 Оқулықта стандарттаудың, метрологияның және сертификаттаудың осы заманғы жағдайы, мәселелері және жетілдіру бағыттары қарастырылады.</t>
  </si>
  <si>
    <t>0003894</t>
  </si>
  <si>
    <t>Конуспаев Р.Қ.</t>
  </si>
  <si>
    <t>Монополияларды мемлекеттік реттеу</t>
  </si>
  <si>
    <t>Оқу құралында монополияларды мемлекеттік реттеудің ілімдік және тәжірибелік мәселелері кешенді зерттелген және аталған монополиялық құрылымдарды реттеудің механизмін жетілдіру жөніндегі ғылыми негізделген ұсыныстарды әзірленген. Жоғарғы оқу орындарының экономикалық бағыттағы мамандықтар бойынша оқитын студенттеріне, магистранттарға, оқытушыларға, ғылыми қызметкерлерге, мамандарға ұсынылады.</t>
  </si>
  <si>
    <t>0003895</t>
  </si>
  <si>
    <t>Конуспаев Р.Қ. Конуспаева А.Т.</t>
  </si>
  <si>
    <t>Туризмдегі бухгалтерлік есеп</t>
  </si>
  <si>
    <t>оқу құралы.</t>
  </si>
  <si>
    <t>Оқу құралында туризмдегі бухгалтерлік есептің ілімдік және тәжірибелік мәселелері кешенді зерттелген және аталған туристік ұйымдардағы қаржылық есепті және талдауды жетілдіру жөніндегі ғылыми негізделген ұсыныстар әзірленген. Жоғарғы оқу орындарының экономикалық бағыттағы мамандықтар бойынша оқитын студенттеріне, магистранттарға, оқытушыларға, ғылыми қызметкерлерге, мамандарға ұсынылады.</t>
  </si>
  <si>
    <t>0003896</t>
  </si>
  <si>
    <t>Конуспаев Р.Қ., Конуспаева А.Т.</t>
  </si>
  <si>
    <t>Мемлекеттік-жекеменшік әріптестік: мәселелері және жетілдіру жолдары</t>
  </si>
  <si>
    <t>Монографияда мемлекеттік-жекеменшік серіктестікті реттеудің ілімдік және тәжірибелік мәселелері кешенді зерттелген және мемлекеттік-жекеменшік әріптестіктің механизмін жетілдіру жөніндегі ғылыми негізделген ұсыныстар әзірленген.Жоғарғы оқу орындарының экономикалық бағыттағы мамандықтар бойынша оқитын студенттеріне, магистранттарға, оқытушыларға, ғылыми қызметкерлерге, мамандарға ұсынылады.</t>
  </si>
  <si>
    <t>0003902</t>
  </si>
  <si>
    <t>Копжасарова У. И.</t>
  </si>
  <si>
    <t>Профессионально-педагогическое общение учителя иностранного языка</t>
  </si>
  <si>
    <t>0003903</t>
  </si>
  <si>
    <t>Копжасарова У.И., Бейсенбаева Б.А.</t>
  </si>
  <si>
    <t>Английский язык для магистрантов специальности «Психология»»</t>
  </si>
  <si>
    <t>Учебно-методическое пособие, представляющее собой систематизированный по темам учебный материал по общей, возрастной, социальной и педагогической психологии, направлено на развитие и формирование иноязычной профессиональной компетенции магистрантов, совершенствование профессиональных коммуникативных умений и навыков предназначено для магистрантов специальности «Психология».</t>
  </si>
  <si>
    <t>0003906</t>
  </si>
  <si>
    <t>Промышленные типы месторождений полезных ископаемых</t>
  </si>
  <si>
    <t>Рассматриваются промышленные типы месторождений черных, цветных, благородных, радиоактивных и редких полезных ископаемых и неметаллических месторождений. В основу положена промышленная систематика месторождений, базирующаяся на морфологии рудных тел, геологических условиях их залегания, минеральном и вещественном составе руд. Охарактеризованы некоторые данные по месторождениям полезных ископаемых Казахстана. По каждому металлу приведены свойства и применение, геохимические особенности, промышленные минералы и типы руд. Предназначено для студентов специальности 5В070600 «Геология и разведка месторождений полезных ископаемых».</t>
  </si>
  <si>
    <t>0003907</t>
  </si>
  <si>
    <t>Копобаева А.Н., Аскарова Н.С.</t>
  </si>
  <si>
    <t>Кристаллография және минералогия</t>
  </si>
  <si>
    <t>«Кристаллография және минералогия» оқу құралында кристалдар, кристаллография және кристаллохимия туралы жалпы ұғымдар, кристалдардың физикалық және оптикалық қасиеттері, бейнесі, өсуі жағадайлары, минерал және минералогия туралы түсініктер, кейбір минералдардытоптарға жіктеп, олардың сипаттамалары келтірілген.</t>
  </si>
  <si>
    <t>0003908</t>
  </si>
  <si>
    <t>Корганова С. С.</t>
  </si>
  <si>
    <t>Этнополитика как часть государственной политики</t>
  </si>
  <si>
    <t>Монография посвящена актуальной на сегодняшний день проблеме этнополитики -как части государственной политики Республики Казахстан. В работе рассматривается современное состояние национальной и межэтнической культуры народа Казахстана и вопросы совершенствования межэтнических взаимоотношений на пути укрепления казахстанского патриотизма. Обосновывается мысль о том, что деятельность Ассамблеи народа Казахстана по реализации принципов и задач государственной национальной политики направлена на сохранение родного языка, обычаев и традиций этносов, населяющих и Южно-Казахстанскую область. Значительное внимание уделяется роли государственного языка как интегрирующего фактора всех слоев населения. Монография предназначена студентам-бакалаврам, магистрантам, докторантам, преподавателям, госслужащим, а также всем тем, кто интересуется проблемами межнациональных и межэтнических отношений в современном Казахстане.</t>
  </si>
  <si>
    <t>0003909</t>
  </si>
  <si>
    <t>Корнейчик Ж.Н. , Сейтбаев К.Ж.</t>
  </si>
  <si>
    <t>Культура ягодников в районах целинных земель Казахстана</t>
  </si>
  <si>
    <t>0003910</t>
  </si>
  <si>
    <t>Корпелиев М.</t>
  </si>
  <si>
    <t>Үйлесімділік әліппесі</t>
  </si>
  <si>
    <t>0003912</t>
  </si>
  <si>
    <t>Коспагарова А.К., Аманкулова Л.А.</t>
  </si>
  <si>
    <t>Сценарий шеберлігі негіздері</t>
  </si>
  <si>
    <t>Ұсынылып отырған оқу құралында сценарийлік өнердің теориялық негіздері, сценарийді жүзеге асырудың әдістемелері, сценарийлік шеберлік дағдыларын қалыптастыру мәселелері жан-жақты қамтылған.
 Оқу құралы мәдениет және өнер мамандықтарының студенттері мен бос уақыт мәдениеттілігі ісін ұйымдастырушыларға арналған</t>
  </si>
  <si>
    <t>0003913</t>
  </si>
  <si>
    <t>Костиков И. Ф., Сыздыкова Г. Т., Габдулина А. И., Аленов Ж. Н.</t>
  </si>
  <si>
    <t>Семеноводство сельскохозяйственных культур в Северном Кахахстане</t>
  </si>
  <si>
    <t>В учебном пособии содержатся материалы по технологическому процессу семеноводства сельскохозяйственных культур возделываемых в Северном Казахстане. По основным зерновым, пропашным, овощным, масличным культурам и многолетним травам, имеющим производственное значение, рассмотрены сорта, допущенные к использованию и теоретические основы технологии, способствующих получению максимально возможного урожая семян.</t>
  </si>
  <si>
    <t>0003914</t>
  </si>
  <si>
    <t>Костиков И. Ф., Сыздыкова Г. Т., Габдулина А. И., Балтабаев К. А., Аленов Ж. Н.</t>
  </si>
  <si>
    <t>Солтүстік Казақстандағы ауылшаруашылық дақылдарының тұқым шаруашылығы</t>
  </si>
  <si>
    <t>Оқулықта агроном мамандықтары бойынша орта білім беретін оқу орындарының студенттеріне арналған ауылшаруашылық дақылдарының тұқым шаруашылықтық технологиясы туралы керекті мағлұматтар бар.</t>
  </si>
  <si>
    <t>0003916</t>
  </si>
  <si>
    <t>Косымова Гульбану</t>
  </si>
  <si>
    <t>Тарихи атаулардың этимологиясы (жер-су атаулары мен тайпа аттары)</t>
  </si>
  <si>
    <t>ҚР Білім және ғылым министрлігінің «Қазақ тілі тарихи лексикасының даму кезеңдері және трансформациялық өзгерістердің ғылыми-теориялық негіздері» атты ғылыми жобасы бойынша дайындалған.
 Осы аталған еңбекте қазақ тілінің тарихын адамзат тілі пайда болған ежелгі дәуірлерге апарып тірейтін тарихи сөздердің ең көнесі–жер-су атаулары мен тайпа атауларының этимологиясы сөз болады. Бұл еңбек - Елбасының «Рухани жаңғыру: болашаққа бағдар» Жолдауынан туындаған «Туған жер» бағдарламасына сай. өзекті тақырыпқа жазылған зерттеу. Алтай тілдер семьясының алғашқы отаны қазақ жеріндегі топонимдер мен этнонимдердің шығу төркіні туралы қызықты материалдар талданады. Көненің көзі болып табылатын топонимдер мен этнонимдердің этимологиясы халықтың басынан кешірген тарихи оқиғалары мен дүниетанымдық философиясынан мәлімет береді. Автор тарихи атаулардың мән-мағынасын жалаң болжамға сүйенбей, көне түркі және қазіргі түркі тілдеріне ортақ тілдік заңдылықтар тұрғысынан дәлелдейді.Бұл еңбек жоғары оқу орындарында өтілетін элективті курстарға оқу құралы ретінде ұсынылады.</t>
  </si>
  <si>
    <t>0003917</t>
  </si>
  <si>
    <t>Косынтаев К.Б.</t>
  </si>
  <si>
    <t>Режим содержания и материально-бытовые условия заключенных в исправительно-трудовых лагерях Советского Союза (30-е - 50-е годы ХХ века)</t>
  </si>
  <si>
    <t>В монографии представлена проблема становления и развития режима отбывания наказания в виде лишения свободы, охраны заключенных в исправительно-трудовых лагерях, условия содержания и материально-бытового обеспечения заключенных в лагерях в период с 1930 по 1956 годы. 
 Настоящая работа написана на документальной основе, в ней выявлены малоизвестные факты по истории исправительных учреждений на основе Государственного архива Российской Федерации, Центрального государственного архива Республики Казахстан.
 Монография предназначена для использования в учебном процессе высших военных и гражданских учебных заведений, военных кафедр Республики Казахстан, по дисциплинам История Казахстана, Военная история, История военного искусства. Работа может представить интерес широкому кругу читателей, интересующихся историей своей страны</t>
  </si>
  <si>
    <t>0003918</t>
  </si>
  <si>
    <t>Кочеров Е.Н.</t>
  </si>
  <si>
    <t>Қоршаған ортаны қорғау жүйелерінің механикалық жабдықтары. І – бөлім Атмосфераны қорғау</t>
  </si>
  <si>
    <t>Оқу құралы 5В073100- Қоршаған ортаны қорғау және өмір тіршілігінің қауіпсіздігі мамандығы бойынша оқитын жоғарғы оқу орындарының студенттеріне арналған. 
 Оқу құралы «Қоршаған ортаны қорғау жүйелерінің механикалық жабдықтары» пәнінің типтік бағдарламасына сәйкес жасалған. Оқу құралында атмосфераны ластанудан қорғаудың қазіргі уақыттағы технологиялары мен негізгі механикалық жабдықтары қарастырылған.
 Оқу құралында болашақ инженер мамандарға қажетті экотехнологиялық үрдістер мен технологиялық сұлбалар құрылымының жалпы ғылыми негізі мен типтік заңдылықтары және атмосфераны ластанудан қорғаудың қазіргі уақыттағы технологиялары мен негізгі механикалық жабдықтары қарастырылған.
 Сонымен қатар, атмосфераны негізгі ластаушы көздер, атмосфера ауасының түрлі өндірістік тастандылармен ластануы, ондағы зиянды қоспаларды мөлшерлеу бойынша толық теориялық мәліметтер, практикалық мысал есептеу әдістері қарастырылған.</t>
  </si>
  <si>
    <t>0003919</t>
  </si>
  <si>
    <t>Төтенше жағдайлардағы тіршілік. Әрекетінің қауіпсіздігі</t>
  </si>
  <si>
    <t>«Төтенше жағдайлардағы тіршілік әрекетінің қауіпсіздігі» оқу құралында тіршілік әрекетін қамтамасыз етудегі мемлекеттің ролі, техникалық жүйелерді қолданудың қауіпсіздік жағдайларын дайындаудың, төтенше жағдайларды болжаудың және өндірістік персоналды қорғаудың шешімдерін қабылдаудың, келеңсіз факторлардың әсерлерінен адамның аналитикалық-физиологиялық қасиеттерінің өзгеруі жөніндегі мәліметтерді ұлғайту, өмір сүру ортасының зиянды, қауіпті және жарақаттаушы факторлары көздерінің кешендік ұғымдары, қауіпсіздікті қамтамасыз етудің принциптерін қалыптастырудың теориялық негіздері және іс-жүзінде атқару жолдары қарастырылған.
 Оқу құралы 5В072000-Бейорганикалық заттардың химиялық технологиясы, 5В072100-Органикалық заттардың химиялық технологиясы мамандықтары бойынша оқитын жоғарғы оқу орындарының студенттеріне, жалпы білім беру ұйымдарының оқытушыларына, қауіпсіздік саласындағы қызметкерлерге және де қауіпсіздік мәселелері қызықтыратын оқырмандарға арналған.</t>
  </si>
  <si>
    <t>0003920</t>
  </si>
  <si>
    <t>Кочеров Е.Н., Жакипбаев Б.Е., Колесников А.С., Күлмаханова А.Ш.</t>
  </si>
  <si>
    <t>Қоршаған ортаны қорғаудың негізгі үрдістері</t>
  </si>
  <si>
    <t>Қоршаған ортаны қорғаудың негізгі үрдістері оқулығы 5В073100- Қоршаған ортаны қорғау және өмір тіршілігінің қауіпсіздігі мамандығы бойынша оқитын жоғарғы оқу орындарының студенттеріне арналған.
 Оқулық «Қоршаған ортаны қорғаудың теориялық негіздері» пәнінің бағдарламасына сәйкес жасалған. Оқулықта қоршаған ортаны қорғаудың негізгі үрдістері қарастырылған, негізгі ластаушы көздердің жіктелуі және сипаттамалары келтірілген, атмосфераны, гидросфераны, литосфераны химиялық және физикалық ластану көздерінен қорғау әдістері мен үрдістерінің жіктелуі берілген. Атмосфера ауасын қорғаудың гидромеханикалық, жылулық үрдістері, литосфераны қалдықтардан қорғау жолдары, ақаба суларды тазалаудың негізгі химиялық, физика-химиялық, биологиялық, механикалық үрдістері, энергетикалық әсерлерден қорғаудың теориялық негіздері қарастырылған.
 Оқулық өзге инженерлік мамандық студенттері үшін «Экология» пәнін оқу кезінде қосымша әдебиет ретінде қолданылуы мүмкін.</t>
  </si>
  <si>
    <t>0003921</t>
  </si>
  <si>
    <t>Қоршаған ортаны қорғаудың негізгі заңдылықтары</t>
  </si>
  <si>
    <t>Қоршаған ортаны қорғаудың негізгі заңдылықтары оқулығы 5В073100- Қоршаған ортаны қорғау және өмір тіршілігінің қауіпсіздігі мамандығы бойынша оқитын жоғарғы оқу орындарының студенттеріне арналған.Оқулық «Қоршаған ортаны қорғаудың теориялық негіздері» пәнінің бағдарламасына сәйкес жасалған. Оқулықта қоршаған ортаны инженерлік қорғаудың негізгі заңдылықтары, қоршаған ортаның ластану сипаттамасы және оны қорғаудың негізгі әдістері қарастырылған. Оқулық жоғарғы оқу орындарының «Экология» мамандығы бойынша оқитын студенттер үшін қосымша әдебиет ретінде қолданылуы мүмкін.</t>
  </si>
  <si>
    <t>0003924</t>
  </si>
  <si>
    <t>Кошербаев Д.Б.</t>
  </si>
  <si>
    <t>Саясаттағы имидж</t>
  </si>
  <si>
    <t>0003925</t>
  </si>
  <si>
    <t>Кошербаева Г.Н., Мусихина Е.В.</t>
  </si>
  <si>
    <t>Практическое руководство для психологов организаций</t>
  </si>
  <si>
    <t>В учебном пособии рассматриваются вопросы практической деятельно­сти психолога в организациях, включая как промышленные и торговые предприятия разного уровня, так и учреждения различного управления. В пособии собраны нормативные документы деятельности психолога в организации, описаны основные задачи и направления профессионального психологического сопровождения. Представлен теоретический материал и практический инструментарий по проведению психодиагностической, коррекционно-развивающей и консультативной работы. Пособие предназначено практическим психологам, работающим в рамках различных организаций и учреждений, студентам и магистрантам психологических и экономических специальностей, а также специалистам в области организа­ционного менеджмента и управления персоналом.</t>
  </si>
  <si>
    <t>0003934</t>
  </si>
  <si>
    <t>Көгісов С.М. / Когисов С.</t>
  </si>
  <si>
    <t>«Химиядан есептер шығару әдістемесі» атты оқу құралында жалпы және элементтер химиясы пәнінің мазмұның қамтитын тест сұрақтары және оның дұрыс жауаптары қамтылған. Тест сұрақтарының жауаптары арқылы әркім өздерінің білім дәрежесінің деңгейін анықтай алады. Химиядан тест тапсырмалары оқушылар мен студенттер үшін білімді бақылау үшін және химия пәнін оқуда таптырмайтын көмекші нұсқау ретінде де бола алады. Сонымен қатар емтиханға дайындық ретінде әдістемелік құрал да болып саналады.Оқу құралы химия пәні оқылатын университеттерінің студенттеріне, сонымен қатар орта мектеп мұғалімдері және магистранттарға арналған.</t>
  </si>
  <si>
    <t>0003946</t>
  </si>
  <si>
    <t>Көпжасарова Ғ.Т.</t>
  </si>
  <si>
    <t>Құрылыс материалдары, бұйымдары және конструкцияларын сынау</t>
  </si>
  <si>
    <t>Лекциялар жинағы «Құрылыс материалдарын, бұйымдарын және конструкцияларын сынау» пәнінің типтік бағдарламасына сәйкес құрастырылған және пәннің негізгі теориялық мәселелерін қарастырады.Лекциялар жинағы 5В073000 «Құрылыс материалдары, бұйымдары мен конструкцияларын өндіру» мамандығы студенттеріне арналған.</t>
  </si>
  <si>
    <t>0003948</t>
  </si>
  <si>
    <t>Көпжасарұлы Е. Кунжигитова Г.Б.</t>
  </si>
  <si>
    <t>Бейнелеу өнері теориясы және әдістемесі. Практикалық сабақтарға арналған әдістемелік нұсқау.</t>
  </si>
  <si>
    <t>Әдістемелік нұсқау 050101 - Мектепке дейіңгі оқыту және тәрбиелеу 
 мамандығы студенттеріне арналған. Әдістемелік нұсқау «Бейнелеу өнері теориясы және әдістемесі» пәннің оқу жоспары мен бағдарламасының талаптарына сәйкес құрастырылған және курстың практикалық сабақтарының тақырыптарын орындауға қажетті барлық мәліметтерді қамтиды.</t>
  </si>
  <si>
    <t>0003950</t>
  </si>
  <si>
    <t>Көшенова Ғ.И. / Кушенова</t>
  </si>
  <si>
    <t>Ахмед Хазини және Қожа Ахмед Яссауи жолы</t>
  </si>
  <si>
    <t>Исторический</t>
  </si>
  <si>
    <t>Монографияда түркі әлемінің пірі Қожа Ахмед Яссауи мен яссауийаның ғылым әлеміне танылуына негіз болған Ахмед Хазинидің тұлғасы мен оның еңбектері қарастырылып, Ахмед Хазини еңбектеріндегі Қожа Ахмед Яссауидің өмірі мен жолы айқындалады</t>
  </si>
  <si>
    <t>0003952</t>
  </si>
  <si>
    <t>Көшенова Ғ.И./ Кушенова Г.И.</t>
  </si>
  <si>
    <t>Қазақстан тарихының тарихнамасы: заманауи бағыттар</t>
  </si>
  <si>
    <t>Оқу құралы Қазақстан тарихындағы шетелдік заманауи бірқатар тарихнамалық бағыттарға арналады. Еңбекте әлем деңгейіндегі тарих ғылымының көрнекті өкілдері мен олар қалыптастырған зерттеу бағыттарына, ғылыми мектептері мен тарихи пікірталастарына тоқталады. Шетелдік тарихнама негізінде антропологиялық мәселелер көтеріліп, оның отан тарихындағы бейнесі, жалғастығы қарастырылады. Оқу құралы жоғары оқу орнындағы тарих білім бағдарламасының студенттеріне ұсынылады.</t>
  </si>
  <si>
    <t>0003956</t>
  </si>
  <si>
    <t>Көшеров Ә.Ж.</t>
  </si>
  <si>
    <t>Физика есептері. 4 том</t>
  </si>
  <si>
    <t>Оқу құралында физика және астрономияның барлық тараулары бойынша құрастырылған сапалық есептердің жинағы беріліп, мұндағы көптеген есептердің шешу тәсілдері көрсетілген. Сондай-ақ, оқу құралында сапалық есептердің қолданбалы және практикалық бағыттылығына көңіл бөлінген.
 Құрал техникалық және педагогикалық жоғары оқу орындарының физика-математика бағытында оқитын студенттеріне, физика пәнінің мұғалімдеріне және физикадан өзбетінше білімін жетілдіретін талапкерлерге арналған.</t>
  </si>
  <si>
    <t>0003957</t>
  </si>
  <si>
    <t>Кривец О.А., Батяшова И.В.</t>
  </si>
  <si>
    <t>Спортивные трамвы и их профилактика в регби</t>
  </si>
  <si>
    <t>0003958</t>
  </si>
  <si>
    <t>русс.</t>
  </si>
  <si>
    <t>Кривцова О. Н.</t>
  </si>
  <si>
    <t>Системы управления в машиностроении</t>
  </si>
  <si>
    <t>Приведен курс лекций по дисциплине «Системы управления в машиностроении», в котором изложены современные сведения о перспективах использования новейших открытий в области металлообработки и машиностроения для построения технических систем и устройств, о проектно-конструкторской деятельности в различных отраслях машиностроения. Целью изучения модуля «Системы управления в машиностроении» является получение основных представлений о применяемых в машиностроении системах документации, системах контроля и управления качеством продукции, прочностью и надёжностью в технике; системах управления технологическими процессами, системах автоматического управления, гибких производственных систем; видах управления в машиностроении. В предлагаемом курсе рассматриваются системы подхода к вопросам управления технологическими процессами, оборудованием машиностроительного комплекса и качеством продукции. Приводятся международные и отечественные стандарты, постановления, приказы вышестоящих и других отечественных организаций, методические, нормативные и руководящие материалы, касающиеся выполняемой работы и вопросов развития отраслей машиностроения. Рассматриваются методы проведения экспертной оценки в области машиностроения. Приводятся основные требования, предъявляемые к технической документации и изделиям. Рассматриваются достижения науки и техники, передовой отечественный и зарубежный опыт в области машиностроительного комплекса.</t>
  </si>
  <si>
    <t>0003959</t>
  </si>
  <si>
    <t>Кривцова О.Н.</t>
  </si>
  <si>
    <t>Калибровка прокатных валков</t>
  </si>
  <si>
    <t>0003960</t>
  </si>
  <si>
    <t>Расчет технологических параметров</t>
  </si>
  <si>
    <t>0003961</t>
  </si>
  <si>
    <t>Кривцова О.Н., Золотов А.М., Кузьминова Н.Ю.</t>
  </si>
  <si>
    <t>«Металлургиялық цехтарды жобалау «Таптау стандарының өнімділігін анықтау» бөлімі / Проектирование металлургических цехов Раздел «Определение производительности прокатных станов»»</t>
  </si>
  <si>
    <t>Оқу құралында «Таптау стандарының өнімділігін анықтау» бөлімі, «Металлургиялық цехтарды жобалау» модулін меңгеруге арналған мәліметтер жазылған. Әр түрлі стандардың, агрегаттардың, жабдықтардың өнімділігін және таптау цехтердің бөлімшесін анықтауға есептер келтірілген. Технологиялық мамандықтар студенттері үшін арналған. Үй тапсырмаларын, курстық және дипломдық жобаларды, сонымен қоса ғылыми – зерттеу жұмыстарында орындауда пайдалы болуы мүмкін.
 РМҚ Қарағанды мемлекеттік индустриалық университетінің ОӘК МОӘК «Материалдарды қысыммен өңдеу технологиясы» мамандығының оқу-әдістемелік секциясында басылымға ұсынылды (Хаттама № 4 4.12.2017г.).
 .</t>
  </si>
  <si>
    <t>0003962</t>
  </si>
  <si>
    <t>Кривцова О.Н., Арбуз А.С.</t>
  </si>
  <si>
    <t>Производство сортового проката и труб</t>
  </si>
  <si>
    <t>Изложены вопросы, касающиеся процесса прокатки, проектирования калибровки прокатных валков для прокатки профильного сечения и труб на современных станах. 
 Освещен сортамент прокатываемых профилей, нагрев и охлаждение металла, подготовка его к прокатке и др. Рассмотрены современные прокатные станы и технологические процессы производства наиболее распространенных видов прокатных изделий. Приведены особенности прокатки черных и цветных металлов, а также технико-экономические показатели прокатного производства. Приведены методы определения формы и размеров калибров валков блюмингов, непрерывно-заготовочных и сортовых станов. Приведены основные методики расчета калибровки валков по различным системам и примеры их использования. 
 Подробно рассмотрены технологические особенности производства бесшовных и шовных труб различными способами. История и эволюция различных способов получения трубных изделий. Наглядно показан состав и принцип работы оборудования трубных цехов. Большое внимание уделено технологии производства бесшовных труб. Многие технологические схемы показаны на примере производств, запущенных за последние 10-15 лет, в том числе и в Казахстане. Даны методики и примеры расчетов.
 Пособие выполнено на основе методических разработок, созданных авторами, и предназначено для учащихся по специальности 1006000 «Металлообработка» по курсу «Производство сортового проката и труб», может быть полезно обучающимся другим специальностям.</t>
  </si>
  <si>
    <t>0003963</t>
  </si>
  <si>
    <t>Кривцова О.Н., Кузьминова Н.Ю.</t>
  </si>
  <si>
    <t>Основы взаимозаменяемости</t>
  </si>
  <si>
    <t>металлургия и машиностроение. Энергетика и транспорт</t>
  </si>
  <si>
    <t>В учебном пособии представлены варианты расчетно-графических заданий и примеры их выполнения по дисциплине «Основы взаимозаменяемости», задания по каждой теме снабжены краткими теоретическими ведениями и справочной информацией. Учебное пособие представляет теоретический и практический интерес, содержит полезные материалы, иллюстрации, таблицы, извлечения из стандартов. Учебное пособие предназначено для технических специальностей ВУЗов, изучающих дисциплины «Основы взаимозаменяемости», «Взаимозаменяемость, стандартизация и технические измерения» и т.п. Данное пособие может применяться при проведении практических занятий, а также для самостоятельной работы обучающихся.</t>
  </si>
  <si>
    <t>0003964</t>
  </si>
  <si>
    <t>Кривцова О.Н., Талмазан В.А., Кузьминова Н.Ю.</t>
  </si>
  <si>
    <t>Повышение эффективности прокатки при использовании технологически оптимизированных сред</t>
  </si>
  <si>
    <t>В учебном пособии изложены материалы по влиянию смазочно-охлаждающей жидкости на энергосиловые параметры при холодной прокатке листов и полос. Рассмотрены основные требования, предъявляемые к технологическим смазкам и жидкостям, применяемым на станах холодной прокатки. Износ, отделка поверхности и охлаждение валков и полосы взаимосвязаны. Поэтому для каждого стана холодной прокатки применяется свой тип СОЖ, обусловленный технологическими особенностями стана. Учебное пособие представляет теоретический и практический интерес, содержит полезные материалы, иллюстрации, таблицы, приложение.
 Учебное пособие предназначено для студентов технологических специальностей.
 Рекомендовано к печати учебно-методическим объединением Республи-канского учебно-методического совета Министерства образования и науки РК по специальностям «Технология обработки материалов давлением» и «Металлургия», работающей на базе Карагандинского государственного индустриального университета (Протокол №3 от 13 апреля 2018 года).</t>
  </si>
  <si>
    <t>0003965</t>
  </si>
  <si>
    <t>Эксплуатация рабочих валков на станах горячей прокатки</t>
  </si>
  <si>
    <t>В монографии рассмотрены вопросы, связанные с сокращением расхода материалов, в том числе и прокатных валков на производство проката. Монография имеет направленность на выявление и реализацию резервов путем совершенствования технологий эксплуатации валков, позволяющих сократить их износ, а значит и расход валков на производство проката.
 Монография может быть полезна для студентов и магистрантов, обучающихся по специальностям «Технология обработки материалов давлением», «Металлургия» и др., специализирующихся в области прокатного производства.
 Рекомендовано к изданию учебно-методической секцией специальности «Технология обработки материалов давлением».</t>
  </si>
  <si>
    <t>0003967</t>
  </si>
  <si>
    <t>Кропачев П.А., Мухамеджанова А.Т.</t>
  </si>
  <si>
    <t>Ғимараттар мен үймереттердің беріктігі, қауіпсіздігі және бақылауы: физикалық тозуын бағалау</t>
  </si>
  <si>
    <t>Оқу құралы үймереттер мен ғимараттардың физикалық тозуын бағалау негізгі ережелері мен жағдайларын қарастырады. 6М072900, 6D072900 «Құрылыс» бағыты бойынша магистранттарға, докторанттарға және ғимараттар мен үймереттерді техникалық сараптау және апаттық бұзылуларын айқындайтын мамандарға арналған</t>
  </si>
  <si>
    <t>0003968</t>
  </si>
  <si>
    <t>Ғимараттар мен үймереттердің беріктігі, қауіпсіздігі және бақылауы: техникалық қадағалау</t>
  </si>
  <si>
    <t>Ұсынылған оқу құралында ғимараттар мен үймереттердің беріктігін, қауіпсіздігін және бақылауын қамтамассыз ету сұрақтары, Еурокодтарды ескеру арқылы нысандардың жағдайын техникалық қадағалау шегінде қарастырылған. Оқу құралы 6М072900, 6D072900 «Құрылыс» мамандығының магистранттарына, докторантарына арналған</t>
  </si>
  <si>
    <t>0003969</t>
  </si>
  <si>
    <t>Ғимараттар мен үймереттердің беріктігі, қауіпсіздігі және бақылауы: апаттардың себептерін анықтау</t>
  </si>
  <si>
    <t>Оқу құралы үймереттердің, ғимараттардың және олардың бөліктері мен құрылымдық элементтерінің бұзылу себептерін анықтау бойынша негізгі жағдайларды қамтиды. Техникалық комиссияның апаттық бұзылудан кейінгі нысандарды тексеру бойынша әдістемесі көрсетілген. 6М0729006, D072900 «Құрылыс» бағыты бойынша магистранттарына, докторанттарға және ғимараттар мен үймереттерді техникалық сараптау және апаттық бұзылуларын айқындайтын мамандарға арналған</t>
  </si>
  <si>
    <t>0003971</t>
  </si>
  <si>
    <t>Крученецкий В.З., Калабина А.А., Тлевлесова Д.А., Крученецкий В.В.</t>
  </si>
  <si>
    <t>Основы наноэлектроники. 1 том</t>
  </si>
  <si>
    <t>0003972</t>
  </si>
  <si>
    <t>Основы наноэлектроники. 2 том</t>
  </si>
  <si>
    <t>0003975</t>
  </si>
  <si>
    <t>978-601-327-864-7</t>
  </si>
  <si>
    <t>Кряжев А. В., Кряжева Т.В.</t>
  </si>
  <si>
    <t>Бурение скважин</t>
  </si>
  <si>
    <t>Представляет собой учебно-методическое пособие по бурению скважин. В сжатой форме с учетом последних достижений науки и техники описаны различные виды буровых станков и методы их применения при поиске и разведки месторождений полезных ископаемых. В первой части дается краткая характеристика горных пород.Во второй части приводится описание видов буровых работ, бурового оборудования и работ, сопутствующих буровым работам, а именно, технике безопасности и опробованию керна скважин.Для студентов геологических и горных специальностей, специалистов геологов, технологов и работников геологоразведочных организаций</t>
  </si>
  <si>
    <t>0003976</t>
  </si>
  <si>
    <t>978-601-330-987-3</t>
  </si>
  <si>
    <t>Кряжев А.В., Кряжева Т. В.</t>
  </si>
  <si>
    <t>Общий курс по геологии</t>
  </si>
  <si>
    <t>Представляет собой учебно-методическое пособие по общей геологии. В сжатой форме с учетом последних достижений науки и техники изложены сведения о строении и составе земной коры, приведено описание результатов проявления эндогенных и экзогенных геологических процессов, показаны закономерности развития структурных элементов земной коры, освещены вопросы техногенных изменений окружающей геологической среды. Даны характеристики месторождений полезных скопаемых в связи с процессами их образования.</t>
  </si>
  <si>
    <t>0003978</t>
  </si>
  <si>
    <t>Кряжев А.В.,Кряжева Т. В., Досетова Г.Ж.</t>
  </si>
  <si>
    <t>Кристаллография, минералогия и петрография</t>
  </si>
  <si>
    <t>Лабораторный практикум по курсу «Кристаллография, минералогия и пет-рография» являются важной составной частью в общем цикле геологических дисциплин. Согласно названию, данный лабораторный практикум состоит из трех разделов. В первом разделе по кристаллографии приведены сведения о свойствах кристаллических веществ, строении кристаллической решетки, видах элементах симметрии, приведены примеры простых форм и их комбинаций.
 Второй и третий разделы отражают общие сведения о породообразующих минералах и горных породах, слагающих каменную оболочку Земли, описана методика их определения, классификация, характеристики, народнохозяйствен-ное значение и практическое применение.</t>
  </si>
  <si>
    <t>0003979</t>
  </si>
  <si>
    <t>Кряжев В.В., Кряжева Т.В.</t>
  </si>
  <si>
    <t>Минераграфия</t>
  </si>
  <si>
    <t>Представляет собой учебное пособие по современных методам лабораторных минералогических исследований, сопровождающих проведение геологоразведочных работ. В сжатой форме с учетом последних достижений науки и техники описаны методы и аппаратура, применяемые для изучения минерального состава геологических проб и продуктов технологической переработки минерального сырья, а также для исследования различных свойств минералов. Сформулированы задачи минералогических исследований. Наряду с изложением традиционных методов минералогического анализа большое внимание уделено новым методам исследования: рентгенодифрактометричеким, электронографическим, электроно-микроскопическим, микрозондовым и др. Для студентов геологических и горных специальностей, техников-минералогов, технологов и работников аналитических лабораторий геологоразведочных организаций.</t>
  </si>
  <si>
    <t>0003980</t>
  </si>
  <si>
    <t>Представляет собой учебник по промышленным типам месторождений полезных ископаемых. В сжатой форме с учетом последних достижений науки и техники описаны различные виды полезных ископаемых и их промышленное использование. В первой части дается краткая характеристика Во второй части приводится описание Для студентов геологических и горных специальностей, специалистов геологов, минералогов, технологов и работников аналитических лабораторий геологоразведочных организаций.</t>
  </si>
  <si>
    <t>0003981</t>
  </si>
  <si>
    <t>Кряжева Т. В</t>
  </si>
  <si>
    <t>Геологическая съемка и разведка месторождений полезных ископаемых</t>
  </si>
  <si>
    <t>Представляет собой учебное пособие по современных методам проведения геологической съемки различного масштаба и разведки месторождений твердых полезных ископаемых. В сжатой форме с учетом последних достижений науки и техники описаны методы и аппаратура, используемые для геологических видов работ. В первой главе дается краткая характеристика объектов изучения геологии. Вторая глава посвящена характеристике геологической съемке. В ней сформулированы понятия о типах геологических съемок, цели и задачи геологосъемочных и поисковых работ среднего и крупного масштаба, описаны виды геологических съемок. Описание комплекса геологосъемочных работ и их методика проведения описана по трем важнейшим этапам, каждому из которых отведено по разделу.Гидрогеологические, инженерно-геологические и геофизические работы, сопровождающие геолого-съемочные работы приведены в сжатой форме. Основные виды и принципы разведки описаны в третьей главе учебника. Для студентов геологических и горных специальностей</t>
  </si>
  <si>
    <t>0003982</t>
  </si>
  <si>
    <t>Методика поисков и разведка месторождений полезных ископае-мых 1 часть</t>
  </si>
  <si>
    <t>Представляет собой учебное пособие по современных методам проведения поиска и разведки месторождений твердых полезных ископаемых. В сжатой форме с учетом последних достижений науки и техники описаны методы и аппа-ратура, используемые для геологических видов работ.
 Далее характеризуются геологические предпосылки поисковых работ. Затем рассматриваются некоторые закономерности размещения рудных месторождений в геологических структурах, принципы и методы составления карт рудоносности. Еще далее производится описание поисковых признаков и методов поисков ме-сторождений, как выходящих на поверхность, так и находящихся на глубине. В заключение освещаются методы оценки рудных месторождений при поисковых работах по их выходам.</t>
  </si>
  <si>
    <t>0003983</t>
  </si>
  <si>
    <t>Методика поисков и разведка месторождений полезных ископае-мых 2 часть</t>
  </si>
  <si>
    <t>Представляет собой учебное пособие по современных методам проведения поиска и разведки месторождений твердых полезных ископаемых. В сжатой форме с учетом последних достижений науки и техники описаны методы и аппа-ратура, используемые для геологических видов работ.Далее характеризуются геологические предпосылки поисковых работ. Затем рассматриваются некоторые закономерности размещения рудных месторождений в геологических структурах, принципы и методы составления карт рудоносности. Еще далее производится описание поисковых признаков и методов поисков ме-сторождений, как выходящих на поверхность, так и находящихся на глубине. В заключение освещаются методы оценки рудных месторождений при поисковых работах по их выходам.</t>
  </si>
  <si>
    <t>0003984</t>
  </si>
  <si>
    <t>Кряжева Т. В., Досетова Г. Ж.</t>
  </si>
  <si>
    <t>Лабораторный практикум по геологическим дисциплинам (Основы геологии и гидрогеологии)</t>
  </si>
  <si>
    <t>Представляет собой учебно-методическое пособие по общей геологии. В сжатой форме с учетом последних достижений науки и техники изложены сведения о строении и составе земной коры, приведено описание результатов проявления эндогенных и экзогенных геологических процессов, показаны закономерности развития структурных элементов земной коры, освещены вопросы техногенных изменений окружающей геологической среды. Даны характеристики месторождений полезных ископаемых в связи с процессами их образования. Для студентов вузов, обучающихся по специальности «Геология и разведка месторождений полезных ископаемых»</t>
  </si>
  <si>
    <t>0003985</t>
  </si>
  <si>
    <t>978-601-13-0309-5</t>
  </si>
  <si>
    <t>Кряжева Т. В., Досетова Г. Ж</t>
  </si>
  <si>
    <t>Представляет собой учебное пособие по современных методам лабораторных минералогических исследований, сопровождающих проведение геологоразведочных работ. В сжатой форме с учетом последних достижений науки и техники описаны методы и аппаратура, применяемые для изучения минерального состава геологических проб и продуктов технологической переработки минерального сырья, а также для исследования различных свойств минералов. Сформулированы задачи минералогических исследований. Наряду с изложением традиционных методов минералогического анализа большое внимание уделено новым методам исследования: микрозондовым, рентгенодифрактометричеким, электронографическим, электрономикроскопическим и др. 
 Для студентов высших учебных заведений геологических специальностей всех форм обучения, техников-минералогов, технологов, работников аналитических лабораторий и геологоразведочных организаций.</t>
  </si>
  <si>
    <t>0003986</t>
  </si>
  <si>
    <t>Кряжева Т. В., Досетова Г. Ж.,</t>
  </si>
  <si>
    <t>Гидрогеология негіздері</t>
  </si>
  <si>
    <t>Бұл гидрогеология негіздеріндегі оқулық. Конденсацияланған түрде гидрогеология, жерасты сулары туралы жалпы мәліметтер келтірілген.
 Бұл оқулықта жер беті мен жер асты суларының қысқаша сипаттамасын береді және гидрогеологиялық жұмыстың әртүрлі түрлері сипатталады.
  Геологиялық және тау-кен мамандықтарының студенттеріне, гидрогеологтардың, технологтардың және геологиялық барлау ұйымдарының аналитикалық зертханасының қызметкерлері үшін арналған.</t>
  </si>
  <si>
    <t>0003987</t>
  </si>
  <si>
    <t>Кряжева Т. В., Иванова И. И.</t>
  </si>
  <si>
    <t>Полезные ископаемые материалы.</t>
  </si>
  <si>
    <t>Представляет собой учебное пособие по полезным ископаемым материалам. В сжатой форме с учетом последних достижений науки и техники описаны различные виды полезных ископаемых, как сырья. В первой части дается краткая характеристика Во второй части приводится описание Для студентов геологических и горных колледжей, специалистов геологов, минералогов, технологов и работников аналитических лабораторий геологоразведочных организаций.</t>
  </si>
  <si>
    <t>0003989</t>
  </si>
  <si>
    <t>Кряжева Т. В., Кряжев А. В., Досетова Г. Ж.</t>
  </si>
  <si>
    <t>Геологические и поисковые работы 1 часть</t>
  </si>
  <si>
    <t>Представляет собой учебник для высшего профессиональногообразо-вания по современным методам проведения различных видов геологических работ, поискам и прогнозированию месторождений твердых полезных иско-паемых. В сжатой форме с учетом последних достижений науки и техники описаны методы, оборудование и аппаратура, используемые для геологиче-ских видов работ. Характеризуются вопросы организации работ в полевых геологических партиях.
 В первой части в краткой форме приводятся общие сведения по геоло-гии.
 Во второй части дается описание видов геологических работ, методов их проведения.
 Третья часть посвящена поискам и прогнозированию месторождений полезных ископаемых.
 Для студентов геологических специальностей.</t>
  </si>
  <si>
    <t>0003990</t>
  </si>
  <si>
    <t>Геологические и поисковые работы 2 часть</t>
  </si>
  <si>
    <t>0003991</t>
  </si>
  <si>
    <t>Кряжева Т. В., Оспанова Г. Е.</t>
  </si>
  <si>
    <t>Основы гидрогеологии</t>
  </si>
  <si>
    <t>Представляет собой учебник по основам гидрогеологии. В сжатой форме описаны общие сведения по гидрогеологии, различным подземным водам. В первой части дается краткая характеристика поверхностных и подземных вод. Во второй части приводится описание разных видов гидрогеологических работ Для студентов геологических и горных специальностей, специалистов геологов, минералогов, технологов и работников аналитических лабораторий геологоразведочных организаций.</t>
  </si>
  <si>
    <t>0003996</t>
  </si>
  <si>
    <t>Куанышбаев Ж.М., Арпабеков М.И.</t>
  </si>
  <si>
    <t>Грузовые тарифы</t>
  </si>
  <si>
    <t>0003998</t>
  </si>
  <si>
    <t>Куанышбаев Ж.М., Арпабеков М.И., Айдикенова Н.К.</t>
  </si>
  <si>
    <t>Размещение и крепление грузов на открытом подвижном составе</t>
  </si>
  <si>
    <t>В альбоме изложены основы размещения и крепления грузов на открытом подвижном составе. Даны характеристики грузов и подвижного состава. Определены инерционные силы, ветровая нагрузка, силы трения в продольном и поперечном направлении. Альбом предназначен для студентов специальности «Организация перевозок, движения и эксплуатация транспорта».</t>
  </si>
  <si>
    <t>0003999</t>
  </si>
  <si>
    <t>Атлас-определитель
 стрекоз ВКО</t>
  </si>
  <si>
    <t>0004003</t>
  </si>
  <si>
    <t>Куанышев М.К.</t>
  </si>
  <si>
    <t>Повышение ресурса подшипников скольжения энергетической установки транспортной техники</t>
  </si>
  <si>
    <t>В предлагаемой читателю монографии приводится краткая характеристика поршневых тепловых машин (двигателей) необычных (нетрадиционных) схем. Анализируются их достоинства и недостатки. Приводится аналитический обзор исследования кинематических, параметров и показателей этих подшипников скольжения. Делается сопоставление показателей их работы с показателями подшипников скольжения, применительно к условиям работы на режимах, соответствующих одинаковым условиям нагружения. Одним из узлов двигателей внутреннего сгорания, имеющий ограниченный ресурс, являются подшипники скольжения кинематического механизма двигателя. В настоящее время сменные элементы подшипников скольжения – их вкладыши производятся на зарубежных предприятиях, т.е. являются предметом импорта. Таким образом, работа по повышению ресурса подшипников скольжения на основе собственных технологий и отечественных материалов является актуальной для Казахстана. В монографии экспериментально на машине трения получены количественные и качественные показатели для рекомендуемых конструкций подшипников с медными вкладышами. Полученные результаты являются достаточным основание для прогнозной оценки эффективности использования рекомендуемой конструкции подшипников в реальных двигателях и механизмах. По мнению автора, приведённый в монографии информация является полезной для студентов, научных, инженерно-технических кадров, магистров, широкого круга читателей в отрасли двигателестроения и эксплуатации транспортных средств.</t>
  </si>
  <si>
    <t>0004004</t>
  </si>
  <si>
    <t>Көлік техникасының энергетикалық қондырғысының сырғанау мойынтіректерінің ресурсын арттыру</t>
  </si>
  <si>
    <t>Оқырманға ұсынған монографияда ерекше (дәстүрлі емес) схемалардың поршеньді жылу машиналарының (қозғалтқыштарының) қысқаша сипаттамасы келтіріледі. Олардың артықшылықтары мен кемшіліктері талданады. Шектелген ресурсы бар іштен жану қозғалтқыштарының түйіндерінің біріндегі қозғалтқыштың кинематикалық механизмінің сырғанау мойынтіректері болып табылады. Қазіргі уақытта сырғанау мойынтректерінің ауыспалы элементтері-олардың төсемелері шетелдік кәсіпорындарда өндіріледі, яғни импорттық мағынада болып табылады. Осылайша, өзіміздің технологиялары мен отандық материалдар негізінде сырғанау мойынтіректерінің ресурсын арттыру бойынша жұмыс Қазақстан үшін өзекті болып табылады. Монографияда эксперименттік үйкеліс машинасында мыс төсемелері бар мойынтіректердің ұсынылған конструкциялары үшін сандық және сапалық көрсеткіштері алынды. Автордың пікірі бойынша, монографияда келтірілген ақпарат ғылыми, инженерлік-техникалық кадрлар, магистрлер, студенттер, көлік құралдарын пайдалану және қозғалтқышжасау саласында оқырмандардың кең ауқымы үшін пайдалы деп санайды.</t>
  </si>
  <si>
    <t>0004005</t>
  </si>
  <si>
    <t>Куатбеков Ж.А.</t>
  </si>
  <si>
    <t>Мемлекеттік орган тиімділігін арттырудағы мемлекеттік қызметшілердің еңбегін ынталандыру тетігі</t>
  </si>
  <si>
    <t>0004009</t>
  </si>
  <si>
    <t>Кубдашева К.Б., Поляк Д.М.</t>
  </si>
  <si>
    <t>Профессиональный русский язык (для специальности -Теплоэнергетика)</t>
  </si>
  <si>
    <t>Данное учебное пособие представляет собой разработку на материале текстов по теплоэнергетике и предназначено для занятий по дисциплине «Профессиональный русский язык». Пособие состоит из 8 тем. В рамках каждой профессиональной темы предлагаются упражнения на материале текста, задания на отработку коммуникативно-речевых умений, сведения по теории перевода, этимология слов (научно-техническая лексика).
 Предназначено для студентов специальности «Теплоэнергетика».</t>
  </si>
  <si>
    <t>0004012</t>
  </si>
  <si>
    <t>Кубиева С.С.</t>
  </si>
  <si>
    <t>Спорт негіздері мен кәсіптік-қолданбалы дене дайындығы</t>
  </si>
  <si>
    <t>0004015</t>
  </si>
  <si>
    <t>Кудайбергенова К.А.</t>
  </si>
  <si>
    <t>Химия. Тапсырмалар жинағы. 8 сынып. Жаңартылған білім беру бағдарламасына негізделіп құрастырылған тапсырмалар</t>
  </si>
  <si>
    <t>Оқу құрал жаңартылған білім беру бағдарламасы бойынша құрастырылған. Назарбаев Зияткерлік мектебінің 8 сынып оқушыларына арналған бағдарламада қарастырылған барлық оқу мақсаттары қамтылған оқу құралы болып табылады. Алайда тапсырмалар топтамасын орта мектеп, колледж және жоғары оқу орындарының суденттері де пайдалануға болады. Оқушылар химиядан алған теориялық білімдерін жаңа форматта берілген тапсырмалармен ұштастырып, ойлау қабілетінің терең деңгейінде жүзеге асыруға бағытталған.</t>
  </si>
  <si>
    <t>0004018</t>
  </si>
  <si>
    <t>Кудерин М.К., Тлеукенов С.К., Козионов В.А., Испулов Н.А., Баяубаев Е.К.</t>
  </si>
  <si>
    <t>Динамические и термодинамические процессы в скальных грунтах и строительных конструкциях</t>
  </si>
  <si>
    <t>0004020</t>
  </si>
  <si>
    <t>Кузбаков Ж.И.</t>
  </si>
  <si>
    <t>Конструкции и проектирование металлургических печей</t>
  </si>
  <si>
    <t>В учебном пособии освещены вопросы конструкции и параметра металлургических агрегатов доменного, сталеплавильного, электрометаллургического цехов. Рассмотрены устройства основных и вспомогательных узлов и агрегатов металлургических печей. Описаны конструкции ванн и сводов, электродов, электродержателей, системы электропитания, шихтоподачи, охлаждения, газоочистки.Приведена методика расчета основных параметров доменной печи, кислородного конвертера, дуговой сталеплавильных индукционных и ферросплавных печей.Пособие предназначено студентам, обучающихся по направлению «Металлургия».</t>
  </si>
  <si>
    <t>0004021</t>
  </si>
  <si>
    <t>Куздыбаева А.А., Унгарбаева Г.И.</t>
  </si>
  <si>
    <t>История русского литературного языка и стилистика</t>
  </si>
  <si>
    <t>Данное пособие предназначено студентам филологического факультета, изучающим теоретический курс</t>
  </si>
  <si>
    <t>0004022</t>
  </si>
  <si>
    <t>Кузембаев Қ., Медведков Е., Құлажанов Т., Күзембаева Г.</t>
  </si>
  <si>
    <t>Тамақ өндірісінің технологиялық жабдықтары. 1 том. Механикалық және гидромеханикалық жабдықтар</t>
  </si>
  <si>
    <t>Оқулық жоғары оқу орындарында оқитын "Тамақ өндірісінің технологиялық жабдықтары" пәнінің бағдарламасына сәйкестендіріліп жазылған. Мұнда қазіргі замандағы республикамыздың кәсіпорындарында кең тараған технологиялық жабдықтары және оларды есептеу жолдары берілген.</t>
  </si>
  <si>
    <t>0004024</t>
  </si>
  <si>
    <t>Тамақ өндірісінің технологиялық жабдықтары. 3том. Жылу және массаалмасу жабдықтары</t>
  </si>
  <si>
    <t>0004025</t>
  </si>
  <si>
    <t>Кузьменко Д. Ю.</t>
  </si>
  <si>
    <t>Методика преподавания физической культуры в вузе</t>
  </si>
  <si>
    <t>Данное учебно-методическое пособие позволяет систематизировать и углубить знания по основам теории и методики физического воспитания, необходимые при изучении теоретической части программы учебной дисциплины «Физическая культура». В пособии освещены вопросы методики формирования физического развития и спортивного совершенствования студента.</t>
  </si>
  <si>
    <t>0004026</t>
  </si>
  <si>
    <t>Подготовка спортсменов-ориентировщиков</t>
  </si>
  <si>
    <t>В пособии, предназначенном для студентов и преподавателей, раскрываются вопросы теоретической и практической подготовки спортсменов-ориентировщиков.</t>
  </si>
  <si>
    <t>0004027</t>
  </si>
  <si>
    <t>Методические указания по всестороннему развитию силы</t>
  </si>
  <si>
    <t>В методических указаниях в доступной для читателя форме излагаются научные основы тренировочного процесса для развития силы, подробно разбираются атлетического троеборья.
 Книга предназначена для тренеров и спортсменов атлетического троеборья и культуризма, а также других силовых видов спорта.</t>
  </si>
  <si>
    <t>0004028</t>
  </si>
  <si>
    <t>Шаңғы дайындылығы - СҚО дені сау жастардың дамуының құралы ретінде. Лыжная подготовка – как одно из средств развития здоровой моложежи СКО</t>
  </si>
  <si>
    <t>оқу-әдістемелік құралы/учебно-методическое пособие</t>
  </si>
  <si>
    <t>Оқу әдістемелік құралы спорттық емес факультеттерінің студенттеріне арналған, физикалық сапасын жетілдіруге және даярлауға бағытталған, «Дене шынықтыру және спорт туралы» 1999 жылғы 2 желтоқсандағы № 490-I Қазақстан Республикасының Заңына сәйкес дене шыңықтырудың бақылау талаптарын жақсы тапсыруына мүмкіндік жасайды. Учебно-методическое пособие предназначено и ориентировано для студентов неспортивных факультетов, направлено на подготовку и совершенствование физических качеств, способствует успешной сдаче контрольных требований по физической культуре, согласно Закону Республики Казахстан «О физической культуре и спорте» от 2 декабря 1999 г. № 490-1.</t>
  </si>
  <si>
    <t>0004029</t>
  </si>
  <si>
    <t>Кузьменко Ю.В.</t>
  </si>
  <si>
    <t>Архитектура и дизайн гостиничных комплексов</t>
  </si>
  <si>
    <t>Учебно-методическое пособие содержит информацию об особенностях объемно-планировочных решений интерьеров и экстерьеров гостиничных зданий. Данный теоретический материал может быть использован для выполнения заданий СРС, при подготовке к семинарским занятиям и экзаменам студентами специальности «Туризм» по дисциплинам «Гостиничное хозяйство», «Инфраструктура туризма».</t>
  </si>
  <si>
    <t>0004030</t>
  </si>
  <si>
    <t>Брендинг в туризме</t>
  </si>
  <si>
    <t>Учебно-методическое пособие соответствует Государственному общеобязательному стандарту образования РК специальности бакалавриата 050902 «Туризм», типовой учебной программе и рабочим учебным программам по дисциплинам «Рекламно-информационная деятельность в туризме», «Маркетинг в туризме». Большой теоретический материал может быть использован в качестве заданий СРС и СРСП, при подготовке к экзаменам в рамках кредитной технологии обучения.</t>
  </si>
  <si>
    <t>0004031</t>
  </si>
  <si>
    <t>Выставочная деятельность в туризме</t>
  </si>
  <si>
    <t>Учебно-методическое пособие содержит последовательно изложенный материал, необходимый для углубленного изучения дисциплин «Рекламно-информационная деятельность в туризме» и «Маркетинг туризма». В пособии рассмотрены основные принципы организации выставочной деятельности предприятиями туризма.</t>
  </si>
  <si>
    <t>0004032</t>
  </si>
  <si>
    <t>978-601-13-0508-2</t>
  </si>
  <si>
    <t>Историко-культурные и природные достопримечательности Северо-Казахстанской области как туристско-экскурсионные объекты</t>
  </si>
  <si>
    <t>В методическом пособии предлагается перечень культурно-исторических и природных объектов Северо-Казахстанской области, имеющие перспективы использования в туристской и экскурсионной деятельности. Также в пособии даны методические рекомендации по разработке экскурсий. Методическое пособие предназначено для студентов всех специальностей бакалавриата очной и заочной форм обучении. Рекомендуется использовать для разработки туристских маршрутов, подготовки и проведения экскурсий.</t>
  </si>
  <si>
    <t>0004033</t>
  </si>
  <si>
    <t>Краеведческая деятельность в туризме</t>
  </si>
  <si>
    <t>Данное пособие содержит сведения об основных принципах краеведческой деятельности. В нем отражены история краеведческой деятельности, основные понятия краеведения, методы краеведческого изучения. Также в пособии изучена роль краеведения в экскурсионной и туристской деятельности. Пособие можно использовать в рамках дисциплин «Основы краеведческой работы», «Памятники истории и культуры региона», «Экскурсоведение».</t>
  </si>
  <si>
    <t>0004034</t>
  </si>
  <si>
    <t>Культурный сервис и туризм</t>
  </si>
  <si>
    <t>Курс лекций разработан в соответствии с рабочей учебной программой дисциплины «Культурный сервис и туризм», предназначен для студентов специальности 5В090200 «Туризм». Данный лекционный курс позволяет студентам изучить основные тенденции развития социально-культурного сервиса и культурно-познавательного туризма. Информация, приведенная в курсе лекций, может быть использована при выполнении заданий СРС и при подготовке к практическим занятиям.</t>
  </si>
  <si>
    <t>0004035</t>
  </si>
  <si>
    <t>Курс лекций по дисциплине «Рекреационный туризм»</t>
  </si>
  <si>
    <t>Курс лекций разработан в соответствии с рабочей учебной программой дисциплины «Рекреационный туризм», предназначен для студентов специальности 5В090200 «Туризм». Данный лекционный курс позволяет студентам изучить основные тенденции развития рекреационного туризма, а также виды оценки рекреационных ресурсов. Информация, приведенная в курсе лекций, может быть использована при выполнении заданий СРС и при подготовке к практическим занятиям.</t>
  </si>
  <si>
    <t>0004036</t>
  </si>
  <si>
    <t>Музеи как объекты туристского показа</t>
  </si>
  <si>
    <t>В пособии рассмотрены теоретические аспекты организации музейной деятельности, приводятся виды и характеристика музеев, систематизированы данные о наиболее известных музеях мира и Казахстана. Данное пособие рекомендовано студентам специальности «Туризм» для более глубокого изучения дисциплин «Музееведение», «Памятники истории и культуры региона» и «Экскурсоведение».</t>
  </si>
  <si>
    <t>0004037</t>
  </si>
  <si>
    <t>Организация и планирование рекламной деятельности в туризме</t>
  </si>
  <si>
    <t>Учебно-методическое пособие содержит последовательно изложенный материал, необходимый для углубленного изучения дисциплин «Рекламно-информационная деятельность в туризме» и «Маркетинг туризма». В пособии рассмотрены основные принципы организации рекламной деятельности на предприятиях социально-культурного сервиса и туризма.</t>
  </si>
  <si>
    <t>0004038</t>
  </si>
  <si>
    <t>978-601-13-0507-5</t>
  </si>
  <si>
    <t>Туристско-рекреационный потенциал Северо-Казахстанской области</t>
  </si>
  <si>
    <t>Данное пособие содержит сведения о природных, экономико-социальных и историко-культурных ресурсах районов Северо-Казахстанской области. В нем отражены наиболее интересные в туристском плане объекты, приведены данные о туристской инфраструктуре области. Пособие можно использовать в рамках дисциплин «Памятники истории и культуры региона», «Рекреационный туризм», «Региональное развитие туризма», «Экскурсоведение».</t>
  </si>
  <si>
    <t>0004039</t>
  </si>
  <si>
    <t>Характеристика и классификация памятников природы, истории и культуры</t>
  </si>
  <si>
    <t>В пособии представлены классификация и характеристика памятников природы истории и культуры Северо-Казахстанской области и г. Петропавловск с иллюстрациями. Также в пособии представлены методические материалы по использованию памятников в экскурсионных программах, проверочные задания для студентов. Пособие можно использовать в рамках дисциплин «Памятники истории и культуры региона», «Экскурсоведение» и др.</t>
  </si>
  <si>
    <t>0004040</t>
  </si>
  <si>
    <t>Экскурсоведение</t>
  </si>
  <si>
    <t>Учебно-методический комплекс содержит последовательно изложенный материал, необходимый для изучения дисциплины «Экскурсоведение». В комплексе имеется лекционный курс, практические задания, материалы для СРС, экзаменационные материалы. Учебно-методический комплекс дисциплины предназначен для студентов специальности «Туризм».</t>
  </si>
  <si>
    <t>0004041</t>
  </si>
  <si>
    <t>Организация гостиничного хозяйства</t>
  </si>
  <si>
    <t>учебно-методическое пособие.</t>
  </si>
  <si>
    <t>В пособии рассмотрены история развития сферы гостеприимства, основные принципы организации гостиничной деятельности и оформление гостиниц. Излагаются принципы внутрифирменного планирования на предприятиях индустрии гостеприимства. Приводятся практические примеры. Пособие рекомендуется студентам специальности «Туризм» для углубленного изучения дисциплин: «Планирование и организация турбизнеса», «Гостиничное хозяйство», «Инфраструктура туризма».</t>
  </si>
  <si>
    <t>0004042</t>
  </si>
  <si>
    <t>Экологический туризм</t>
  </si>
  <si>
    <t>Учебно-методический комплекс содержит последовательно изложенный материал, необходимый для изучения дисциплины «Экологический туризм». В комплексе имеется лекционный курс, практические задания, материалы для СРС, экзаменационные материалы. Учебно-методический комплекс дисциплины предназначен для студентов специальности «Туризм».</t>
  </si>
  <si>
    <t>0004043</t>
  </si>
  <si>
    <t>Музееведение</t>
  </si>
  <si>
    <t>Учебно-методический комплекс содержит последовательно изложенный материал, необходимый для изучения дисциплины «Музееведение». В комплексе имеется лекционный курс, практические задания, материалы для СРС, экзаменационные материалы. Учебно-методический комплекс дисциплины предназначен для студентов специальности «Туризм».</t>
  </si>
  <si>
    <t>0004044</t>
  </si>
  <si>
    <t>Лечебно-оздоровительный туризм</t>
  </si>
  <si>
    <t>Учебно-методический комплекс содержит последовательно изложенный материал, необходимый для изучения дисциплины «Лечебно-оздоровительный туризм». В комплексе имеется лекционный курс, практические задания, материалы для СРС, экзаменационные материалы. Учебно-методический комплекс дисциплины предназначен для студентов специальности 050902 «Туризм».</t>
  </si>
  <si>
    <t>0004045</t>
  </si>
  <si>
    <t>Гостиничное хозяйство</t>
  </si>
  <si>
    <t>Учебно-методический комплекс содержит последовательно изложенный материал, необходимый для изучения дисциплины «Гостиничное хозяйство». В комплексе имеется лекционный курс, практические задания, материалы для СРС, экзаменационные материалы. Учебно-методический комплекс дисциплины предназначен для студентов специальности «Туризм».</t>
  </si>
  <si>
    <t>0004048</t>
  </si>
  <si>
    <t>Кукеев А.К.</t>
  </si>
  <si>
    <t>Основы права. Практикум</t>
  </si>
  <si>
    <t>для студентов неюридических специальностей</t>
  </si>
  <si>
    <t>0004050</t>
  </si>
  <si>
    <t>Кукеева М.К.</t>
  </si>
  <si>
    <t>Музей тану</t>
  </si>
  <si>
    <t>0004051</t>
  </si>
  <si>
    <t>Кукушева Н.Э.</t>
  </si>
  <si>
    <t>Основы демографии и демографической политики Республики Казахстан</t>
  </si>
  <si>
    <t>Учебно-методическое пособие разработано на основе учебных пособий по демографии и научных монографий казахстанских исследователей с целью оказания помощи студентам очного и заочного обучения всех специальностей в изучении основ демографии и демографической политики Республики Казахстан, а также для всех, кто интересуется вопросами народонаселения. Учебно-методическое пособие включает в себя рабочую программу дисциплины «Основы демографии и политики», планы семинарских занятий, тестовые задания. Знакомит студентов с основами курса, предлагает краткий обзор демографических и миграционных процессов, происходивших в Казахстане в ХХ веке, содержит краткий словарь терминов – глоссарий.</t>
  </si>
  <si>
    <t>0004052</t>
  </si>
  <si>
    <t>Практикум по политологии</t>
  </si>
  <si>
    <t>Данное учебно-методическое пособие разработано на основании типовой учебной программы в соответствии с ГОСО РК (от 30 марта 2005 г.), учебных пособий по политологии отечественных и зарубежных исследователей с целью оказания помощи студентам всех специальностей в изучении основ политической науки. Учебно-методическое пособие знакомит студентов с основами курса, включает в себя планы семинарских занятий, краткий политологический словарь, контрольные вопросы и тестовые задания для самопроверки. В учебно-методическом пособии предлагаются методические рекомендации к заданиям СРСП и СРС по политологии, разработанные на основе таксономии американского психолога Бенджамина Блума. Предназначено для студентов всех специальностей и факультетов очной и заочно – дистанционной формы обучения.</t>
  </si>
  <si>
    <t>0004053</t>
  </si>
  <si>
    <t>Учебно – методический комплекс по дисциплине «Социология»</t>
  </si>
  <si>
    <t>Учебно – методический комплекс</t>
  </si>
  <si>
    <t>Учебно - методический комплекс по дисциплине «Социология» разработан в соответствии с типовой учебной программой (ГОСО РК), позволяет студенту получить теоретические знания по учебному курсу, содержит учебную программу (силлабус), курс лекций, учебно- методические материалы по дисциплине. В данном УМКД доступно и ясно излагаются основные теоретические положения социологической науки, раскрываются мировоззренческое и методологическое значение социологии, ее связь с другими социально-гуманитарными науками. Особое внимание в УМК Д уделено организации самостоятельной работы студентов, даны методические рекомендации по каждой теме СРСП и СРС. Утверждено на заседании кафедры всеобщей истории и философии КГУ им.Ш.Уалиханова Протокол № 1 от 29 августа 2014 г.</t>
  </si>
  <si>
    <t>0004054</t>
  </si>
  <si>
    <t>Учебно – методический комплекс по дисциплине "Философия"</t>
  </si>
  <si>
    <t>Учебно-методический комплекс по дисциплине «Философия» разработан в соответствии с типовой учебной программной (ГОСО РК), позволяет студенту получить теоретические знания по учебному курсу, содержит учебную программу (силлабус), курс лекций, учебно - методические материалы по дисциплине. В данном УМКД доступно и ясно излагаются основные положения системы философского знания, раскрывается теоретическое, методологическое и мировоззренческое значение философии. Особое внимание в УМКД уделено организации самостоятельной работы студентов, даны методические рекомендации по каждой теме СРСП и СРС.</t>
  </si>
  <si>
    <t>0004055</t>
  </si>
  <si>
    <t>Кулак А. В.., Мастобаев Ю.А, Оралтаев Е.Р.</t>
  </si>
  <si>
    <t>Мектепте жеңіл атлетика түрлерін оқыту әдістемесі</t>
  </si>
  <si>
    <t>Оқу құралында мектеп жасындағы балалармен оқу сабақтарын өткізу, атлетикалық жаттығулардың техникасын меңгеру, жеңіл атлетиканың негізгі түрлерін оқыту әдістемесін қарастырады.Оқу құралының материалын дене шынықтыру пәні бойынша өздік сабақтарда мұғалімдерге, студенттерге және көпшілік қауымға қолдануға болады.</t>
  </si>
  <si>
    <t>0004056</t>
  </si>
  <si>
    <t>Кулак А.В.</t>
  </si>
  <si>
    <t>Методика обучения легкоатлетическим видам в школе</t>
  </si>
  <si>
    <t>0004060</t>
  </si>
  <si>
    <t>Кулатаев Б.Т.</t>
  </si>
  <si>
    <t>Породообразование в животноводстве и птицеводстве 1 часть</t>
  </si>
  <si>
    <t>0004061</t>
  </si>
  <si>
    <t>Породообразование в животноводстве и птицеводстве 2 часть</t>
  </si>
  <si>
    <t>0004062</t>
  </si>
  <si>
    <t>Породообразование в животноводстве и птицеводстве 3 часть</t>
  </si>
  <si>
    <t>0004063</t>
  </si>
  <si>
    <t>Современная технология производства продуктов овцеводства. 1том</t>
  </si>
  <si>
    <t>В учебнике обобщен теоретический и экспериментальный материал и исследования по породообразования в овцеводстве их современных технологии пройзводства продуктов овцеводства ведения и малой механизации производственных процессов. Детально рассматриваются перспективы дальнейшего развития об овцеводстве. Учебник предназначен для PhD докторантов по специальности «Технология производства продуктов животноводства».</t>
  </si>
  <si>
    <t>0004064</t>
  </si>
  <si>
    <t>Современная технология производства продуктов овцеводства. 2том</t>
  </si>
  <si>
    <t>0004065</t>
  </si>
  <si>
    <t>Современные направления породообразование пород овец и коз. 1том</t>
  </si>
  <si>
    <t>В учебнике обобщен теоретический и экспериментальный материал и исследования по породообразования в овцеводстве и козоводстве. Детально рассматриваются перспективы дальнейшего развития овцеводства и козоводства. Учебник предназначен для Ph.D докторантов по специальности «Технология производства продуктов животноводства»</t>
  </si>
  <si>
    <t>0004067</t>
  </si>
  <si>
    <t>Кулибаев А.А., Нурбатуров К.А., Кудерин М.К., Де И. М.</t>
  </si>
  <si>
    <t>Керамогранит на основе казахстанского сырья</t>
  </si>
  <si>
    <t>0004076</t>
  </si>
  <si>
    <t>Кулмуканова К.К., Тұңғышмұратова Л.С.</t>
  </si>
  <si>
    <t>Қарым-қатынас психологиясы</t>
  </si>
  <si>
    <t>Қарым-қатынас психологиясы жалпы психологияның негізгі бір саласы болғандықтан, кәсіби бағытта дамыған тұлғаның шығармашылық мүмкіндігін ашып жетілдіруде маңызды орын алады. Бұл оқу құралының міндеті болашақ маман иесінің өз-өзіне сенімділігін арттыру, болашақ мамандығына қажетті сапалы қасиеттерін меңгеруіне, басқалармен өзара дұрыс қарым-қатынасты ұйымдастыра білуге, оларды түсінуге, дау-дамайсыз ортақтаса білуге, қарым-қатынас мәдениетіне үйрету болып табылады. Осы орайда ұсынылып отырған оқу құралы арқылы аталмыш мәселені айтарлықтай жеңілдетіп, студенттердің, резиденттердің, магистранттардың оқу үрдісінде игерген білімдерін жүйелеп, үйлесімді қарым-қатыныс машықтарын меңгеруіне жәрдем береді</t>
  </si>
  <si>
    <t>0004077</t>
  </si>
  <si>
    <t>Култасов А. А., Наурызбаев Е.А.</t>
  </si>
  <si>
    <t>Уголовно-исполнительное право Республики Казахстан</t>
  </si>
  <si>
    <t>Учебное пособие по изучению Уголовно-исполнительного права Республики Казахстан для студентов дневной и заочной формы обучения специальности 5В030100 юриспруденция, а также для практических работников Комитета уголовно-исполнительной системы МВД Республики Казахстан.</t>
  </si>
  <si>
    <t>0004078</t>
  </si>
  <si>
    <t>Култасов А.А.</t>
  </si>
  <si>
    <t>Уголовно право Республики Казахстан (общая часть)</t>
  </si>
  <si>
    <t>Учебное пособие по изучению Уголовного права Республики Казахстан для студентов дневной и заочной формы обучения специальности 5В030100 юриспруденция, а также для практических работников МВД Республики Казахстан.</t>
  </si>
  <si>
    <t>0004081</t>
  </si>
  <si>
    <t>Кулумбетова А.Е., А.А. Джунисова, 
 Г.К. Садуакас, А.К. Мырзабекова</t>
  </si>
  <si>
    <t>Система содержания и формы
 лирического, эпического 
 и драматического
 художественного текста</t>
  </si>
  <si>
    <t>Учебное пособие представляет проблему системной связи содержательных и формальных компонентов произведений трех родов литературы в их взаимосвязи в их общих и специфических признаках.
 Теоретический аспект освещения вопросов рода, стиля, метода, жанровой формы, жанра и жанровой разновидности, темы, проблемы, идеи сочетается с раскрытием комплексной методологии и методики их изучения на примере конкретных художественных текстов лирики («Я не слыхал рассказов Оссиана…» О.Э. Мандельштама), эпоса («Легкое дыхание» И.А. Бунина), «маленьких трагедий» («Скупой рыцарь» и «Моцарт и Сальери» А.С. Пушкина). Методы анализа построены на выявлении изоморфных связей содержательных и формальных признаков в четырехуровневой системе произведения. В пособии находит отражение и проблема системного определения критерия художественности. Учебное пособие включает лекционный раздел, где излагается суть концепции о четырехуровневой системе содержания и формы лирического, эпического и драматического текста. Он содержит теоретико-методологическую и методическую базу работы. Второй раздел – методические рекомендации к анализу художественных произведений, включающие и глоссарий. Третий раздел – кейс-методы и задания для практического применения этих принципов в конкретных анализах текстов. Четвертый – основную и дополнительную литературу. Пятый -– тесты по введению в специальность и по пропедевтическому курсу русской литературы. Приложение -– модель концепции по методологии и методике комплексного изучения 4-уровневой системы содержания и формы художественного текста. Работа адресована учащимся гимназий и лицеев с углубленным изучением литературы, студентам очного и дистанционного форм обучения филологических специальностей, учителям, магистрантам, специалистам по истории, теории и методологии литературы и методики преподавания литературы, а также переводчикам, начинающим писателям, поэтам, драматургам.</t>
  </si>
  <si>
    <t>0004082</t>
  </si>
  <si>
    <t>Кулумбетова А.Е., Дробязко Н.В</t>
  </si>
  <si>
    <t>Система содержания и формы малой и средней прозы в творчестве А.П. Чехова</t>
  </si>
  <si>
    <t>Учебное пособие представляет системный анализ малой («Толстый и тонкий», «Смерть чиновника», «Ванька», «Спать хочется», «Володя большой и Володя маленький», «маленькой трилогии»: «Человек в футляре», «Крыжовник», «О любви») и средней («Палата № 6», «Черный монах») эпической формы А.П. Чехова. Впервые эти произведения рассматриваются в свете концепции методологии и методики четырехуровневой системного изучения содержания и формы эпоса, лирики, драмы. «Медленное чтение» известных произведений писателя, предпринятое авторами, позволяет определить и глубже постичь замысел А.П. Чехова и проследить путь реализации его в идею через систему выявленных художественных средств и приемов. «Тщательный анализ» четырех этапов каждого текста ведет к ассоциативным связям его с философией и произведениями современников или предшественников писателя, раскрытию творческой трансформации их идей и образов (интертекстуальность) читателями XXI века.Авторы учебного пособия касаются кардинальных дискуссионных проблем литературоведения – содержания и формы, системы и структуры художественного произведения, рода, стиля, метода, жанровой формы, жанра, жанровой разновидности и др. Привлекается и материал исследовательской литературы по конкретному произведению. Учебное пособие адресовано студентам очного и заочного форм обучения филологических специальностей, учителям, магистрантам, специалистам по истории, теории и методологии литературы.</t>
  </si>
  <si>
    <t>0004084</t>
  </si>
  <si>
    <t>Кульбекова А.К., Ізім Т.О.</t>
  </si>
  <si>
    <t>Қазақ биін оқытудың теориясы мен әдістемесі</t>
  </si>
  <si>
    <t>Оқулық Ұлттық хореография саласы бойынша мамандық дайындауда тәжірибеден алынған нәтижелер негізінде өңделіп жетілдірілген. Қазақстандағы жоғары оқу орындарына, сонымен қатар білім жоғарлату институттарында педагогикалық кадрларды қайта дайындау курстарында және жоғары оқу орнынан кейінгі білім беруде қолданылады деп ұсынылып отыр.</t>
  </si>
  <si>
    <t>0004085</t>
  </si>
  <si>
    <t>Теория и методика преподавания казахского танца</t>
  </si>
  <si>
    <t>Учебник является первым в истории национальной хореографии, разработан на основе исполнительского опыта, научно-исследовательской и педагогической деятельности авторов. В учебнике представлен теоретический и практический курс освоения казахского танца в вузе. Каждый из разделов учебника посвящен определенному учебному периоду, где представлены методические материалы, задания для самостоятельной работы студентов, нотное приложение. К учебнику прилагается видеоматериал танцевального наследия (постановки выдающихся балетмейстеров Казахстана) в исполнении профессиональных коллективов и студентов ведущих учебных заведениях РК.
 Учебник прошел положительную апробацию на факультете хореографии Казахского национального университета искусств (г.Астана).</t>
  </si>
  <si>
    <t>0004086</t>
  </si>
  <si>
    <t>Кульгильдинов М.С., Жүсіпов К.Ә., Қозбағаров Р.Ә.</t>
  </si>
  <si>
    <t>Көлік техникасын өндіру және жөндеу технологиясы негіздері</t>
  </si>
  <si>
    <t>Оқулық негізгі екі бөлімнен тұрады. Бірінші бөлімде көлік техникасын өндірудің технологиясы негіздері берілген. Машина жасау технологиясының теориялық негіздерімен қатар, бөлшек беттерін өңдеу тәсілдері мен типтік бөлшектерді өндіру технологиясы қарастырылған. Сонымен бірге жинақ процестерінің технологиясы мен машина бөлшектері және агрегаттарын жинау үлгілері келтірілген. Роботталған өндіріс технологиясы бойынша да мағлұматтар берілген. Екінші бөлім көлік техникасын жөндеу технологиясына арналған. Мұнда машиналарды жөндеудің теориялық негіздерімен қатар, машиналарды техникалық күту мен жөндеуді (қалпына келтіруді) ұйымдастыру және көлік техникасын күрделі жөндеудің өндірістік процесі кеңінен қарастырылған.
 Оқулық көлік техникасы және технологиялары мамандықтары бойынша білім алатын студенттер мен көлік техникасын жасап шығару және оларды жөндеу саласында қызмет етушілерге арналған.</t>
  </si>
  <si>
    <t>0004089</t>
  </si>
  <si>
    <t>Кульмамиров С. А., Тохметов А. Т.</t>
  </si>
  <si>
    <t>Электрические цепи в электроэнергетике</t>
  </si>
  <si>
    <t>Учебное пособие предназначено для студентов специальностей «Информационные системы», «Автоматизация и управление», «Силовая энергетика и электроника» при изу-чении дисциплин «Теория электрических цепей», «Теоретические основы электротехни-ки». Настоящее учебное издание создано на основе материалов лекций авторов пособия при чтении соответствующих дисциплин образовательных программ специальностей «Информационные системы», «Автоматизация и управление», «Силовая энергетика и электроника». В главах приведены самые лучшие и востребованные обучающимися мате-риалы учебно-методического и справочного характера.</t>
  </si>
  <si>
    <t>0004090</t>
  </si>
  <si>
    <t>Кульмамиров С. А., Тохметов А. Т., Кужуханова Ж.А. (Құлмамыров С.А., Тоқметов А.Т., Құжуханова Ж.А.)</t>
  </si>
  <si>
    <t>Ақпараттық жүйелердегі электротехниканың негіздері</t>
  </si>
  <si>
    <t>Оқу құралы «Электротехниканың негіздері» пәні бойынша зертханалық шеберхана болып табылады және 5В070300 - «Ақпараттық жүйелер» мамандығы студенттеріне білімнің барлық түрлеріне арналған. Оқу құралында «Электротехниканың негіздері» оқу курсының барлық негізгі бөлімдерінде 15 зертханалық жұмыстарды орындауға арналған нұсқаулар бар. 
 Оқулықтың авторлары электрондық құрылғыларды модельдеу бағдарламасымен Electronics Workbench жабдықталған компьютерлерді пайдаланып зертханалық жұмыстарды жүргізудің көптеген әдістерін ұсынды.</t>
  </si>
  <si>
    <t>0004091</t>
  </si>
  <si>
    <t>Кульмамиров С.А., Тохметов А.Т., Танченко Л.А.</t>
  </si>
  <si>
    <t>Основы электротехники в информационных системах</t>
  </si>
  <si>
    <t>Настоящее учебное пособие предназначено для студентов специальности 5В070300 -«Информационные системы» всех форм обучения. В учебном пособии содержатся описа-ния и методические указания к выполнению 15 лабораторных работ по курсу электротех-ники. Каждая работа содержит краткие теоретические сведения, порядок выполнения, пе-речень электрооборудования, схемы и графики, контрольные задания и вопросы.
 Авторами пособия предложены разнообразные методики проведения лабораторных работ с использованием компьютеров, оснащенных программой моделирования электри-ческих схем и устройств Electronics Workbench.</t>
  </si>
  <si>
    <t>0004094</t>
  </si>
  <si>
    <t>Кумисбеков С. А. /Күмісбеков С.А.</t>
  </si>
  <si>
    <t>Тиеу түсіру машиналары және қойма жабдықтары</t>
  </si>
  <si>
    <t>Оқу құралыда кәзіргі заманғы тиеу-түсіру машиналары және өнеркәсіп қоймаларының машиналары мен жабдықтарыдың конструкциалары, олардың тағайындалымы, жүмыс істеу принципі, машина мен механизмдерінің құрылысы берілген, сонымен қатар оларды таңдап қабылдау және жобалау мен конструкциялау, негізгі түйіндері мен бөлшектерін беріктікке, тұрақтлыққа есептеулері берілген. Оқу құралы 5В072400 – Технологиялық машиналар мен жабдықтар және химия-технологиялық мамандықтарындағы студенттеріне арналған.</t>
  </si>
  <si>
    <t>0004096</t>
  </si>
  <si>
    <t>Кумисбеков С.А.</t>
  </si>
  <si>
    <t>Гидромеханикалық және жылуалмасу процесстері мен аппараттары</t>
  </si>
  <si>
    <t>0004097</t>
  </si>
  <si>
    <t>Тамақ өндірісінің процесстері мен аппараттары</t>
  </si>
  <si>
    <t>есептер жинағы</t>
  </si>
  <si>
    <t>0004098</t>
  </si>
  <si>
    <t>Тасымалдау машиналары мен қондырғылары</t>
  </si>
  <si>
    <t>Оқу құралында негізгі жүк тасымалдайтын, тиейтін-түсіретін машиналар мен қондырғылардың және өнеркәсіп қоймаларының машина мен жабдықтарының тағайындалуы, жұмыс істеу принциптері, олардың артықшылығы мен кемшіліктері көрсетілген.
  Оқу құралы 5В072400- Технологиялық машиналар мен жабдықтар мамандығының студенттеріне арналған.</t>
  </si>
  <si>
    <t>0004099</t>
  </si>
  <si>
    <t>Кумисбеков С.А. /Күмісбеков С.А., Серікұлы Ж</t>
  </si>
  <si>
    <t>Көтеру-тасымалдау машиналары. Есептер жинағы</t>
  </si>
  <si>
    <t>Оқу құралда жүк көтеру және тасымалдау машиналарын, олардың механизмдерін, түйіндері мен бөлшектерін беріктілікке, тұрақтылыққа есептеп оларды таңдап қабылдау тәсілдері қарастырылған. Әр тарауларында мысалдар мен бақылау есептері, оларды есептеу үшін негізгі байланыстар мен есептеу теңдеулері берілген. Әр тараулардың тестік сұрақтары бар. Оқу құралын курстық және диломдық жобалауға (жүмысқа) пайдалануға болады.
  Оқу құралы 5В072400 – технологиялық машиналар мен жабдықтары мамандығындағы жоғарғы оқу орындарындағы студенттерге арналған.</t>
  </si>
  <si>
    <t>0004100</t>
  </si>
  <si>
    <t>Кумисбеков С.А., Волненко А.А., Серікұлы Ж.</t>
  </si>
  <si>
    <t>Аппарат с регулярной пластинчатой вибрирующей насадкой. Разработка и расчеты</t>
  </si>
  <si>
    <t>0004101</t>
  </si>
  <si>
    <t>Кумисбеков С.А., Серікұлы Ж., Тасыбаева Ш.Б.</t>
  </si>
  <si>
    <t>Жүк көтеру машиналары</t>
  </si>
  <si>
    <t>0004102</t>
  </si>
  <si>
    <t>Кумисбеков С.А., Тасыбаева Ш.Б.</t>
  </si>
  <si>
    <t>Машина жасаудың техникалық негіздері</t>
  </si>
  <si>
    <t>0004103</t>
  </si>
  <si>
    <t>978-601-13-0025-4</t>
  </si>
  <si>
    <t>Кумыков В.Х.</t>
  </si>
  <si>
    <t>Проведение и крепление горных выработок</t>
  </si>
  <si>
    <t>0004104</t>
  </si>
  <si>
    <t>Кумыкова Т.М.</t>
  </si>
  <si>
    <t>Горные машины в задачах и примерах</t>
  </si>
  <si>
    <t>0004105</t>
  </si>
  <si>
    <t>Расчет шахтных стационарных установок</t>
  </si>
  <si>
    <t>0004111</t>
  </si>
  <si>
    <t>Көркем шығармаларын талдау (050107 - Бейнелеу өнері және сызу мамандығы студенттерінің практикалық сабақтарына арналған әдістемелік нұсқау)</t>
  </si>
  <si>
    <t>Әдістемелік нұсқау 050107-«Бейнелеу өнері және сызу» мамандығының студенттеріне арналған. Әдістемелік нұсқау «Көркем шығармаларын талдау» пәннің оқу жоспары мен бағдарламасына талаптарына сәйкес құрастырылған және курстың практикалық сабақтарының тақырыптарын орындауға қажетті барлық мәліметтерді қамтиды.</t>
  </si>
  <si>
    <t>0004112</t>
  </si>
  <si>
    <t>Бастауыш мектептегі бейнелеу өнерінің теориясы, технологиясы және практикумы. Лабораториялық практикумға арналған әдістемелік нұсқау</t>
  </si>
  <si>
    <t>Лабораториялық практикум 050102, 5В010700 – Бастауыш мектептегі оқыту және тәрбиелеу мамандығы студенттеріне арналған. Лабораториялық практикум «Бастауыш мектептегі бейнелеу өнерінің теориясы, технологиясы және практикумы» пәннің оқу жоспары мен бағдарламасының талаптарына сәйкес құрастырылған және курстық жұмысты орындауға қажетті барлық мәліметтерді қамтиды.</t>
  </si>
  <si>
    <t>0004113</t>
  </si>
  <si>
    <t>Кунжигитова Г.Б. Бибатыров Е.К.</t>
  </si>
  <si>
    <t>Материалды көркемдеп өңдеу</t>
  </si>
  <si>
    <t>Оқу құралы. 5B010700 - «Бейнелеу өнері және сызу» мамандығының студенттеріне арналған. Оқу құралы «Материалды көркемдеп өңдеу» пәннің оқу жоспары мен бағдарламасына талаптарына сәйкес құрастырылған және курстың тапсырмаларын орындауға қажетті барлық мәліметтерді қамтиды.</t>
  </si>
  <si>
    <t>0004114</t>
  </si>
  <si>
    <t>Кунжигитова Г.Б. Ибраимова П.Т. Жанибекова Э.Ж.</t>
  </si>
  <si>
    <t>Кітап графикасы</t>
  </si>
  <si>
    <t>Оқу құралы. 5В010700 - «Бейнелеу өнері және сызу» мамандығының студенттеріне арналған. Оқу құралы «Кітап графикасы» пәннің оқу жоспары мен бағдарламасының талаптарына сәйкес құрастырылған және курстың тапсырмаларын орындауға қажетті барлық мәліметтерді қамтиды. Оқу құралының негізгі міндеттері - студенттердің графикалық таным, талғамның қалыптасуына ықпал жасау, пәннің арнаулы бейнелеу әдістерін қалыптастыру, студенттердің кәсіптік шеберлігін дамыту және өз пікірін графикалық түрде көрсету қабілеттерін дамыту.</t>
  </si>
  <si>
    <t>0004115</t>
  </si>
  <si>
    <t>Кунжигитова Г.Б. Рсмахамбетова Ш.Е.</t>
  </si>
  <si>
    <t>Перспектива және сызба геометрия</t>
  </si>
  <si>
    <t>Оқулық. 5В010700 - «Бейнелеу өнері және сызу» мамандығының студенттеріне арналған. Оқулық «Перспектива және сызба геометрия» пәннің оқу жоспары мен бағдарламасының талаптарына сәйкес құрастырылған және курстың тапсырмаларын орындауға қажетті барлық мәліметтерді қамтиды.
 Оқулықтың негізгі міндеттері - студенттердің графикалық таным, талғамның қалыптасуына ықпал жасау, пәннің арнаулы сызу әдістерін сызу, студенттердің кәсіптік шеберлігін дамыту және өз пікірін графикалық түрде көрсете білуге қабілетін дамыту.</t>
  </si>
  <si>
    <t>0004116</t>
  </si>
  <si>
    <t>Сызуды оқыту әдістемесі</t>
  </si>
  <si>
    <t>Оқу құралы. 010507 - «Бейнелеу өнері және сызу» мамандығының студенттеріне арналған. Оқу құралы «Сызуды оқыту әдістемесі» пәннің оқу жоспары мен бағдарламасының талаптарына сәйкес құрастырылған және курстың тапсырмаларын орындауға қажетті барлық мәліметтерді қамтиды.
  Оқу құралының негізгі міндеті графикалық таным, талғамның қалыптасуы, пәннің арнаулы сызу әдістерін көрсету; машина құрылыс және құрылыс сызбаларын сызып, оқуда, берілген нәрсенің эскизін салу; нәрсенің өлшеудегі және сызбаларды КҚБЖ ережелерінде қолдана білудің дағдылығын дамытуға бейімдеу.</t>
  </si>
  <si>
    <t>0004117</t>
  </si>
  <si>
    <t>Кунжигитова Г.Б. Рсмаханбетова Ш.Е.</t>
  </si>
  <si>
    <t>Бастауыш мектептегі бейнелеу өнерін оқытудың теориясы, технологиясы және практикумы</t>
  </si>
  <si>
    <t>050102 –Бастауыш оқыту педагогикасы және әдістемесі мамандығының студенттеріне арналған. Оқу құралы «Бастауыш мектептегі бейнелеу өнерін оқытудың теориясы, технологиясы және практикумы» пәннің оқу жоспары мен бағдарламасының талаптарына сәйкес құрастырылған және курстың теориялық мәліметтерді қамтиды. Оқу құралы бакалаврларға бейнелеу өнерінің әдіснамалық негіздерін меңгеруге, бейнелеу өнерінің негізгі ұғымдарын, оның түрлері мен жанрларын, өнердің арнайы ерекшеліктерін, эстетикалық білім беру мен тәрбиенің мазмұны, әдістері, құралдары және формаларымен, балалардың жас және психологиялық ерекшеліктерімен, бастауыш мектеп мұғалімінің алдында тұрған міндеттерімен танысуға мүмкіндік береді</t>
  </si>
  <si>
    <t>0004118</t>
  </si>
  <si>
    <t>Кунжигитова Г.Б., Буркитбаев Т.С.</t>
  </si>
  <si>
    <t>Бейнелеу өнерінің тарихы І. Дәріс кешені. (5В041300 – Кескіндеме мамандығының студенттеріне арналған)</t>
  </si>
  <si>
    <t>Дәріс кешені</t>
  </si>
  <si>
    <t>Дәріс кешені «Бейнелеу өнерінің тарихы І» пәннің оқу жоспары мен бағдарламасының талаптарына сәйкесқұрастырылған және курстың тапсырмаларын орындауға қажетті барлық мәліметтерді қамтиды.
 Дәріс кешені негізгі міндеті көркем таным, эстетикалық талғамның қалыптасуы, композициялық-практикалық қызметті арттыру бойынша студенттердің көркем сауаттылығын ашу.</t>
  </si>
  <si>
    <t>0004119</t>
  </si>
  <si>
    <t>Сызуды оқыту әдістемесі. Дәріс кешені. (5В010700 - «Бейнелеу өнері және сызу» мамандығының студенттеріне арналған.)</t>
  </si>
  <si>
    <t>Дәріс кешені «Сызуды оқыту әдістемесі» пәннің оқу жоспары мен бағдарламасының талаптарына сәйкес құрастырылған және курстың тапсырмаларын орындауға қажетті барлық мәліметтерді қамтиды.
 Дәріс кешені негізгі міндеті графикалық таным, эстетикалық талғамның қалыптасуы, композициялық-практикалық қызметті арттыру, сызу қабілеттерін арттыру бойынша студенттердің графикалық сауаттылығын ашу.</t>
  </si>
  <si>
    <t>0004120</t>
  </si>
  <si>
    <t>«Кәсіби бағытталған шетел тілі пәні бойынша практикалық сабақтарға арналған әдістемелік нұсқау. (5В010700 – Бейнелеу өнері және сызу мамандығының студенттеріне арналған)</t>
  </si>
  <si>
    <t>Әдістемелік нұсқау Кәсіби бағытталған шетел тілі пәнінің оқу жоспары мен бағдарламасының талаптарына сәйкес құрастырылған және курстың практикалық сабақтарының тақырыптарын орындауға қажетті барлық мәліметтерді қамтиды.</t>
  </si>
  <si>
    <t>0004121</t>
  </si>
  <si>
    <t>Кунжигитова Г.Б., Болысбаев Д.С.</t>
  </si>
  <si>
    <t>Кәсіби бағытталған шетел тілі пәні бойынша практикалық сабақтарға арналған әдістемелік нұсқау (5В041300-Кескіндеме мамандығының студенттеріне арналған)</t>
  </si>
  <si>
    <t>0004122</t>
  </si>
  <si>
    <t>Методическое указание по практическим занятиям по дисциплине «Анализ художественных произведений» (Для студентов специальности 5В041300 – Живопись)</t>
  </si>
  <si>
    <t>Метод. указание</t>
  </si>
  <si>
    <t>Методическое указание составлено в соответствии с требованиями рабочего учебного плана специальности 5В041300-Живопись и включает все необходимые сведения по изучению дисциплины. Методическое указание предназначено для студентов специальности 5В041300-Живопись. Методическое указание представляют собой методические руководство для студентов специальности 5В041300-Живопись. В нем изложены рекомендации, необходимые для изучению дисциплины Анализ художественных произведений, начиная с основного глубокого осмысленного изучения анализа произведений, необходимых для выполнения самостоятельной работы студента</t>
  </si>
  <si>
    <t>0004123</t>
  </si>
  <si>
    <t>Кунжигитова Г.Б., Буркитбаев Т.C. (Kunzhigitova G.B. Burkitbaev T.S.)</t>
  </si>
  <si>
    <t>Teaching suggestions for subject’s practical exercise «Professional-oriented English language». (for 5В041700- Decorative art specialty students)</t>
  </si>
  <si>
    <t>Teaching suggestions for subject’s practical exercise «Professional-oriented English language» has been developed on the standard programme’s basis and course programme of Professional-oriented English language and contains entire focus information to study the subject.
 Teaching suggestions intended for 5B041700 - Decorative art specialty students.</t>
  </si>
  <si>
    <t>0004124</t>
  </si>
  <si>
    <t>Teaching suggestions for subject’s practical exercise «Professional-oriented English language» (for 5В042100- Disign specialty students</t>
  </si>
  <si>
    <t>Teaching suggestions for subject’s practical exercise «Professional-oriented English language» has been developed on the standard programme’s basis and course programme of Professional-oriented English language and contains entire focus information to study the subject.
 Teaching suggestions intended for 5B042101-Architectural design, 5B042102-Graphic design, 5B042104-Design of Clothing specialty students.</t>
  </si>
  <si>
    <t>0004125</t>
  </si>
  <si>
    <t>Кунжигитова Г.Б., Тайшиков С.Б.,</t>
  </si>
  <si>
    <t>Сызу негіздері. Практикалық сабақтарға арналған әдістемелік нұсқау</t>
  </si>
  <si>
    <t>Әдістемелік нұсқау 050107-«Бейнелеу өнері және сызу» мамандығының студенттеріне арналған. Әдістемелік нұсқау «Сызу негіздері» пәнінің оқу жоспары мен бағдарламасының талаптарына сәйкес құрастырылған және курстың практикалық сабақтарының тақырыптарын орындауға қажетті барлық мәліметтерді қамтиды.</t>
  </si>
  <si>
    <t>0004126</t>
  </si>
  <si>
    <t>Кунтуш Е. В.</t>
  </si>
  <si>
    <t>Электртехникалық материалтану</t>
  </si>
  <si>
    <t>Оқу-әдістемелік құрал «Электртехникалық материалтану» пәні бойынша 5В070200 «Автоматтандыру және басқару» және 5В071800 «Электроэнергетика» мамандықтарында оқитын студенттерге арналған.</t>
  </si>
  <si>
    <t>0004127</t>
  </si>
  <si>
    <t>Методическое пособие по дисциплине «Электротехническое материаловедение»</t>
  </si>
  <si>
    <t>Методическое пособие по дисциплине «Электротехническое материа-ловедение» предназначено для студентов специальностей 5В070200 «Авто-матизация и управление» и 5В071800 «Электроэнергетика».</t>
  </si>
  <si>
    <t>0004128</t>
  </si>
  <si>
    <t>Кунтуш Е.В., Сиверская Т.И.</t>
  </si>
  <si>
    <t>Учебно методическое пособие для выполнения контрольных работ по дисциплинам «Электротехника», «Электротехника и основы электроники» и «Основы электротехники»</t>
  </si>
  <si>
    <t>Учебно-методическое пособие по выполнению контрольных работ по дисциплинам «Электротехника», «Электротехника и основы электроники» и «Основы электротехники» для студентов неэлектротехнических специальностей всех форм обучения составлено старшими преподавателями кафедры «ЭиАТС» Кунтуш Е.В. и Сиверской Т.И. В пособии содержится краткое теоретическое изложение основных разделов электротехники, контрольные задания и примеры их выполнения.</t>
  </si>
  <si>
    <t>0004130</t>
  </si>
  <si>
    <t>Куракбаев Д.С., Махатова А.Х.</t>
  </si>
  <si>
    <t>Работаем в среде MathCad</t>
  </si>
  <si>
    <t>Учебное пособие составлен для самостоятельного освоения работы популярного математического пакета MathCad. MathCad занимают особое место среди множества математических систем и по праву называется самой универсальной. Она позволяет выполнять как численные, так и аналитические вычисления, имеет прекрасные средства графики. Приведены необходимые сведения для работы в MathCad и решения большинства практических задач. Содержатся задания для самостоятельного решения, предназначенного для закрепления пройденного материала и формирования практических навыков по дисциплине «Моделирование прикладных задач в среде MathCad». Учебное пособие полезен для всех пользователей MathCad, как начинающих, так и опытных, и будет полезна студентам, инженерам и научным работникам. Учебное пособие предназначен для студентов специальности 5B011100, 5В060200 «Информатика»</t>
  </si>
  <si>
    <t>0004131</t>
  </si>
  <si>
    <t>Куракбаева А.Ж.</t>
  </si>
  <si>
    <t>Методическое руководство к практическим занятиям по дисциплине «Профессиональный русский язык»</t>
  </si>
  <si>
    <t>Данное методическое руководство окажет помощь студентам специальности начальная военная подготовка, обучающимся на казахском языке использовать в своей подготовке научный стиль и его жанры на русском языке; познакомит с правилами построения и оформления научного текста, особенностями функционирования языковой системы в профессиональном общении; научной лексики; зная речевые нормы профессиональной сферы, основы деловой коммуникации, обобщать научно-профессиональную информацию, вести диалог на профессиональную военную, педагогическую тему, публично выступать в рамках профессиональной сферы общения; реферировать и аннотировать тексты на русском языке в рамках профессиональной сферы общения; правильно использовать речевой этикет.</t>
  </si>
  <si>
    <t>0004140</t>
  </si>
  <si>
    <t>Курбанова А.С., Абдыкаримова Ш.</t>
  </si>
  <si>
    <t>Жануарлар физиологиясы</t>
  </si>
  <si>
    <t>Оқу құралы малдәрігері оқу орындарының студенттеріне арналған. Оның мақсаты студенттерге малдың организімінің физиологиялық процестері туралы түсінік беру. Оқулықта организмнің әрбір жүйесіне жеке - жеке түсінік берілген. Студент әр жүйе туралы оның анатомиялық құрылысы және функциясы туралы толық түсінік ала алады. Сондықтан оқу құралының студенттерге, өндірістік мал мамандарына арнаймыз. Оқу құралы 5В120100 - «Ветеринарлық медицина» мамандығының студенттеріне арналған және «Жануарлар физиологиясы.» пәнінің типтік бағдарламасына сәйкестендіріліп жазылған.</t>
  </si>
  <si>
    <t>0004143</t>
  </si>
  <si>
    <t>Кургамбеков М.С., Кемалова Г.Б.</t>
  </si>
  <si>
    <t>Көркем еңбекке оқытуда оқушылардың техникалық шығармашылығын қалыптастыру</t>
  </si>
  <si>
    <t>Монография мемлекеттік стандартқа сәйкес педагогикалық жоғары оқу орындары студенттеріне арналады.</t>
  </si>
  <si>
    <t>0004144</t>
  </si>
  <si>
    <t>Курманалина А.А., Тлеубергенова М.А.</t>
  </si>
  <si>
    <t>«Кәсіпорын экономикасы» пәнінің дәрістер жинағында кәсіпорын барлық экономиканың негізгі бөлігі екендігі жайлы түсінік береді</t>
  </si>
  <si>
    <t>0004146</t>
  </si>
  <si>
    <t>Курманбаева А С</t>
  </si>
  <si>
    <t>Мышьяк и растения</t>
  </si>
  <si>
    <t>В монографии анализируются данные литературы последних лет о загрязнении почвы и растений мышьяком и собственные исследования автора о морфофизиологических и биохимических Пособие предназначено для научных сотрудников, занимающихся проблемой загрязнения окружающей среды мышьяком. А также для преподавателей, магистрантов и студентов обучающихся по специальностям «Экология», «Биология», «Биотехнология». особенностях действия мышьяка на растения и механизмы устойчивости.</t>
  </si>
  <si>
    <t>0004147</t>
  </si>
  <si>
    <t>Курманбаева А. С.</t>
  </si>
  <si>
    <t>Экообусловленность заболеваемости населения в Акмолинской области</t>
  </si>
  <si>
    <t>Пособие предназначено для научных сотрудников, занимающихся проблемой загрязнения окружающей среды и заболеваемостью населения. А также для преподавателей, магистрантов и студентов обучающихся по специальностям «Экология», «Биология», «Биотехнология», «Общая медицина».</t>
  </si>
  <si>
    <t>0004148</t>
  </si>
  <si>
    <t>Курмангалиева Д.Б., Курмангалиева Д.М.</t>
  </si>
  <si>
    <t>Статистические методы управления качеством продукции и процессов</t>
  </si>
  <si>
    <t>Учебное пособие составлено в соответствии с требованиями типовой учебной программы дисциплины «Статистические методы управления качеством продукции и процессов». Материал, охватывающий весь курс, освещает содержание изучаемой дисциплины. Пособие предназначено как дополнительный материал для студентов специальности «Стандартизация, сертификация и метрология»</t>
  </si>
  <si>
    <t>0004149</t>
  </si>
  <si>
    <t>Өнім сапасын және үрдістерді басқарудың статистикалық әдістері</t>
  </si>
  <si>
    <t>Оқу құралы «Өнім сапасын және үрдістерді басқарудың статистикалық әдістері» пәнінің типтік оқу бағдарлама талаптарына сай құрастырылған. Барлық курсты қамтитын мәлімет оқылып жатқан пәннің мазмұнын ашады. Оқу құралы «Стандарттау, сертификаттау және метрология» мамандығының студенттеріне арналған қосымша мәлімет көзі ретінде қолдануға арналған</t>
  </si>
  <si>
    <t>0004150</t>
  </si>
  <si>
    <t>Методические указания к практическим занятиям по дисциплине «Статистические методы управления качеством продукции и процессов»</t>
  </si>
  <si>
    <t>Методические указания составлены в соответствии с требованиями учебного плана и программой дисциплины «Статистические методы управления качеством продукции и процессов» и включают все необходимые сведения по выполнению практических занятий.
 Методические указания предназначены для студентов специальности 5И073200 «Стандартизация, метрология и сертификация»</t>
  </si>
  <si>
    <t>0004151</t>
  </si>
  <si>
    <t>«Өнім сапасын және үрдістерді басқарудың статистикалық әдістері» пәнінен 5В073200 – «Стандарттау, метрология және сертификаттау» мамандығының студенттеріне жұмыстарды орындауға арналған ПРАКТИКУМ</t>
  </si>
  <si>
    <t>Әдістемелік нұсқау оқу жоспары және «Өнім сапасын және үрдістерді басқарудың статистикалық әдістері» пәнінің бағдарламасының талаптарына сәйкес құрастырылған және практикалық жұмыстарды орындауға арналған барлық мәліметтер қамтылған Практикум 5В073200 «Стандарттау, метрология және сертификаттау» мамандығының студенттеріне арналған</t>
  </si>
  <si>
    <t>0004156</t>
  </si>
  <si>
    <t>Курманова Г.С.</t>
  </si>
  <si>
    <t>Жер мониторингі</t>
  </si>
  <si>
    <t>Ұсынылған оқу құралында жер мониторингінің түсінігі, есептері, мазмұны, құрылымы және принциптері берілген. Жер мониторингі басқа мониторинг және табиғи ресурстар кадастры түрлерінің арасында базалық байланыс ролін орындайды. Оқу құралы жер кадастры, жер мониторингі, жерге орналастыру, табиғи ресурстар қорғау саласындағы мамандықтар бойынша жоғары оқу орындарының студенттеріне, магистранттарға және докторанттарға, сонымен қатар жер ресурстарын басқару және жер қатынастарын реттестіру саласындағы мамандарға арналған.</t>
  </si>
  <si>
    <t>0004157</t>
  </si>
  <si>
    <t>Мониторинг земель</t>
  </si>
  <si>
    <t>В представленном учебном пособии раскрывается понятие, задачи, содержание, структура и принципы мониторинга земель, выполняющего базовую, связующую роль среди всех других мониторингов и кадастров природных ресурсов. Учебное пособие предназначено для студентов, магистрантов и докторантов вузов по специальностям в области земельного кадастра, землеустройства, охраны природных ресурсов, а также для специалистов в области управления земельными ресурсами и регулирования земельных отношений.</t>
  </si>
  <si>
    <t>0004161</t>
  </si>
  <si>
    <t>Кусаинов Г.М.</t>
  </si>
  <si>
    <t>Современный энциклопедический словарь. Образование. Наука. Инновации. 1том</t>
  </si>
  <si>
    <t>0004162</t>
  </si>
  <si>
    <t>Современный энциклопедический словарь. Образование. Наука. Инновации. 2том</t>
  </si>
  <si>
    <t>0004163</t>
  </si>
  <si>
    <t>Современный энциклопедический словарь. Образование. Наука. Инновации. 3том</t>
  </si>
  <si>
    <t>0004164</t>
  </si>
  <si>
    <t>Современный энциклопедический словарь. Образование. Наука. Инновации. 4том</t>
  </si>
  <si>
    <t>0004165</t>
  </si>
  <si>
    <t>Кусаинов Г.М., Каримова Б.С., Васильева Е.Н.</t>
  </si>
  <si>
    <t>Антология коллективного обучения. Часть 2, (том 1)</t>
  </si>
  <si>
    <t>Во второй части второго выпуска раскрывается уникальный опыт якутских педаго-гов по освоению педагогической технологии КСО «по горизонтали» и «по вертикали», впервые рассматриваются вопросы этнопедагогизации коллективного взаимообучения. Адресуется работникам сферы образования и науки, обучающимся гуманитарных колледжей, педагогических вузов и университетов.</t>
  </si>
  <si>
    <t>0004166</t>
  </si>
  <si>
    <t>Антология коллективного обучения. Часть 2, (том 2)</t>
  </si>
  <si>
    <t>0004167</t>
  </si>
  <si>
    <t>Кусаинов Г.М., Игибаева А.К., Шалгынбаева К.К.</t>
  </si>
  <si>
    <t>Практическое руководство для педагога-исследователя</t>
  </si>
  <si>
    <t>Настоящее пособие является практическим руководством для исследовательской деятельности педагогов общеобразовательных школ, гуманитарных колледжей, педагогических вузов и университетов, основная цель которого заключается в том, чтобы ознакомить, расширить и углубить знания по вопросам методологии, методов и методики научно-педагогического исследования, развить навыки применения методов исследования, сбора данных и их обработки.
 В пособии представлена информация о сущности и содержании педагогического исследования, методов и этике исследования, методики проведения практической исследовательской работы в рамках экспериментальной деятельности.
 Адресуется работникам сферы образования и науки, обучающимся гуманитарных колледжей, педагогических вузов и университетов.</t>
  </si>
  <si>
    <t>0004168</t>
  </si>
  <si>
    <t>Кусаинов Г.М., Игибаева А.Қ., Шалғынбаева Қ.Қ.</t>
  </si>
  <si>
    <t>Педагог-зерттеушіге арналған практикалық нұсқаулық</t>
  </si>
  <si>
    <t>Осы оқу-әдістемелік құралы жалпы білім беретін мектеп, гуманитарлық колледж, педагогикалық жоғары оқу орындары педагогтерінің зерттеу қызметін жүзеге асыруға арналған нұсқаулық. Оның негізгі мақсаты –педагогтарды ғылыми – педагогикалық әдістермен, әдістеменің, әдіснама мәселелерімен таныстыру және білімдерін кеңейту мен тереңдету, зерттеу әдістерін қолдану, мәліметтер жинау мен өңдеу дағдыларын дамыту болып табылады. 
 Оқу құралында педагогикалық зерттеудің мәні мен мазмұны, зерттеу әдістері ме этикасы, эксперименталды іс-әрекет шеңберіндегі тәжірибелік зерттеу жұмыстарын жүргізу әдістемесі туралы ақпарат берілген. 
 Білім және ғылым саласының қызметкерлеріне, гуманитарлық колледж, педагогикалық жоғары оқу орындарының білім алушыларына арналған.</t>
  </si>
  <si>
    <t>0004169</t>
  </si>
  <si>
    <t>Кусаинов Г.М., Кагазбаева А.К., Абыканова Б.Т., Айтбаева Д.Б., Мылтыкбаева Л.Р., Нугуманова С.Б.</t>
  </si>
  <si>
    <t>Наука об обучении и новая образовательная практика. Том 2</t>
  </si>
  <si>
    <t>В учебно-методическом пособии излагаются основные положения новой дидакти-ки как науки об обучении, новая образовательная практика, связанная с реализацией ключевых идей программ повышения квалификации педагогических кадров и руково-дителей системы образования в условиях обновления содержания образования, предла-гаются методики коллективного и группового обучения с учетом лучшей практики, выявляются пути развития полиязычия и управления изменения в школе. пособие адресовано обучающимся вузов и колледжей, научно-педагогическим и педагогическим работникам и руководителям организаций образования, слушателям системы повышения квалификации.</t>
  </si>
  <si>
    <t>0004170</t>
  </si>
  <si>
    <t>Наука об обучении и новая образовательная практика. Том 1</t>
  </si>
  <si>
    <t>В учебно-методическом пособии излагаются основные положения новой дидакти-ки как науки об обучении, новая образовательная практика, связанная с реализацией ключевых идей программ повышения квалификации педагогических кадров и руково-дителей системы образования в условиях обновления содержания образования, предла-гаются методики коллективного и группового обучения с учетом лучшей практики, выявляются пути развития полиязычия и управления изменения в школе. Пособие адресовано обучающимся вузов и колледжей, научно-педагогическим и педагогическим работникам и руководителям организаций образования, слушателям системы повышения квалификации.</t>
  </si>
  <si>
    <t>0004171</t>
  </si>
  <si>
    <t>Дидактика коллективного способа обучения: словарь-справочник</t>
  </si>
  <si>
    <t>0004173</t>
  </si>
  <si>
    <t>Кусаинов Ғ.М., Қағазбаева А.К., Абыканова Б.Т., Айтбаева Д.Б.,
 Жарменова Г.С., Нугуманова С.Б.</t>
  </si>
  <si>
    <t>Оқыту туралы ғылым және жаңа білім беру практикасы том 1</t>
  </si>
  <si>
    <t>Оқу құралында дидактиканың ғылымға дейінгі жағдайынан (дидактика өнер, теория ретінде) оқыту жайлы тәуелсіз ғылымға айналғанына дейін (білім беру) эволюциялық дамуы баяндалады, оның тақырыбы мен мазмұны, әдіснама дуализмі (социология мен гносеология), оқытудың түрлі тұжырымдамалық тәсілдері, формалары мен олардың жіктемелері, ұйымдастырушылық құрылымына байланысты оқу процесі дамуының дәуірлеуі, оқыту принциптері, оқытудың педагогикалық технологиялары мен әдіснамаларының мазмұны қарастырылады, үздік тәжірибені ескеру арқылы ұжымдық және топтық оқыту әдістері ұсынылады, көптілділікті дамыту жолдары мен мектептегі өзгерістерді басқару анықталады. 
 Оқу құралы жоғарғы оқу орындары мен колледж оқушыларына, педагогикалық жұмыскерлер мен білім беру ұйымдарының жетекшілеріне, біліктілікті арттыру жүйесінің тыңдармандарына арналған.</t>
  </si>
  <si>
    <t>0004174</t>
  </si>
  <si>
    <t>Оқыту туралы ғылым және жаңа білім беру практикасы. Том 2</t>
  </si>
  <si>
    <t>0004175</t>
  </si>
  <si>
    <t>Кусаинов Г.М., Танирбергенова А.Ш., Ишенгельдиева М.Г.</t>
  </si>
  <si>
    <t>Практическая психология</t>
  </si>
  <si>
    <t>В учебно-методическом пособии рассматриваются современные практические подходы и концепции, направленные на понимание природы психики детей, механизмов психологической защиты, раскрываются вопросы развития навыков формирования навыков психологического консультирования обучающихся, родителей, педагогов, практических навыков по предупреждению когнитивных, эмоциональных, социальных, поведенческих трудностей и нарушений, а также профессиональной психологической рефлексии для систематической супервизии и личной терапии.
 Пособие адресуется для обучающихся, педагогов и психологов организаций образования, коучам и тренерам, родительской общественности.</t>
  </si>
  <si>
    <t>0004176</t>
  </si>
  <si>
    <t>Практикалық психология</t>
  </si>
  <si>
    <t>Осы құралда бала психикасының табиғатын, психологиялық қорғаныс механизімін түсінуге бағытталған заманауи психологиялық тәсілдер, тұжырымдамалар мен білім алушыларға, ата-аналарға және педагогтерге психологиялық кеңес беру, когнитивті, эмоционалды, әлеуметтік және мінез-құлық ауытқушылықтарының алдын алу бойынша практикалық ұсынымдар, жүйелі супервизия мен өзіндік терапия және мектеп медитациясын жүргізуге қажетті кәсіби психологиялық рефлексия дағдысын дамыту қарастырылады. 
 Құрал білім беру ұйымдарының білім алушыларына, педагогтеріне, психологтарына, коучтар мен тренерлерге және ата-аналарына қауымына бағытталған.</t>
  </si>
  <si>
    <t>0004177</t>
  </si>
  <si>
    <t>Профессиональная ориентация: практическое руководство</t>
  </si>
  <si>
    <t>Учебное -методическое пособие</t>
  </si>
  <si>
    <t>В методическом пособии рассматриваются вопросы сущности и содержания, особенностей профориентационной работы, развития навыков XXI века в соответствии с востребованными в будущем специальностями, формирования навыков диагностики профессиональной направленности и способностей обучающихся, планирования совместной работы с родителями по формированию и реализации модели личностного развития обучающихся в выборе профессии.
 Пособие адресуется для обучающихся, педагогов и психологов организаций образования, коучам и тренерам, родительской общественности.</t>
  </si>
  <si>
    <t>0004178</t>
  </si>
  <si>
    <t>Кәсіптік бағдар практикалық нұсқаулық</t>
  </si>
  <si>
    <t>Әдістемелік нұсқаулықта кәсіптік бағдар жұмысының мәні, мазмұны мен ерекшелігі, болашақта сұранысқа ие мамандықтарға сәйкес ХХІ ғасыр дағдыларын дамыту, білім алушылардың қабілеттерін және кәсіптік бағыттылығын диагностикалау дағдыларын қалыптастыру, мамандық таңдауда білім алушылардың тұлғалық даму моделін жүзеге асыру мен қалыптастыру бойынша ата-аналармен бірлескен жұмысын жоспарлау мәселелері қарастырылған.
 Құрал білім беру ұйымдарының білім алушыларына, педагогтеріне, психологтарына, коучтар мен тренерлерге және ата-аналарына қауымына бағытталған.</t>
  </si>
  <si>
    <t>0004180</t>
  </si>
  <si>
    <t>Кусаинов М.Д., Ж.М. Нагуманова, С.Б. Шайкенов, Д.Х. Турсумбаева</t>
  </si>
  <si>
    <t>Подготовка офицеров запаса. Сухопутных войск. II книга (2 часть)</t>
  </si>
  <si>
    <t>В книге представлен учебный материал по «Методике воспитательной и идеологической работы в Сухопутных войсках» для подготовки офицеров - воспитателей. Учебное пособие предназначено для студентов (курсантов) высших, а так же учащихся средних образовательных учреждении</t>
  </si>
  <si>
    <t>0004181</t>
  </si>
  <si>
    <t>Подготовка офицеров запаса. Сухопутных войск. II книга (3 часть)</t>
  </si>
  <si>
    <t>0004187</t>
  </si>
  <si>
    <t>Кусаинов Х. Х., Сергеева А. М.</t>
  </si>
  <si>
    <t>Туризм экономикасы</t>
  </si>
  <si>
    <t>туризм</t>
  </si>
  <si>
    <t>Туризм экономикасы оқу құралында туризм индустриясын мемлекеттік реттеу жүйесі, туристік мекемелердің эволюциялық реттелу бағыттары, туризмдегі қызмет көрсету салаларын дамыту мәселелері, туристік кешеннің дамуындағы стратегиялық міндеттерді қалыптастыру жолдары, экономиканы кластерлік жүйемен дамытудың теория-әдістемелік негіздері қарастырылған.
 Оқу құралы туризм мамандығының студенттеріне, оқытушыларға арналған.</t>
  </si>
  <si>
    <t>0004188</t>
  </si>
  <si>
    <t>Кусаинов Х.Х., Кунуркульжаева Г.Т., Лыгина О.И. , Хусаинов Б.М.</t>
  </si>
  <si>
    <t>Учебное пособие раскрывает место и роль менеджмента в деятельности предприятия; эволюцию менеджмента; принципы и методы управления; организацию как объект и субъект управления; коммуникации и процесс принятия решения; функции менеджмента; групповую динамику и лидерство; управление конфликтами, стрессами и изменениями; управление качеством и производительностью; сущность и пути повышения эффективности управления. Определенное внимание уделяется рассмотрению отдельных функциональных областей менеджмента как стратегическое управление, инновационный менеджмент и антикризисное управление. Данное учебное пособие предназначено для студентов и магистрантов экономических специальностей и других направлений, в которых изучается менеджмент, а также практических работников, интересующихся вопросами эффективного управления организацией.</t>
  </si>
  <si>
    <t>0004189</t>
  </si>
  <si>
    <t>Кусаинова Л.К, Касым А.С.</t>
  </si>
  <si>
    <t>Элементы теории обобщенных функций</t>
  </si>
  <si>
    <t>В данном учебном пособии излагаются основные положения теории обобщенных функций. Теория обобщеных функций является одной из современных областей фундаментальной математики и востребована для математических постановок и решения задач, возникающих при моделировании многих естественных процессов. Целью авторов было сделать более доступным для студентов естественных факультетов ВУЗов чтение современной специальной литературы в этой области абстрактной математики</t>
  </si>
  <si>
    <t>0004191</t>
  </si>
  <si>
    <t>Кусаинова Н.М.</t>
  </si>
  <si>
    <t>Учебно-методические материалы к учебному курсу "Психология и этика делового общения"</t>
  </si>
  <si>
    <t>Учебно-методический комплекс</t>
  </si>
  <si>
    <t>В учебно-методическом комплексе изложены все материалы, имеющие отношение к занятиям по элективной дисциплине «Психология и этика делового общения». Дана рабочая программа, разработанная для изучения дисциплины. Тематические планы занятий. Лекционный комплекс. методические разработки к семинарским занятиям. методические разработки к самостоятельным работам студентов, психологические практикумы, тесты и контрольно-измерительные средства. Данный учебно-методический комплекс может быть использован преподавателями психологии, магистрантами, студентами факультетов «общая медицина», «стоматология», «общественное здравоохранение», «медико-профилактическое дело», «сестринское дело», а также для всех, кто интересуется психологией и этикой делового общения.</t>
  </si>
  <si>
    <t>0004192</t>
  </si>
  <si>
    <t>Кусаинова Н.М., Смаилова Ж.У.</t>
  </si>
  <si>
    <t>Сборник психологических тренингов, игр и упражнений "Психотехнологии групповой работы"</t>
  </si>
  <si>
    <t>В сборник вошли разработки психологических тренингов, семинаров, психотехник, игр и упражнений. Изучение основ психологического тренинга и практика их самостоятельного проведения позволяет получить знания о ведущих современных психологических направлениях, формировать навыки групповых тренинговых работ, умения вести группы в качестве ведущего. Материалы сборника могут быть полезными психологам, учителям, завучам школ, а также использоваться как практическое и учебно-методическое пособие для преподавателей и студентов вузов в ходе изучение прикладных психологических дисциплин.</t>
  </si>
  <si>
    <t>0004204</t>
  </si>
  <si>
    <t>Кухар Е.В.</t>
  </si>
  <si>
    <t>Методические указания к лабораторно-практическим занятиям по дисциплине «Процессы и аппараты в биотехнологии» для студентов высших учебных заведений специальности 5В070100 – «Биотехнология»</t>
  </si>
  <si>
    <t>Настоящий курс предназначен для студентов, обучающихся по специальности 5В070100 – Биотехнология.В курсе изучения дисциплины «Процессы и аппараты в биотехнологии» предусматривается ознакомление с основными аппаратами микробиологических производств, изучение теории переноса количества теплоты и массы и теории моделирования процессов биотехнологии, тепловых процессов и аппаратов, тепловых процессов в ферментерах, аппаратов и процессов выделения и очистки продуктов микробного синтеза. Целью является формирование знаний, умений и навыков в области устройства и эксплуатации оборудования, использующегося в различных отраслях биотехнологии, и технологических процессов биотехнологии.</t>
  </si>
  <si>
    <t>0004205</t>
  </si>
  <si>
    <t>Учебное пособие представляет собой обобщение и анализ данных литературы и собственных исследований автора по микробиологической биотехнологии. Во введении раскрываются предпосылки и история развития биотехнологии, ее перспективы и проблемы. Первая часть характеризует объекты биотехнологии микроорганизмов, сырьевую базу, штаммы-продуценты, принципы и методы промышленной биотехнологии. Вторая часть учебного пособия посвящена конкретным технологиям микробного синтеза целевой продукции, где описаны способы получения микробной биомассы, первичных и вторичных метаболитов. В заключении подводятся итоги, и высказывается уверенность успешного усвоения знаний студентами. Каждая глава завершается перечнем контрольных вопросов. Имеются тестовые задания к изложенному материалу. Учебное пособие предназначено для преподавателей и студентов высших учебных заведений, магистрантов, докторантов по специальности 5В070100 – «Биотехнология</t>
  </si>
  <si>
    <t>0004206</t>
  </si>
  <si>
    <t>РАБОЧАЯ ТЕТРАДЬ для лабораторно-практических занятий по дисциплине«БИОТЕХНОЛОГИЯ МИКРООРГАНИЗМОВ» для студентов биологических и ветеринарных специальностей в двух частях</t>
  </si>
  <si>
    <t>Рабочая тетрадь</t>
  </si>
  <si>
    <t>Методические указания и задания по дисциплине «Биотехнология микроорганизмов» разработаны в соответствии с современными требованиями к специалистам биотехнологам и ветеринарным лабораторным работникам на основании действующей учебной программы.В процессе выполнения лабораторно-практических занятий студенты, исходя из полученных теоретических знаний, изложенных в учебном пособии и курсе лекций по дисциплине «Биотехнология микроорганизмов» должны изучить наиболее важные вопросы, которые им предстоит решать в практической работе, приобрести навыки и умение самостоятельного поиска оптимальных решений конкретных практических задач.</t>
  </si>
  <si>
    <t>0004207</t>
  </si>
  <si>
    <t>Практикум по молекулярной биологии</t>
  </si>
  <si>
    <t>В учебном пособии изложены материалы по выделению и фракционированию нуклеиновых кислот и белков, методы молекулярной биологии в иммуноферментном анализе и полимеразной цепной реакции. В главах «Методы выделения и фракционирования нуклеиновых кислот» и «Методы выделения и фракционирования белков» дан краткий литературный обзор по соответствующим темам и освещены вопросы выделения компонентов из различного биологического материала с применением разнообразных методик. Глава III дополнена последними изысканиями по выделению и очистке антигенов для постановки ИФА. В главу «Полимеразная цепная реакция» наряду с традиционным методом постановки реакции для диагностики инфекционных заболеваний включен молекулярно-биологический метод идентификации личности. Учебное пособие предназначено для студентов высших учебных заведений, для аспирантов и специалистов научно-исследовательских учреждений, занимающихся изысканиями в области молекулярной биологии. В учебном пособии содержится 14 рисунков, 3 таблицы. Библиография – 23 названия.</t>
  </si>
  <si>
    <t>0004208</t>
  </si>
  <si>
    <t>Кухар Е.В., Ахметов А.Н.</t>
  </si>
  <si>
    <t>Микроорганизмдер биотехнологиясы</t>
  </si>
  <si>
    <t>Оқу құралы автордың микробиологиялық биотехнология саласындағы өзіндік зерттеу жұмыстарын пайымдау және әдебиет көздеріне саралау жүргізу жұмыстарының жинағы ретінде ұсынылған. Еңбектің кіріспе бөлімінде биотехнологияның даму тарихы мен оның алғышарттары, даму келешегі мен мәселелеріне көңіл бөлінген. Бірінші бөлімде микроорганизмдер биотехнологиясы нысандарына, оның шикізаттық базасына, штамм-продуценттерге сипаттама беріледі, өнеркәсіптік биотехнология принциптері мен әдістері ашылып көрсетіледі. Оқу құралының екінші бөлімінде мақсаттық өнімдердің микробтық синтезделуінің нақты технологиялары ашылып көрсетілген, мұнда микробтық биомасса, біріншілік және екіншілік метаболиттер алынуы сипатталады. Еңбектің қорытынды бөлімінде қорытындылар мен пайымдаулар жасалып, студенттердің білім алуына қажетті материалдар келтірілген. Әрбір бөлім бақылау сұрақтары, қажетті әдебиет тізімі түрінде аяқталып отырады. Келтірілген материалдарға қатысты тесттік тапсырмалар бар. Оқу құралы жоғары оқу орыны 5В070100 – Биотехнология мамандығы оқытушылары мен студенттеріне, магистранттарына, докторанттарына, осы сала мамандарына арналған.</t>
  </si>
  <si>
    <t>0004209</t>
  </si>
  <si>
    <t>Кухар Е.В., Есжанова Г.Т.</t>
  </si>
  <si>
    <t>Основы фармакогнозии</t>
  </si>
  <si>
    <t>Учебное пособие «Основы фармакогнозии» слагается из нескольких частей. Во введении раскрываются предпосылки и история развития фармакогнозии, ее перспективы и проблемы. В первой части даны общие понятия, касающиеся лекарственного сырья и лекарственных растений и животных, сведения о важнейших группах биологически активных веществ и их месте в обмене веществ растительных и животных организмов, охарактеризованы основные методы определения запасов лекарственного растительного сырья, главнейшие приемы сбора, первичной обработки, сушки, хранения и т.д. Во второй главе дана характеристика лекарственного растительного сырья как источника биологически активных веществ. Каждая глава и подглавы завершаются перечнем контрольных вопросов. Учебное пособие предназначено для студентов высших учебных заведений по специальности 5В070100 – «Биотехнология» (направление подготовки – «Фармацевтическая биотехнология»). Может быть рекомендовано в качестве дополнительной литературы для обучающихся в бакалавриате, специалитете, магистратуре и докторантуре по специальностям «Ветеринарная медицина», «Ветеринарная санитария», «Ветеринарная фармация».</t>
  </si>
  <si>
    <t>0004210</t>
  </si>
  <si>
    <t>Кухар Е.В., Мальчевская Е.А., Абильдина Д.А.</t>
  </si>
  <si>
    <t>Методические указания к лабораторно-практическим занятиям по дисциплине «Объекты биотехнологии»</t>
  </si>
  <si>
    <t>Методические указания по выполнению лабораторно-практических работ по дисциплине «Объекты биотехнологии» составлены в соответствии с требованиями ТУП и РУП специальности и включают все необходимые сведения по освоению дисциплины и приобретению необходимых компетенций студентов специальности 5В070100-«Биотехнология»</t>
  </si>
  <si>
    <t>0004211</t>
  </si>
  <si>
    <t>Кухар Е.В., Нечай Н.Л.</t>
  </si>
  <si>
    <t>Экологическая биотехнология</t>
  </si>
  <si>
    <t>Учебное пособие по изучению дисциплины «Экологическая биотехнология» для студентов высших учебных заведений. Астана: Казахский агротехнический университет им. С.Сейфуллина, 2019. 109 с., 35 илл. В учебном пособии изложены материалы по вопросам использования микроорганизмов для решения вопросов охраны окружающей среды: воды, воздуха, почвы, вопросов утилизации твердых отходов и производства экологически чистой энергии. Курс лекций предназначен для студентов биологических и ветеринарных специальностей высших учебных заведений, магистрантов и аспирантов, занимающихся вопросами экологической биотехнологии. В учебном пособии содержится 15 рисунков, 6 таблиц. Библиография – 35 названий.</t>
  </si>
  <si>
    <t>0004212</t>
  </si>
  <si>
    <t>Кухар Е.В., Орынбеков Д.Р.</t>
  </si>
  <si>
    <t>Нұсқаулар пән бойынша зертханалық-практикалық сабақтарға «Биотехнологиядағы процестер мен аппараттар». Жоғары оқу орындарының студенттері үшін 5В070100 - «биотехнология» мамандығы</t>
  </si>
  <si>
    <t>Бұл ұсынылып отырылған курс жұмысы 5В070100 – Биотехнология мамандығы бойынша білім алатын студенттерге арналған. «Биотехнологияның процестері мен аппараттары» атты курс тәртібін зерттеу жұмысында микробиологиялық өндірістің негізгі аппараттарымен танысу, биотехнологиялық процестерді жобалау теориясын, жылу мен масса мөлшерін өткізу теориясын, жылу процестері мен аппараттардың, ферментердегі жылу процестерінің теориясын, микробтық синтез өнімдерін тазалау және бөліп шығару аппараттары мен процестер теориясын зерттеу жұмыстары қамтылады.Курс жұмысының негізгі мақсаты биотехнологияның технологиялық процестері мен биотехнологияның әртүрлі салаларында қолданыста болатын жабдықтардың құрылғылары мен пайдаланылу аймағындағы білімділік пен біліктілікті қалыптастыру болып табылады.</t>
  </si>
  <si>
    <t>0004213</t>
  </si>
  <si>
    <t>Кухар Е.В.,Ахметов А.Н.</t>
  </si>
  <si>
    <t>Экологиялық биотехнология</t>
  </si>
  <si>
    <t>Оқу құралында микроорганизмдерді ауа, топырақ, су т.б. қоршаған орта құрамдас бөліктерін қорғау ісінде пайдалану жөніндегі, қатты қалдықтарды өтелдеп, жою, экологиялық таза энергия түрлерін өндіру мәселелері жөніндегі материалдар баяндалады. Оқу құралы мазмұныа енгізілген дәрістер курсы жоғары оқу орындарының биологиялық және ветеринариялық мамандық студенттеріне, экологиялық биотехнология мәселелерімен айналысып жүрген магистранттар мен докторанттарға арналған.</t>
  </si>
  <si>
    <t>0004214</t>
  </si>
  <si>
    <t>Кучербаев К.Д.Каримсаков К.Е., Хайдаров М.Х., Курбанова Л.Б.</t>
  </si>
  <si>
    <t>Руководство к лабораторно-практическим работам по химии природных соединений</t>
  </si>
  <si>
    <t>В учебном пособии «Руководство к лабораторно-практическим работам по химии природных соединений» изложены лабораторные опыты и практические задания по химии природных соединений.
 Пособие охватывает следующие основные темы: правила и техника безопасности работы в химической лаборатории, методы выделения и очистки природных соединений, групповые качественные реакции на основные группы биологически активных веществ, разделение смесей на индивидуальные соединения и их идентификация, спектральные методы анализа. Данное пособие может быть использовано в учебном процессе студентами химических и фармацевтических специальностей ВУЗов, магистрантами, аспирантами, докторантами и научными сотрудниками, а также всеми, кто интересуется вопросами изучения химии природных соединений.</t>
  </si>
  <si>
    <t>0004222</t>
  </si>
  <si>
    <t>Күзембаева Г., Күзембаев Қ. (Кузембаев К.)</t>
  </si>
  <si>
    <t>Азық-түлік тауарларын тану және сараптау. 1том</t>
  </si>
  <si>
    <t>Тауартану – тауарлардың тұтынушылық қасиеттерін зерттейтін ғылыми пән. Бұл ғылым пән үшін тауарлардың тұтынушылық құнын зерттеу маңызды орын алады. Кез келген тауардың тұтынушылық құны болады. Тауарды өндіруге кеткен қажетті қоғамдық еңбектің мөлшері оның құнын анықтайды. Тауардың пайдалылығы, адамның кез-келген қажеттілігін қанағаттандыру қабілеті тұтынушылық құн деп аталады. Тауардың тұтынушылық құны оның қасиеттеріне негізделген. Өнімнің қасиеті дегеніміз оны өндіруде, қолдануда және тұтынуда айқындалатын объективті ерекшелігі. Тауардың қасиеттері табиғи және өндіру үдерісінде, сақтауда өзгеруі мүмкін.
 Тауартану ғылым ретінде XVІ ғ. ортасында қалыптасты. Бұл кезде шығарылатын тауарлардың көлемі мен түрлері ұлғайды, олар туралы жүйеленген мәлімет пен білім, яғни тауартану қажеттілігі пайда болды. Өнеркәсіптік өндірістің өсуімен тауартану алдында әртүрлі мақсаттар туындады.</t>
  </si>
  <si>
    <t>0004223</t>
  </si>
  <si>
    <t>Азық-түлік тауарларын тану және сараптау. 2том</t>
  </si>
  <si>
    <t>0004228</t>
  </si>
  <si>
    <t>Күреңкеев Т.Б. (Куренкеев Т.Б)</t>
  </si>
  <si>
    <t>Векторлық және тензорлық талдау. Математикалық физика теңдеулері</t>
  </si>
  <si>
    <t>0004229</t>
  </si>
  <si>
    <t>Кванттық механика негіздері</t>
  </si>
  <si>
    <t>0004230</t>
  </si>
  <si>
    <t>Кванттық механика негіздері. (Теориялық Физика Курсы), 2 издание</t>
  </si>
  <si>
    <t>0004232</t>
  </si>
  <si>
    <t>Сандық әдістер</t>
  </si>
  <si>
    <t>Оқулықта кәзіргі кездегі сандық әдістер арқылы шешілетін негізгі есептердің шешу жолдарына қысқаша шолу жасалған. Оқулық жоғарғы оқу орындарының «Математика», «Информатика», мамандықтары білімгерлеріне арналған</t>
  </si>
  <si>
    <t>0004233</t>
  </si>
  <si>
    <t>Статистикалық физика және термодинамика</t>
  </si>
  <si>
    <t>0004234</t>
  </si>
  <si>
    <t>Теориялық механика. Физика математика және кейбір техникалық мамандық студенттеріне арналған оқулық</t>
  </si>
  <si>
    <t>Физика математика және кейбір техникалық мамандық студенттеріне арналған оқулық</t>
  </si>
  <si>
    <t>0004236</t>
  </si>
  <si>
    <t>Термодинамикалық және статистиқалық физика (переизданное)</t>
  </si>
  <si>
    <t>Назарларыңызға ұсынылып отырған оқулық, статистикалық физика мен термодинамика курстарының дәстүрлі материалдарымен қоса, физикалық кинетика бойынша соңғы кезде қалыптасқан тақырып-тардан мағлұмат береді. Термодинамика заңдары, Гиббс статистикасы негізінде түсіндіріледі. Оқулық университеттердің физика мамандықтары білімгерле¬ріне арналған.</t>
  </si>
  <si>
    <t>0004237</t>
  </si>
  <si>
    <t>978-601-327-062-3</t>
  </si>
  <si>
    <t>Физикалық процестерді математикалық модельдеу әдістері</t>
  </si>
  <si>
    <t>Оқулықта кейбір күрделі физикалық процестерді зерттеудің математикалық әдістері қарастырылған. Табиғаттың іргелі заңдарына сүйене отырып, прцестерді математикалық модельдеу жолдары көрсетілген. Сонымен бірге, кейбір экологиялық, демографиялық процестері модельдеу әдістері келтірілген. Кейбір күрделі процестрді зерттеудің сандық әдістері көрсетілген. Оқулық жоғарғы оқу орындарының «Физика», «Математика», «Информатика», мамандықтары, және басқа да техникалық мамандықтар суденттеріне арналған.</t>
  </si>
  <si>
    <t>0004238</t>
  </si>
  <si>
    <t>Теориялық физика курсы. 1 том. Теориялық механика</t>
  </si>
  <si>
    <t>Оқулық университеттердің физика бөлімдерінің білімгерлеріне арналған. Курсты меңгеру үшін жеткілікті деңгейде математикалық дайындық керек. Сондықтан кітаптың соңындағы қосымша бөлімінде векторлық анализ курсы мен өрістер теориясынан қажетті мағлұматтар берілген. Курсты оқу үшін қосымша бөлімді толықтай меңгеру қажет. Сондықтан бұл бөлімді оқулықтың құрамды бөлігі ретінде қарастыру керек</t>
  </si>
  <si>
    <t>0004240</t>
  </si>
  <si>
    <t>978-601-240-241-4</t>
  </si>
  <si>
    <t>Кырыкбаев Ж.К., Ахметов Е.С.</t>
  </si>
  <si>
    <t>Жер қатынастарының тарихы және даму заңдылықтары</t>
  </si>
  <si>
    <t>0004241</t>
  </si>
  <si>
    <t>История и закономерности развития земельных отношений</t>
  </si>
  <si>
    <t>0004250</t>
  </si>
  <si>
    <t>Құланова Қ.Қ. , Марчибаева Ұ.С.</t>
  </si>
  <si>
    <t>Таңдалған спорт түрінен жалпы және арнайы дене дайындығы</t>
  </si>
  <si>
    <t>учебно-методического пособия</t>
  </si>
  <si>
    <t>0004257</t>
  </si>
  <si>
    <t>Қабасова Ж.Қ., Ерқоңыр Ә.К.</t>
  </si>
  <si>
    <t>Өндірістік электроника</t>
  </si>
  <si>
    <t>Өндірістік электроника пәнiнен оқу құралы мемлекеттiк тiлде оқитын Электр энергетикасы және Автоматтандыру және басқару мамандығының студенттері үшiн қажет материал болып табылады.
 Ұсынылған оқу құралы төрт тараудан тұрады. Әр тараудың теориялық мағлұматтары берілген. 
 Оқу құралында өндірістік электроникамен байланысатын негізгі формулалары, заңдары және әр тараудағы өзгеріс жағдайында болатын құбылыстары толығымен көрсетілген. 
 Бұл еңбектiң бүгiнгi таңдағы құндылығын, қажеттiлiгiн ескере отырып, Электр энергетикасы және Автоматтандыру және басқару мамандықтарына және басқа да техникалық мамандықтарының студенттеріне, техникалық қызметкерлерге де арналып шығарылғаны жөн.</t>
  </si>
  <si>
    <t>0004258</t>
  </si>
  <si>
    <t>Қабасова Ж.Қ., Ерқоңыр Ә.К./Кабасова Ж.К.</t>
  </si>
  <si>
    <t>Электр энергетикадағы өтпелі үдерістер пәнінен есептер жинағы</t>
  </si>
  <si>
    <t>Электр энергетикадағы өтпелі үдерістер пәнiнен есептер жинағы мемлекеттiк тiлде оқитын Электр энергетикасы мамандығының студенттері үшiн қажет материал болып табылады.
 Ұсынылған оқу құралы сегіз тараудан тұрады. Әр тараудың теориялық мағлұматтары берілген. Әр тараудың есептер мысалдары және есептер жинағы келтірілген. 
  Оқу құралының соңында есептердің жауаптары, қосымшалар және қажетті әдебиеттер тізімі келтірілген. 
 Оқу құралында электр энергетикадағы өтпелі үдеріспен байланысатын негізгі формулалары, заңдары және әр тізбегінің өзгеріс жағдайында болатын құбылыстарды есептейтін әдістері толығымен көрсетілген. 
 Бұл еңбектiң бүгiнгi таңдағы құндылығын, қажеттiлiгiн ескере отырып, Электр энергетикасы мамандығына және басқа да техникалық мамандықтарының студенттеріне, техникалық қызметкерлерге де арналып шығарылғаны жөн.</t>
  </si>
  <si>
    <t>0004259</t>
  </si>
  <si>
    <t>Қабашев Р.А., Тұрысбеков Б.Т. / Турысбеков Б.Т.</t>
  </si>
  <si>
    <t>Жол-құрылыс машиналары. 1бөлім</t>
  </si>
  <si>
    <t>«Жол-құрылыс машиналары» оқулығы мемлекеттік тілде білім алатын «1410000 Автомобильдер жолдары мен аэродромдар салу» және «1402000 Жол-құрылыс машиналарын техникалық пайдалану (түрлері бойынша)» мамандықтарын дайындайтын оқу орындарына арналған.
  Бұл кітап қазіргі кезде қолданылып жүрген жол-құрылыс жұмыстарындағы машиналар мен жабдықтардың жаңа түрлеріне негізінделіп жазылған. 
  Кітап түрлі-түсті суреттер және сұлбалар арқылы безендірілген, ол тақырыпты оқушылардың сапалы меңгеруге септігін тигізеді. Оқулық орта буынды арнаулы оқу орындарының оқушыларына арналған, жоғарғы оқу орындарының осы мамандық бойынша білім алатын студенттерінің пайдалануына болады.</t>
  </si>
  <si>
    <t>0004260</t>
  </si>
  <si>
    <t>Жол-құрылыс машиналары. 2бөлім</t>
  </si>
  <si>
    <t>0004261</t>
  </si>
  <si>
    <t>Қабиева А.Қ., Куненова П.С.</t>
  </si>
  <si>
    <t>Театрландырылған қойылымдар драматургиясының негіздері</t>
  </si>
  <si>
    <t>оқу әдістемелік құралы</t>
  </si>
  <si>
    <t>Бүкілхалықтық мерейтой салтанаттары, байқаулар және фестивальдер, театрландырылған концерттер және бұқаралық қойылымдар - бүгінде адамдардың сана-сезімінің өсіп, мәдениет деңгейінің дамуының кепілі. Осы орайда оқу барысында студенттің сценарилік өнерге қатысты негізгі ұғымдарын танып білуі, драматургиялық анализ жасау дағдыларын игеруі, театрландырылған қойылымдар тарихы мен драматургиясының негіздерін оқып, білу арқылы шығармашылық өрісін дамыта алады</t>
  </si>
  <si>
    <t>0004269</t>
  </si>
  <si>
    <t>Қабылов Ә.</t>
  </si>
  <si>
    <t>Қазақ тілінің лексикасын оқыту</t>
  </si>
  <si>
    <t>Бұл оқу құралында орта мектепте қазақ тілінің лексикасын оқыту әдістемесі мен қосымша оқу материалдарын қамтылды. Тіліміздегі сөз мағыналарын, мақал-мәтелдер мен тұрақты сөз тіркестерін оқытудың жолдары, әдіс-тәсілдері баяндалып, соған байланысты қосымша оқу материалдары (түсінік-ережелер мен жаттығулар) оқу бағдарламасына сәйкес жүйелілікпен ұсынылған.Оқу құралы «5В011700 - Қазақ тілі мен әдебиеті» мамандығы бойынша білім білім беретін жоғары оқу орындарының студенттері мен қазақ тілінің мұғалімдеріне арналған</t>
  </si>
  <si>
    <t>0004272</t>
  </si>
  <si>
    <t>Қадірбаева А.А.</t>
  </si>
  <si>
    <t>Тағамдық жемдік аса таза заттар технологиясы</t>
  </si>
  <si>
    <t>Оқу құралы „Тағамдық, жемдік және аса таза заттар технологиясы” курсы 5В072000-«Бейорганикалық заттардың химиялық технологиясы» мамандығына химиялық технология ғылымының қазіргі жетістіктеріне сүйене отырып негізгі тағамдық, жемдік және аса таза заттарды өндірудің физика-химиялық негізі, процестің тепе-теңдік жағдайы және кинетикасын қарастырады. Оқу құралында көбірек теориялық мәліметтер келтірілді. Өндірістің технологиялық параметрлері, үлгілері және керек жабдықтар туралы жалпы мәлімет берілген. Оқулық студенттерге, ғылыми қызметкерлерге, өндіріс мамандарына да пайдалы.</t>
  </si>
  <si>
    <t>0004280</t>
  </si>
  <si>
    <t>Қадыров Ж. Т.</t>
  </si>
  <si>
    <t>Ежелгі дәуір әдебиетінен практикалық сабақтар(күндізгі және сырттай бөлім студенттеріне арналған)</t>
  </si>
  <si>
    <t>Оқу-әдістемелік құралда ежелгі дәуір әдебиетінен практикалық сабақтардың тақырыптары, қарастырылатын сұрақтары, мазмұны, тапсырмалар, өзін-өзі тексеру сұрақтары, БӨЖ, БОӨЖ, реферат тақырыптары, тест тапсырмалары құрастырылып беріледі және пайдаланылған әдебиеттер көрсетілген.Оқу-әдістемелік құрал жоғары оқу орындарының оқытушыларына, магистранттарға, студенттерге және мектеп мұғалімдеріне арналған.</t>
  </si>
  <si>
    <t>0004281</t>
  </si>
  <si>
    <t>Хрестоматия. Көкшетау-Қызылжар өңірінің әнші-ақындары</t>
  </si>
  <si>
    <t>Оқу-әдістемелік құралға ХІХ-шы ғасырдың аяғы мен ХХ ғасырдың 80-ші жылдары аралығында өмір сүрген Көкшетау-Қызылжар өңірінің әнші-ақындары Молдахмет Тырбиев, Игібай Әлібаев, Мұса Асайыновтың өлеңдері мен толғаулары, поэмалары, айтыстары жинақталып енгізілді. Хрестоматия университеттердің бакалаврлық оқу сатысы студенттеріне, магистранттарға, әдебиеттанушы мамандарға арналған.</t>
  </si>
  <si>
    <t>0004282</t>
  </si>
  <si>
    <t>Қадыров Ж.Т. , Есембеков Т.У.</t>
  </si>
  <si>
    <t>Әдебиеттану дәрістері (күндізгі және сырттай бөлім студенттеріне арналған)</t>
  </si>
  <si>
    <t>Оқу-әдістемелік құралында әдебиеттану дәрістерінің техникасы мен методикасына катысты мәселелер сөз етіледі. Әдебиеттану ғылымының, библиография, негіздеме, текстология, дерек пен дәйектеме іздеп табу, оларды орынды пайдаланудың алғашкы сатыларымен қатар көркем шығарманың кұрылымын зерттеудің амал-тәсілдері сияқты күрделі мәселелер де карастырылады.Аталмыш оқу-әдістемелік кұралын филология факультеттерінде өтілетін арнаулы курстарда пайдалануға болады.Аталмыш оқу-әдістемелік кұралын филология факультеттерінде өтілетін арнаулы курстарда пайдалануға болады.</t>
  </si>
  <si>
    <t>0004283</t>
  </si>
  <si>
    <t>Көркем шығарманы талдау мен талқылау жолдары</t>
  </si>
  <si>
    <t>Оқу-әдістемелік құралда көркем шығарманы талдау мен талқылау жолдары, өзін-өзі тексеру сұрақтары құрастырылып беріледі және пайдаланылған әдебиеттер көрсетілген.Оқу-әдістемелік құрал жоғары оқу орындарының оқытушыларына, магистранттарға, студенттерге және мектеп мұғалімдеріне арналған.</t>
  </si>
  <si>
    <t>0004284</t>
  </si>
  <si>
    <t>Қадыров Ж.Т., Синбаева Г.К.</t>
  </si>
  <si>
    <t>Тіл мәдениеті және поэтикалық дейксис</t>
  </si>
  <si>
    <t>Монографияда қазақ тіліндегі эвфемизмдер мен дисфемизмдердің зерттелуі сараланады. Тіл мәдениеті, дейксис, прагматика мәселелері тұрғысынан эвфемизмдердің көркем шығарма тіліндегі қолданылу ерекшелігі қарастырылады.Эвфемизмдер мен дисфемизмдерді оппозициялық құбылыста қарастыруға назар аударылады.Монография жоғары оқу орыны оқытушылары мен магистранттарына, студенттеріне, мектеп мұғалімдеріне, сондай-ақ көпшілік қауымға арналады</t>
  </si>
  <si>
    <t>0004330</t>
  </si>
  <si>
    <t>Қайроллаев К.Қ</t>
  </si>
  <si>
    <t>Гидробионттарды жерсіндірудің теориясы мен практикасы</t>
  </si>
  <si>
    <t>Ветеринария, рыбоводство</t>
  </si>
  <si>
    <t>Оқу құралында су организмдерін жерсіндірудің теориялық негіздері, омыртқасыздарды жерсіндіру арқылы балық өнімділігін арттыру, гидро-бионттарды интродукциялау, су организмдерін жерсіндіруге дайындық шаралары, тасымалдаудың биотехникасы, балықтардың абиотикалық және биотикалық тіршілік ортасымен өзара қатынастары, табиғи суларда балық өсіру, тоғандарда қарқынды балық өсіру сияқты гидробионттарды жерсін-дірудің теориясы мен практикасына байланысты мәселелер қамтылған. Сондай-ақ, организмдердің қоныс ауыстыруын сипаттайтын негізгі ұғымдар: жерсіндірудің түрлері, типтері және әдістері, мақсатты жерсіндірудің түрлері, жерсіндіру фазалары, жерсіндірудің критерийлері туралы түсініктер талданып, омыртқасыз және азықтық организмдерді жерсіндіру, гидро-бионттарды жерсіндірудің дүние жүзінде жүргізілген тәжірибелері де келтіріледі.
 Оқу құралы жоғары оқу орындарында балық шаруашылығы және өнеркәсіптік балық аулау мамандығы бойынша оқитын магистранттарға арналған.</t>
  </si>
  <si>
    <t>0004331</t>
  </si>
  <si>
    <t>Қайырбаева А.Е., Джумабаева А.М.</t>
  </si>
  <si>
    <t>Ұлттық экономика</t>
  </si>
  <si>
    <t>Оқу әдістемелік нұсқауда - ұлттық экономика экономиканы бір тұтас жуйе ретінде қарастыра отырып, ұлттық экономиканы талдаудағы негізгі көрсеткіштері, ұлттық шаруашылық жүйесінің типтері, ұлттық экономикадағы негізгі саясаттары, ұлттық экономиканың экономикадағы негізгі саясаттары, ұлттық экономиканың экономикалық потенциалы берілген. Негізгі бөлімнен, оның ішінде теориялық бөлімнен, семинар сабақтарының жоспары, әр тақырыптарда қарастырылатын негізгі ұғымдар, тесттер жинағы, емтихан сұрақтары, глоссарийден тұрады. 
 Оқу әдістемелік нұсқау жоғарғы оқу орындарының студенттеріне, оқутушыларға арналған</t>
  </si>
  <si>
    <t>0004335</t>
  </si>
  <si>
    <t>Қайыркен Т.З./Кайыркен Т.З.</t>
  </si>
  <si>
    <t>Қытай тарихы: ежелгі заман және ортағасырлар</t>
  </si>
  <si>
    <t>Бұл оқу құралы Цзян Боцзан, Люй Сымянь қатарлы әйгілі тарихшылар мен Су Бэйхай т.б. қазіргі заман зерттеушілерінің еңбектері негізінде Қытайдың ерте және ортағасырлар кезіндегі тарихы, мемлекеттілігі мен ғылым-мәдениетінің дамуы, көрші этностармен байланысы, сондай-ақ көшпенді этностардың Қытай тарихы мен мәдениетіне, мемлекеттілігіне жасаған әсері оқырманның есінде қалардай жан-жақтылы, қызықты материалдармен жазылған. Оқулық Қазақстандағы жоғары оқу орындарының тарих, шығыстану, аймақтану және халықаралық қатынастар мамандығының студенттері мен магистранттарына, Қытай тарихына қызығатын жалпы оқырман қауымға арналған.</t>
  </si>
  <si>
    <t>0004336</t>
  </si>
  <si>
    <t>Қытай тарихы: жаңа және қазіргі заман</t>
  </si>
  <si>
    <t>Оқу құралы Қытайдың 1644 жылдан 2019 жылға дейінгі аралықтағы жаңа және қазіргі заман тарихын қамтиды. Яғни, манчжурлардың ірге кеңейтуі, сол негізде Қытайдың да оның құрамдас бөлігіне айналуы, елдегі «жабық есік саясаты», апиын соғысы және оның нәтижесінде Қытайдың манчжурлардың және шетелдіктердің қос қабат отырына айналуы, Цинхай төңкерісі және оның нәтижесінде орын алған ірі оқиғалар, елдегі саяси партиялардың күресі және одан туындаған азаматтық соғыс, ҚХР-дың құрылуы және ел басшылығының саяси шешімдері, реформа, ашық есік саясаты кезіндегі елдің дамуы және қазіргі дүп келіп отырған сын-тегеуіріндер сөз болады. Оқу құралының алғашқы бөлімдерін жазуда Цзян Боцзан, Люй Сымянь қатарлы әйгілі тарихшылардың еңбектері және Су Бэйхай т.б. қазіргі заман зерттеушілерінің Қытайдағы қазақ тарихына қатысты жұмыстары пайдаланылды. Қазіргі заман бөлімін жазуда соңғы деректер мен ақпараттар негізге алынды. Оқу құралы Жоғары оқу орындарының білім алушыларына, Қытай тарихына қызығатын жалпы көпшілік қауымға арналған.</t>
  </si>
  <si>
    <t>0004338</t>
  </si>
  <si>
    <t>Қалдияров Д.А. /Калдияров/, Нұрмуханқызы Д., Беделбаева А.Е.</t>
  </si>
  <si>
    <t>Банктік операциялар</t>
  </si>
  <si>
    <t>«Банктік операциялар» оқу құралында банктегі операциялардың негізгі түрлері қарастырылған, олардың ұйымдастырылуы және құқықтық қамсыздандырылуы ашылып көрсетілген. Банктің пассивтік және активтік операцияларының құрылымы, қолма-қол және қолма-қолсыз төлемдер мен есеп айырысуларды жүргізу реті сипатталған. Банк несиелерінің түрлері, несиелік тәуекелдердің жіктелімі, банктік несиені ұсыну тәртібі көрсетілген. Банктедің валюталық операцияларды, лизинг, факторинг, форфейтинг операцияларын жүргізудің барлық маңызды аспектілері толық қарастырылған.Оқу құралы экономикалық жоғары оқу орындарының оқытушыларына, білімгерлеріне, сондай-ақ, банк саласының қызметкерлеріне арналған</t>
  </si>
  <si>
    <t>0004341</t>
  </si>
  <si>
    <t>Қалдыбаева Б.М., Ешанкулов А. А., Тулекбаева А.К., Сабырханов Д.С., Хусанов А.Е.</t>
  </si>
  <si>
    <t>Өлшеулердің жалпы теориясы</t>
  </si>
  <si>
    <t>Оқулықта өлшеу теориясының негізгі көрсеткіштері, өлшеулердің негізгі объектілері, физикалық шамалар, Халықаралық СИ жүйесі, өлшеулер шкаласы, физикалық шамалар бірліктерін туындылау және олардың өлшемдерін беру, физикалық шамалар бірліктері эталондары, қателіктер теориясының негізгі түсініктерінің мәліметтері қамтылған. Оқулықта қарастырылған өлшеу теориясы халық шаруашылығының түрлі салаларында қолданылады. Қазіргі таңдағы өлшеу теориясының негізгі қағидалары, өлшеу әдістері мен қателіктер түрлері, эталондар мен оларды тексерудің принципиалды сұлбалары келтірілген.</t>
  </si>
  <si>
    <t>0004346</t>
  </si>
  <si>
    <t>Қалыбеков Т., Жақыпбек Ы. / Жакыпбек</t>
  </si>
  <si>
    <t>Ашық тау-кен жұмыстарындағы бұзылған жерлерді рекультивациялау</t>
  </si>
  <si>
    <t>Пайдалы қазындылар кенорындарын ашық әдіспен игеру кезіндегі бұзылған жерлерді рекультивациялаудың дамуын талдау, ашық кеніштегі пайда болатын техногенді ландшафтарды қалыптастыруға сәйкес тиімді рекультивация бағыттарын таңдау, тау-кен жұмыстарымен бұзылған жерлерді рекультивациялаудың негізгі кезеңдерін басқару, сыртқы үйіндіні рекультивация талаптарына сәйкес қалыптастыруды ескеретін технологиялық сұлбаларды ұсыну және рекультивациялау жұмыстарын тиімді жүргізудің нәтижелілігін негіздеу мәселелері толығынан зерделенді. Монография тау-кен ісі және жерге орналастыру мамандықтарында оқитын студенттерге, магистранттарға, докторанттарға, тау-кен өнеркәсібінде жұмыс жасайтын мамандарға, жоғары оқу орындары оқытушыларына және басқа да оқырмандарға пайдалы болуы мүмкін</t>
  </si>
  <si>
    <t>0004348</t>
  </si>
  <si>
    <t>Қамақ Ә.О.</t>
  </si>
  <si>
    <t>Бейнелеу өнеріне оқыту әдістемесі</t>
  </si>
  <si>
    <t>0004349</t>
  </si>
  <si>
    <t>Мектепте бейнелеу өнерін оқыту әдістемесі</t>
  </si>
  <si>
    <t>0004351</t>
  </si>
  <si>
    <t>978-601-13-0278-4</t>
  </si>
  <si>
    <t>Қамбаров Ж.К, Абсиметов В.Э., Унайбаев Б.Б., Марденов Ж.А., Арсенин В.А.</t>
  </si>
  <si>
    <t>Сұйық және газ механикасы</t>
  </si>
  <si>
    <t>Оқу - әдістемелік құрал</t>
  </si>
  <si>
    <t>Теплоэнергетика,Строительство</t>
  </si>
  <si>
    <t>Сұйық және газ механикасы» оқу-әдістемелік кешені 5В071700 - «Жылуэнергетика», 5В072900 «Құрылыс» мамандықтары бойынша студенттерді кредиттік жүйеде оқытуға арналған.
  Кешенде қолдану аймағы, нормативтік сілтеме, жалпы мағлұматтар мен оқушыларға арналған пәннің оқу бағдарламасы, әдістемелік ұсыныстар, курс форматы мен курс саясаты келтірілген. Сонымен қатар пәннің студенттерге арналған жұмыс бағдарламасы (Sillabus), дәріс (машықтану) сабақтарының тақырыптары және олардың қысқаша мазмұндары, студенттердің өзіндік жұмысына арналған тапсырмалар тізімі, өзін-өзі тексеру сұрақтары мен әдебиеттер, тестік сұрақтар мысалдары берілген.
 ҚР БжFM Республикалық ғылым және оқулық әдебиеттер шығаруға тақырыптық жоспары бойынша баспаға жариялған</t>
  </si>
  <si>
    <t>0004353</t>
  </si>
  <si>
    <t>Қамысбаева Д.Қ.</t>
  </si>
  <si>
    <t>Судa жүзудің техникaсы мен тaктикaсын үйрету</t>
  </si>
  <si>
    <t>Бұл оқу құралды судa жүзуді үйренгісі келетін кез-келген жaстaғы aдaмдар қолдaнып, өздеріне керекті мәліметтерді aлулaрынa болaды</t>
  </si>
  <si>
    <t>0004354</t>
  </si>
  <si>
    <t>Қамысбаева Ж.Қ.</t>
  </si>
  <si>
    <t>Жоғарғы оқу орындары студенттерінің салауатты өмір салтын қалыптастыру сапасын арттырудың педагогикалық шарттары</t>
  </si>
  <si>
    <t>Бұл оқу құралын жоғарғы оқу орындарында, арнаулы және орта мектептерде, өндіріс орындарында дене тәрбиесі сабағында пайдалануға арналған</t>
  </si>
  <si>
    <t>0004357</t>
  </si>
  <si>
    <t>Қаңлыбаев О.</t>
  </si>
  <si>
    <t>Көлік техникасының динамикасы</t>
  </si>
  <si>
    <t>0004360</t>
  </si>
  <si>
    <t>Қаратаев Ж.</t>
  </si>
  <si>
    <t>Математикалық талдау -I</t>
  </si>
  <si>
    <t>Оқу құралы жоғары оқу орындарында оқылатын «Математикалық талдау – I » пәнінің бағдарламасына сәйкес жазылған. Оқу құралының әрбір параграфында теориялық қағидалар келтіріліп және оны жақсы меңгеруге жәрдемдесетін мысалдар мен жаттығулар толық түсіндірмесімен шығарылған. Сонымен қатар әр тақырыптың соңында аудиторияда және өздігінше шығарылатын есептер топтамасы берілген. Студенттердің өз бетінше міндетті түрде орындалуына тиісті және олардың білімін тексеруге арналған әр қайсысы 26 нұсқадан тұратын жаттығулар мен есептер берілген.</t>
  </si>
  <si>
    <t>0004361</t>
  </si>
  <si>
    <t>Қаратаев Ж., Ибрагимов О.М.</t>
  </si>
  <si>
    <t>Шектер теориясы.</t>
  </si>
  <si>
    <t>Оқу құралы жоғары оқу орындарында оқылатын «Математикалық талдау» пәнінің бағдарламасына сәйкес жазылған. Оқу құралының әрбір параграфында теориялық қағидалар дәлдемесімен келтіріліп және оны жақсы меңгеруге жәрдемдесетін мысалдар мен жаттығулар толық түсіндермесімен шығарылған. Әрбір параграфтың соңында практикалық сабақ өткізу кезінде шығарылатын есептер мен жаттығулар топтамасы жауабымен келтірілген. Оқу құралының соңында студенттердің өзіндік жұмыстарына арналған тапсырмалар топтамасы (әр қайсысы 25 нұсқадан) берілген.
 Оқу құралы 5В060200 – Информатика мамандығының студенттеріне және де пән бойынша білімін жетілдірем деуші оқырманға арналған.</t>
  </si>
  <si>
    <t>0004362</t>
  </si>
  <si>
    <t>Туынды және дифференциал</t>
  </si>
  <si>
    <t>Оқу құралы жоғары оқу орындарында оқылатын «Математикалық талдау» пәнінің бағдарламасына сәйкес жазылған. Оқу құралының әрбір параграфында теориялық қағидалар дәлдемесімен келтіріліп және оны жақсы меңгеруге жәрдемдесетін мысалдар мен жаттығулар толық түсіндермесімен шығарылған. Әрбір параграфтың соңында практикалық сабақ өткізу кезінде шығарылатын есептер мен жаттығулар топтамасы жауабымен келтірілген. Оқу құралының соңында студенттердің өзіндік жұмыстарына арналған тапсырмалар топтамасы (әр қайсысы 25 нұсқадан) берілген.</t>
  </si>
  <si>
    <t>0004366</t>
  </si>
  <si>
    <t>Қасенұлы Ы.</t>
  </si>
  <si>
    <t>Пісіру ісінің негіздері</t>
  </si>
  <si>
    <t>Металдарды пісіру кезінде өтетін негізгі процестер, пісіру жалғастары мен жіктерінің құрылғылық элементтері, пісіру тәсілдері мен металдардың пісіруге икемділігі туралы мәліметтер келтірілген. Болат, шойын, түсті металдар мен олардың қорытпаларын пісіру технологиясы, пластмассаларды пісіру мәселері қарастырылған. Көп тараған құрылғыларды дайындау технологиясы мен оларды жинастыру, пісіру сапасын бақылау тәсілдері, пісіру мен бақылау кезіндегі қауіпсіздік техникасының ережелері туралы мәліметтер берілген. Пісірушілерді және пісіру өндірісінің мамандарын аттестациялауға қажетті ақпараттар бар. Техникалық жоғарғы оқу орындарының студенттеріне, пісіру бұйымдарын өндіретін және техниканы жөндеумен айналысатын шағын кәсіпорын мамандарына, сондай-ақ пісіруді пайдаланатын шаруашылықтар мен жеке тұлғаларға пайдалануға болады</t>
  </si>
  <si>
    <t>0004367</t>
  </si>
  <si>
    <t>Қасқабасов С.А., Аймұхамбет Ж.Ә.</t>
  </si>
  <si>
    <t>Қазақ фольклоры</t>
  </si>
  <si>
    <t>Оқулықта фольклор жаңаша көзқарас тұрғысынан жүйеленіп, оның дүниетанымдық қызметі, әдебиетпен байланысы, жанрлық түрлері жан-жақты қамтылған. Фольклордың даму тарихы мен теориясына, поэтикасы мен текстологиясына, жалпы типологиясына қатысты мәселелер, жекелеген жанрлар мен шығармалар жаңаша қарастырылады. «Қазақ фольклоры» атты бұл оқулықтың осы уақытқа дейін жоғарғы оқу орындарында оқытылып келген «Қазақ халық ауыз әдебиеті» оқулығынан айырмасы – елімізде тәуелсіздік алғаннан кейінгі кезеңде орнаған қоғамдық-экономикалық, әлеуметтік-саяси, ғылыми-рухани өзгерістер мен талаптарға сай, бүгінгі фольклортану, әдебиеттану ғылымдарының жетістіктеріне негізделіп әзірленгендігі. Жоғары оқу орнының білім алушыларына жаңа буын оқулық ретінде ұсынылады</t>
  </si>
  <si>
    <t>0004368</t>
  </si>
  <si>
    <t>Қасымбек Ж.Н., Ветров Н.Ф.</t>
  </si>
  <si>
    <t>Технологическое оборудование хлебопекарных предприятий. 1-часть</t>
  </si>
  <si>
    <t>В учебной литературе «Технологические оборудования хлебопекарного производства» рассматриваются основные технологические оборудования в хлебопекарных предприятиях и цехах, изготавливающих мучные и кондитерские изделия. Приведены структурное описание машин и аппаратов, принципы их работы и технологические расчеты. Кратко изложены методы дальнейшего усовершенствования оборудования на предприятиях. Дано техническое описание производимых в Республике Казахстан и за рубежом машин и аппаратов. Дополнительное оборудование и обрудование энергоснабжения (транспортеры, источники питания, компрессоры и т.д.) рассматриваются в объеме, определенном требованиями сертификата, которые установлены в сфере производства.</t>
  </si>
  <si>
    <t>0004369</t>
  </si>
  <si>
    <t>Технологическое оборудование хлебопекарных предприятий. 2-часть</t>
  </si>
  <si>
    <t>0004370</t>
  </si>
  <si>
    <t>Қасымбек Ж.Н., Ветров Н.Ф., Байболов К.Б.</t>
  </si>
  <si>
    <t>Нан пісіру өндірістерінің технологиялық жабдықтары. 1-бөлім</t>
  </si>
  <si>
    <t>«Нан пісіру өндірістерінің технологиялық жабдықтары» оқулығында ұн-кондитерлік өнімдерін шығаратын нан пісіру мекемелері мен цехтарындағы негізгі технологиялық жабдықтар қарастырылған. Машиналар мен аппараттардың құрылылымдық сипаттамалары, олардың жұмыс істеу принциптері және негізгі технологиялық есептеулер келтірілген. Мекемелердегі жабдықтарды ары қарай жетілдіру жолдары қысқаша баяндалған. Қазақстан Республикасы мен басқа елдерде жасалынатын машиналар мен аппараттардың техникалық сипаттамасы келтірілген. Қосымша және энергетикалық жабдықтар (транспортерлер, қоректендіргіштер, компрессорлар және т.б.) осы жабдықтарға өнеркәсіп саласы қойған спецификалық талаптар бойынша анықталған мөлшерде ғана қарастырылған. Оқулықта берілген материалдар типтік оқу бағдарламасына сәйкес және оқу стандарттарының талаптарына сай құрастырылған. Ұсынылып отырған оқулық нан пісіру саласын игеріп жатқан колледж студенттеріне, сала бойынша мекемелер мен жобалық мекемелердің қызметкерлеріне арналған.</t>
  </si>
  <si>
    <t>0004371</t>
  </si>
  <si>
    <t>Нан пісіру өндірістерінің технологиялық жабдықтары. 2-бөлім</t>
  </si>
  <si>
    <t>0004372</t>
  </si>
  <si>
    <t>Қасымбекова Қ.</t>
  </si>
  <si>
    <t>Геодезия I пәнінен практикалық сабақтарды орындауға арналған әдістемелік нұсқау</t>
  </si>
  <si>
    <t>План, карта және масштаб, картамен жұмыс істеу, дирекциондық бұрыш пен румбалар арасындағы байланыс, сызықтардың ұзындықтарын өлшеу, геодезиялық аспаптардың құрылысы, жіктелуі, жер бетін квадратпен нивелирлеу, вертикаль дөңгелектің нөлдік орнын анықтау, тахеометрлік түсіріс нәтижесін өңдеу және қол жетпейтін арақашықтықты есептеу тақырыптарына есептер келтірілген. Әдістемелік нұсқау 5В072900 «Құрылыс» мамандығының студенттеріне арналған</t>
  </si>
  <si>
    <t>0004374</t>
  </si>
  <si>
    <t>Қасымов А.Т.(Касимов), А.Ш. Боженов, С.Р. Жолмагамбетов, А.М. Тайшикова</t>
  </si>
  <si>
    <t>Құрылыс механикасы. Статикалық анықталған жүйелер. Күштер әдiсi</t>
  </si>
  <si>
    <t>Оқу құралы 5В072900 – «Құрылыс» мамандығының студенттерiне көмек ретінде «Құрылыс механика» пәні бойынша өзiндiк жұмыс тапсырмаларын орындауға арналған. Көпаралықты статикалық анықталатын арқалықтарды және үш топсалы аркаларды есептеу кезінде тәжірибелік дағдыларды игеруге,сонымен қатар, статикалық анықталмайтын рамаларды күштер әдiсі арқылы есептеуге де арналған.. Есептеуде студенттер әртүрлi әдiстерді қолдануда тәжiрибе алады және де дәрiсте және жаттығу сабақтарында алған теориялық бiлiмдерін тереңдетедi. Оқу құралындағы есептеулердегі әдiстеменi меңгерудi жеңiлдету үшiн, әрбiр бөлiмнiң басында қысқаша теориялық материалдар баяндалады, содан соң тапсырманы орындау үшін толық түрде пысықталып шығарылған есептердің мысалдары қарастырылған.</t>
  </si>
  <si>
    <t>0004378</t>
  </si>
  <si>
    <t>Қилыбаева П.Қ., Оспанова А.Н./ Килыбаева П.К.,Оспанова А.Н</t>
  </si>
  <si>
    <t>Халықаралық қатынастар тарихы 1 том</t>
  </si>
  <si>
    <t>международные отношения, религиоведение</t>
  </si>
  <si>
    <t>Оқу құралы аймақтану, халықаралық қатынастар мамандығы студенттеріне арналады. Оқу құралының хронологиялық шеңбері 30 жылдық соғыс және халықаралық қатынастардың Вестфаль жүйесінің қалыптасуынан бастап, 1918 жылға дейінгі оқиғаларды қамтиды. Еуропада халықаралық қатынастардың бірінші жүйесінің қалыптасуынан бастап Бірінші дүниежүзілік соғыстың аяқталуына дейінгі төрт ғасырды қамтыған халықаралық қатынастардың эволюциясы көрсетіледі.</t>
  </si>
  <si>
    <t>0004379</t>
  </si>
  <si>
    <t>Халықаралық қатынастар тарихы 2 том</t>
  </si>
  <si>
    <t>0004380</t>
  </si>
  <si>
    <t>Қилыбаева П.Қ./ Килыбаева П.К</t>
  </si>
  <si>
    <t>ХХ –ХХІ ғасырлар тоғысындағы Орталық Азия: аймақтың саясаты, экономикасы мен мәдени интеграциясы</t>
  </si>
  <si>
    <t>международные отношения, политология</t>
  </si>
  <si>
    <t>Монографияда Орталық Азия мемлекеттерінің жалпы аймақтық мүдделерін, дамудың жалпы әлемдік үрдістері контекстіндегі аймақтық мәселелерді, әлемдік проблемаларды шешуде Орталық Азия елдерінің мүмкіндіктерін анықтауға әрекет жасалды.Монография осы проблематиканы зерттейтін студенттерге, магистранттарға, докторанттарға арналған және аймақтану, халықаралық қатынастар, саясаттану саласындағы зерттеушілерге қызығушылық тудыруы мүмкін.</t>
  </si>
  <si>
    <t>0004382</t>
  </si>
  <si>
    <t>Қожабекова А.Ж., Абаева Қ.Т., Шабалина М.В.</t>
  </si>
  <si>
    <t>Қазақстанның ағаш және бұталы өсімдіктері</t>
  </si>
  <si>
    <t>Агро. Лесные ресурсы</t>
  </si>
  <si>
    <t>Оку кұралында ағаш өсімдіктердің қабығы мен ағашы бойынша негізгі жапырақты орманды құрайтын өсімдік түрлерін анықтау бөлімі бар. Жұмыс соңында ағаш және бұталы өсімдіктердің латынша атауын дұрыс айту жөніндегі қысқаша анықтама сөздігі бар. Дәріс барысында мұғалім студенттерді жұмыс тақырыбымен және тапсырмалардың орындалу тәртібімен таныстырады. Пәнді меңгеру кезінде студенттер дәрістерге қатысады, кітапханаға барады, зертханалық-практикалық жұмыстарды орындап, курстың аяқталу соңында емтихан тапсырады</t>
  </si>
  <si>
    <t>0004387</t>
  </si>
  <si>
    <t>Қожахмет Х.Ж.</t>
  </si>
  <si>
    <t>Әскери самбо</t>
  </si>
  <si>
    <t>Бұл оқу құралын теориялық және практикалық материалды қамтып, «Әскери самбоның» оқыту жүйесінің негізін үйрету әдістемесіне сай дайындаған. Жоғарғы оқу орындарының студенттері мен оқытушыларына, колледж бен мектеп мұғалімдеріне, бапкерлерге, жалпы Отан қорғаушыларына ұсынылады</t>
  </si>
  <si>
    <t>0004389</t>
  </si>
  <si>
    <t>Қозыбай А., Қоныспай Қ., Жетпейсов М., Ниязбаев Ә.</t>
  </si>
  <si>
    <t>Ауыл шаруашылығында машина пайдаланудың анықтамалық деректері</t>
  </si>
  <si>
    <t>Оқу құралы Қазақ ұлттық аграрлық университетінің «Агроинженерлік проблемалар ҒЗИ –ның» ҒТК-нің мәжілісінде (хаттама 4, 04.10.2017ж.) қаралып баспадан шығаруға ұсынылды.Оқу құралы ҚР БҒМ «Ғылыми және ғылыми-техникалық қызмет» 217 бюджеттік бағдарламасына сәйкес, 101 «Бағдарламалық-нысаналы қаржыландыру» ішкі бағдарламасы аясында дайындалған.Ауыл шаруашылығында машина пайдалану барысында инженер мамандарға әртүрлі анықтамалық-нормативтік материалдар қажет болып жатады. Ондай мәліметтерге аграрлық оқу орындарының студенттері де мұқтаж. Айталық, бір ғана ауылшаруашылық дақылын өсірудің технологиялық картасын жасау үшін, мыңға тарта дерек-сан керек екен. Ал енді күллі машина паркін және оны пайдаланудың жобасын жасауға одан да көп сан қажет болары белгілі. Оның барлығын студент әр кітаптан іздеп әуреге түседі.Сондықтан, маманның мәліметке, ақпаратқа мұқтаждығын өтеу үшін, оқушының уақытын үнемдеу үшін, толыққанды жоба жасауына қажет деген бар деректі жиып-теріп, жүйеге түсіріп, жаңадан шығып жатқан техникалардың деректерін қосып, толықтырып аталмыш анықтамалық екінші басылымға ұсынылды</t>
  </si>
  <si>
    <t>0004391</t>
  </si>
  <si>
    <t>Қойшыбаев М.</t>
  </si>
  <si>
    <t>Жалпы фитопатология</t>
  </si>
  <si>
    <t>Кітапта өсімдік ауруларының негізгі түрлері мен белгілері, патологиялық өзгерістердің жалпы сипаттамасы, саңырауқұлақтар мен бактериялар, микоплазмалар мен вирустардың жіктелуі, олардың морфологиялық және биологиялық ерекшеліктері, инфекция ошақтарының табиғатта сақталу жолдары жайлы мәліметтер берілген. Сонымен қатар, аурулардың таралуы мен дамуына қоршаған ортаның тигізетін әсері, оларды болжауға арналған үлгілер келтірілген. Өсімдік ауруларының дамуы мен зияндылығын шектеуге бағытталған кешенді жүйе және аурулардың түрлерін, таралуы мен дамуын анықтауда қолданылатын әдістемелер қарастырылған. Фитопатология ғылымының соңғы жетістіктерімен қатар, Қазақстанда осы сала бойынша жарты ғасырдан астам уақытта атқарылған негізгі жұмыстар ескерілген.</t>
  </si>
  <si>
    <t>0004392</t>
  </si>
  <si>
    <t>Қойшыбаев Мұрат</t>
  </si>
  <si>
    <t>Ауылшаруашылық дақылдарының аурулары</t>
  </si>
  <si>
    <t>Оқу құралында ауылшаруашылық дақылдары ауруларының негізгі түрлері мен белгілері, қоздырғыштарының морфологиялық және биологиялық ерекшеліктері, инфекция ошақтарының табиғатта сақталу жолдары жайлы мәліметтер берілген. Сонымен қатар, аурулардың таралуы мен дамуын және зияндылығын шектеуге бағытталған профилактикалық, агротехникалық, биологиялық және химиялық шаралар жүйесі қарастырылған. Аурулардың таралуы мен дамуын анықтау және болжау, өсімдік қорғау жұмыстарын жоспарлау жайлы нақты ұсыныстар көрсетілгенн. Оқу құралы аграрлық университеттердің өсімдіктер қорғау мамандығы бойынша дайындалып жатқан бакалавриаттар мен магистранттарға және республикада осы салада істейтін мамандарға арналған.</t>
  </si>
  <si>
    <t>0004398</t>
  </si>
  <si>
    <t>Қоныспай Қ.</t>
  </si>
  <si>
    <t>Агроинженерлік атаудың орысша–қазақша сөздігі</t>
  </si>
  <si>
    <t>Агро</t>
  </si>
  <si>
    <t>Сөздікте орыс тіліндегі 8000 агроинженерлік атаудың қазақша баламасы берілген.
 Сөздік ауыл шаруашылығы мамандарына, жоғары оқу орындарының оқытушылары мен студенттеріне арналған.</t>
  </si>
  <si>
    <t>0004399</t>
  </si>
  <si>
    <t>Қоныспай Қ., Қозыбай А.</t>
  </si>
  <si>
    <t>Ауыл шаруашылығында мәшине агрегаттаудың теориялық негізі</t>
  </si>
  <si>
    <t>Оқулық «Машина пайдалану» пәнінің бағдарламасына сәйкес жазылған. Онда ауыл шаруашылық жұмысын жарақтандырудың ең бір маңызды да жауапты сәті – машина агрегаттау, яғни машина - трактор агрегатын құру және оны жұмысқа жегу ісінің теориялық негізі жан - жақты беріледі. Теориялық қағидалар өндіріс практикасындағы нақты мысалдармен зерделеніп, техниканы егіншілікке ұтымды пай¬даланудың дәйекті жолдарын айғақтаумен ұласып жатады.</t>
  </si>
  <si>
    <t>0004402</t>
  </si>
  <si>
    <t>Қорғанбеков Б.С.</t>
  </si>
  <si>
    <t>Қожа Ахмет Ясауидің «Диуани хикметі» және қазақ фольклоры</t>
  </si>
  <si>
    <t>Зерттеу еңбегінде Қожа Ахмет Ясауидің адам рухын көркейтіп, кемелдікке жеткізетін хал ілімінің негізгі мазмұнын қамтыған «Диуани хикмет» жинағының қазақ халқының ұлттық санасынан алатын орнын айқындау мақсат етілген. Бұл ақиқат ең алдымен фольклорлық туындылардан көрінетін болғандықтан, Қожа Ахмет Ясауидің аталмыш жинағы мен қазақ фольклоры арасындағы байланыс мәселесі шығарманың мазмұны, пішіні және ондағы көркемдік дәстүр тұрғысында қарастырылған. «Диуани хикмет» әуел баста ауызша айтуға бейімдеп шығарылғандықтан, екі шығармашылық арасындағы туыстықтың саналы түрде де, ырықсыз сипатта да іске асқандығы, ықпалдастық үдерісінің уақыт аясындағы көрінісі әр қырынан талданады.
 Еңбек түркітанушы мамандарға, фольклортанушыларға және жоғары оқу орындарының филология факультеттерінің оқытушылары мен магистранттарына, студенттеріне, сондай-ақ сопылық ілім мен ұлттық мәдениетке қызығушы көпшілік оқырманға арналады.</t>
  </si>
  <si>
    <t>0004403</t>
  </si>
  <si>
    <t>Шора батыр» эпосы: нұсқалары, генезисі, тарихилығы</t>
  </si>
  <si>
    <t>Зерттеу еңбегінде түркі халықтары арасында кең тараған «Шора батыр» эпосының ұлттық нұсқалары, олардың таралу аймағы мен вариациялану, тасымалдану жайы, уақыт аясындағы жанрлық және көркемдік түр-сипатқа ие болуы мен тұтастану үдерісі, эпикалық дәстүрге қатысы, жырлаушылары, олардың қосқан шығармашылық үлесі, ұлттық нұсқалардың стадиялық кескін-келбеті, образдар жүйесі мен олардың тарихи түптұлғаларымен байланысы, тарихи шындық пен эпикалық шындықтың ара қатынасы, сондай-ақ шығарманың зерттелу жайы мен ондағы даулы мәселелердің туу себебі мен дұрыс шешім табу жолдары туралы ғылыми талдаулар жасалынады.
 Еңбек фольклортанушыларға, түркітанушы мамандарға және жоғары оқу орындарының филология факультеттерінің оқытушылары мен магистранттарына, студенттеріне, сондай-ақ халық шығармашылығына деген қызығушылығы бар көпшілік оқырмандарға арналады.</t>
  </si>
  <si>
    <t>0004404</t>
  </si>
  <si>
    <t>Ән-өлең</t>
  </si>
  <si>
    <t>Бұл хрестоматияға шығармашылық еңбегінің көбін ән мәтіндерін жазуға бағыштаған қазақ ақындарының өмірбаяны мен шығармашылығы, ән мәтіндерін жазу шеберлігіне арналған очерктер мен танымал ән өлеңдерінің мәтіндері енгізілген.
 Хрестоматия оқу үдерісінде пайлаланумен қатар ән мәтіндерін зерттеуші ізденушілерге және көпшілік оқырмандарға да арналады.</t>
  </si>
  <si>
    <t>0004405</t>
  </si>
  <si>
    <t>Қорғанбеков Б.С. / Корганбеков</t>
  </si>
  <si>
    <t>ХХ ғасыр басындағы қазақ әдебиеті.</t>
  </si>
  <si>
    <t>христоматия</t>
  </si>
  <si>
    <t>Филология ғылымдарының кандидаты, қауымдастырылған профессор Б.С.Қорғанбеков пен ғылым магистрлері К.Орынжай мен Қ.Кәрібайлар құрастырған бұл хрестоматияда ХХ ғасыр басындағы қазақ әдебиетіндегі діни-ағартушылық ағымның дәстүрлі, қадымшыл, жәдитшіл бағыттарының дүниетанымдық ерекшеліктерін, сондай-ақ дәуір поэзиясының кейбір жаңашылдығы мен алдыңғы кезеңдермен сабақтастығын танытатын өлең-жырлар мен тың жанрлардың алғашқы үлгілері болып саналатын әңгімелер, дарамалық шығарма, сыни мақалалар топтастырылған. Жинақ дәуір әдебиетін таныту үшін осыған дейін оқу үдерісінде қолданылып келген хрестоматияларды толықтыратындығымен ерекшеленеді.
 Бұл хрестоматия жоғары оқу орындарының филология факультеті студенттеріне, сондай-ақ қазақ әдебиеті тарихына қызығушы ізденушілерге арналады.</t>
  </si>
  <si>
    <t>0004411</t>
  </si>
  <si>
    <t>Қошқарбаева Ш., Сатаев М., Ибрагимова Г., Аманбаева Қ.</t>
  </si>
  <si>
    <t>Гальваникалық қаптамалар технологиясы</t>
  </si>
  <si>
    <t>Оқу құралында гальваникалық қаптамалар алу процесіндегі электродтық процестер, металдардың ектрокристаллизациялану механизмі, қапталатын бұйым аудандарын дайындау әдістері, әр түрлі қаптамалардың алыну технологиясы туралы мәліметтер келтірілген. Оқу құралы ҚР БжҒМ РОӘК-нің М.Әуезов атындағы ОҚМУ жанындағы химия-технологиялық мамандықтары бойынша ОӘС-нің «Оқу-әдістемелік секция баспаға ұсынған» белгісімен (грифімен) баспаға ұсынған № 8 хаттама "20".04. 2012ж</t>
  </si>
  <si>
    <t>0004412</t>
  </si>
  <si>
    <t>Қошқарбаева Ш.Т.</t>
  </si>
  <si>
    <t>Жаңа материалдар технологиясының негіздері</t>
  </si>
  <si>
    <t>Оқу құралы жоғары оқу орындарында 5В072000 -«Бейорганикалық заттардың химиялық технологиясы», 5В070800- «Мұнайгаз ісі» мамандықтарының студенттері мен магистранттарына арналып дайындалған. Оқу құралында металл емес материалдарға металл қаптамасын тұндыру, химиялық әдіспен әр түрлі қаптамалар алу жолдары, бейорганикалық қаптамалардың түрлері мен осы процестердің теориялық негіздері жайлы мағлұматтар берілген.</t>
  </si>
  <si>
    <t>0004413</t>
  </si>
  <si>
    <t>Қуанышбаева М.Ғ., Хромов В.А.</t>
  </si>
  <si>
    <t>ШҚО көбелектерінің Атлас-анықтағышы = Атлас-определитель бабочек ВКО</t>
  </si>
  <si>
    <t>Ұсынылып отырған оқу-әдістемелік құралды туған өлкенің қабыршаққанаттыларының фаунасын оқу барысында биология мамандығында оқитын студенттер, сол сияқты орта мектептің биология пәнінің мұғалімдері мен оқушылар пайдалана алады. Учебно-методическое пособие может быть использовано студентами биологических специальностей, а также учениками и учителями-биологами средне-образовательных учреждений при изучении фауны чешуекрылых родного края.</t>
  </si>
  <si>
    <t>0004422</t>
  </si>
  <si>
    <t>Құланова Қ.Қ. (Куланова)</t>
  </si>
  <si>
    <t>Таңдаған спорт түрлерінің теориясы мен әдістемесі</t>
  </si>
  <si>
    <t>Бұл оқулықта қарастырылған дене тәрбиесі жүйесіндегі спорт түрінің орны , зақымданудың алдын-алу шаралары мен қауіпсіздік техникасы,таңдап алған спорт түрлерінің техникалық дайындығы қарастырылған.Адам бойындағы күш-жігерін дамытуға, адамның еңбекке қабілеттілігін қалыптастыруға және адамның ажар келбеті мен жалпы саулығын арттыруға бағытталған. Дене тәрбиесі мен спорт саласындағы мамандарға, студенттерге арналып, оқу әдістемелік құрал ретінде жазылған</t>
  </si>
  <si>
    <t>0004423</t>
  </si>
  <si>
    <t>Құланова Қ.Қ. /Куланова/, Аханов А.Т.</t>
  </si>
  <si>
    <t>ЖОО-дағы тоғызқұмалақ ойындығы</t>
  </si>
  <si>
    <t>Оқу-әдістемелік құрал жұмыс оқу бағдарламасына сәйкес құрастырылған және аталмыш пән бойынша студенттердің жеке дайындықтарын жетілдіруге арналған теориялық материалдардан тұрады.Құрал күндізгі оқу бөлімінің мемлекеттік тілде оқитын мамандықтардың студенттеріне ұсынылады</t>
  </si>
  <si>
    <t>0004424</t>
  </si>
  <si>
    <t>Құланова Қ.Қ. /Куланова/, Марчибаева Ұ.С.</t>
  </si>
  <si>
    <t>Студентердің кәсіби қолданбалы дене дайындығы</t>
  </si>
  <si>
    <t>Бұл оқу -әдістемелік құралы заман талабына сай болашақ мамандар дайындауға арналған.Жұмыстың ерекше назар аударатын- дене шынықтыру жаттығуларының заманауи тәсілдерімен салауатты өмір салтын қалыптастыруға болады</t>
  </si>
  <si>
    <t>0004425</t>
  </si>
  <si>
    <t>Құланова Қ.Қ., Марчибаева Ұ.С. аева</t>
  </si>
  <si>
    <t>Жалпы және арнайы дене дайындығы</t>
  </si>
  <si>
    <t>0004426</t>
  </si>
  <si>
    <t>Құланова Қ.Қ./Куланова/, Аханов А.Т.</t>
  </si>
  <si>
    <t>Ұлттық спорт түрлерінің әдістемесі</t>
  </si>
  <si>
    <t>Ұлттық спорт түрлері- қазіргі кезде жастарды тәрбиелеуде орасан зор рөл атқарады. Оқулықта қазақтың ұлттық ойындарының даму тарихы және дене тәрбиесі сабағында ұлттық ойындарды қолдану қарастырылған.Қазақтың ұлттық ойындарын тарихына қысқаша шолу жүргізілген, соңынан жекелеген ойын атауларына тоқталып, олардың ерекшелігі мен қыр-сырын ашуға тырысқан. Оқулықта ерекше назар аударатын–ұлттық ойындарды дұрыс орындалуы және сол арқылы денсаулықты нығайтуға әсер ету. Оның мазмұны мен көлемі ұдайы толықтырылып отырған.Бұл әдістемелік құрал дене тәрбие мұғалімдер мен жаттықтырушыларға, сондай-ақ осы салада істейтін мамандарға арналған әдістемелік құрал</t>
  </si>
  <si>
    <t>0004427</t>
  </si>
  <si>
    <t>Құлбаев А.Б.</t>
  </si>
  <si>
    <t>Сахна қозғалысы пәнінің негіздері. Мамандықты игерудің теориялық мәселелері</t>
  </si>
  <si>
    <t>Автор бұл еңбегінде актерлік өнердің аса маңызды бөлігі болып табылатын сахналық кейіпкер сомдаудағы сымбаттылық пен сұлулықтың (актер пластикасы) алар орны мен шеберлік шыңына жетудің жоладарын терең зерттеп, айғақты дәлелдер мен жаттығулар арқылы нақты көрсетіп береді.
 Кітап өнер сүйер қауымға және ұстаздар мен шәкірттерге арналған.</t>
  </si>
  <si>
    <t>0004429</t>
  </si>
  <si>
    <t>Сырлы сезімнің сыртқы иірімдері. І-кітап</t>
  </si>
  <si>
    <t>Автор бұл еңбегінде актерлік өнердің аса маңызды бөлігі болып табылатын сахналық кейіпкер сомдаудағы сымбаттылық пен сұлулықтың (актер пластикасы) алар орны мен шеберлік шыңына жетудің жолдарын терең зерттеп, айғақты дәлелдер мен жаттығулар арқылы нақты көрсетіп береді.</t>
  </si>
  <si>
    <t>0004430</t>
  </si>
  <si>
    <t>978-601-13-0691-1</t>
  </si>
  <si>
    <t>Актер шеберлігі: теория және тәжірибе</t>
  </si>
  <si>
    <t>Өнер мектептерінің ұстаздар мен студенттерінің назарына ұсынылып отырған оқулық – орыс және басқа шетел сахна мәдениетінің озық үлгілері мен табысты теориялық, тәжірибелік негіздемесінің аясында туындаған. Сахна мамандығы қыр-сырларындағы психо-физикалық әрекеттер баяндалған. 
 Еңбектің жазылуы мен көркемделуіне атсалысқан ҚР Халық артистері М. Байсеркеұлына, Е. Н. Обаевқа, Ә. Т. Сығайға, ҚР Еңбек сіңірген артисі, профессор Р. А. Машуроваға, ф.ғ.д. Қ. З. Халықовқа алғысым зор.</t>
  </si>
  <si>
    <t>0004431</t>
  </si>
  <si>
    <t>Сахна сайысы өнері</t>
  </si>
  <si>
    <t>«Сахна сайысы өнері» атты бұл оқулық Мемлекеттік оқу стандартындағы өнер мектептерінде оқытылатын пәндер қатарына жатады. Оқулықтың басты құндылығы ана тілімізде бірінші рет жазылуы ғана емес, сонымен бірге оның Ресей өнер мектептерінде өтетін дәрістермен сабақтастығы. Қырық жылдан астам студенттермен, театр, кино әртістерімен шығармашылық бірлестікте (аудитория, сахна, кино повильиондағы) жарық көрген қойылымдардағы тәжірибесін негізге ала отырып, тынымсыз еңбекпен жазылған оқулық тарихи-этнографиялық ізденістерімен ерекшеленеді. Еңбек үш тараудан және әдістемелік сілтемелер, глоссариден тұрады. Еңбектің басты жаңалығы – сахна өнеріндегі актер, режиссерге ұлттық қаруларды пайдаланудың әдіснамасын бойына сіңіру мен қолдану тәсілдерінің аясын кеңітетіндігі.
 Оқулық өнер мектебіндегі ұстаздар мен студенттерге арналған.</t>
  </si>
  <si>
    <t>0004434</t>
  </si>
  <si>
    <t>Құлыбаев А.А., Нұрбатыров Қ.А., Күдерин М.Қ.</t>
  </si>
  <si>
    <t>Қазақстан шикізаты негізіндегі керамогранит</t>
  </si>
  <si>
    <t>0004439</t>
  </si>
  <si>
    <t>Құрақбаев Д.С., Ибрагимов О.М., Лесбаев А.У.</t>
  </si>
  <si>
    <t>Есептеу математикасына кіріспе</t>
  </si>
  <si>
    <t>Оқу құралында «Сандық әдістер» пәнінің жуықтап ссептеу әдістеріне байланысты теориялық, зертханалық, практикалық (семинарлық) сабақтарға арналған материалдар келтірілген. Сонымен қатар, студенттердің өзіндік жумыстарына тапсырмалар ұсынылған. Мұнда алгебралық және трансцендент теңдеулерді шешу әдістері, сызықтық алгебралық теңдеулер жүйесін шешу (Крамер, Гаусс, Жордан - Гаусс, итерация, Зейдель және квадрат түбірлер әдістері), жай дифференциалдық теңдеулерді жуыктап шешу әдістері, вариациялық әдістер, дербес туындылы дифференциалдьіқ теңдеулерді шешудің жуық әдістері және интегралдық теқцеулерді шешудің жуық әдістері келтірілген. Жоғарыда көрсетілген әдістерге мысалдар және Герілген әдістерге Паскаль тілінде бағдарламалар келтірілген. Оқу құралы жоғары оқу орындарының күндізгі, сырттай және қашықтықтан оқып жүрген студенттеріне «Сандық әдістер» пәнін өз бетінше меңгеру үшін арналған.</t>
  </si>
  <si>
    <t>0004440</t>
  </si>
  <si>
    <t>Құрақбаев Ж. /Куракбаев/ Ибрагимов О. Махатова А.Х.</t>
  </si>
  <si>
    <t>Экономикадағы математикалық модельдеу</t>
  </si>
  <si>
    <t>Оқу құралында сызықты программалаудың теориялық негіздері және практикада қолдану мәселелері қарастырылған. Онда сызықты программалау есептерін шешу әдістері, яғни экономикалық есептердің негізгі қойылымы, екі айнымалылы есептерді графикалық әдіспен, көп айнымалы есептерді симплекс әдіспен, жасанды базисті симплекс әдіспен шешу сипатталған. Сонымен қатар, сызықты программалаудың қосалқы есебі және көлік есебінің тиімді шешімін табу әдістері қаралған. Оқу құралында осы аталған мәселелер мысалдармен көрнекі түрде сипатталған. Сонымен қатар оқу құралында берілген есептер нұсқалары мен тапсырмалар, оның мазмұнын түсінуге көмектеседі.Оқу құралы университеттiң 5В060200–«Информатика» және 6М060200–«Информатика» мамандығы бойынша оқитын студенттер мен магистранттарға арналған</t>
  </si>
  <si>
    <t>0004445</t>
  </si>
  <si>
    <t>Құрмамбаева Қ.С./ Курмамбаева</t>
  </si>
  <si>
    <t>Шәкәрім поэмалары</t>
  </si>
  <si>
    <t>Монографияда Шәкәрім поэмаларының тарихи-әдеби негіздері, көркемдік кестесі, тіл дестесі, сюжеттік-композициялық жүйесі жан-жақты әрі кеңінен қарастылған. Ғылыми еңбекте дастандағы авторлық концепциялар ақын ғұмыр кешкен замана шындығымен деректеліп, ақын поэмаларының танымдық-тарихилық сипаттары әдебиеттану ғылымының қазіргі таңдағы тың жаңалықтарымен толықтырылып, бүгінгі күннің еркін ой, азаттық таным, рухани жаңғыру бағытына толықтай негізделген.
  Монография жоғары оқу орындарының филология мамандығы студенттеріне арналған.</t>
  </si>
  <si>
    <t>0004447</t>
  </si>
  <si>
    <t>Құрманбаев Қайрат</t>
  </si>
  <si>
    <t>Хадис Ілімі (тарихы және әдіснамасы)</t>
  </si>
  <si>
    <t>0004448</t>
  </si>
  <si>
    <t>Құрманбай М.С.</t>
  </si>
  <si>
    <t>Конденсацияланған күй физикасы бойынша есептер</t>
  </si>
  <si>
    <t>Оқу құралда конденсацияланған күй физикасы пәнінің негізгі тараулары бойынша есептер және есеп шығару мысалдары, жаттығулар, бақылау сұрақтары жинақталған.
 Оқу құралы «Физика» мамандығында оқитын университеттердің жоғары курс студенттері мен магистранттарына арналған.</t>
  </si>
  <si>
    <t>0004449</t>
  </si>
  <si>
    <t>Құрманғали Г.Қ./Курмангали Г.К.</t>
  </si>
  <si>
    <t>Ахмет иүгінекидің әдеби мұрасы</t>
  </si>
  <si>
    <t>Бұл еңбекте Қарахан дәуірінде өмір сүрген Ахмет Иүгінекидің «Ақиқат сыйы» дастанының мазмұны мен көркемдік ерекшеліктері жан-жақты қарастырылады. Қарахан дәуірінің белді өкілдерінің бірі Ахмет Иүгінекидің өміріне айрықша тоқталып, оның шығармасы тақырыптық, мазмұндық, идеялық және көркемдік тұрғыда талданады. Сондай-ақ, сол дәуірдегі Жүсіп Баласағұн, Ахмет Иасауи сынды түркі шайырларының әдеби мұралары, жыраулар поэзиясы, ХҮІІІ-ХІХ ғасырларда өмір сүрген қазақ ақындарының шығармалары мен «Ақиқат сыйы» дастанының әдеби ұқсастықтары мен ерекшеліктері анықталады.Кітап әдебиеттанушы ғалымдарға, студенттерге және жалпы оқырман қауымға арналған.</t>
  </si>
  <si>
    <t>0004452</t>
  </si>
  <si>
    <t>Құрманұлы О., Нурахметов Т.</t>
  </si>
  <si>
    <t>Радиоэлектрониканың негіздері</t>
  </si>
  <si>
    <t>Радио, электроника</t>
  </si>
  <si>
    <t>Жоғары оқу орындарының студенттеріне арналған «Радиоэлектрониканың негіздері» пәнінің бұл оқу құралыҚРМЖБС-ныңмазмұнына,квалификациялық сипаттамасына, мамандықтардың типтік және жұмыс жоспарына және дайындау бағытына сәйкес өңделген, оқылатын пәннің негізгі мазмұнын береді. Сондай-ақ, электроника ғылым мен техника, өнеркәсіп салаларына электрондық өлшеуіш және электрондық технологиялық құрылғыларымен қызмет жасау, бақылау, басқару, электрлік энергияны түрлендіру мәселелерімен шұғылданады.Ғылым мен техниканың бір саласы электрониканың зерттейтін проблемалары:шалаөткізгіш аспаптарға, микросұлбаларға және тағы басқа да электроникалық аспаптарға қатысты физикалық құбылыстар; шалаөткізгіш аспаптардың, микросұлбалардың және тағы басқа да электроникалық аспаптардың сипаттамалары мен параметрлері; электрондық аспаптар жүйесі мен құрылғылардың қасиеттері; кванттық және нано электрониканың мәселелері</t>
  </si>
  <si>
    <t>0004453</t>
  </si>
  <si>
    <t>Құрмашқызы Ә.</t>
  </si>
  <si>
    <t>Ұлттық әдеби тіл және Ыбырай Алтынсарин</t>
  </si>
  <si>
    <t>Ұсынылған еңбек қазақ тіл білімінің ұлттық ғылым ретінде ана тілінде қалыптасуына қыруар еңбек еткен халқымыздың бір туар даңқты перзенттерінің бірі – Ыбырай Алтынсарин шығармаларына арналған. Онда ағартушының ұлттық әдеби тілдің қалыптасуы мен дамуындағы рөлі сөз етіледі. Жұмыстың барысында ағартушының поэзиядағы, прозадағы тілдік бейнелеу тәсілдері, қолданыстағы сөздердің мағыналық байланысы, тарихи сипаты, дыбыстық ерекшеліктерімен айтылып, жазылуы басшылыққа алынған. Негізге алынған сараптамалар ағартушының өз қаламынан туындаған еңбектер негізінде жүргізілді. Оның ішінде әңгімелері, өлеңдері, аудармалары баспадан жарық көріп, тілге, әдебиетке ерекше әсер берген туындылары. Еңбек филология факультеттері студенттеріне, магистранттарға, тіл тарихы мен қазақтың әдеби тілін зерттеушілерге, сондай-ақ жалпы тіл мамандарына арналған.</t>
  </si>
  <si>
    <t>0004455</t>
  </si>
  <si>
    <t>Құсайнова М.А. (Кусайнова М.А.)</t>
  </si>
  <si>
    <t>0004456</t>
  </si>
  <si>
    <t>Педагогикалық және жас ерекшелік психология</t>
  </si>
  <si>
    <t>Оқу-әдістемелік кешені</t>
  </si>
  <si>
    <t>0004457</t>
  </si>
  <si>
    <t>Психология пәнінің бағдарламаға сәйкес тақырыптарына орай құрастырылған бұл оқу құралы студенттердің пәнді кеңірек білуге, жүйелі түрде жұмсы жасауына көмекші құрал ретінде пайдаланылады. Психология пәні бойынша қарстырылатын тақырыптардың барлығы жүйеленіп берілген. Оқу құралы жаңа инновациялық және кредиттік оқыту, білім беру бағдарламасына сәйкес жазылып, барлық мамандық бойынша оқитын студенттерге арналған.</t>
  </si>
  <si>
    <t>0004458</t>
  </si>
  <si>
    <t>Құсайынова Л.К. (Кусаинова), Қасым А.С.</t>
  </si>
  <si>
    <t>Жалпыланған функциялар теориясы элементтері</t>
  </si>
  <si>
    <t>Бұл оқу құралында жалпыланған функциялар теориясының басты ережелері жазылған. Жалпыланған функциялар теориясы іргелі математиканың қазіргі заманғы бағыттарның бірі болып табылады. Сондай-ақ, кӛптеген табиғи процестерді модельдеу кезінде туындайтын мәселелердің математикалық тұжырымдамасын қойып шешуді табу үшін қажет. Авторлардың мақсаты жоғарғы оқу орындарының жаратылыстану факультеттерінің студенттері үшін осы абстрактты математика бағытының қазіргі заманғы арнайы әдебиетінің оқылуын қол жетімді ету болды</t>
  </si>
  <si>
    <t>0004459</t>
  </si>
  <si>
    <t>Құсмиденов М.Е.</t>
  </si>
  <si>
    <t>Дене шынықтыру және спорт жөніндегі ғылыми – зерттеу жұмысының негіздері</t>
  </si>
  <si>
    <t>Бұл оқу құралы «Дене шынықтыру және спорт» пен «Бастапқы әскери дайындық» мамандығы бойынша «Ғылыми – әдістемелік әрекетшілдігінің негіздері» пәнің меңгеру үшін арналған. Оқу құралында педагогикалық зерттеулердің әдіснамасы жөніндегі түсініктер, ұғымдар мен қағидаттар көрсетілген және дене шынықтыру және спорт бойынша ғылыми зерттеу жұмысының міндеттері, зерттеу әдістері мен амалдары берілген.
 Оқу құрал жоғары және орта арнаулы оқу орындарында «дене шынықтыру және спорт» және «бастапқы әскери дайындық» мамандығы бойынша оқып жүрген студенттерге және мектептегі дене шынықтыру мұғалімдеріне ұсынылады.</t>
  </si>
  <si>
    <t>0004460</t>
  </si>
  <si>
    <t>Мектепте гимнастикалық жаттығуларды оқыту әдістемесі</t>
  </si>
  <si>
    <t>Бұл оқу құралы «Дене шынықтыру және спорт» пен «Бастапқы әскери дайындық» мамандығы бойынша «Гимнастика» пәнің меңгеру үшін арналған. Оқу құралында гимнастиканың дене тәрбие жүйесіндегі орны, міндеттері, оқыту әдістері мен әдістемелік ерекшеліктері, мектепте оқытылатын гимнастикалық жаттығулардың орындау техникасы мен оқыту әдістемесі беріледі.
 Оқу құрал жоғары және орта арнаулы оқу орындарында «дене шынықтыру және спорт» мамандығы бойынша оқып жүрген студенттерге және мектептегі дене шынықтыру мұғалімдеріне ұсынылады.</t>
  </si>
  <si>
    <t>0004462</t>
  </si>
  <si>
    <t>Қырықбаев Ж.Қ., Т.Е. Карбозов, Е.С. Ахметов</t>
  </si>
  <si>
    <t>Шаруашылықаралық жерге орналастыру</t>
  </si>
  <si>
    <t>0004463</t>
  </si>
  <si>
    <t>Оқу құралында жерге орналастырудың, сонымен бірге шаруашылықаралық жерге орналастырудың теориялық және жалпы әдістемелік негіздері, ауылшаруашылық емес жеке және заңды тұлғаларға жер бөліп берудің, әртүрлі агроқұрылымдардың, соның ішінде Ш(Ф)Қ-дың жер иеліктері мен жер пайдаланушылықтарын құрудың және жетілдірудың әдістемелері келтірілген.</t>
  </si>
  <si>
    <t>0004464</t>
  </si>
  <si>
    <t>Қырықбайұлы С., Телеуғали Т.М.</t>
  </si>
  <si>
    <t>Ветеринариялық-санитариялық сараптау практикумы</t>
  </si>
  <si>
    <t>Бұл кітапта ет пен мал-өсімдік өнімдерінің сапасын анықау әдістері және ауру алдан алынған өнімдерді ветеринариялық-санитариялық сараптан өткізу әңгімеленеді. Ет пен ет өнімдері, май, сүт, жұмыртқа, балық, бал, көкөністерді, сезімдік және зертханалық тексерулерден өткізу тәсілдері және ет комбинаттары мен ветеринариялық-санитариялық сараптау зертханаларында сабақтарды өткізу тәртіптері баяндалады. Кітап ветеринария мамндығы бойынша оқитын жоғары оқу орындарының студенттеріне және ветеринариялық лаборатория қызметкерлеріне арналған. Сол сияқты кітап, шаруашылықта, базарда, ет комбинаты, мал сою, өңдеу мекемелерінде тағамдық өнімдерді бақылайтын ветеринария қызметкерлеріне арналған.</t>
  </si>
  <si>
    <t>0004465</t>
  </si>
  <si>
    <t>Қыстаубаева З.Т.</t>
  </si>
  <si>
    <t>Орталық жүйке жүйесінің анатомиясы, эволюциясы және жоғары жүйке әрекеті</t>
  </si>
  <si>
    <t>Оқу құралында жүйке жүйесінің жалпы сипаттамасы, эволюциялық дамуы, ұғым мен терминдер берілді, омыртқалы жануарлардың негізгі кластарының жүйке жүйесі, адам миының пренатальды кезеңінде дамуы қарастырылды. Орталық жүйке жүйесінің жеке бөлімдерінің құрылысы, жоғары жүйке әректі толығымен көрсетілген.
 Оқу құралы жоғары оқу орындарының биология, психология мамандықтарына оқитын студенттеріне, оқытушыларына және кәсіптік орта білім беретін мұғалімдеріне арналған.</t>
  </si>
  <si>
    <t>0004466</t>
  </si>
  <si>
    <t>Қыстаубаева З.Т., Сарсембаева А.Ш.</t>
  </si>
  <si>
    <t>Тіршілік қауіпсіздігі негіздері</t>
  </si>
  <si>
    <t>Бұл жарыққа шыққалы отырған оқу құралы жоғары оқу орындарындағы барлық мамандықтарға лайықталып жазылған. Бұл оқулықта бұрынғы кітаптарда кеткен олқылықтар, авторлар тарапынан жіберілген кемшіліктер түгелімен ескерілді. Яғни, тек ең қажетті деген мағлұматтар теріліп алынып, сан алуан кәсіпті өзінің өмірлік жолы еткен студенттер үшін жеткілікті дәрежеде беріліп отырған оқулық. 
 Болашақ мамандарды теориялық білім және тәжірибелік дағдыға үйрете отырып, өмір тіршілігіне қауіпсіз және зиянсыз жағдайларын жасауды, яғни, төтенше жағдайларды болжау және сауатты шешімдер қабылдаумен адамдардың өмір сүру ортасын залалды әсерлерден қорғау жөніндегі шараларды әзірлеудің жолдарын үйретеді.</t>
  </si>
  <si>
    <t>0004475</t>
  </si>
  <si>
    <t>Лашкарева О.В.</t>
  </si>
  <si>
    <t>Учебное пособие по дисциплине «Макроэкономика» для студентов высших учебных заведений экономических специальностей включает программу дисциплины, глоссарий курса, тезисы лекций, краткое описание практических занятий и материалы для контроля знаний студентов.
 Учебное пособие подготовлено согласно требованиям кредитной технологии обучения.</t>
  </si>
  <si>
    <t>0004476</t>
  </si>
  <si>
    <t>Макроэкономика: методические указания для подготовки к семинарам</t>
  </si>
  <si>
    <t>0004477</t>
  </si>
  <si>
    <t>Макроэкономика: методические указания по подготовке к СРО (СРСП и СРС)</t>
  </si>
  <si>
    <t>Методические указания по СРО (СРСП и СРС) по дисциплине «МАКРОЭКОНОМИКА» для студентов экономических специальностей Методические указания по СРО составлены согласно требованиям кредитной технологии обучения, включают рекомендации студенту для эффективной организации СРС и СРСП, задания в виде вопросов для повторения, тестов, задач, кейсов и проблемных ситуаций, списка рекомендованной литературы.</t>
  </si>
  <si>
    <t>0004478</t>
  </si>
  <si>
    <t>Учебное пособие по дисциплине «Микроэкономика» для студентов высших учебных заведений экономических специальностей включает программу дисциплины, глоссарий курса, тезисы лекций, краткое описание практических занятий и материалы для контроля знаний студентов.
 Учебное пособие подготовлено согласно требованиям кредитной технологии обучения.</t>
  </si>
  <si>
    <t>0004479</t>
  </si>
  <si>
    <t>Микроэкономика: методические указания для подготовки к семинарам</t>
  </si>
  <si>
    <t>Содержится материал, необходимый для подготовки к семинарским занятиям по дисциплине «Микроэкономика»: план семинара, вопросы к обсуждению, рекомендуемая литература, методические пояснения. Последовательно изложены темы дисциплины и задания к ним, даны рекомендации по написанию реферата. Для студентов экономических специальностей.</t>
  </si>
  <si>
    <t>0004480</t>
  </si>
  <si>
    <t>Учебное пособие по дисциплине «Экономическая теория» для студентов высших учебных заведений экономических специальностей включает программу дисциплины, глоссарий курса, тезисы лекций, краткое описание практических занятий и материалы для контроля знаний студентов.
 Учебное пособие подготовлено согласно требованиям кредитной технологии обучения.</t>
  </si>
  <si>
    <t>0004481</t>
  </si>
  <si>
    <t>Лашкарева О.В. Мурзатаева Г.К.</t>
  </si>
  <si>
    <t>Экономическая теория: методические указания для подготовки к СРО (СРСП и СРС)</t>
  </si>
  <si>
    <t>Методические указания по СРО составлены согласно требованиям кредитной технологии обучения, включают рекомендации студенту для эффективной организации СРС и СРСП, задания в виде вопросов для повторения, тестов, задач, списка рекомендованной литературы.</t>
  </si>
  <si>
    <t>0004482</t>
  </si>
  <si>
    <t>Левицкий Ж. Г.</t>
  </si>
  <si>
    <t>Курс лекций по промышленной вентиляции 1 часть</t>
  </si>
  <si>
    <t>В первом томе курса лекций рассмотрены состав и свойства атмосферы промышленных предприятий, законы движения воздуха в вентиляционных каналах и воздухопроводах, изложены основные представления о механизме аэродинамического сопротивления воздухопроводов, приведены необходимые сведения об источниках тяги, методах расчёта вентиляционных сетей и способах управления распределением воздуха в вентиляционных системах. Особое внимание уделено практическому приложению рассматриваемых вопросов к решению задач управления вентиляционными потоками. По разветвлённой схеме даны вопросы для самоконтроля и универсальная таблица, по которой обучающийся может сам оценить свои знания.Данный курс лекций предназначен для бакалавров, обучающихся по программе «Безопасность жизнедеятельности и защита окружающей среды», а также может быть использован магистрантами, докторантами и инженерно-техническим персоналом службы безопасности, специализирующимися в области промышленной вентиляции и аэрологии горных предприятий</t>
  </si>
  <si>
    <t>0004483</t>
  </si>
  <si>
    <t>Курс лекций по промышленной вентиляции 2 часть</t>
  </si>
  <si>
    <t>В втором томе курсе лекций вентиляционных вентиляционными потоков воздуха изложены основы газовой и пылевой динамики, рассмотрена организация проветривания промышленных и горнодобывающих предприятий. По разветвлённой схеме даны вопросы для самоконтроля и универсальная таблица, по которой обучающийся может сам оценить свои знания.Данный курс лекций предназначен для бакалавров, обучающихся по программе «Безопасность жизнедеятельности и защита окружающей среды», а также может быть использован магистрантами, докторантами и инженерно-техническим персоналом службы безопасности, специализирующимися в области промышленной вентиляции и аэрологии горных предприятий</t>
  </si>
  <si>
    <t>0004485</t>
  </si>
  <si>
    <t>Лежнев С.Н., Задиранов А.Н., Колтунов И.И., Малькова М.Ю</t>
  </si>
  <si>
    <t>Нанотехнологии в литейном производстве</t>
  </si>
  <si>
    <t>Пособие направлено на углубление знаний студентами предмета, а также с целью кругозора и представления о современных направлениях металлургического и литейного производств. Представлены сведения по свойствам порошков наиболее распространенных черных и цветных металлов и способам их получения. В число этих металлов вошли медь, свинец, никель, кобальт, олово, алюминий и другие.Освещено современное аппаратурное обеспечение лабораторных экспериментов и исследований металлов и сплавов, а также порошков фракции наноразмеров в части изучения их физико-механических и физико-химических свойств. Соответствует современным представлениям о методах и перспективах развития литейного производства. Предназначено для студентов, магистрантов и преподавателей ВУЗов. Рекомендовано к изданию учебно-методической секцией по специальности «Металлургия».</t>
  </si>
  <si>
    <t>0004487</t>
  </si>
  <si>
    <t>Лежнев С.Н., Курапов Г.Г., Найзабеков А.Б., Жансеркеева З.А., Паничкин А.В.</t>
  </si>
  <si>
    <t>Пластическая деформация металла, как физико-химический процесс</t>
  </si>
  <si>
    <t>0004488</t>
  </si>
  <si>
    <t>Лежнев С.Н., Мазур И.П.</t>
  </si>
  <si>
    <t>Учебно-методическое пособие к выполнению курсовых и лабораторных работ "Информационные технологии в металлургии"</t>
  </si>
  <si>
    <t>Настоящее учебно-методическое пособие предназначено для студентов и магистрантов, обучающихся по специальности «Металлургия». Целью данного учебно-методического пособия является освоение методов проектирования баз данных и приобретение навыков самостоятельной работы с базами данных в среде конкретной СУБД (Microsoft Access, OpenOffice Base и др.).
 Рекомендовано к изданию учебно-методической секцией по специальности «Металлургия» (Протокол №1 от 07.02.2013 года).</t>
  </si>
  <si>
    <t>0004489</t>
  </si>
  <si>
    <t>Леньков Ю. А., А. Х. Мусин, А. С. Барукин</t>
  </si>
  <si>
    <t>Выбор кабелей и коммутационных аппаратов в электроустановках до 1000 в собственных нужд электростанций и подстанций</t>
  </si>
  <si>
    <t>В учебном пособии рассмотрены вопросы расчета токов короткого замыкания, выбора кабелей, плавких предохранителей, магнитных пускателей и автоматических выключателей в электроустановках напряжением до 1000 В. Рассмотрены принципы работы коммутационных аппаратов и их конструкции и приведены их основные номинальные параметры и защитные характеристики.
 Учебное пособие предназначено для студентов электроэнергетических специальностей и может быть использовано специалистами-электроэнергетиками.</t>
  </si>
  <si>
    <t>0004490</t>
  </si>
  <si>
    <t>Проектирование электрических станций</t>
  </si>
  <si>
    <t>В учебном пособии рассмотрены вопросы проектирования электрической части тепловых электростанций, вопросы выбора структурных схем, методика технико-экономических расчетов с учетом надежности, выбор коммутационных аппаратов и проводников, выбор схем распределительных устройств и схем собственных нужд.
 Учебное пособие предназначено для студентов электроэнергетических специальностей и может быть использовано специалистами-электроэнергетиками.</t>
  </si>
  <si>
    <t>0004491</t>
  </si>
  <si>
    <t>Справочные материалы по измерительным трансформаторам и турбогенераторам</t>
  </si>
  <si>
    <t>В учебном пособии приведены условия выбора и проверки измерительных трансформаторов тока и напряжения и основные сведения о параметрах измерительных трансформаторов. Приведены так же основные номинальные параметры синхронных турбогенераторов и комплектных экранированных токопроводов.
 Учебное пособие предназначено для студентов электроэнергетических специальностей.</t>
  </si>
  <si>
    <t>0004492</t>
  </si>
  <si>
    <t>Леньков Ю.А.</t>
  </si>
  <si>
    <t>Автоматика энергосистем</t>
  </si>
  <si>
    <t>В учебном пособии рассматриваются принципы действия и схемы устройств автоматического управления и регулирования, широко используемые на электрических станциях и подстанциях. Рассмотрены устройства АПВ, АВР, АЧР, устройства автоматического регулирования возбуждения и частоты вращения синхронных генераторов и включения их на параллельную работу.
 Учебное пособие предназначено для студентов электроэнергетических специальностей.</t>
  </si>
  <si>
    <t>0004493</t>
  </si>
  <si>
    <t>Справочные материалы по силовым трансформаторам</t>
  </si>
  <si>
    <t>В учебном пособии приведены условия выбора и проверки силовых трансформаторов и автотрансформаторов. Содержатся основные сведения о параметрах силовых трансформаторов и автотрансформаторов, выпускаемых в странах СНГ.
 Учебное пособие предназначено для студентов электроэнергетических специальностей.</t>
  </si>
  <si>
    <t>0004494</t>
  </si>
  <si>
    <t>Леньков Ю.А., Акаев А.М.</t>
  </si>
  <si>
    <t>Күштік трансформаторлар бойынша анықтамалық материалдар</t>
  </si>
  <si>
    <t>Оқу құралында күштік трансформаторлар мен автотрансформаторларды таңдау мен тексеру шарттары келтірілген. ТМД елдерінде шығарылатын күштік трансформаторлар мен автотрансформаторлардың параметрлері жайлы негізгі мәліметтерден тұрады. Оқу құралы электрэнергетикалық мамандықтардың студенттері үшін арналған.</t>
  </si>
  <si>
    <t>0004495</t>
  </si>
  <si>
    <t>Леньков Ю.А., Ашимова А.К.</t>
  </si>
  <si>
    <t>Электрэнергетикалық жүйелердің автоматикасы</t>
  </si>
  <si>
    <t>Оқу құралында автоматтық басқару құрылғысының сызбаларымен және электрлік станцияларда кең қолданылатын реттегіштер және олардың әрекет ету принциптері қарастырылады. АПВ, АВР, АЧР құрылғылары, қоздырғыш реттеуішінің автоматтық құрылғысы және синхронды генераторлардың айналу жиілігі және олардың параллельді жұмысқа қосылуы қарастырылған.
 Оқу әдістемелік құрал электроэнергетика мамандығының студенттеріне арналған.</t>
  </si>
  <si>
    <t>0004496</t>
  </si>
  <si>
    <t>Леньков Ю.А., Мусин А.Х., Сейтказин С.Б., Барукин А.С.</t>
  </si>
  <si>
    <t>Электр станциялар мен қосалқы станциялардың өзіндік мұқтаждықтарының, 1000 В дейінгі электр қондырғыларындағы кабельдер мен коммутациялық аппараттарды таңдау</t>
  </si>
  <si>
    <t>Оқу құралында кернеуі 1000 В дейінгі электр қондырғылардағы қысқа тұйықталу токтарын есептеу, кабельдерді, балқымалы сақтандырғыштарды, магнитті іске қосқыштар мен автоматы ажыратқыштарды таңдау сұрақтары қарастырылған. Коммутациялық аппараттар мен олардың құрылысының жұмыс істеу принциптері қарастырылған және олардың негізгі оминалды параметрлері мен қорғаныс сипаттамалары келтірілген. Оқу құралы электрэнергетикалық мамандықтың студенттеріне арналған және электрэнергетик-мамандар пайдалануы мүмкін.</t>
  </si>
  <si>
    <t>0004497</t>
  </si>
  <si>
    <t>Леньков Ю.А., Хожин Г.Х., Барукин А.С., Динмуханбетова А. Ж.</t>
  </si>
  <si>
    <t>Электр станцияларды жобалау</t>
  </si>
  <si>
    <t>Жылу электр станциялардың электрлік бөлігін жобалау, құрылымдық сұлбалар таңдау, сеңімділік есебі мен технико-экономикалық есептеу әдістері, коммутациялық аппараттарын мен өткізгіш бөліктерін, тарату құрылғыларының және өзіндік мұқтаждар сұлбаларын таңдау сұрақтары оқу әдістемесінде қаралған. Оқу құралы электрэнергетика мамандығының студенттеріне арналған және электрэнергетиканың жұмысшылар пайдалануы мүмкін.</t>
  </si>
  <si>
    <t>0004498</t>
  </si>
  <si>
    <t>Лепесов Т., Оспанов Т.А.</t>
  </si>
  <si>
    <t>Арнайы технология. 2 кітап</t>
  </si>
  <si>
    <t>0004504</t>
  </si>
  <si>
    <t>Лехтмец В.Л., Чернышева А.А.</t>
  </si>
  <si>
    <t>В учебном пособии изложены теоретические основы и методика проведения проектных расчетов при проектировании производственных отделений и складов формовочных и шихтовых материалов литейных цехов, производящих отливки в разовых формах. Приведены примеры расчета отделений с компоновкой оборудования и описанием работы. Учебное пособие предназначено для студентов специальности 5В071200 – Машиностроение специализация «Машины и технология литейного производства».</t>
  </si>
  <si>
    <t>0004505</t>
  </si>
  <si>
    <t>Механическое оборудование и транспортирующие машины литейных цехов</t>
  </si>
  <si>
    <t>В методических указаниях кратко изложены конструкция, принцип действия, назначение и методика проведения расчетов 7 типов транспортирующих машин, широко используемых в цехах металлургических и машиностроительных заводов. Представлены примеры расчета транспортирующих машин, и варианты заданий для самостоятельного расчета. Методические указания предназначены для студентов специальности 5В 071200 – Машины и технология литейного производства (бакалавр машиностроения).</t>
  </si>
  <si>
    <t>0004506</t>
  </si>
  <si>
    <t>Технологические процессы производства материалов-учебно-методические указания к практическим занятиям. Часть1 Технология литья и сварки</t>
  </si>
  <si>
    <t>В учебно-методическом пособии кратко изложены теоретические основы и методика проведения расчетов технологических процессов производства отливок в разовых литейных формах и расчета параметров при выпол-нении электродуговой сварки. Приведены примеры расчета и задания для самостоятельного расчета оборудования. Учебно-методическое пособие предназначено для студентов специальности – 5В071000 (бакалавр материаловедения) специализация «Материаловедение и технология новых материалов» всех форм обучения.</t>
  </si>
  <si>
    <t>0004507</t>
  </si>
  <si>
    <t>978-601-13-0052-0</t>
  </si>
  <si>
    <t>Лигай М.А., Ермекова Ж.К.</t>
  </si>
  <si>
    <t>Физические основы естествознания</t>
  </si>
  <si>
    <t>Учебник пособие разработано в соответствии с Государственным общеобязательным стандартом образования РК “Циклы социально-гуманитарных и естественнонаучных дисциплин в структуре образовательно-профессиональных программ высшего профессионального образования” ГОСО РК 3.0011-2002, утвержденного Приказом № 69 Министерства образования и науки РК от 30 января 2002г.</t>
  </si>
  <si>
    <t>0004508</t>
  </si>
  <si>
    <t>Физические основы естествознания. 2-издание</t>
  </si>
  <si>
    <t>Учебник пособие разработано для магистрантов специальности «6М011000-Физика». Во втором издании учебного пособия мы дополнили первую главу», были дополнены пункты: 1.6. Использование интерактивных методов. 1.7. Программа Элективного курса «Развитие познавательного интереса учащихся к фундаментальным наукам». 1.7.2. Методические рекомендации по программе элективного курса. В современной науке наиболее важные и интересные открытия совершаются на стыке наук, и большинство наук имеют комплексный характер, поэтому особенно важной становится организация межпредметной деятельности будущих учителей. Реализация в учебном процессе межпредметных связей фундаментальных наук, раскрытие значимости физики в достижениях современного естествознания – это одна из важных предпосылок развития познавательного интереса обучающихся не только к данной науке, но и к другим естественным дисциплинам.</t>
  </si>
  <si>
    <t>0004519</t>
  </si>
  <si>
    <t>Ломакин Ю.И., Жанбыршиев С.Н., Жанибекова Э.Ж., Кунжигитова Г.Б.</t>
  </si>
  <si>
    <t>Академический рисунок-ІІ</t>
  </si>
  <si>
    <t>«Академический рисунок-ІІ» - являются основной всего учебного процесса на 1 курсе специальности 5В041300- Живопись. Обучение рисунку включает в себя историю и теорию рисунка, перспективу, конструтивную пластику, пластическую анатомию и законы передачи объема при помощи разных тоновых и линейных техник. В учебное пособие включены моменты выработки у студентов объемно- пространственного восприятия натуры через линию и штрих, который служат выражению не только формы, экспрессии, но и включают моменты духовности. Умение рисовать с натуры, по памяти, по представлению очень важно для композиционных решений замысла художника.</t>
  </si>
  <si>
    <t>0004520</t>
  </si>
  <si>
    <t>Ломан Н.Ф., Чеснокова И.А. (N.F.Loman, I.A. Chesnokova)</t>
  </si>
  <si>
    <t>History of Philosophy</t>
  </si>
  <si>
    <t>0004522</t>
  </si>
  <si>
    <t>Лопухов Ю.И.</t>
  </si>
  <si>
    <t>Расчет допусков, посадок и размерных цепей в машиностроении</t>
  </si>
  <si>
    <t>0004523</t>
  </si>
  <si>
    <t>Лоскутова Г. А., Дубинец И. М., Кольтюгина О.В.</t>
  </si>
  <si>
    <t>«Техно-химический контроль и охрана труда на мукомольных и хлебопекарных предприятиях»</t>
  </si>
  <si>
    <t>В учебном пособии приведены методики оценки качества сырья и переработки зерна в муку. Описаны методы контроля работы технологического оборудования по подготовке сырья к помолу. Представлены операции оценки качества сырья и полуфабрикатов для производства хлебобулочных изделий с применением ЭВМ для обработки экспериментальных данных по стандартным программам. Описаны приборы и оборудование для контроля и оценки качества сырья и полуфабрикатов, используемые в мукомольной и хлебопекарной отраслях. Рассмотрены вопросы безопасности технологического оборудования в мукомольном и хлебопекарном производстве. Учебно-практическое пособие предназначено для бакалавров и магистрантов специальности «Технология перерабатывающих производств».</t>
  </si>
  <si>
    <t>0004524</t>
  </si>
  <si>
    <t>Лоскутова Г.А., Дубинец И.М., Кольтюгина О.В.</t>
  </si>
  <si>
    <t>Пищевая биотехнология</t>
  </si>
  <si>
    <t>Учебно-практическое пособие по пищевой биотехнологии составлен в соответствии с требованиями учебного плана и программой дисциплины «Пищевая биотехнология» . Пособие содержит краткие теоретические сведения о стадиях развития микроорганизмов, сырье, используемом в биотехнологических производствах, технологиях получения некоторых продуктов с помощью микроорганизмов. В книге представлены современные направления в биотехнологии получения продуктов из сырья растительного и животного происхождения. Практическая часть пособия посвящена вопросам производства молочных, консервированных и обогащенных продуктов. Учебно-практическое пособие предназначено для студентов специальностей биотехнология, технология продуктов питания, технология перерабатывающих производств.</t>
  </si>
  <si>
    <t>0004525</t>
  </si>
  <si>
    <t>каз, лат, рус</t>
  </si>
  <si>
    <t>Лоскутова Г.А., Дубинец И.М., Фахруденова И.Б., Нурмуханбетова Н.Н.,/ Loskutova G.A., Dubınets I.M., Fahrudenova I.B., Nýrmýhanbetova N.N.</t>
  </si>
  <si>
    <t>Элеваторды АЖЖ негізінде жобалау, Elevatordy AJJ negizinde jobalaý, Проектирование элеваторов 
 с основами САПР</t>
  </si>
  <si>
    <t>Оқу құралы оқу жоспарына сай және «Өндірісті АҚҚ негізінде жобалау» бағдарлама пәніне құрылған. Оқу құралында элеватордың технолгиялық есептемелері берілген, берілген есептің үлкейтілген алгоритм сызбасы келтірілген, технологиялық сызба жобасының негізі берілген, элеватордың көлемді - жобаланған есептеулері қарастырылады. Әдістемелік құрал 5В072800 - «Өндеу өндірісінің технологиясы» мамандық студенттері үшін арналған.
 Oqý quraly oqý josparyna saı jáne «Óndіrіstі AQQ negіzіnde jobalaý» baǵdarlama pánіne qurylǵan. Oqý quralynda elevatordyń tehnolgııalyq eseptemelerі berіlgen, berіlgen eseptіń úlkeıtіlgen algorıtm syzbasy keltіrіlgen, tehnologııalyq syzba jobasynyń negіzі berіlgen, elevatordyń kólemdі - jobalanǵan esepteýlerі qarastyrylady. Ádіstemelіk qural 5B072800 - «Óndeý óndіrіsіnіń tehnologııasy» mamandyq stýdentterі úshіn arnalǵan. / Учебное пособие составлено в соответствии с требованиями учебного плана и программой дисциплины «Проектирование предприятий с основами САПР». В учебном пособии изложены вопросы технологического расчета элеваторов, приведена укрупненная схема алгоритма данного расчета, даны основы проектирования технологических схем, объемно-планировочных решений элеваторов. Методические указания предназначены для студентов специальности 5В072800 - «Технология перерабатывающих производств».</t>
  </si>
  <si>
    <t>0004545</t>
  </si>
  <si>
    <t>Магауова А.С., Ермекова Ж.К.</t>
  </si>
  <si>
    <t>Инновационные образовательные технологии в высшей школе</t>
  </si>
  <si>
    <t>В данном учебном пособии раскрываются сущность современных инновационных технологий и их значение в совершенствовании целостного педагогического процесса высшей школы. Обоснованы концептуальные положения, содержание и особенности внедрения современных инновационных технологий обучения в систему профессиональной подготовки специалистов. Учебное пособие предназначено для магистрантов всех специальностей, а также может быть использовано на курсах повышения квалификации преподавателей высшей школы.</t>
  </si>
  <si>
    <t>0004550</t>
  </si>
  <si>
    <t>Мадалиев Я.Х.</t>
  </si>
  <si>
    <t>Вилоятимиздаги ўзбек маданияти ва тили/ Узбекская культура и особенности узбекского языка в регионе</t>
  </si>
  <si>
    <t>Ўқув қўлланмаси /Уч. пособие</t>
  </si>
  <si>
    <t>Язык узбекский</t>
  </si>
  <si>
    <t>«Вилоятимиздаги ўзбек маданияти ва тили» Ўқув қўлланмаси 5В021019-четел филологияси: ўзбек тили йўналишининг талабаларига ўтилади. Мазкур дарслик қўлланмаси бакалавр талабалар орасида "Базалик чет тили" курси давомида «Вилоятимиздаги ўзбек маданияти ва тили» фани билан илк бор системали тарзда танишилади. Зеро, курснинг мақсади ҳам вилоятимизнинг тарихи ва маданияти олинган адабий-назарий билимларни муайян бир тизимга келтирган ҳолда мустақкамлашдан иборатдир. Курснинг барча бўлимида вилоятимиз тарихи, маданияти, бадиий адабиётнинг ривожланиш қонуниятлари, Туркистонда миллий уйғониш ва вилоятимиз тарихининг шаклланиш ва тараққиёт манзараларини кўрсатишга бағишланган./«Узбекская культура и язык в регионе». Руководство 5V021019-Иностранный язык: перевод на узбекских студентов. Вначале этот учебник будет систематически вводиться с бакалаврами по курсу «Базовый иностранный язык» по предмету «Узбекская культура и язык в регионе». Целью курса является укрепление литературных и теоретических знаний, полученных в истории и культуре нашего региона, путем введения их в определенную систему. Все разделы курса посвящены истории, культуре, законам развития нашего региона, ландшафту Туркестана и истории региона.</t>
  </si>
  <si>
    <t>0004551</t>
  </si>
  <si>
    <t>Ўзбек адабиётининг танқиди тарихи/ История критики узбекской литературы</t>
  </si>
  <si>
    <t>«Ўзбек адабиётининг танқиди тарихи» Ўқув қўлланмаси филология факультетлари, педагогика университетида таълим оладиган 5В021019 – Четел филологияси: ўзбек тили мутахассислигида таҳсил олувчи талабалари учун мўлжалланган. Ўқув қўлланмаси амалдаги ўқув режаси ва шу режа асосидаги ўқув дастурига мувофиқ яратилган. Унда адабиёт ўқитишнинг энг долзарб муаммолари бугунги кун нуқтаи назаридан ёритиб берилган. /«История критики узбекской литературы» Учебное пособие предназначено для филологических факультетов, 5V021019 - Chetel Philology: студенты, обучающиеся в педагогическом университете. Учебный план разработан в соответствии с учебным планом и учебным планом, который основан на этом учебном плане. Вот некоторые из наиболее актуальных проблем преподавания литературы, доступных сегодня.</t>
  </si>
  <si>
    <t>0004552</t>
  </si>
  <si>
    <t>Ўзбек адабиётини ўқитиш методикаси /Методика преподавания узбекской литературы</t>
  </si>
  <si>
    <t>дарслик қўлланма/ учебно-метод. пособие</t>
  </si>
  <si>
    <t>«Ўзбек адабиётини ўқитиш методикаси» ўқув қўлланмаси амалдаги ўқув режаси ва шу режа асосидаги ўқув дастурига мувофиқ яратилган. Унда адабиёт ўқитишнинг энг долзарб муаммолари бугунги кун нуқтаи назаридан ёритиб берилган. Дарслик қўлланмаси филология факультетлари, педагогика университетида таълим оладиган 5В021019 – Четел филологияси: ўзбек тили мутахассислигида таҳсил олувчи талабалари учун мўлжалланган./Учебное пособие «Методика преподавания узбекской литературы» было разработано в соответствии с действующим учебным планом и учебным планом данного учебного плана. Вот некоторые из наиболее актуальных проблем преподавания литературы, доступных сегодня. Учебник предназначен для филологических факультетов, студентов 5V021019 - Chetel Philology: студентов узбекского языка, обучающихся в Педагогическом университете.</t>
  </si>
  <si>
    <t>0004553</t>
  </si>
  <si>
    <t>Ўзбек мумтоз адабиёти/Узбекская классическая литература</t>
  </si>
  <si>
    <t>Ўқув қўлланмаси/Уч. пособие</t>
  </si>
  <si>
    <t>«ЎЗБЕК МУМТОЗ АДАБИЁТИ» 5В021019 – Четел филологияси: ўзбек тили мутахассислигида таҳсил олувчи талабалари учун мўлжалланган. Бўлажак филолог мутахассис адабиёт тарихидан атрофлича билимга эга бўлиши ва ўз билимини ҳаётга татбиқ эта олиш, адабиёт тарихи бўйича мустақил тадқиқотлар олиб бориш, олий ва ўрта мактабларда ўзбек адабиёти тарихини юқори илмий-тадрижий даражада ўқита олиш малакасига эга бўлиши лозим. Ислом дини ва ўзбек мумтоз адабиёти муносабатларини пухта ўзлаштириш бўлажак филолог олдидаги зарурий вазифалардан саналади./Будущий филолог должен обладать знаниями в области истории литературы и уметь применять свои знания, проводить самостоятельные исследования по истории литературы, уметь изучать историю узбекской литературы в высших и средних школах на высоком академическом уровне. Тщательное изучение ислама и связи узбекской классической литературы является одним из приоритетов будущего филолога.</t>
  </si>
  <si>
    <t>0004554</t>
  </si>
  <si>
    <t>Адабиётшуносликка кириш/Введение в литературу</t>
  </si>
  <si>
    <t>«Адабиётшуносликка кириш» ўқув қўлланма филология факультетлари, педагогика университетида таълим оладиган 5В021019 – Четел филологияси: ўзбек тили мутахассислигида таҳсил олувчи талабалари учун мўлжалланган. Дарслик қўлланма бакалавр талабалар орасида "Адабиётшуносликка кириш" курси давомида адабиётшунослик фани билан илк бор системали тарзда танишилади. Зеро, курснинг мақсади ҳам мактабда олинган адабий-назарий билимларни муайян бир тизимга келтирган ҳолда мустақкамлашдан иборатдир. Курснинг барча бўлимида адабий жараён, бадиий адабиётнинг ривожланиш қонуниятлари, адабий тур ва жанрлар, услуб ва метод тушунчалари, бадиий адабиётдаги турли оқим ва йўналишлар ҳақида дастлабки маълумотлар билан таништирилади. /Учебное пособие «Введение в литературоведение» предназначено для филологических факультетов, 5V021019 - Chetel Philology: студенты, обучающиеся в педагогическом университете. Учебник впервые будет систематически вводиться в литературу в рамках курса бакалавриата «Литературные исследования».</t>
  </si>
  <si>
    <t>0004555</t>
  </si>
  <si>
    <t>Ўзбек халқи оғзаки ижодиёти/Устная письменность узбекского народа</t>
  </si>
  <si>
    <t>«Ўзбек халқи оғзаки ижодиёти» ўқув қўлланмаси 5В021019-Четел филологияси: ўзбек тили йўналишининг талабаларига ўтилади. Фольклор халқнинг турмуш тарзи, яшаш шароитлари, ижтимоий мехнат даражасига мос равишда шаклланиб, отадан ўғилга, устоздан шогирдга, авлоддан авлодга ўтиб, сайқаллашиб, мукаммаллашиб, тобора анъанавийлашиб борган ва ниҳоят, касбийлик (профессина-лик) касб этган ҳамда жонли ижро шароитлари орқали бизгача етиб келган./ Учебное пособие для учителей "Устная письменность узбекского народа". Фольклор сформировался в соответствии с образом жизни, условиями жизни и социальной работой людей, от отца к сыну, от учителя к ученику, от поколения к поколению, отбеливанию, совершенствованию, становлению более традиционным и, наконец, благодаря профессионализму и живому выступлению. ,</t>
  </si>
  <si>
    <t>0004556</t>
  </si>
  <si>
    <t>Мадалиев Я.Х., Омаров Н.Қ</t>
  </si>
  <si>
    <t>Адабиёт назарияси /Теория литературы</t>
  </si>
  <si>
    <t>«Адабиёт назарияси» ўқув қўлланмаси 5В021019-четел филологияси: ўзбек тили йўналишининг талабаларига ўтилади. Адабиёт - инсон яратган мўъжиза, халқ онгини шакллантирувчи омил эканлиги, адабиёт назариясини ўрганишнинг маънавий ва амалий аҳамияти. Адабиёт вазифаларининг спецификаси, инсон бадиий асарнинг асосий тасвир предмети ва адабиёт-инсоншунослик эканлиги. Жаҳон адабиёти тарихи-инсон тасвири маҳоратининг мукаммалаша бориш жараёни сифатида. Инсон кечинмалаари тасвирининг икки муҳим жиҳати, адабиётдаги оммавийлик хусусиятини икки қиррасини очишга ёрдам беради./Учебник "Теория литературы" 5V021019- иностранная филология: для студентов узбекского языка. Литература - это чудо, созданное людьми, которое составляет разум людей, духовную и практическую значимость изучения теории литературы. Специфика литературных функций является предметом основного искусства человеческого труда и литературного гуманизма. Всемирная литературная история - как процесс совершенствования человеческих образов. Два важных аспекта человеческих образов - это два аспекта популярности литературы.</t>
  </si>
  <si>
    <t>0004563</t>
  </si>
  <si>
    <t>Мадияров Н.К.</t>
  </si>
  <si>
    <t>Оқу құралы жоғары оқу орындарында оқылатын «Жоғары математика» курсының «Аналитикалық геометрия» бөлімінің бағдарламасына сәйкес жазылған. Оқу құралының әрбір параграфында теориялық қағидалар дәлелдемесімен келтіріліп және оны жақсы меңгеруге жәрдемдесетін мысалдар мен жаттығулар толық түсіндірмесімен шығарылған. Әрбір тараудың соңында практикалық сабақ өткізу кезінде шығарылатын есептер мен жаттығулар топтамасы жауабымен келтірілген. Оқу құралының соңында студенттердің өзіндік жұмыстарына арналған тапсырмалар топтамасы (әр қайсысы 25 нұсқадан) берілген.Оқу құралы лекция және практикалық сабақтарды жүргізу үшін және студенттердің өзіндік жұмыстарын өз бетінше оқып-үйренуіне арналған</t>
  </si>
  <si>
    <t>0004572</t>
  </si>
  <si>
    <t>Мадыханова К.А.</t>
  </si>
  <si>
    <t>Төлем жүйесі</t>
  </si>
  <si>
    <t>Бұл оқу құралында төлем жүйелерін реформалаудың негізгі қадамдары, Ұлттық Банктің төлем жүйелерін қадағалау бойынша қызметтері, ұлттық төлем жүйелерінің қызмет атқарулары бойынша статистикалық мәліметтер, Қазақстан банктерінің арасындағы корреспонденттік қатынастар жүйелерінің қызмет етулеріне талдау және елдің аумағында төлем құралдарының қолданылуы деген сияқты тақырыптар ашылған. Сонымен қатар төлем карточкалары нарығының дамуы туралы және халықаралық ақша аударымдар жүйесі туралы мәліметтер көрсетілген.</t>
  </si>
  <si>
    <t>0004574</t>
  </si>
  <si>
    <t>Маженов /Mazhenov N., Smirnov Yu., Smakova N.</t>
  </si>
  <si>
    <t>Physics</t>
  </si>
  <si>
    <t>The textbook outlines the basic concepts and principles of modern physics which are used in the study of general physics. The book contains 12 chapters. Each section describes the basic concepts and experiences. The manual can be used for the fifst-year</t>
  </si>
  <si>
    <t>0004575</t>
  </si>
  <si>
    <t>Маженов Н.А. Смирнов Ю.М. Копбалина Қ.Б</t>
  </si>
  <si>
    <t>Электр және электрониканың физикалық негіздері</t>
  </si>
  <si>
    <t>Ұсынылып отырған оқулық барлық оқу орындарына кредиттік технологиямен оқитын бакалавриаттармен сабаққа дайындалу барысында студентерге, әрі физика пәнінің жас оқытушыларына арналған. Бұл оқулықтың мазмұны ықшамды, электродинамиканың негізгі тұжырымдары жүйелі түрде шоғырланған. Семинар және зертханалық жұмыстарды жүргізген кезде оқулықтағы материалдарды пайдалануға, студенттердің сынаққа дайындалуға, техниканың салаларын меңгеруге осы оқулықтың мазмұны көмек бере алады</t>
  </si>
  <si>
    <t>0004577</t>
  </si>
  <si>
    <t>рус/анг/каз</t>
  </si>
  <si>
    <t>Мажитаева Ш.М., Мухаметкалиева А.А.</t>
  </si>
  <si>
    <t>Русско-англо-казахский разговорник</t>
  </si>
  <si>
    <t>Разговорник</t>
  </si>
  <si>
    <t>Данное издание способствует развитию полиязычия. Оно может быть использовано студентами университетов, а также широким кругом лиц, выезжающих в деловые и туристические поездки в англоязычные страны. В разговорник включены такие темы, как «Знакомство», «Путешествие», «Покупки», «В таможне», «В банке», «Развлечение. Отдых. Досуг» и т.д. Дана транскрипция английских слов для тех, кто хочет самостоятельно изучить английский язык.</t>
  </si>
  <si>
    <t>0004579</t>
  </si>
  <si>
    <t>Мазбаев О. Б</t>
  </si>
  <si>
    <t>Жарнама: теория және әдістеме</t>
  </si>
  <si>
    <t>0004580</t>
  </si>
  <si>
    <t>Правила по технической эксплуатации гостиниц и их оборудования</t>
  </si>
  <si>
    <t>В пособии рассматриваются основные принципы проектирования гостиничных туристских предприятий, технология их деятельности, излагаются положения, требующие учета при составлении заданий на проектирование и при оценке принимаемых проектных решений. Приведены сведения о стандартизации, классификации, свойствах, характеристиках строительных материалов.
  Освещены противопожарные требования к гостиничным предприятиям, вызывающие наибольшие сложности в практике проектирования и строительства.</t>
  </si>
  <si>
    <t>0004581</t>
  </si>
  <si>
    <t>Мазбаев О.Б., Тоқпанов Е.А., Асубаев Б.Қ.</t>
  </si>
  <si>
    <t>Туристік іс-әрекеттерді ұйымдастырудың теориялық-әдіснамалық негіздері</t>
  </si>
  <si>
    <t>0004582</t>
  </si>
  <si>
    <t>Мазбаев О.Б., Увалиев Т.О.</t>
  </si>
  <si>
    <t>Дүниежүзінің табиғат ресурстар географиясы</t>
  </si>
  <si>
    <t>Оқу құралында қарастырылып талданған табиғат ресурстарымен және оның негізгі топтарымен танысу мәселелері жоғары оқу орындарында «5В011600-география» мамандығында жеке пән ретінде қарастырылған. Ал "5В060800-экология", "5В060900-география" және т.б мамандықтарда келесі: "Дүниежүзінің физикалық және экономикалық географиясы", "ТМД елдерінің физикалық және экономикалық географиясы", "Табиғатты пайдаланудың экологиясы және экономикасы", "Қазақстанның физикалық және экономикалық географиясы" пәндерін оқытуда қажетті материалдармен қамтамасыз етіледі. Әрі орта мектепте география пәнін оқыту барысында мұғалімдерге көмекші құрал бола алады.</t>
  </si>
  <si>
    <t>0004583</t>
  </si>
  <si>
    <t>Майдырова А. Б.</t>
  </si>
  <si>
    <t>Развитие «Электронного правительства» как фактор вовлечения экономики Республики Казахстан в глобальное информационное общество</t>
  </si>
  <si>
    <t>Научные, социальные, экономические и прикладные результаты сегодня ложатся под пресс требований современной эпохи. Они представляются тем, что в условиях современных информационных технологий и развития цифровой экономики, экономический результат определится применением новой информационной методологии, которая позволит принципиально иначе исследовать традиционно сложившиеся процессы в казахстанской экономике, поставив задачу формирования нового информационного капитала в качестве современного совокупного естественного и искусственного интеллекта. В этой связи, актуализируется разработка единого подхода в области внедрения и совершенствования информационных технологий в экономике Казахстана, наблюдение социально-экономических последствий, вызванных ими. Это предопределило необходимость научного исследования «электронного правительства» в неразрывной связи с последствиями, которые происходят в экономике страны. Монография предназначена для государственных служащих, докторантов и магистрантов и др., имеющих интерес к этой проблематике</t>
  </si>
  <si>
    <t>0004584</t>
  </si>
  <si>
    <t>Майдырова А. Б. Доғалов А.Н. Досмағанбетов Н.С.</t>
  </si>
  <si>
    <t>Макроэкономика 1 том</t>
  </si>
  <si>
    <t>Аталған оқулықта макроэкономика пәнінің базалық сұрақтары жан-жақты қарастырылған. Тақырыптық мәселелер теориялық тұрғыдан ғана емес, өзін-өзі тексеру сұрақтары, жаттығулар, есептер, графиктер мен кестелер, тест тапсырмалары, статистикалық деректер және негізгі ұғымдар көмегімен де жатық түсіндіріледі. Оқулық оқыту жүйесінің кредиттік технологиясына негізделеді және 5В050600-Экономика, 5В050700-Менеджмент, 5В050800-Есеп және аудит, 5В050900-Қаржы, 5В051000-Мемлекеттік жергілікті басқару, 5В052100-Мемлекеттік аудит, басқа да экономикалық мамандықтарды даярлайтын жоғары оқу орындарының білім алушыларына, оқытушыларға, сондай-ақ, макроэкономика ғылымын өз бетінше оқитын оқырман қауымға арналады.</t>
  </si>
  <si>
    <t>0004585</t>
  </si>
  <si>
    <t>Макроэкономика 2 том</t>
  </si>
  <si>
    <t>0004589</t>
  </si>
  <si>
    <t>Макешова Ж.М.</t>
  </si>
  <si>
    <t>Іс қағаздарын жүргізу</t>
  </si>
  <si>
    <t>Әдістемелік оқу құралы негізінен жоғары оқу орындарында білім алатын студенттерге арналған. Сонымен қатар, бұл оқу құралын іс жүргізу пәнінен дәріс беретін оқытушылар мен іс қағаздарын қазақ тілін рәсімдеуді өз бетінше үйренем деуші талапкерлер де қолдана алады.Оқу құралында қарастырылған іс қағаздары қоғамдағы ең қажетті ұйымдық құжаттар мен жеке іс қағаздарының топтамасынан тұрады.Іс қағаздарын рәсімдеуді үйрету кезінде құжаттарды рәсімдеуге қойылатын талаптардың мемлекеттік стандарты басшылыққа алынған</t>
  </si>
  <si>
    <t>0004590</t>
  </si>
  <si>
    <t>Макешова Ж.М., Қондыбай К.Ә.</t>
  </si>
  <si>
    <t>Тілдік қатынас негіздері</t>
  </si>
  <si>
    <t>Оқу құралында тілдік қатынастың негізі мәселерінің практикалық аспектілері қарастырылады.Оқу құралы жоғары оқу орындарының филология факультеттерінде «филология: қазақ тілі» және 5В011700 - «қазақ тілі мен әдебиеті», 5В012100«қазақ тілінде оқытпайтын мектептердегі қазақ тілі мен әдебиеті» мамандықтары бойынша оқитын студенттерге арналған</t>
  </si>
  <si>
    <t>0004594</t>
  </si>
  <si>
    <t>Максименко Е.В., Омаров А.Ж.</t>
  </si>
  <si>
    <t>Сравнительное правоведение</t>
  </si>
  <si>
    <t>Настоящий учебно-методический комплекс содержит в полном объеме комплект учебно-методических документов, а именно силлабус, лекционный комплекс, план практических занятий, материалы СРС и СРСП, материалы по контролю и оценке учебных достижений обучающихся. УМКД по Сравнительному правоведению позволяет обеспечить студентов необходимыми материалами для полного исследования и изучения дисциплины. Содержание УМКД соответствует типовым правилам Электронный вариант УМКД размещен в учебных порталах platonus, moodle на сайте www.kgu. kz</t>
  </si>
  <si>
    <t>0004595</t>
  </si>
  <si>
    <t>Максимюк Н.Н., Горелик О.В., Ребезов М.Б.</t>
  </si>
  <si>
    <t>Продукция животноводства. Молоко. 1 часть</t>
  </si>
  <si>
    <t>В учебном пособии рассмотрены вопросы строения молочной железы, физиологические основы молокообразования и молоковыведения; условия организации производства молока высокого качества. 
 Представлены мотоды ветсанэкспертизы молока</t>
  </si>
  <si>
    <t>0004596</t>
  </si>
  <si>
    <t>Продукция животноводства. Молоко. 2 часть</t>
  </si>
  <si>
    <t>В учебном пособии рассмотрены вопросы строения молочной железы, физиологические основы молокообразования и молоковыведения; условия организации производства молока высокого качества. 
 Представлены мотоды ветсанэкспертизы молока.</t>
  </si>
  <si>
    <t>0004606</t>
  </si>
  <si>
    <t>Малгараева З.Б.</t>
  </si>
  <si>
    <t>Логика</t>
  </si>
  <si>
    <t>0004607</t>
  </si>
  <si>
    <t>Маликтаева П.М.</t>
  </si>
  <si>
    <t>Сапа менеджменті жүйесінің негіздері</t>
  </si>
  <si>
    <t>Оқулықтан студенттер Сапа менеджменті жүйесі туралы, сапа менеджменті жүйесінің негізгі элементтері туралы, сапа менеджменті жүйесін әзірлеу және ендіру тәртібі туралы, сапа менеджменті жүйесін сертификаттау, кәсіпорында қолданып жүрген жүйені талдау туралы, даму перспективалары туралы, сапа менеджменті жүйесін басқару туралы ақпараттармен таныса алады. 
 Ұсынылып отырған оқулық «Стандарттау, сертификаттау және метрология» және басқа да мамандықтары бойынша даярланатын студенттерге оқитын студенттерге арналған. 
 Оқулықты сонымен қатар, оқытушылар мен магистранттардың қолдануына болады.</t>
  </si>
  <si>
    <t>0004608</t>
  </si>
  <si>
    <t>Тамақ өнімдерінің сапасын физико-химиялық тұрғыдан талдау</t>
  </si>
  <si>
    <t>Оқулықтан білімгерлер тамақ өнімдерінің бәсекеге қабілеттілігін бағалауды және өнімнің сапасын сараптаудың теориялық негіздемесімен, тамақ өнімдерінің нарығына сипаттама бере отырып сертификаттау жолдарымен де таныса алады.
 Ұсынылып отырған оқулық «Азық-түлік өнімдері технологиясы», «Стандарттау, метрология және сертификаттау» және техникалық мамандықтары бойынша даярланатын студенттерге және инженерлі-техникалық сала бойынша оқитын білімгерлеріне арналған. 
 Оқулықты сонымен қатар, оқытушылар мен магистранттардың қолдануына болады.</t>
  </si>
  <si>
    <t>0004609</t>
  </si>
  <si>
    <t>Ұлттық сусын өнімдерінің сапасын талдау</t>
  </si>
  <si>
    <t>Өнімнің жоғары сапасына технологиялық процестерді оптимальды тех-нологиялық режимдерге сәйкес жүргізу нәтижесінде жетеді.
 Оқу құралынан білімгерлер ұлттық сусын түрлерімен, оның сапасын жақ-сарту жолдарымен және сапасын бақылау әдістерімен танысады, технология-лық процестерін реттеу әдістерін игереді.
 Ұсынылып отырған оқу құралы «Азық-түлік өнімдері технологиясы» және «Стандарттау, метрология және сертификаттау» мамандықтары бойынша даярланатын студенттерге және сусын өндірісінің инженерлі-техникалық сала қызметкерлеріне арналған. 
 Оқу құралын сонымен қатар, оқытушылар мен магистранттардың қолда-нуына болады. Оқу құралы 27 кесте, 12 сурет және 27 қолданылған әдебиет-терден тұрады.</t>
  </si>
  <si>
    <t>0004612</t>
  </si>
  <si>
    <t>Малыхин В., Нуртазина К.Б.</t>
  </si>
  <si>
    <t>Қаржылық математика</t>
  </si>
  <si>
    <t>Айқынддалған жағдайдағы қаржылық математиканың мәселелері қарастырылған (арттырылған және дисконтталған сомалар, төлемдердің ағындары, ренталар, несие есеп айырысулары, инвестициялық жобаларды бағалау, құнды қағаздар нарығының қаржылық есеп айырысулары). Сонымен қатар айқындалмаған жағдайлар да қарастырылған. Оның ішінде: үтымды портфель теориясы, теоретикалық-ықтималдық әдістер және қаржылық тәуекелдер зерттелген. Өзін өзі тексеру сұрақтары мен өз бетінше шығару есептері және олардың жауаптары берілген.</t>
  </si>
  <si>
    <t>0004613</t>
  </si>
  <si>
    <t>Малыхин В.И., Нуртазина К.Б.</t>
  </si>
  <si>
    <t>Салық салудың экономика-математикалық моделдеуі</t>
  </si>
  <si>
    <t>Салық салудың экономика-математикалық негізінің Ресей ғылыми әдебиетіндегі алғашқы жүйелі сипаттамасы берілген. Жеке тұлғалардың табысына салынатын салық, сатудан алынатын салық және жеке тауар нарығындағы акциздік салық, маңызды экономика-математикалық моделдегі салықсалу (фирма теориясында, Леонтьев, Нейман және Солоу моделдерінде), салық ауыртпалығын барынша азайтатын және әл-ауқатты барынша көбейтетін көп тауарлы нарығындағы салықсалу, салықсалу және әлеуметтік саясат, сонымен бірге үшсекторлық салықсалудың моделі сипаталған.
  Жоғары оқу орындардың математика, математикалық және компьютерлік моделдеу, экономика және қаржы мамандықтарындағы студенттері мен оқытушыларына арналған.</t>
  </si>
  <si>
    <t>0004614</t>
  </si>
  <si>
    <t>Мальтекбасов М.Ж., Адамқұлов Н.М., Оспанов Б.Е., Хасенова Э.К., Мальтекбасов А.Ж.</t>
  </si>
  <si>
    <t>Қазақтың музыкалық аспаптарын дайындау технологиясы. І бөлім</t>
  </si>
  <si>
    <t>Технология, сәндік қолөнер, музыка, тарих, мәдениеттану және сызу, мамандықтарына арналған кең көлемді оқу құралы. 2 бөлімнен тұрады. Оқу құралы жалпы орта білімдегі, кәсіптік білім жүйесіндегі, жоғары оқу орындарындағы оқытушы профессор құрамына, білімгерлерге, магистрантарға, докторантарға және өнер сүйгіш қалың оқырман қауымға арналған. Еңбек авторлардың он жылдан астам ғылыми-теориялық және әдістемелік тәжірибесінің нәтижесінде жаңа технологиядағы жазбалардың, сызбалардың көмегімен «Қазақтың ұлттық саз аспаптары» түрлерін, тарихын, жасалу үлгісін кеңінен көрсетуге негізделген.</t>
  </si>
  <si>
    <t>0004615</t>
  </si>
  <si>
    <t>Қазақтың музыкалық аспаптарын дайындау технологиясы. ІІ бөлім</t>
  </si>
  <si>
    <t>0004616</t>
  </si>
  <si>
    <t>Мамаева Г.</t>
  </si>
  <si>
    <t>Қазақ тілінің терминжасам жүйесі</t>
  </si>
  <si>
    <t>Монографияда қазіргі қазақ тіліндегі терминжасам жүйесінің теориялық негіздері терминология теориясына сүйене отырып анықталып, терминжасамның жалпы ғылыми сипаты, терминдердің өзіндік ерекшеліктері, терминжасам тәсілдері арқылы жасалған терминдердің құрылымы мен құрылысы қарастырылған.
 Ғылыми еңбек қазақ терминологиясын зерттеушілерге, тіл мамандарына, жоғарғы оқу орындарының студенттері мен магистранттарына және көпшілік қауымға арналған.</t>
  </si>
  <si>
    <t>0004619</t>
  </si>
  <si>
    <t>Мамаева Л.А. /Mamaeva L.A., Zh.M.Suleimenova, G.E.Zhumaliyeva/</t>
  </si>
  <si>
    <t>Biotechnological bases of production of fermented milk products for medical and prophylactic purposes</t>
  </si>
  <si>
    <t>The theoretical basis of this monograph is the analysis of numerous works of domestic and foreign authors who develop and improve the biotechnology of the production of products for therapeutic and preventive nutrition. In the present work we present information from publications of domestic and foreign authors on the problem under study.
 This monograph presents the results of our own research on the use of highly active strains in the production of fermented milk products for functional nutrition.
 It is recommended for bachelors, students, masters, graduate students and specialists engaged in the field of biotechnology and food industry.</t>
  </si>
  <si>
    <t>0004625</t>
  </si>
  <si>
    <t>Мамбетов Н.Т., Каиров Б.С., Назаров В.К., Сердалин С.М., Ергашев Н.Б., Машинецкий В.М.</t>
  </si>
  <si>
    <t>Подготовка офицеров запаса. Сухопутных войск. I книга (1 часть)</t>
  </si>
  <si>
    <t>В разделе данной книги представлен учебный материал по «Тактике» для подготовки офицеров -воспитателей. Учебное пособие предназначено для студентов (курсантов) высших, а так же учащихся средних образовательных учреждении.</t>
  </si>
  <si>
    <t>0004626</t>
  </si>
  <si>
    <t>Подготовка офицеров запаса. Сухопутных войск. I книга (2 часть)</t>
  </si>
  <si>
    <t>0004627</t>
  </si>
  <si>
    <t>Мамбетова Г.Т., Кудасбекова А.Б./ Mambetova G.T., Kudasbekova A.B./</t>
  </si>
  <si>
    <t>Methodical instructions for practical lessons on discipline «Professionally-oriented foreign language» for the specialty 5B070300 – «Mathematical and computer modeling»</t>
  </si>
  <si>
    <t>методическое указание</t>
  </si>
  <si>
    <t>Methodical instructions for the practical lessons on the discipline Professional-oriented foreign language for the specialty 5B070500 – «Mathematical and computer modeling» is developed in accordance with the requirements of State Educational Standards for specialties and curriculum of the given discipline. This Methodical instruction comprises all necessary data on performance of the course themes Методические указания к практическим занятиям по дисциплине Профессионально-ориентированный иностранный язык по специальности 5B070500 - «Математическое и компьютерное моделирование» разработаны в соответствии с требованиями государственных образовательных стандартов по специальностям и учебным планам данной дисциплины. Данная Методическая инструкция содержит все необходимые данные по выполнению тем курса.</t>
  </si>
  <si>
    <t>0004630</t>
  </si>
  <si>
    <t>Мамесейіт Т.І.</t>
  </si>
  <si>
    <t>Баспа ісінің мәселелері</t>
  </si>
  <si>
    <t>Халықты рухани байытатын, жаңғыртатын бірден бір сала – баспа, кітап мәселесі төңірегінде әңгіме көп. Белгілі қаламгер, ҚР Баспа және полиграфия ісінің қайраткері Т.Мәмесейіт «Баспа ісінің мәселелері» аталған зерттеу еңбегінде бүгінгі баспа ісі туралы жан-жақты ой қозғап, бұл саланың жетістігі мен олқылықтарын терең талдайды. Рухани азықтың жағдайына алаңдап, оның проблемаларын шешуді қарастырады.
 «Кітап – білім бұлағы болса, сол бұлақтың тазалығы үшін, ұлттық мұрат-мүдде үшін күресетін уақыт жетті» деген түйінді негіздейді автор.Баспа ісіндегі басты тұлға – редактордың жауапкершілігі, редакциялаудың қыр-сыры туралы да егжей-тегжейлі сөз болады.Кітап баспа ісімен айналысатын студенттер мен магистранттарға, көпшілік қауымға арналған.</t>
  </si>
  <si>
    <t>0004640</t>
  </si>
  <si>
    <t>Мамырбекова А.К., Кедельбаев Б.Ш., Лаханова К.М.</t>
  </si>
  <si>
    <t>Биотехнология фармацевтического производства</t>
  </si>
  <si>
    <t>Учебное пособие предназначено для студентов очного и заочного отделений специальности 5В070100 «Биотехнология» и включает лекции, содержание которых охва-тывает программу курса. Учебное пособие составлено в соответствии с требованиями учебного плана и про-граммой дисциплины.</t>
  </si>
  <si>
    <t>0004641</t>
  </si>
  <si>
    <t>Кедельбаев Б.Ш., Мамырбекова А.К., Лаханова К.М.</t>
  </si>
  <si>
    <t>Медициналық және ветеринарлық биотехнология</t>
  </si>
  <si>
    <t>Биотехнология, Медицинская и ветеринарная биотехнология</t>
  </si>
  <si>
    <t>5В070100 «Биотехнология» мамандығының студенттеріне «Медициналық және ветеринарлық биотехнология» пәнінен құрастырылған дәрістік жинақ Қазақстан Республикасының мемлекеттік жалпы білім беру стандартына сәйкес бағдарлама мен оқу жоспарының талабына сай барлық қажетті мәліметтерді қамтиды.Дәрістік жинақ жоғары оқу орнында - 5В070100 Биотехнология мамандығы бойынша білім алатын студенттерге «Медициналық және ветеринарлық биотехнология» пәнінен оқу бағдарламасы және жоспарының барлық талаптарына сай 15 дәрістен құрастырылды. Авторлар бұл еңбекте генді инженериясы негізінде ақуызды өнімдер: интерферондар, инсулин, интерлейкиндер, иммунобиопрепараттар және де биологиялық активті заттар: антибиотиктер, стероидты гормандардың өндірістік көлемде алу жолдарын қамтыды.</t>
  </si>
  <si>
    <t>0004642</t>
  </si>
  <si>
    <t>Мамырбекова А., Мамырбекова А.</t>
  </si>
  <si>
    <t>Тұрмыстық химия тауарлары</t>
  </si>
  <si>
    <t>Оқу құралы жоғары оқу орнында 5В011200, 5В060600 - Химия мамандықтары бойынша білім алатын студенттерге «Тұрмыстық химия» пәніне арналған. Оқу құралында синтетикалық жуғыш заттардың сипаттамасы, жуғыш беттік-активті заттардың физика-химиялық қасиеттері, химиялық және оптикалық ағартқыштар, лактар, бояулар, желімдер, тыңайтқыштар, косметика-гигиеналық жуғыш заттар туралы мәліметтер берілген.</t>
  </si>
  <si>
    <t>0004644</t>
  </si>
  <si>
    <t>Мамырбекова Айгуль, Мамырбекова Айжан</t>
  </si>
  <si>
    <t>Биотехнология өндірісіндегі тіршіліктің химиялық негіздері және нанотехнология: пәнінен зертханалық сабақтарға арналған оқу-әдістемелік құрал</t>
  </si>
  <si>
    <t>Оқу-әдістемелік құрал жоғары оқу орындарының химия-биологиялық мамандықтары  бойынша білім алатын студенттерге арналған. Оқу-әдістемелік құралда биологиялық химия және нанобиотехнология пәнінен зертханалық жұмыстардың жүру барысы көрсетілген. Ұсынылатын оқу-әдістемелік құралдың мақсаты – нақты тәжірибелік мәселелер шешу үрдісінде білімдерді тереңдету және кеңейту, тәжірибе жасау дағдыларды меңгеру, алынған тәжірибелік нәтижелерді талдау жасауды игеру</t>
  </si>
  <si>
    <t>0004646</t>
  </si>
  <si>
    <t>Мамытова С.Н.</t>
  </si>
  <si>
    <t>История предпринимательства в Казахстане в XIX - начале XX вв</t>
  </si>
  <si>
    <t>0004649</t>
  </si>
  <si>
    <t>Манабаева А.Ш., Кипшаков С.А.</t>
  </si>
  <si>
    <t>Методика преподавания изобразительного искусства</t>
  </si>
  <si>
    <t>Курс методики преподавания изобразительного искусства в школе призван подготовить студента к будущей педагогической деятельности, вооружить его методическими знаниями, умениями и навыками, овладеть педагогическим мастерством. Учебное пособие написано в соответствии с типовой программой специальности. Учебное пособие предназначено для студентов специальности 5В010700 – «Изобразительное искусство и черчение» очной и заочной формы обучения, а также учащихся педагогических колледжей.</t>
  </si>
  <si>
    <t>0004652</t>
  </si>
  <si>
    <t>Мандыкаева А.Р.</t>
  </si>
  <si>
    <t>Тұлғааралық қарым-қатынастың психологиялық аспектісі</t>
  </si>
  <si>
    <t>Монографияда тұлғааралық қарым-қатынастың теориялық мәселелері қарастырылған. Сонымен қатар жеке тұлғалар арасындағы өзара түсіністік пен жанжал, шиеленістің туындауы мен олардың психологиялық мәні, педагогтің құзыреттілігі мәселесі қамтылған. 
 Монография психологиялық мамандық бойынша білім алып жатқан жоғары оқу орны студенттеріне, магистранттарына, тәжірибелік психологтарға және осы бағытта ғылыми іздену жұмыстарымен айналысатындарға арналған.</t>
  </si>
  <si>
    <t>0004653</t>
  </si>
  <si>
    <t>Мансуров Н.Б.</t>
  </si>
  <si>
    <t>Қазақ тіліндегі діни терминдер сөздігі</t>
  </si>
  <si>
    <t>Бүгінгі таңда діннің қоғамдағы орны ерекше мәртебе алып, оның әлеуметтік мәні артты. Көпшілік ортада, жеке адамдар арасында да, тіпті көшеде дін жайлы сөз етілсе болғаны көпшілікке таныс емес діни терминдер тілге оралады. Оны бірі түсінсе, бірі түсінбей қалады. Ұсынылып отырған қазақ тіліндегі діни терминдер сөздігінде сол ауызекі сөйлеу тілі мен жазба тілде жиі қолданыста жүрген діни терминдердің тіліміздегі негізгі және ауыспалы мағыналары айқындалған. Сөздік филология, шығыстану, тарих факультеттерінің студенттері мен магистранттарына, тілшілерге және терминологиямен айналысып жүрген мамандарға арналған</t>
  </si>
  <si>
    <t>0004654</t>
  </si>
  <si>
    <t>Мансуров С.М., Абильмажинов Е.Т., Шаяхметов Е.Я.</t>
  </si>
  <si>
    <t>Подъемно-транспортные машины</t>
  </si>
  <si>
    <t>Учебное пособие предназначено для изучения основ подъемно транспортных машин, рассмотрены вопросы классификации грузоподъемных и транспортирующих машин, основные понятия и принципы, особенности конструкции и эксплуатации грузоподъемных машин и конвейеров. Приведены иллюстрации, чертежи и кинематические схемы основных типов машин, даны основы расчета талей, кранов и конвейеров. Дается тестовый материал для самопроверки и методический материал для выполнения основных лабораторных и практических работ. Материалы, приведенные в учебном пособии, могут быть использованы при выполнении самостоятельных заданий, дипломного и курсового проектирования.
 Учебное пособие предназначено для студентов и магистрантов технических специальностей ВУЗов.</t>
  </si>
  <si>
    <t>0004655</t>
  </si>
  <si>
    <t>Мануковский А.В., Саринова А.Ж.</t>
  </si>
  <si>
    <t>Микропроцессорные средства и системы управления</t>
  </si>
  <si>
    <t>В учебном пособии изложены основы микропроцессорной средств и систем управления. Материал проиллюстрирован большим числом примеров и задач, а также представлены лабораторные и практические работы. Учебное пособие рекомендуется студентам технических специальностей вузов, а также разработчикам микропроцессорных систем, имеющих данный интерес к учебному пособию.</t>
  </si>
  <si>
    <t>0004656</t>
  </si>
  <si>
    <t>Мараджапов Қ.Қ</t>
  </si>
  <si>
    <t>Былғарыдан жасалған бұйымдар материалдарын танудың зертханалық практикумы</t>
  </si>
  <si>
    <t>0004657</t>
  </si>
  <si>
    <t>Мараджапов Қ.Қ.</t>
  </si>
  <si>
    <t>Аяқ-киім бөлшектерін қолдану қасиеттері</t>
  </si>
  <si>
    <t>0004667</t>
  </si>
  <si>
    <t>Марчибаева У.С.</t>
  </si>
  <si>
    <t>Дене шынықтыру</t>
  </si>
  <si>
    <t>Ұсынылған оқу-әдістемелік құрал дене тәрбиесі бойынша оқу тәрбие үдерісінің негізгі бөлігі ретінде жоғарғы оқу орындарында білім алушыларының педагогикалық және әдістемелік дайындық мәселелеріне арналған. Қазақстан Республикасы Білім және ғылым министрлігінің бекіткен жоғары оқу орындарына арналған «Дене шынықтыру» пәні бойынша білім беру стандарттары мен типтік оқу бағдарламасына сәйкес құрастырылған. Оқу-әдістемелік құралы иллюстрациялық материалдармен жабдықталып, арнайы құрастырылған әдістемелік ұсыныстар негізінде озық арнайы әдістемелер ұсынылған. Оқу құралы жоғары оқу орындарының дене шынықтыру және спорт мамандығы бойынша білім алушылар мен оқытушыларына арналған</t>
  </si>
  <si>
    <t>0004668</t>
  </si>
  <si>
    <t>«Жеңіл атлетика» - арнайы спорттық және педагогикалық бiлiмдерді қалыптастыратын пән. Қазiргi жағдайда - 5В010800 және 6М010800 Дене тәрбиесі және спорт мамандығында бiлiм алушы студенттер мен магистранттардың толыққанды бiлiм алуына, сол арқылы жеңіл атлетика құралын оқып-үйренуге көмектеседi. Бұл оқу құралында жоғарғы бiлiмдi маманға арналған қажетті теориялык мағлұматтар, әдіснамалык жүйелер, негiзгi ұғымдap берiлiп, жас ерекшiлiктерiне байланысты адамдарды қозғалысқа үйрету, денсаулықтарын нығайту, дене дамыту амалдары, әдістері, қағидалары, әдістемелері көрсетілген</t>
  </si>
  <si>
    <t>0004669</t>
  </si>
  <si>
    <t>Марчибаева У.С., Сидорова Р.В., Мендыбаева Н.А.</t>
  </si>
  <si>
    <t>Физическая культура. Методический курс</t>
  </si>
  <si>
    <t>0004670</t>
  </si>
  <si>
    <t>Марчибаева Ұ.С., Қ.Қ. Құланова, Р.Е. Тасполатова, Д.Ж. Боронбаева</t>
  </si>
  <si>
    <t>Емдік дене шынықтыру</t>
  </si>
  <si>
    <t>Бұл оқулықта қарастырылған емдік дене шынықтыру жаттығуларының заманауи тәсілдері аурудың алдын - алуға, адам бойындағы күш-жігерін дамытуға, адамның еңбекке қабілеттілігін қалыптастыруға және адамның ажар келбеті мен жалпы саулығын арттыруға бағытталған. Дене тәрбиесі мен спорт саласындағы мамандарға, студенттерге арналып, оқулық ретінде жазылған</t>
  </si>
  <si>
    <t>0004672</t>
  </si>
  <si>
    <t>Масимханулы Д. , А. Абиденкызы, Д. Кулмаганбетова</t>
  </si>
  <si>
    <t>Основные знания фонетики китайского языка</t>
  </si>
  <si>
    <t>Язык китайский</t>
  </si>
  <si>
    <t>Настоящее пособие рассказывает об основных фонетических категориях китайского языка. Проводит анализ китайской фонетики и ее особенностей, сопоставляя ее с особенностями фонетики казахского языка. Данный учебный материал предназначен для студентов филологов и для студентов высших учебных заведений изучающих китайский язык, а также данный труд может быть полезен как для исследователей китайского языка.так и для широкой аудитории, заинтересованной в изучении китайского языка</t>
  </si>
  <si>
    <t>0004673</t>
  </si>
  <si>
    <t>Мастобаев Ю.А.</t>
  </si>
  <si>
    <t>0004674</t>
  </si>
  <si>
    <t>Психология (общая)</t>
  </si>
  <si>
    <t>0004676</t>
  </si>
  <si>
    <t>Матвеев С.К., Джайчибеков Н.Ж., Шалабаева Б.С.</t>
  </si>
  <si>
    <t>Математические модели сплошных сред в динамике газовзвеси и разреженного газа</t>
  </si>
  <si>
    <t>Монография посвящена актуальным вопросам моделирования и расчета обтекания тел двухфазным потоком (газовзвесью) с учетом хаотического движения частиц, а также их приложения в динамике разреженного газа. Монография может быть полезна научным работникам, занимающимися исследованиями в области механики гетерогенных течений, а также магистрантам, аспирантам и докторантам.</t>
  </si>
  <si>
    <t>0004687</t>
  </si>
  <si>
    <t>Мауина Ғ.А.</t>
  </si>
  <si>
    <t>Биржа ісі</t>
  </si>
  <si>
    <t>«Биржа ісі» оқу құралы типтік бағдарлама курсы негізінде құрастырылған. Оқу құралында биржа ісінің теориялық негіздері қарастырылған, биржалық жұмыстағы тәжірибелер көрсетілген, сонымен қатар биржа ісін бақылау қарастырылған. Фьючерстік сауда опциондық сауданың дамуына үлкен назар аударылған. Биржада көп қолданылатын терминдерге нақты анықтамалар көрсетілген. 
 Оқу құралы жоғары оқу орындарының экономика мамандықтарында оқитын студенттер мен магистранттарға арналған.</t>
  </si>
  <si>
    <t>0004689</t>
  </si>
  <si>
    <t>Мауленова Б.М.</t>
  </si>
  <si>
    <t>0004690</t>
  </si>
  <si>
    <t>Мауленова С.С., Бекмолдин С.Қ., Құдайбергенов Е.Қ.</t>
  </si>
  <si>
    <t>Экономикалық теория. І-бөлім. Екінші басылым</t>
  </si>
  <si>
    <t>Ұсынылып отырған оқу құралының 1-бөлімінде «Экономикалық теория» пәнін игерудегі оқу-әдістемелік материалдар толығымен қамтылған (лекциялар, семинарлық сабақ, логикалық кестелер, жаттығу, тест сұрақтары). Сондай-ақ «Экономикалық теория» курсының типтік оқу бағдарламасына және Қазақстан Республикасының мемлекеттік білім беру стандартының студенттеріне, оқытушыларға арналған.</t>
  </si>
  <si>
    <t>0004691</t>
  </si>
  <si>
    <t>Маусумбаева А.М.</t>
  </si>
  <si>
    <t>Оқушылардың физиологиялық дамуы</t>
  </si>
  <si>
    <t>Оқу құралда оқушылардың физиологиялық дамуының барлық бөлімдері қамтылған.Оқу құрал жоғары оқу және білім беру бағытында мамандықтарының ұстаздары мен студенттеріне арналған</t>
  </si>
  <si>
    <t>0004692</t>
  </si>
  <si>
    <t>Маусымбеков Е.Ж., Мустафина Н.К., Мусагалиева Ж.Е.</t>
  </si>
  <si>
    <t>Методические указания для лабораторных и практических работ по дисциплине «Фотограмметрия» на каз. и русс. языках</t>
  </si>
  <si>
    <t>Әдістемелік нұсқаулар «Фотограмметрия» бағдарламасы және оқу жоспары талаптарына сай құрылған және курс бойынша орындалатын барлық керекті мәліметтерді қамтиды.Әдістемелік нұсқаулар 5В071100 «Геодезия және картография» мамандығының студенттеріне арналғанМетодические указания составлены согласно программе и учебного плана по дисциплине «Фотограмметрия», содержит все необходимые материалы</t>
  </si>
  <si>
    <t>0004694</t>
  </si>
  <si>
    <t>Махамедова Б.Я.</t>
  </si>
  <si>
    <t>Урбаэкология</t>
  </si>
  <si>
    <t>Оқу құралдарында урбанизациялану – қаланың санитарлық – гигиеналық жағдайы, қызметтік аймақтарының орналасуы мен дамуы, ауылдақ мекендердің қалаға айналуы, қоғамдық өмірде қала маңызының артуы, ауылшаруашылықсыз қызметтің қалыптасуы, қала жағдайының экологиялық қауіпсіздігін қамтамасыз етуі және оны тұрақты дамытудың қазіргі заманғы талаптары ғылыми тұрғыда сипатталған. Сонымен қатар қала өміріне экологиялық зиян келтіретін нысандар, қаланы көкалдандыру, прогресстік инновациялық технологияларды пайдаланудың ерекшеліктері қарастырылған.Оқу құралының басты міндеті – барлық табиғи процестердің бірлігі және олардың өзара тығыз байланыстылығы және урбанизация яғни адам баласының қалаларда тұруы үшін ең қолайлы жағдайды жасауға бағытталған мәселелерді қамту, экологиялық жағдайларды жақсарту. Ол қала гигиенасының әртүрлі мәселелерімен: жоспарлау гигиенасымен, атмосфералық ауаны санитарлық тұрғыдан қорғаумен, сумен қамтамасыз ету гигиенасымен коммуналды тұрмыс қалдықтарынан ластанатын су қоймалырының санитарлық қорғау және санитарлық тазарту мен тікелей байланысты. Оқу құралы білім беру саласында білім алатын жоғары оқу орындарының білімгерлеріне, жоғары оқу орындарының оқытушыларына, колледжлерге және экологиялық курстарға арналып қайта өңделіп, баспаға ұсынылып отыр.</t>
  </si>
  <si>
    <t>0004696</t>
  </si>
  <si>
    <t>Маханбеталиева К.Т., Мухамеджанова С.Н</t>
  </si>
  <si>
    <t>Жүн және химиялық талшықтарды иіру технологиясы</t>
  </si>
  <si>
    <t>«Жүн және химиялық талшықтарды иіру технологиясы» оқу құралы: Жоғары оқу орындарының текстиль мамандығының білімгерлеріне арналған. Компоненттерді араластыруға дайындау, араластыру, кардты тарау, жгуттық химиялық жіптерді штапельдеу процестерінің теория мен технология сұрақтары, сонымен қатар жүн және оның химиялық талшықтармен қоспаларын иірудің негізгі жүйелері, қоспаларды жобалау әдістері қарастырылған.</t>
  </si>
  <si>
    <t>0004697</t>
  </si>
  <si>
    <t>Маханбеталиева К.Т., Мухамеджанова С.Н.</t>
  </si>
  <si>
    <t>Текстиль материалдарының жалпы технологиясы</t>
  </si>
  <si>
    <t>0004698</t>
  </si>
  <si>
    <t>Маханбеталиева К.Т., Шардарбек М.Ш.</t>
  </si>
  <si>
    <t>Жаңа текстильді материалдар</t>
  </si>
  <si>
    <t>«Жаңа текстильді материалдар» оқу құралы: Жеңіл және текстиль өнеркәсібі жоғарғы оқу орындарының студенттеріне, магистранттарына және докторанттарына арналған. Оқу құралында әртүрлі салаларда қолданылатын жаңа текстиль материалдары туралы мәліметтер келтірілген.</t>
  </si>
  <si>
    <t>0004705</t>
  </si>
  <si>
    <t>Маханов М., Сулейменов Т.Б., Тоғызбаева Б.Б.</t>
  </si>
  <si>
    <t>Сұйықтар және газ механикасы, құбыр желілерін гидравликалық есептеу</t>
  </si>
  <si>
    <t>Оқу құралында сұйықтар мен газдар механикасының негізгі түсініктемелері мен анықтамалары, физикалық қасиеттері, сұйықтар мен газдардың қозғалысының теориялық негіздері, құбырлар және оның ағынын шектейтін гидравликалық кедергілердің әсерлері,сұйықтардың тесіктер мен саптамалар арқылы ағу заңдылықтары баяндалып, сұйықтар мен газдарды тасымалдайтын құбырларды гидравликалық есептеудің жолдары келтірілген.Оқу құралы инженерлік - техникалық мамандықтардың «Сұйықтар мен газ механикасы», Сұйықтар және газдар механикасы, гидропневможетектер»пәндерін оқитын білімгерлерге арналған</t>
  </si>
  <si>
    <t>0004711</t>
  </si>
  <si>
    <t>Маханова З.А., Елбергенова Г.Ж.</t>
  </si>
  <si>
    <t>Java-дағы таралымды жүйелер пәнінен зертханалық практикум</t>
  </si>
  <si>
    <t>зертханалық практикум</t>
  </si>
  <si>
    <t>Зертханалық практикум 5В070300 «Ақпараттық жүйелер» мамандығының студенттері үшін арналады. Зертханалық практикум тақырып бойынша студенттердің зертханалық жұмыстарды орындауға арналған қажетті мәліметтерді қамтиды: әр тапсырма тақырыбы бойынша жұмыстың мақсаты мен міндеті, зертханалық жұмысқа дайындалу бойынша студентке сілтеме, теориялық мәліметі, тапсырмалар, әдебиеттер және бақылау сұрақтары көрсетілген. Зертханалық жұмыс саны-12.</t>
  </si>
  <si>
    <t>0004713</t>
  </si>
  <si>
    <t>Махатов Б.М. , А. Мелдебеков, В.И. Абрикосова, М.К. Байбатшанов</t>
  </si>
  <si>
    <t>Общая зоотехния</t>
  </si>
  <si>
    <t>В настоящей учебной литературе раскрывается вопросы проведения методы племенных работы содержания и кормления в зависимости от вида особенности, зона их разведения, а также представлены основные вопросы ведения животноводства, птицеводства, кролиководства, пчеловодства, кормопроизводства, приготовления кормов, ветеринарного лечения животных. 
 Литература рассчитана для студентов среднего и профессионального образования, а также широкого круга специалистов отрасли сельсхозяйственного профиля. Она окажет большую помощь многим начинающим специалистам.</t>
  </si>
  <si>
    <t>0004714</t>
  </si>
  <si>
    <t>Перепеловодство</t>
  </si>
  <si>
    <t>В настоящей книге приведены особенности репродуктивный функции перепелов, раскрыты влияние комплекса биологических факторов - скрещивания, полноценного питания, физиологической стимуляции генеративной и эндокринной систем организма, световых и термических показателей на продуктивность. Изучены вопросы практического преобразования перепелов местный популяции применительно к конкретным природно-климатическим условиям Казахстана. 
 Книга рассчитана для широкого круга специалистов отрасли птицеводства и студентов сельсхозяйственного профиля. Она окажет большую помощь многим начинающим перепеловодам.</t>
  </si>
  <si>
    <t>0004716</t>
  </si>
  <si>
    <t>Махатов Б.М. , Б.Р. Әкімбеков, М.К. Байбатшанов, К.К. Қайроллаев, Ү.А. Нұралиева</t>
  </si>
  <si>
    <t>Оқулықта ара шаруашылығының тарихи жөнінде мәліметтер, ара отбасының биологиясы, өсіруге керекті құрал-жабдықтар, өсіріп-көбейту технологиясы, ара тұқымын асылдандыру жұмыстары, қоректік базасы, ара аурулары және емдеу жолдары, бал сорттары жөнінде толық қарастырылған.
 Кітап студенттерге, магистрантарға, PhD-докторантарға және көпшілік оқырмандарға арналған.</t>
  </si>
  <si>
    <t>0004718</t>
  </si>
  <si>
    <t>Махатов Б.М., А.М. Мелдебеков, В.И. Абрикосова, Н.А. Акимжан, М.К. Байбатшанов</t>
  </si>
  <si>
    <t>Краткий терминологический словарь в птицеводстве</t>
  </si>
  <si>
    <t>Словарь – справочник, охватывает все стороны содержания, разведения и выращивания кур, гусей, уток, а также индеек, цесарок, страусов, голубей и перепелов. Книга также содержит описание различных пород домашней птицы, дает информацию о возможных заболеваниях и способах профилактики болезней птиц. Данный справочник рассчитан для специалистов, птицеводов и любителей, которые занимаются вопросами разведения птиц.</t>
  </si>
  <si>
    <t>0004719</t>
  </si>
  <si>
    <t>Махатов Б.М., Қожалы Б.К., Байбатшанов М.К.</t>
  </si>
  <si>
    <t>Мал азықтандыру мөлшері мен рациондары</t>
  </si>
  <si>
    <t>Оқу құралында азық мөлшерінің қолайлы орташа көрсеткіштері мен малға қажетті қуат, минералды заттар және дәрмедәрілердің мөлшерлері келтірілген. Қазақстанның осы салада істейтін ғалымдарының озық ғылыми-зерттеу жетістіктерін және шетел авторларының деректерін ескере отырып, қуат көрсеткіштерін МДж, ал протеин құндылығын ыдырайтын және ыдырамайтын фракциялары мен шикі протеин, жасұнықтардың бейтарап бөліктері де ескерілген.</t>
  </si>
  <si>
    <t>0004723</t>
  </si>
  <si>
    <t>Махатова А.Х, Құрақбаев Ж.С., Махатова Ә.</t>
  </si>
  <si>
    <t>MathСad ортасында жұмыс істеу</t>
  </si>
  <si>
    <t>Оқу құралы әйгілі математикалық пакет MathCad ортасында жұмыс істеп үйренуге арналған. MathCad ғылыммен білімнің және техниканың әр түрлі аймақтарын автоматтандыру үшін математикалық есептеулерге арналған пакет. MATHCAD-тың көмегімен кітап, диссертация, ғылыми есеп дипломдық және курстық жобаларды тек әртүрлі үлгідегі сапалы мәтін мен ғана емес, ең күрделі математикалық формула жиынтығымен, есептеулермен, графиктік көріністерді дайындауға болады. Оқулықта MathCad ортасында жұмыс істеп үйрену үшін қажет мәліметтер және көптеген математикалық есептердің шығару тәсілдері қарастылған. Өткен материалдарды пысықтау және «Mathcad ортасында қолданбалы есептерді моделдеу» пәнінен практикалық дағдыларды қалыптастыру үшін өзіндік жұмыстарға есептер қарастырылған. Оқу құралының материалдары MathCad ортасын пайдаланатын барлық пайдаланушыларға, студенттерге, инженерлерге және ғылыми қызметкерлерге де үлкен үлесін қосады. Оқу құралы 5B060200 және 5B011100 «Информатика» мамандығының студенттеріне арналған.</t>
  </si>
  <si>
    <t>0004730</t>
  </si>
  <si>
    <t>Махмұтов С.М.</t>
  </si>
  <si>
    <t>Зоология</t>
  </si>
  <si>
    <t>Оқулықта зоология пәні бойынша өтілетін материалдардың жалпы сипаттамасы берілген. Онда жануарлар дүниесінің жүйесі туралы қазіргі деректерді және жануарлардың негізгі топтарының экологиясын ұсынады. Сонымен қатар жануарлардың биологиясы, тіршілік ортасы, табиғатта таралуы жан-жақты баяндалған. Жануарлардың әртүрлі ауруларды таратудағы маңызы жайлы мағлұматтар берілген. Жер бетіндегі таралған жануарларды қорғау тіршіліктің үнемі дамып, жаңарып отыруын қадағалау, жануарлардың халық шаруашылығында және адам өміріндегі маңызы жайлы деректерді ұсынады. Оқулықта зоология курсы бойынша омыртқасыз және омыртқалы жануарлар жөнінде толық сипаттама берілген. Ұсынылып отырған оқулық педагогикалық, медициналық, ветеринарлық жоғары оқу орындарының студенттеріне, оқытушыларына және басқа биология салаларының мамандарына арналған</t>
  </si>
  <si>
    <t>0004734</t>
  </si>
  <si>
    <t>Кристалдар химиясының негіздері</t>
  </si>
  <si>
    <t>Оқу құралында кристаллография мен кристалдар химиясындағы қазіргі түсініктер қысқаша және дәйекті түрде баяндалған: кристалдар симметриясы, кристалдардың морфологиясы мен құрылымы, оларды зерттеу әдістері қарастырылған. Оқу құралы «Химия» мамандығы бойынша білім алатын студенттер, аспиранттар қауымына, сонымен қатар кристалдар химиясы, кристаллографиямен және қатты денелер химиясы және физикасымен айналысатын мамандарға арналған.</t>
  </si>
  <si>
    <t>0004738</t>
  </si>
  <si>
    <t>Маширова Т.Н</t>
  </si>
  <si>
    <t>Банк менеджменті</t>
  </si>
  <si>
    <t>Оқу құралында келесі маңызды сұрақтар қарастырылған – банк менеджментінің түсінігі, мәні, түрлері және негізгі бағыттары; банк менеджментінің шетелдік іс-тәжірибедегі үлгілері; банк қызметін ұйымдастыру және банктің ұйымдық құрылымының негіздері; банк саясаты: мақсаты, негізгі бағыттары және қалыптасу ережелері; банктің кадрлық менеджменті; банк қызметіндегі стратегиялық басқару; банктің меншікті капиталын басқару; банк активтерін басқару; пассивтерді басқару; банк өтімділігін басқару; шетел мемлекеттеріндегі банктердегі менеджменттің ұйымдастыру шарттарын анықтап, тәжірибесін үйрену және т.б..
 Оқу құралы жоғары оқу орындарының студенттеріне, магистранттарына, аспиранттарына, оқытушыларына, сонымен қатар банк менеджменті мәселелері қызықтыратын жалпы оқырманға арналған.</t>
  </si>
  <si>
    <t>0004740</t>
  </si>
  <si>
    <t>Машрапов Н.К.,Машрапова Г.Н.</t>
  </si>
  <si>
    <t>Дифференциалдық теңдеулер (тәжірибелік курс)</t>
  </si>
  <si>
    <t>Бұл оқу-әдістемелік құралында жай дифференциалдық теңдеулер курсы бойынша қысқаша теориялық мәліметтер берілген және тектік есептерді шешу жолдары қарастырылған. Құралдың материалы табиғаттанудың әр түрлі саласында эволюциялық процесстерді сипаттайтын дифференциалдық теңдеулерді шешкен және зерттеген жағдайларда тәжрибелік дағдыларын қалыптастыруға мүмкіндік береді</t>
  </si>
  <si>
    <t>0004744</t>
  </si>
  <si>
    <t>978-601-13-0287-6</t>
  </si>
  <si>
    <t>Медетов Ш.М.</t>
  </si>
  <si>
    <t>Есептер жинағы. Мәшине бөлшектері және мәшине құрылымын құру негіздері курсы бойынша тәжірибелік сабақтарға арналған оқу құралы.</t>
  </si>
  <si>
    <t>Есептер жинағында бөлшектер мен тораптардың қосылыстары, механикалық берілістер және біліктер, өстер, подшипниктер, муфталар бойынша есептер келтірілген. Есептердің шығарылу реті, есептеу мысалдары және студенттердің өздігінен шығаруына арналған есептер берілген.</t>
  </si>
  <si>
    <t>0004745</t>
  </si>
  <si>
    <t>Медеубаев Н.А.</t>
  </si>
  <si>
    <t>Дәнекерлеу құрылымдарын дайындау технологиясы</t>
  </si>
  <si>
    <t>Дәнекерлік конструкциялардың материалдары дәнекерлеу процесінде едәуір жылулық әсерге ұшырайды. Сондықтан дәнекер қосылыстардың талап етілетін қасиеттерін қамтамасыз ету үшін конструкцияның материалдарын таңдаудың маңызы бар. Дәнекерлік конструкцияларды жобалау кезінде олардың тұтас құймалы болып табылатынын есепке алу керек. Аса жетілген конструкцияларды әзірлеу үшін үлкен мүмкіндіктер тудыратын бұл қасиеттер олардың жұмыс шарттарын біршама күрделендіреді. Дәнекерлеу құрылымдарын дайындау технологиясы оқу құралы оқу жоспарына сәйкес «Машинажасау», «Құрылыс» және «Металлургия» мамандықтары бойынша бакалаврлар дайындауға құрылған және машина - жасау мен құрылысшылардың жоғарғы оқу орындарының студенттері үшін тағайындалған</t>
  </si>
  <si>
    <t>0004746</t>
  </si>
  <si>
    <t>Медеубаев Н.А., М.Н. Алмағамбет</t>
  </si>
  <si>
    <t>Электр доғалы газбен дәнекерлеу</t>
  </si>
  <si>
    <t>Электро, газовая сварка, машиностр, строительство</t>
  </si>
  <si>
    <t>Оқу құралында газ жалынымен өңдеудің негізгі тәсілдері қарастырылған. Болат, шойын, түсті металдарды газ жалынымен өңдеудің теориясы мен технологиясы ұсынылған. Бұл процестерге метал және метал емес материалдарды біріктіру, қорыту, газбен, оттегі ерітіндісімен, гпз электрімен, найзалық кесу, дәнекерлеу мен бетін шынықтыру, газбен түзету, термоөңдеу, плазмаменметалдарды және басқалары жатады. Сондықтан дәнекер қосылыстардың талап етілетін қасиеттерін қамтамасыз ету үшін конструкцияның материалдарын таңдаудың маңызы бар. Дәнекерлік конструкцияларды жобалау кезінде олардың тұтас құймалы болып табылатынын есепке алу керек. Аса жетілген конструкцияларды әзірлеу үшін үлкен мүмкіндіктер тудыратын бұл қасиеттер олардың жұмыс шарттарын біршама күрделендіреді. Электр доғалы газбен дәнекерлеу оқу құралы оқу жоспарына сәйкес «Машинажасау», «Құрылыс» және «Металлургия» мамандықтарының жоғарғы оқу орындарының студенттері үшін тағайындалған</t>
  </si>
  <si>
    <t>0004747</t>
  </si>
  <si>
    <t>Дәнекерлеу өндірісінде беріктікті бақылау</t>
  </si>
  <si>
    <t>Өнімді металдарды және қорытпаларды, жартылай фабрикаттарды, бұйымдарды, түйін мен машиналарды өткізу және қабылдау кезінде бөлек технологиялық операция өнімнің сапалық бақылау мәселесі ғылым-зерттеу институттарының, жобалы - конструкторлы ұйымдары мен зауыттарының басты назарында. Жетілген технологияның өзі толық ақаусыз материалды алуды қамтамасыз ете алмайтындығына негізделген. Эксплуатация шартындағы механизмдер және машиналар бөлшектеріндегі ақаулардың болуы жөніндегі сұрақ тууының өзі мәнді. Осы сұрақтарға жауап табуда бақылаудың әдістеріне үлкен рөл жүктейді. Бақылау әдістерін қолданудың өзі қазірде көптеген авария мен оқыс оқиғаларының болмауының алдын алуға мүмкіндік берді. «Дәнекерлеу қосылыстарының сапасын бақылау» пәні бойынша «Машина жасау», «Құрылыс» мамандықтарының студенттеріне және ҚарМУ-дың инженерлік жылуфизика кафедрасының «Беріктікті бақылаудың физикалық әдістері» пәні бойынша «Жылуэнергетика» мамандығының магистранттарына арналған</t>
  </si>
  <si>
    <t>0004748</t>
  </si>
  <si>
    <t>Медеубаева Ж.М.</t>
  </si>
  <si>
    <t>Халықаралық қатынастар теориясы</t>
  </si>
  <si>
    <t>Оқу құралы «халықаралық қатынастар», «аймақтану», «саясаттану» мамандықтарының студенттері мен оқытушыларына, ізденушілерге арналған. Онда халықаралық қатынастар теориясының бірқатар басты мәселелеріне түсініктеме беріліп, талдау жасалған.</t>
  </si>
  <si>
    <t>0004749</t>
  </si>
  <si>
    <t>Медеубаева Ж.М., Қилыбаева П.</t>
  </si>
  <si>
    <t>Аймақтану негіздері</t>
  </si>
  <si>
    <t>Оқу-әдістемелік құрал аймақтанудың жалпы ұғымдары және аймақтандыру үрдісіндегі әртүрлі факторлардың ролі, аймақтардың физикалық-географиялық, мәдени-тарихи, саяси, экономикалық ерекшелігі мәселелерін қарастырады. «Аймақтану», «халықаралық қатынастар», «тарих», «халықаралық экономика» мамандығының студенттеріне, магистранттарына арналған.</t>
  </si>
  <si>
    <t>0004750</t>
  </si>
  <si>
    <t>Медеуова Ғ.Ж., Жайлыбай К.Н.</t>
  </si>
  <si>
    <t>Экотоксикология</t>
  </si>
  <si>
    <t>0004756</t>
  </si>
  <si>
    <t>Мейірбеков А.</t>
  </si>
  <si>
    <t>0004757</t>
  </si>
  <si>
    <t>Табиғатты пайдалану және оны қорғау негіздері</t>
  </si>
  <si>
    <t>Авторлар ұжымының бұл еңбегінде қазіргі кезде Қазақстан Республикасында жүріп жатқан нарықтық экономика жағдайында табиғатты пайдалану және оны қорғау мәселелеріне жан-жақты талдау жасалып, өндірістің жылма-жыл құлдырауын тоқтату, олардың жұмыс тиімділігін арттыру мақсатында табиғи ресурстарды тиімді пайдаланудың нақты жолдары көрсетілген. Оқу құралы экономикалық жоғары оқу орындарының студенттері мен оқушыларына арналған</t>
  </si>
  <si>
    <t>0004758</t>
  </si>
  <si>
    <t>Мейрамбекова Л.К.</t>
  </si>
  <si>
    <t>Қыпшақ тобы тілдеріндегі бір буынды түбір етістіктердің салыстырмалы сипаттамасы.</t>
  </si>
  <si>
    <t>Кахаский язык</t>
  </si>
  <si>
    <t>Бұл еңбекте қазақ тілінің лексикалық қазынасындағы жалпытүркілік қабат және қазақ тілінің байырғы сөздері, оның ішінде қимыл атауларының түбір˗негіздері «қыпшақтық» контексте тарихи тұрғыдан өзектеледі. Қазақ тіліндегі етістік моносиллабтар жақын туыстық қатыстағы ноғай, қарақалпақ, татар, башқұрт, құмық, қарайым тілдерімен салыстырылып, етістік моносиллабтардың фонологиялық құрылысындағы, лексика˗семантикалық деңгейлеріндегі қыпшақ тобы тілдеріне тән ортақтықтардың табиғаты сараланады. Қыпшақ тобы тілдерінің моносиллабтық негізін лингвистикалық түркологиядағы «түркілік түбір» мәселесі тұрғысынан өзектей отырып, қазақ тіліндегі V, СV, VС, СVС, VСС, СVСС құрылымдық типтердегі етістік моносиллабтармен сәйкес келетін өзге де қыпшақ тілдеріндегі бір буынды түбір етістіктердің фонологиялық˗құрылымдық және лексика˗семантикалық салыстырмалы сипаттамасы жасалды. Түбір етістіктердің бастапқы мағынасының туынды, ауыспалы мағыналарға әсері және қыпшақ тобы тілдері арасындағы көпмағыналық құбылысы қарастырылады. Еңбек лингвист мамандарға, студенттер мен магистранттарға, сондай-ақ түркітану, соның ішінде қыпшақтану мәселелерімен шұғылданушы көпшілік қауымға арналған.</t>
  </si>
  <si>
    <t>0004761</t>
  </si>
  <si>
    <t>Мейрамкулова К.С. (Meiramkulova K.S.)</t>
  </si>
  <si>
    <t>Ecological toxicology</t>
  </si>
  <si>
    <t>В основу учебника положены современные представления о способах поступления и накопления различных токсинов в живых организмах. Существуют общие закономерности влияния основной группы загрязняющих веществ, способа их получения и миграции, трансформации и накопления в окружающей среде и организме. Существуют аспекты научного подхода к проблеме адаптации супраорганизмов; основные понятия и принципы оценки токсичности с точки зрения эпидемиологической токсикологии и экотоксикологии. Также характерны особенности токсикологического, экотоксикологического нормирования. Экотоксикологические исследования сосредоточены на изучении миграции ксенобиотиков (чужеродных для живых организмов соединений, не вступающих в пластический или энергетический обмен в клетке) в экологических системах, механизмов их включения в природные циклы, а также воздействия Изменения в естественном потоке веществ в биосфере - это нарушение экологического баланса и преобразование элементов биосферы, вымирание биоразнообразия, риск для здоровья человека. Предназначено для студентов специальности «Экология», а также студентов биологических , сельскохозяйственного и медицинского профиля, рекомендуется для использования на семинарах и в лабораториях, а также для выполнения отдельных работ.</t>
  </si>
  <si>
    <t>0004762</t>
  </si>
  <si>
    <t>Мейрамова Н. А., Никифорова С.А., Ижанова Г.Б., Аралбай С.М.</t>
  </si>
  <si>
    <t>Әлеуметтану бойынша дәрістер курсы</t>
  </si>
  <si>
    <t>Оқу-әдістемелік кұралда «Әлеуметтану» пәнінің негізгі тақырыптары тереңірек қарастырылған. Құралдың соңында бақылау сұрақтары, жағдайаттық мәселелер келтірілген. Бұл студенттерге пән бойынша қорытынды бақылауға дайындық ретінде ұсынылып отыр.</t>
  </si>
  <si>
    <t>0004769</t>
  </si>
  <si>
    <t>Мейрманов С.Т.</t>
  </si>
  <si>
    <t>Саясат теориясы</t>
  </si>
  <si>
    <t>Бұл оқу құралында саясат теориясы мәселелері мен саясат теорияларына кешенді түрде түсініктеме берілген, саясаттану ғылымы саласындағы әртүрлі теориялар жан-жақты қарастырылған. 
 Оқу құралы студенттер, оқытушылар және саяси ғылымдар бойынша ізденушілерге арналған.</t>
  </si>
  <si>
    <t>0004770</t>
  </si>
  <si>
    <t>Саясат теориясы және саясаттану пәнін оқыту әдістемесі</t>
  </si>
  <si>
    <t>0004775</t>
  </si>
  <si>
    <t>Менейлюк А. И., Кулибаев А.А. Нурбатуров К.А., Кудерин М.К., Лукашенко Л. Э., Олейник Н.В., Дё И.М.</t>
  </si>
  <si>
    <t>Внутренняя отделка зданий. Исследование казахстанского сырья.</t>
  </si>
  <si>
    <t>0004778</t>
  </si>
  <si>
    <t>Мергалиев Д. М., Абдалимова Ж. С.</t>
  </si>
  <si>
    <t>Инновационные технологии библиотечного обслуживания Павлодарского Прииртышья</t>
  </si>
  <si>
    <t>В монографии раскрываются вопросы модернизации библиотечного обслуживания, результатов внедрения и перспектив развития инновационных технологий предоставления информации на примере библиотек Павлодарского региона, а именно Областной объединенной универсальной научной библиотеки имени С. Торайгырова и Научной библиотеки имени С. Бейсембаева ПГУ имени С. Торайгырова. Монография представляет интерес для преподавателей, студентов, магистрантов, научных работников.</t>
  </si>
  <si>
    <t>0004779</t>
  </si>
  <si>
    <t>Мергалиев Д. М., Ж. С. Абдалимова</t>
  </si>
  <si>
    <t>Освоение игры на фортепиано</t>
  </si>
  <si>
    <t>В данном учебном пособии представлен материал для приобретения и развития навыков игры на фортепиано на материалах сочинений композиторов Казахстана.
 Учебное пособие «Освоение игры на фортепиано» предназначено для студентов специальности «Музыкальное образование», учителей ДМШ, педагогов музыкальных колледжей, преподавателей Вузов.</t>
  </si>
  <si>
    <t>0004780</t>
  </si>
  <si>
    <t>Мерғалиев Д. М., Абдалимова Ж. С.</t>
  </si>
  <si>
    <t>Фортепианода ойнауды меңгеру»</t>
  </si>
  <si>
    <t>Ұсынылып отырған жұмыс фортепиано аспабында ойнауды меңгеру үшін және Қазақстан Республикасының атақты композиторларының шығармашылық өнерін насихаттау мақсатымен құрастырылған.
 Бұл оқу құралы «Музыкалық білім» мамандығында оқитын студенттеріне, сонымен қатар музыкалық колледж оқушыларына, орындаушыларға және оқытушыларға арналған.</t>
  </si>
  <si>
    <t>0004781</t>
  </si>
  <si>
    <t>Мергалиев Д. М., Нехвядович Л. И., Каримов Т. Б., 
 Мелехова К. А., Степанская А. Г.</t>
  </si>
  <si>
    <t>Традиции – душа народа: национальные музыкальные инструменты</t>
  </si>
  <si>
    <t>В предлагаемой вниманию читателя коллективной монографии исследуется проблема сущности и развития этнической традиции, проявляющейся в изготовлении народных музыкальных инструментов. Авторами рассмотрены народные музыкальные инструменты Казахстана, Монголии и России. Сохранение этнокультурного многообразия, диалог и взаимодействие уникальных национальных традиций являются основой цивилизационной стабильности человечества и его эволюционного культурного потенциала.</t>
  </si>
  <si>
    <t>0004782</t>
  </si>
  <si>
    <t>Мергалиев Д. М., Смакова З.Н.</t>
  </si>
  <si>
    <t>Қазақстан өнеріндегі фольклорлық дәстүрлер</t>
  </si>
  <si>
    <t>Бұл монография өнер негіздерін, оның ішінде қоғамдағы мәдениетті, қазақ фольклорын қалыптастырудағы жаңа жүйе мәселелерін ерекшелеп көрсеткенін қарастырады. 
 Қазақ халқының тарихы, дәстүрі және көркем әлемі қайнар көзі ретінде терең зерттеудің ерекше маңызы бар. 
 Монография педагогикалық мамандықтың студенттеріне, магистранттарына, мұғалімдеріне, оқытушыларына, сол сияқты кітапсуйер қауымға арналған.</t>
  </si>
  <si>
    <t>0004783</t>
  </si>
  <si>
    <t>Мергалиев Д.М.</t>
  </si>
  <si>
    <t>Аккордеонда ойнауды меңгеру</t>
  </si>
  <si>
    <t>0004784</t>
  </si>
  <si>
    <t>Оркестровое музицирование</t>
  </si>
  <si>
    <t>Учебное пособие раскрывает основные явления оркестровой культуры, где особое значение приобретает проблема коллективного исполнительства. В пособии даны рекомендации для самостоя¬тельных занятий студентов по дисциплине «Оркестр», краткие сведения о творчестве композиторов, произведения которых исполняются оркестровыми коллективами, методические указания, задания, списки рекомендуемой литературы, что несомненно окажет помощь будущим учителям музыки. Учебное пособие предназначено студентам и педагогам музыкально-педагогических факультетов вузов и музыкальных колледжей, а также широкому кругу ценителей искусства и культуры.</t>
  </si>
  <si>
    <t>0004785</t>
  </si>
  <si>
    <t>Освоение игры на аккордеоне</t>
  </si>
  <si>
    <t>Настоящее пособие адресовано студентам педагогических вузов, обучающихся по специальности 5В010600 «Музыкальное образование» по дисциплине «Основной музыкальный инструмент», также учащимся, музыкальных колледжей, ценителям музыкального искусства и его исполнителям. 
 В пособии рассматривается специфика инструмента, даются методические рекомендации по освоению основных исполнительских приемов и навыков, содержатся сведения по истории аккордеона.</t>
  </si>
  <si>
    <t>0004786</t>
  </si>
  <si>
    <t>Фольклорные традиции в искусстве Казахстана</t>
  </si>
  <si>
    <t>Монография раскрывает основные явления искусства, где особое значение приобретает проблема новой системы функционирования культуры в обществе, в том числе казахского фольклора. Особую важность приобретает глубокое изучение фольклора как источника познания истории, традиций и художественных достижений казахского народа.
 Монография адресована студентам педагогических специальностей, магистрантам, педагогам, а также широкому кругу читателей.</t>
  </si>
  <si>
    <t>0004787</t>
  </si>
  <si>
    <t>Мергалиев Д.М., М.П. Попандопуло, А.И. Раимбергенов</t>
  </si>
  <si>
    <t>Интерграция культур и национальные художественные школы</t>
  </si>
  <si>
    <t>В монографии анализируются традиции национальных худо-
 жественных школ в процессе интеграции культур Запада и Востока
 в ХХ веке, фольклор как базовая духовная ценность казахского народа
 и важный фактор развития художественного национального стиля.
 Монография посвящена также становлению и развитию худо-
 жественной культуры Казахстана на основе национальных традиций
 и опыта европейского профессионального искусства.</t>
  </si>
  <si>
    <t>0004788</t>
  </si>
  <si>
    <t>Мергалиев Д.М., Смакова З.Н., Абдалимова Ж.С. /D. M. Mergaliev, Z. N. Smakova, Zh. S. Abdalimova</t>
  </si>
  <si>
    <t>WORKING WITH THE ORCHESTRA</t>
  </si>
  <si>
    <t>The manual reveals the basic phenomenon orchestral culture, where special importance is the problem of collective performance in the Russian and English languages. 
 The manual is recommended for students and teachers of musical and pedagogical faculties of universities and music colleges, and a wide circle of connoisseurs of art and culture.</t>
  </si>
  <si>
    <t>0004789</t>
  </si>
  <si>
    <t>Мергалиев Д.М./D. M. Mergaliev, Zh. S. Abdalimova</t>
  </si>
  <si>
    <t>Mastering of playing on the piano</t>
  </si>
  <si>
    <t>Material for acquisition and development of skills of playing a piano on materials of compositions of composers of Kazakhstan is presented in this manual.
 The manual «Mastering of playing on the piano» is intended for students of specialty "Music education", teachers of musical colleges, teachers of Higher education institutions.</t>
  </si>
  <si>
    <t>0004790</t>
  </si>
  <si>
    <t>Мергалимова А.К., Айтмагамбетова М.Б.</t>
  </si>
  <si>
    <t>Теоретические основы тепловых и атомных электростанций</t>
  </si>
  <si>
    <t>Учебное пособие "Теоретические основы тепловых и атомных электростанций" предназначено для студентов энергетических специальностей. Учебное пособие состоит из 14 глав, в которых подробно описаны основное и вспомогательное оборудование тепловых и атомных электростанций, а также технико-экономические требования к ТЭС, различного рода зависимости, балансы пара и воды и т.д.. Данное пособие соответствует требованиям, предъявляемым работодателями к изучению профильных дисциплин теплоэнергетических специальностей, а также в полном объеме подойдет для проведения переподготовки специалистов других специальностей, повышения квалификации, в связи с чем рекомендуется к изданию</t>
  </si>
  <si>
    <t>0004791</t>
  </si>
  <si>
    <t>Учебное пособие "Нетрадиционные возобновляемые источники энергии" предназначено для студентов специальности 5В071700 "Теплоэнергетика". Учебное пособие состоит из 7 глав, в которых подробно описаны. Знакомство и изучение данной дисциплины дает студенту все необходимые знания по проблемам энергетики, не связанные с сжиганием органического топлива для получения тепловой и электрической энергии</t>
  </si>
  <si>
    <t>0004794</t>
  </si>
  <si>
    <t>Меркулов В.В.</t>
  </si>
  <si>
    <t>Химия высокомолекулярных соединений</t>
  </si>
  <si>
    <t>Учебное пособие для студентов повышенного уровня обученияспециальности 240404 «Технология производства высокомолекулярных соединений» разработано в развитие программы учебной дисциплины «Химия высокомолекулярных соединений» базового уровня обучения. Изучение дисциплины «Технология производства высокомолекулярных соединений» предусматривается на базе опорных знаний по химизму основных технологических процессов в органическом синтезе, принципу действия и устройству технологических установок. Вопросы синтеза и переработки ВМС рассматриваются в аспектах развития нефтепереработки и нефтехимии на ближайший период, а также снижения остроты экологических проблем.В курсе лекций рассматриваются основные полимерные материалы применяемые в народном хозяйстве, пути повышения эффективности и направления совершенствования важнейших процессов синтеза ВМС, переработки газов и газовых конденсатов на основе последних достижений науки и техники. Для удобства изучения дисциплины в курсе лекций представлены лишь основные полимеры и методы их синтеза в промышленных масштабах.</t>
  </si>
  <si>
    <t>0004795</t>
  </si>
  <si>
    <t>Меркулов В.В. Керуенбаева Ф.С.</t>
  </si>
  <si>
    <t>Жоғары молекулалық қосылыстардың өндіру технологиясы</t>
  </si>
  <si>
    <t>240404 "Жоғары молекулалық қосылыстарды өндіру технологиясы" мамандығы бойынша жоғары деңгейдегі білім алатын студенттерге арналған оқу құралы оқытудың базалық деңгейіндегі "Жоғары молекулалық қосылыстар химиясы" оқу пәнінің бағдарламасын дамыту үшін әзірленген. "Жоғары молекулалық қосылыстарды өндіру технологиясы" пәнін оқу органикалық синтезде негізгі технологиялық үрдістердің химизмі, технологиялық қондырғылардың жұмыс істеу принципі және құрылғысы бойынша білім негізінде қарастырылады. ЖМС синтездеу және қайта өңдеу мәселелері мұнай өңдеу мен мұнай химиясын жақын арада дамыту, сондай-ақ экологиялық проблемалардың өткірлігін төмендету аспектілерінде қарастырылады.Дәрістер курсында халық шаруашылығында қолданылатын негізгі полимерлік материалдар, ЖМС синтезінің маңызды үрдістерінің тиімділігін арттыру жолдары және жетілдіру бағыттары, ғылым мен техниканың соңғы жетістіктері негізінде газ бен газ конденсаттарын өңдеу қарастырылады. Пәнді оқуға ыңғайлы болу үшін дәрістер курсында тек негізгі полимерлер және олардың өнеркәсіптік масштабтағы синтездеу әдістері ғана берілген.</t>
  </si>
  <si>
    <t>0004825</t>
  </si>
  <si>
    <t>Мәдібаева Қ.Қ (Мадибаева К.К.)</t>
  </si>
  <si>
    <t>Әдебиеттану ғылымы және білім беру 1-кітап</t>
  </si>
  <si>
    <t>ғылыми-әдістемелік жинақ</t>
  </si>
  <si>
    <t>Жинақ Ілияс Жансүгіров атындағы Жетісу мемлекеттік университеті «El-Mura» ғылыми зерттеу, білім беру Орталығының ұйымдастыруымен «Жоғары мектепте «Қазіргі қазақ әдебиеті» пәнін оқыту: Қазіргі қазақ лирикасы. Зайда Елғондинова поэзиясындағы рухани арқау» тақырыбында 2017 жылы 24 қарашада «Қазақ әдебиеттану ғылымы және білім беру атты» дәстүрлі республикалық Білім сайысы аясында өткен ғылыми-әдістемелік конференция материалдарынан құрастырылды. Әдебиеттанушы мамандарға, жас зерттеушілерге арналған.</t>
  </si>
  <si>
    <t>0004826</t>
  </si>
  <si>
    <t>978-601-330-939-2</t>
  </si>
  <si>
    <t>Мәдібаева Қ.Қ. (Мадибаева К.К.)</t>
  </si>
  <si>
    <t>Әдебиеттану ғылымы және білім беру 2-кітап</t>
  </si>
  <si>
    <t>0004827</t>
  </si>
  <si>
    <t>978-601-330-938-5</t>
  </si>
  <si>
    <t>Әдебиеттану ғылымы және білім беру 3-кітап</t>
  </si>
  <si>
    <t>Жинақ Ілияс Жансүгіров атындағы Жетісу мемлекеттік университеті «Пайым» ғылыми зерттеу, білім беру Орталығының ұйымдастыруымен «Әдеби мұраны игеру және оның білім берудегі қолданбалылық мәні» жобасы аясында «Жоғары мектепте «Қазіргі қазақ әдебиеті» пәнін оқыту: Бексұлтан Нұржеке-ұлы романдарындағы тұлға әлеуеті» тақырыбында 2017 жылы 31 наурызда өткізілген республикалық конференция материалдарынан құрастырылды. Әдебиеттанушы мамандарға, жас зерттеушілерге арналған.</t>
  </si>
  <si>
    <t>0004828</t>
  </si>
  <si>
    <t>Жетісу кітапханасы (том 1)</t>
  </si>
  <si>
    <t>Жинақ Ілияс Жансүгіров атындағы Жетісу мемлекеттік университеті «Рухани жаңғыру» ғылыми-білім беру Орталығында «Рухани жаңғыру. XXI ғасырдағы гуманитарлық білім. Әдеби өлкетану», «Жетісу кітапханасы» жобасы бағытындағы университет оқытушыларының ғылыми зерттеу, әдеби сын, эссе-толғамдардан құрастырылды.
  Әдебиеттанушы мамандарға, жас зерттеушілерге, «Өлкетану» оқу курсындағы қазақ әдебиеті бөлімі бойынша орта мектеп мұғалімдеріне арналған.</t>
  </si>
  <si>
    <t>0004829</t>
  </si>
  <si>
    <t>Жетісу кітапханасы (том 2)</t>
  </si>
  <si>
    <t>0004830</t>
  </si>
  <si>
    <t>978-601-13-0692-8</t>
  </si>
  <si>
    <t>Жоғары мектептің бакалаврлық оқу сатысы мен магистратура бөлімінде, докторантура деңгейінде қазіргі қазақ әдебиеті тарихының негізгі, таңдауы бойынша оқытылатын курстарына арналып жазылған бұл оқу құралында қазақ әдебиеті (ХХ, ХХІ ғасыр) жанрлық тұрғыда жүйеленіп берілді.
 Қазақ прозасының қалыптасып дамуындағы елеулі шығармашылық бағыттары; тарихи, әлеуметтік, психологиялық, интеллектуалдық, т.б. роман түрлері, қазақ әңгіме-повестеріндегі көркемдік негіздер; поэзиядағы кезеңдік сипаттар, шеберлік өрісі; драматургия жанрының даму бағдарлары қамтылған оқу құралы қазіргі қазақ әдебиеттану ғылымының жаңа зерттеу нәтижелері негізінде жазылды. Әдеби мұраға қатысты тың пайымдаулармен мазмұндалған, әдістемелік тұрғыда пысықтау, жаттығу тапсырмаларымен жарақталған бұл оқу құралы «ХХ ғасыр басындағы қазақ әдебиеті», «Кеңес дәуіріндегі қазақ әдебиеті», «Тәуелсіздік кезең әдебиеті» пәндеріне арналған</t>
  </si>
  <si>
    <t>0004831</t>
  </si>
  <si>
    <t>Адам іздеген бақыт</t>
  </si>
  <si>
    <t>0004832</t>
  </si>
  <si>
    <t>Әдеби үдеріс</t>
  </si>
  <si>
    <t>Оқу құралында ХІХ ғасырдағы ақындық мектептердің айтулы өкілдерінің шығармашылық мұрасы қазіргі ғылыми жаңа бағыттар ауқымында пайымдалған. Жоғары мектептің бакалаврларына, магистранттарға арналған.</t>
  </si>
  <si>
    <t>0004834</t>
  </si>
  <si>
    <t>Мәдібаева Қ.Қ.(Мадибаева К.К.), Мүлік Д.</t>
  </si>
  <si>
    <t>Көркем шығармадағы тарихи тұлға бейнесі</t>
  </si>
  <si>
    <t>Оқу-әдістемелік кұралы</t>
  </si>
  <si>
    <t>Оқу - әдістемелік кұрал жоғары мектепте жоғары қазақ тарихи романындағы көркем образды оқыту әдістемесі бағытында. Мұхтар Әуезовтің "Абай жолы" роман эпопеясындағы Кұнанбай тұлғасы негізінде жазылды. Кұнанбай Өскенбайұлының мұрағаттарда сақталған ғумырбаям деректері, тұлға туралы көзкөрген адамдардың, ұрпақтарының естеліктері, роман - эпопеядағы көркемдік шешім ауқымында білім бекіту жаттығулары мен арнайы тапсырмалар бойыша жұмыс жүргізу жолдары пысықталған әдістемелік оқу кұралы "Қазақ тілі мен әдебиеті " "Қазақ тілінде оқытпайтын мектептегі қазақ тілі мен әдебиеті" мамандықтарына арналған</t>
  </si>
  <si>
    <t>0004838</t>
  </si>
  <si>
    <t>Мәмесейіт Т. /Мамесейіт Т.І./</t>
  </si>
  <si>
    <t>Шерхан Мұртаза – журналист-жазушы(Шындық пен шеберлік)</t>
  </si>
  <si>
    <t>Шерхан Мұртаза – қазақ журналистикасы мен әдебиетінде өзіндік орны бар, барлық жанрда дерлік қалам тартқан көркем сөз шебері. Оның қазақ баспасөзінің дамуына қосқан үлесі өз алдына бір төбе. Еліміздегі бұқаралық ақпарат құралдарының («Лениншіл жас» («Жас алаш»), «Социалистік Қазақстан» («Егемен Қазақстан»), «Қазақ әдебиеті», «Жалын», «Жұлдыз», ҚР Телерадио корпорациясы) бәрінде басшылық қызмет атқарып, сол саланың дамып өркендеуіне зор еңбек сіңірген қайраткер тұлға. Сондай-ақ, Ш.Мұртаза ұлттық әдебиетімізге де өлшеусіз үлес қосып келеді. Оның әрбір шығармасы оқырман жүрегіне жол тапқан шынайы көркем туындылар. Ол туған халқының сүйіспеншілігіне бөленген айтулы тұлға, қабырғалы қаламгер. Халық жазушысы, Мемлекеттік сыйлықтың иегері.
 Зерттеу жұмысында журналист-жазушының сан қырлы шығармашылық еңбегі жан-жақты сөз болады.</t>
  </si>
  <si>
    <t>0004839</t>
  </si>
  <si>
    <t>Баспа ісінің негіздері</t>
  </si>
  <si>
    <t>«Баспа ісінің негіздері» – бұл саладағы алғашқы еңбек. Мұнда баспа және баспа ісі, кітап өндірісі мәселелері қарастырылады. Қазақстанда баспа ісінің қалыптасып, дамуынан бастап, баспа ісінің жалпы сипаты, өркендеуі, қазіргі жағдайы жан-жақты сөз болады. Оқу құралы жоғары оқу орындарының журналистика, баспа ісі, филология мамандықтарында оқитын студенттеріне, магистранттарына, жалпы кітап тарихын, баспахана мен баспа ісін зерттеумен шұғылданушыларға арналған.</t>
  </si>
  <si>
    <t>0004840</t>
  </si>
  <si>
    <t>Мәсімханұлы Д. (Масимханулы), А.Әбиденқызы</t>
  </si>
  <si>
    <t>Қытай филологиясына кіріспе</t>
  </si>
  <si>
    <t>Бұл оқу қуралы Қытай тілі мен әдебиеті мәселелерін және оның ғылым ретінде категорияларын жан-жақты қарастыратын, ана тілімізде жазылған көлемді ғылыми еңбек. Кітапқа шартты түрде «оқу құралы» деген айдар тағылғанмен, онда қытай тілі мен әдебиетіне қатысты авторлардың өз зерттеулері,тың тұжырымдары молынан қамтылған. Сол себепті бұл еңбекті қытай тілі мен әдебиетін үйренуші шәкірттер үшін,осы сала мамандары үшін маңызды әдебиет ретінде ғана емес, сонымен бірге еліміздің қытайтану ғылымына, лингвистика-әдебиеттану ғылымдарына да қосылған қомақты үлес,үлкен жаңалық ретінде бағалаған орынды</t>
  </si>
  <si>
    <t>0004843</t>
  </si>
  <si>
    <t>Милованова Н.В., Қалиева Ә.Б.</t>
  </si>
  <si>
    <t>English in international compacts. Халықаралық шарттағы ағылшын тілі</t>
  </si>
  <si>
    <t>This tutorial is devoted to students of International relations, Regional Studies and International Law. It is based on authentic texts of international compacts and is aimed at giving an overview of principal types of these documents, peculiarities of their style and vocabulary and developing English-Kazakh translation skills, document review skills and partilally, speaking skills. 
 Оқу құралы Халықаралық қатынастар, Аймақтану, Халықаралық қатынастар мамандағының студенттеріне арналған. Оқу құралы халықаралық құжаттардың тұпнұсқалық мәтінін пайдалана отырып, олардың негізгі түрлерін, стиль ерекшеліктерін, лексикалық қорын қарастырады, сонымен қатар, ағылшын тілінен қазақ тіліне аудару, құжатты қысқаша мазмұндау, шартты құру және дипломатиялық тақырыптар бойынша сөйлеу дағдыларын дамытуға бағытталған.</t>
  </si>
  <si>
    <t>0004844</t>
  </si>
  <si>
    <t>Мингалеева А.М.</t>
  </si>
  <si>
    <t>Методические указания и контрольные задания по физике для самостоятельной работы студентов технических специальностей</t>
  </si>
  <si>
    <t>Методические указания содержат общие методические указания к решению задач, методику выбора задач индивидуального задания, требования к оформлению контрольной работы, правила приближенного вычисления, фундаментальные физические постоянные и справочные таблицы, список рекомендуемой литературы. В методических указаниях весь материал физики разбит на пять разделов, по каждому из которых представлен теоретический материал с основными формулами и примерами решения задач, а также задания для самостоятельной работы студентов. Системный подход к представлению теории, методики решения задач и заданий для СРС и СРСП помогут будущим бакалаврам с кредитной системой обучения гибко усвоить учебный материал и приобрести практические навыки в решении конкретных технических задач.</t>
  </si>
  <si>
    <t>0004845</t>
  </si>
  <si>
    <t>Физикадан оқу құралы студенттердің өз бетімен жасайтын жұмыстарын ұйымдастыруына және орындауына арналған құрал</t>
  </si>
  <si>
    <t>Оқу құралы жалпы физика курсының барлық бөлімдерін камтиды. Барлық материал такырыптық мәні бойынша жеті бөлімнен тұрады. Әрбір бөлімде қарастырылып жатқан тақырыпқа байланысты қысқаша теория қарастырылады. Содан кейін тақырыпқа байланысты есептер егжей –тегжейлі талданылады. Әрбір бөлімде өз бетімен шығаруға арналған 80 есеп бар. Олар өз қиындығына қарай орналасқан. Есептеу ережелері физикалық тұрақтылар және шамалар анықтамалары туралы кейбір мәлеметтер қосымшада берілген. Бұл құралдың негізгі мақсаты - студенттердің физикалық білім алу және оны нақтылы техникалық есептерді шығаруда қолдана білу қабілеттілігін арттыру. КЖБ бойынша оқитын техникалық мамандық студенттерінің практикалық сабақтарда өз бетінше жұмыс істеуіне және СӨЖ үшін арналған құрал. Бұл құралды семестрлік емтиханға дайындалуға, студенттердің аралық мемлекеттік білімін тексеруде қолдануға болады.</t>
  </si>
  <si>
    <t>0004848</t>
  </si>
  <si>
    <t>Основы профессионально- педагогического общения</t>
  </si>
  <si>
    <t>В учебном пособии представлены теоретические и практические основы профессионально-педагогического общения: цели, функции, содержание, средства, структура. Рассматриваются особенности профессиональной позиции педагога и стили педагогического воздействия на партнеров по общению, а также пути преодоления ситуации конфликта и спора.
 Пособие носит проблемный и поисково-творческий характер. В нем представлены вопросы и задания для самостоятельной работы и самоконтроля. 
 Учебное пособие предназначено для преподавателей, магистров и студентов, а также для учителей школ различного типа и работников системы образования.</t>
  </si>
  <si>
    <t>0004849</t>
  </si>
  <si>
    <t>Мирза Н.В., Маженова Р.Б.</t>
  </si>
  <si>
    <t>Кәсіби-педагогикалық қарым-қатынас</t>
  </si>
  <si>
    <t>Оқу құралында кәсіби-педагогикалық қарым-қатынастың теориялық және практикалық негіздері ұсынылады, атап айтқанда, оның мақсаты, функциялары, мазмұны, құралдары, құрылымы. Педагогтың кәсіби позициясы мен қарым-қатынас бойынша серіктестерге педагогикалық әсер ету стильдерінің ерекшеліктері, сонымен қатар конфликті мен жанжалдан шығу жолдары қарастырылған.
 Құрал проблемалық және ізденушілік-шығармашылық сипатта. Онда өзіндік жұмыс пен өзін-өзі тексеруге арналған сұрақтар және тапсырмалар ұсынылған. 
 Оқу құралы оқытушыларға, магистрлар мен студенттерге, сонымен қатар әр түрлі типті мектептер мен білім беру жүйесінің қызметкерлеріне арналған.</t>
  </si>
  <si>
    <t>0004850</t>
  </si>
  <si>
    <t>Миронова И.В., Галиева З.А., Ребезов М.Б., Мотавина Л.И., Смольникова Ф.Х.</t>
  </si>
  <si>
    <t>Основы лечебно-профилактического питания</t>
  </si>
  <si>
    <t>В учебном пособии освещаются теоретические основы лечебно-профилактического питания; представлены рекомендации по выполнению лабораторных работ и практических занятий. 
 Данное учебное пособие предназначено для магистрантов дневной и заочной форм обучения по направлениям: продукты питания животного происхождения, технология продовольственных продуктов; пищевая биотехнология; технология перерабатывающих производств; пищевая безопасность.</t>
  </si>
  <si>
    <t>0004851</t>
  </si>
  <si>
    <t>Мирюк О.А.</t>
  </si>
  <si>
    <t>Ресурсосбережение в технологии строительных материалов</t>
  </si>
  <si>
    <t>Обобщены и систематизированы общие сведения о принципах использо-вания и сбережения ресурсов. Описаны основные элементы и этапы развития технологии. Дана классификация ресурсов, охарактеризованы направления ре-сурсосбережения на основных этапах технологии строительных материалов. Приведены примеры технологических решений, обеспечивающих сбережение сырьевых и энергетических ресурсов при изготовлении изделий из бетона. 
 Предназначено для обучающихся строительно-технологическим специаль-ностям. Может быть полезно инженерно-техническим работникам строительной индустрии.
 Рекомендовано к изданию Учебно-методической секцией по архитектурно-строительным и дизайнерским специальностям РУМС МОН РК (г. Астана, протокол № 4 от 20 мая 2011 года).</t>
  </si>
  <si>
    <t>0004853</t>
  </si>
  <si>
    <t>Михеева Е.В., Асташкина А.П., Газалиев А.М.., Кабиева С.К.., Малыбаева М.К.., Балпанова Н.Ж.</t>
  </si>
  <si>
    <t>Физикалық және коллоидтық химиядан есептер жинағы</t>
  </si>
  <si>
    <t>«Физикалық және коллоидтық химия» пәнінің негізгі тараулары бойынша оқу құралына 600-ден астам есептер енгізілді.Әр тарауға қысқаша теориялық бөлім, типтік есептерді шығару жолдары және өздік шығаруға арналған есептер енгізілген. Әрбір тақырып бойынша есептердің көп болуы оқытушыларға студенттермен өздік, аудиториялық және аудиториядан тыс жұмыстар ұйымдастыруға мүмкіндік береді. Оқу құралы «Органикалық заттардың химиялық технологиясы» мамандығының студенттері мен магистранттарына, «Металлургия», «Пайдалы қазбаларды байыту» мамандығының студенттеріне арналған. Есептер жинағы «Физикалық және коллоидтық химия» пәнінің бағдарламасына сәйкес, Қарағанды мемлекеттік техникалық университетінің өнеркәсіптік экология және химия кафедрасында дайындалған.</t>
  </si>
  <si>
    <t>0004854</t>
  </si>
  <si>
    <t>Мишнев С.В., Талашкевич И.П., Кузембаев С.Б., Березюк В.Г.</t>
  </si>
  <si>
    <t>Анализ процессов обработки металлов давлением на основе симметрийного описания взаимодействующих структур том 1. Краткие сведения о системном подходе в оценке и проектировании процессов обработки металлов давлением</t>
  </si>
  <si>
    <t>Монография предназначена для инженерно-технических работников при технической поддержке действующих технологий на производстве. Научно-технические работники могут пользоваться им при проектировании рациональных технологий обработки металлов давлением, в частности, для получения текстурированных металлических материалов особыми методами прокатки. Монография так же будет полезна для студентов технических вузов при изучении физических основ формирования физико-механических свойств при обработке металлов давлением, а также другими видами обработки в технологиях машиностроения.
 Кратко изложены методологические основы системного подхода в оценке и проектировании процессов обработки металлов давлением.
 При работе над монографией были обобщены результаты многолетней научно-исследовательской работы и учтен большой опыт ведения курса лекций по дисциплине «Физические основы формирования свойств материалов при обработке давлением», преподаваемой в течение ряда лет на кафедре «Машиностроение» Сибирского федерального университета (г. Красноярск, РФ).</t>
  </si>
  <si>
    <t>0004855</t>
  </si>
  <si>
    <t>Анализ процессов обработки металлов давлением на основе симметрийного описания взаимодействующих структур том 2. Практика проектирования технологий обработки металлов давлением на основе симметрийного описания взаимодействующих структур</t>
  </si>
  <si>
    <t>Монография ориентирована на исследование процессов обработки материалов и формирования их физико-механических свойств. В данном труде на основе результатов исследований, описанных в первом томе, показаны возможные лабораторные технологии продольной прокатки на основе интегрального и дифференциального обжатия квазиизотропной заготовки, изготовленной методом изостатического прессования медного порошка, с последующим спеканием в вакууме. Показаны результаты рентгеноструктурного анализа в виде прямых полюсных фигур, снятых с образцов, обработанных продольной прокаткой по лабораторным технологическим схемам.
 Монография предназначена для инженерно-технических работников при технической поддержке действующих технологий на производстве. Также может быть полезна студентам технических вузов при изучении физических основ формирования физико-механических свойств при обработке металлов давлением, а также другими видами обработки в технологиях машиностроения.</t>
  </si>
  <si>
    <t>0004857</t>
  </si>
  <si>
    <t>Моисеева Е В Беляева Э П</t>
  </si>
  <si>
    <t>Специально-ориентированная методика обучения иностранному языку</t>
  </si>
  <si>
    <t>Учебное пособие по курсу «Специально-ориентированная методика обучения иностранному языку» предназначен для студентов специальности 5B011900 «Иностранный язык: два иностранных языка». Пособие может также использоваться в качестве источника теоретической информации и практических заданий в преподавании курсов «Методика преподавания иностранного языка в школе», «Введение в педагогическую профессию», а также в ходе прохождения педагогической практики в школе.</t>
  </si>
  <si>
    <t>0004858</t>
  </si>
  <si>
    <t>Моисеева Н.А.</t>
  </si>
  <si>
    <t>Гимнастика с методикой преподавания</t>
  </si>
  <si>
    <t>В предлагаемом учебно-методическом пособии рассматриваются вопросы теории и методики преподавания гимнастики, как спортивно-педагогической дисциплины. 
  Данное пособие подробно раскрывает построение учебного процесса по дисциплине «Гимнастика с методикой преподавания для студентов специальности «Физическая культура и спорт» и включает в себя теоретический, методический и практический разделы. В пособии представлены соответствующие контрольные вопросы, материалы для текущего, рубежного и итогового контроля студентов, задания для самостоятельной работы обучающихся и методические рекомендации по их выполнению.
  Учебно-методическое пособие может быть полезно для студентов специальности «Физическая культура и спорт» и преподавателей средних и высших учебных заведений.</t>
  </si>
  <si>
    <t>0004859</t>
  </si>
  <si>
    <t>Молбасынова Ж.М., Байсова Л.Ж.</t>
  </si>
  <si>
    <t>Білім мазмұнын жаңарту жағдайында оқушылардың метапәндік құзыреттіліктерін қалыптастыру</t>
  </si>
  <si>
    <t>Оқу-әдістемелік құрал жалпы білім беретін мектептің барлық сатысындағы мұғалімдеріне, сондай-ақ 5В010300 «Педагогика және психология» мамандығы студенттері мен магистранттарына арналған. Онда білім мазмұнын жаңарту жағдайында оқушылардың метапәндік құзыреттіліктерін қалыптастыруда Әмбебап оқу әрекетінің негізгі түрлерінің сипаттамасы, қазіргі заманғы метапәндік сабаққа қойылатын талаптар және оны дайындау технологиясы берілген. Әдістемелік ұсынымда метапәндік құзыреттілік нәтижелеріне қол жеткізуге көмектесетін, қазіргі заман мұғаліміне арналған материалдар ұсынылған. Тәжірибелі мұғалімдердің қысқа мерзімді сабақ жоспарлары берілді.</t>
  </si>
  <si>
    <t>0004863</t>
  </si>
  <si>
    <t>Молдабек Қ.</t>
  </si>
  <si>
    <t>Мұхаметжанның бал тілі немесе баланың сөздік қорын анықтау амалы</t>
  </si>
  <si>
    <t>Монографиялық еңбек бала тілін зерттеу және оның сөздік қорын анықтауға, оны дамыту, молайту, балабақшада қолдану жолдарына арналған. Еңбекті «Мектепке дейінгі оқыту мен тәрбиелеу», «Бастауыш оқыту педагогикасы мен әдістемесі»мамандықтарының студенттері, бала тілін зерттеуші магистранттар, докторанттар және балабақша қызметкерлері, бастауыш мектеп мұғалімдері мен ата-аналар пайдалана алады.</t>
  </si>
  <si>
    <t>0004865</t>
  </si>
  <si>
    <t>каз ,русс,анг, лат</t>
  </si>
  <si>
    <t>Молдабек Қ., Кенжебекова Р.И., 
 Ризаева Л.А., Жорабекова А., Рахимкулов Ш.С.</t>
  </si>
  <si>
    <t>«Бастауыш сынып оқушыларының қазақша–орыcша-ағылшынша сөздігі» «bаstаwiş sinip оqwşilаriniŋ qаzаqşа–оricşа-аğilşinşа sӧzdіgі» «казахско–русско-английский словарь учащихся начальных классов» «kazakh–russian-english dictionary of primary school students» том 3</t>
  </si>
  <si>
    <t>В словаре использованны слова и словосочетания, которые часто употребляются учащимийся начальных классов в повседневной речевой коммуникации. Словарь составлен на основе текстов учебников и приведены в алфавитном порядке.
 Словаря могут использовать студенты вузов по специальностям «Филология», «Дошкольное обучение и воспитание», «Педагогика и методика начального обучения», «Русский язык и литература», магистранты, докторанты , преподаватели, учителя начальных, основных, средних школ, сотрудники дошкольных учреждений и широкая масса читателей.</t>
  </si>
  <si>
    <t>0004866</t>
  </si>
  <si>
    <t>«БАСТАУЫШ СЫНЫП ОҚУШЫЛАРЫНЫҢ ҚАЗАҚША–ОРЫCША-АҒЫЛШЫНША СӨЗДІГІ» «BАSTАWIŞ SINIP ОQWŞILАRINIŊ QАZАQŞА–ОRICŞА-АĞILŞINŞА SӧZDІGІ» «КАЗАХСКО–РУССКО-АНГЛИЙСКИЙ СЛОВАРЬ УЧАЩИХСЯ НАЧАЛЬНЫХ КЛАССОВ» «KAZAKH–RUSSIAN-ENGLISH DICTIONARY OF PRIMARY SCHOOL STUDENTS» ТОМ 4</t>
  </si>
  <si>
    <t>0004867</t>
  </si>
  <si>
    <t>«БАСТАУЫШ СЫНЫП ОҚУШЫЛАРЫНЫҢ ҚАЗАҚША–ОРЫCША-АҒЫЛШЫНША СӨЗДІГІ» «BАSTАWIŞ SINIP ОQWŞILАRINIŊ QАZАQŞА–ОRICŞА-АĞILŞINŞА SӧZDІGІ» «КАЗАХСКО–РУССКО-АНГЛИЙСКИЙ СЛОВАРЬ УЧАЩИХСЯ НАЧАЛЬНЫХ КЛАССОВ» «KAZAKH–RUSSIAN-ENGLISH DICTIONARY OF PRIMARY SCHOOL STUDENTS» ТОМ 1</t>
  </si>
  <si>
    <t>0004868</t>
  </si>
  <si>
    <t>Молдабек Қ., Кенжебекова Р.И</t>
  </si>
  <si>
    <t>Бастауыш мектепте қазақ тілін қатысымдық технологиямен оқыту</t>
  </si>
  <si>
    <t>Оқу құралында бастауыш мектепте қазақ тілін қатысымдық технологиямен оқытудың жүйесі қарастырылған.
 Еңбек педагогикалық жоғары оқу орындарының студенттеріне, магистранттарға, аспиранттарға, мектеп мұғалімдері мен зерттеушілерге арналған.</t>
  </si>
  <si>
    <t>0004869</t>
  </si>
  <si>
    <t>Молдабеков А.</t>
  </si>
  <si>
    <t>Инфографика, изображение и звук на телевидении. Конспект лекций</t>
  </si>
  <si>
    <t>Предназначен в качестве учебного пособия для студентов и будущих специалистов, которые планируют работать на телевидении. В учебном пособии имеется теоретический материал по требованиям к написанию материала художественного текста, редактированию, обработке и корректировке литературной рукописи. Данное учебное пособие будет полезным при совершенствовании навыков мастерства редактора на телевидении. 
 Современная массовая экранная культура, компьютерные технологии, Интернет, реклама формируют специфический способ восприятия информации, при котором большую роль играют визуальные образы. Это достигается различными средствами, одно из которых — инфографика.
 В учебном пособии рассматриваются средства визуальной коммуникации: информационная графика, изображение и звук. Приведена типология их видов. Представлен анализ назначения, основных функций, принципов формирования и применения объектов инфографики, изображения и звук с акцентом на коммуникативные и когнитивные функции. Сделан вывод об эффективности и взаимодополняемости средств визуальной коммуникации
 Конспект лекции создан на основе книги «Журналистика и конвергенция: почему и как традиционные СМИ превращаются в мультимедийные» под редакцией А.Г.Качкаевой.</t>
  </si>
  <si>
    <t>0004873</t>
  </si>
  <si>
    <t>Молдағалиева Ш. Б.</t>
  </si>
  <si>
    <t>Емдік дене шынықтыру, бейімделу дене шынықтыру және массаж пәнінің оқу-әдістемелік кешені</t>
  </si>
  <si>
    <t>Оқу құралының негізгі мақсаты – студенттерді емдік дене тәрбиесі мен бейімделу дене тәрбиесінің, массаждың әдістерімен тәсілдерін таныстыру арқылы өз спортының түріне байланысты аурулармен жарақаттарда, жарыс және жаттығу кезінде тиімді пайдалануға бағдар береді.
 Оқу-әдістемелік кешені болашақ жаттықтырушы мамандарда дайындауда терең теориялық біліммен қатар, физикалық реабилитацияның құрамдас бөліктері: емдік жаттығулар жиынтығы мен массаж тәсілдерін емдеу және алдын-алу, сақтандыру іс-шараларын қолдана білуге үйретеді.
 Студенттер оқу құралы арқылы ағзаға массаж тәсілдерімен, жаттығу жиынтығының әсерін тереңірек түсініп, емдік дене тәрбиесі мен бейімделу дене тәрбиесінің әдістерінің тиімділерін таңдауға, классикалық және спорттық массаж тәсілдерін орындай алуға қажетті мәліметтерді алады.
 Оқу құралы «Дене шынықтыру және спорт» мамандығының студенттеріне, дене тәрбие мұғалімдеріне, жаттықтырушыларға арналған</t>
  </si>
  <si>
    <t>0004874</t>
  </si>
  <si>
    <t>Молдакалыкова А.</t>
  </si>
  <si>
    <t>Аналитикалық химия пәнінің сапалық анализ бөлімі бойынша лабораториялық жұмыстар</t>
  </si>
  <si>
    <t>Оқу құралында аналитикалық химия пәнінің қысқаша кіріспесі, лабораторияда жұмыс орындау, дәптер толтыру ережелері, катиондардың және аниондардың негізгі жіктелулері, катиондар мен аниондарды ашудың жеке реакциялары, реакциялардың жүру шарттары мен механизмдері, катиондар қоспаларын шешу жолдары және қоспаларды шешіп үйренуге арналған ситуациялық есептер берілген. 2006 ж. жалпыға міндетті білім беру стандартына сәйкес 051103-«Фармация» мамандығы бойынша құрастырылған типтік оқу бағдарламасы негізінде жоғары медициналық оқу орындарында білім алатын фармацевтикалық факультетінің студенттеріне арналған.</t>
  </si>
  <si>
    <t>0004877</t>
  </si>
  <si>
    <t>Системы менеджмента качества</t>
  </si>
  <si>
    <t>В пособии рассматриваются концептуальные положения менеджмента качества и процессного обеспечения менеджмента изменений, изложены суть процедур создания, внедрения, поддержки, оценки результативности и совершенствования СМК организации на базе МС ISO серии 9000. Актуализированы требования к сертифицированным организациям страны в связи с необходимостью их перехода на МС ISO 9001:2015 пятого поколения. Расширены темы по основным положениям, аудиту, процессному подходу, порядку создания и модернизации СМК предприятий. Содержание соответствует РУП по одноименной элективной дисциплине по специальности 5В050700 «Менеджмент» UIB и изложено с позиции современных тенденций развития менеджмента качества, сложившихся под воздействием объективных изменений в мировом общественном развитии.
 Предназначено для обучающихся вузов по специальностям «Менеджмент», «Ресторанное дело и гостиничный бизнес», «Предпринимательство и инновации».</t>
  </si>
  <si>
    <t>0004880</t>
  </si>
  <si>
    <t>0004881</t>
  </si>
  <si>
    <t>Технология бытового обслуживания и сервиса</t>
  </si>
  <si>
    <t>0004882</t>
  </si>
  <si>
    <t>UR – 3319. Управление человеческими ресурсами</t>
  </si>
  <si>
    <t>Учебно-методический комплекс дисциплины «Управление человеческими ресурсами»» составлен на Учебной программы дисциплин компонента по выбору «Управление человеческими ресурсами по специальности 5В050700»Менеджмент»,</t>
  </si>
  <si>
    <t>0004883</t>
  </si>
  <si>
    <t>Введение в специальность (включая эволюцию развития маркетинга</t>
  </si>
  <si>
    <t>Учебное пособие для специальности 5В050511 "Маркетинг"
 Введение в специальность (включая эволюцию развития маркетинга)
 Аннотация Учебного пособия для специальности 5В050511"Маркетинг" Введение в специальность (включая эволюцию развития маркетинга) студентов разработано в соответствии с содержанием ГОСО РК, квалификационных характеристикой, типовым и рабочими учебными планами специальности и направлений подготовки с учетом языка обучения и отражает основные содержание преподаваемой дисциплины.</t>
  </si>
  <si>
    <t>0004884</t>
  </si>
  <si>
    <t>Учебно-методический комплекс по дисциплине «бизнес-план для менеджеров» 0515000 «Менеджмент</t>
  </si>
  <si>
    <t>Предмет изучения дисциплины «Бизнес-план для менеджеров» – расширение области и уровня знаний в бизнесе и предпринимательской деятельности; изучение сущности, целей и содержания разделов бизнес- плана; исследование современных подходов к моделированию бизнес-процессов. 
 Содержательная часть дисциплины - курс посвящен освоению методологии и методики бизнес-планирования, выявлению тенденций развития внутрифирменного планирования в Казахстане и за рубежом, в курсе раскрываются понятия внутрифирменного планирования, бюджетирования, бизнес-единиц, функций и принципов бизнес-планирования, методов разработки бизнес-планов и инвестиционных проектов, структуры бизнес-плана и содержатся основные сведения о содержании разделов бизнес-плана, методике составления и практической реализации бизнес- плана, организации и контроле планирования в хозяйствующем субъекте, оформлении и представлении бизнес-плана</t>
  </si>
  <si>
    <t>0004885</t>
  </si>
  <si>
    <t>Молдашов Н.О., Ауелбекова А.Қ.</t>
  </si>
  <si>
    <t>Экономика ілімдерінің тарихы. Кестелі оқу құралы (практикум)</t>
  </si>
  <si>
    <t>Экономикалық теория, макро-микро және басқа теориялық пәндер бойынша студенттердің өзіндік дайындық жұмыстарына көмектесу мақсатында экономиканың негізгі ғылыми мектептерінің теориялық тұжырымдары оқу құралында диаграмма және кестелер негізінде қысқа қарастырылған. Студенттердің өзіндік білімін тексеру үшін әрбір тақырып бойынша сөзжұмбақтар мен тест сұрақтары берілген. Оқу құралында сонымен қатар, экономика ілімінде аты қалған ғұлама экономистердің қысқаша өмірбаяны келтірілген.Оқу құралы студенттер мен оқытушыларға арналған. Бұл жұмыс студенттерге уақытты тиімді пайдалана отырып, экономикалық теория, макро-микро және басқа теориялық пәндер оқу барысында өзіндік жұмысына және сынаққа дайындалуға үлкен көмегін тигізеді.</t>
  </si>
  <si>
    <t>0004886</t>
  </si>
  <si>
    <t>Молдеков И. О.</t>
  </si>
  <si>
    <t>Сызба геометрия</t>
  </si>
  <si>
    <t>0004887</t>
  </si>
  <si>
    <t>Молдогазиева Г.М. /Moldogaziyeva G.M., Alzhanova A.A./</t>
  </si>
  <si>
    <t>TEXTBOOK</t>
  </si>
  <si>
    <t>Textbook contain the systematized minimum of scientific knowledge of a training course "Marketing" There are stated the content and methods of marketing management, approaches to development of strategic alternatives and a ways of implementation of the made decisions and other questions provided by the training program.Textbook is intended for students on specialty 5В050600 Economy, 5B050900 Finance, 5B050800 Account,5B051100 Marketing</t>
  </si>
  <si>
    <t>0004890</t>
  </si>
  <si>
    <t>Морзабаев А.К.</t>
  </si>
  <si>
    <t>Жоғары энергиялар физикасы</t>
  </si>
  <si>
    <t>0004897</t>
  </si>
  <si>
    <t>Мукаев Ж.Т.</t>
  </si>
  <si>
    <t>Геоэкологическая оценка терриориальных рекреационных систем бассейна озера Алаколь</t>
  </si>
  <si>
    <t>Монография посвящена изучению влияния антрпогенной деятельности на рекреационные ландшафты озера Алаколь. Монография имеет научную и практическую ценность для ученых и специалистов, работающих в области охраны окружающей среды и рекреационного природопользования, преподавателей и студентов вузов, а также будет интересна всем тем, кого интересует изучение и сохранение природы, изменяющейся под влиянием антропогенной деятельности</t>
  </si>
  <si>
    <t>0004903</t>
  </si>
  <si>
    <t>Мукеева Н.Е. , Ербулатова А.К.</t>
  </si>
  <si>
    <t>Методика преподавания музыкального искусства</t>
  </si>
  <si>
    <t>искусство</t>
  </si>
  <si>
    <t>В учебном пособии рассматриваются актуальные проблемы музыкального искусства, содержание и методика которых раскрываются на лекционных и практических занятиях. Специальное внимание уделяется характеристике содержания и организации таких видов музыкальной деятельности учащихся, как: слушание – восприятие музыки, музыкально-исполнительская деятельность, импровизация. Данное пособие предназначено для студентов, обучающихся на специальности 5В010200 – Педагогика и методика начального обучения».</t>
  </si>
  <si>
    <t>0004910</t>
  </si>
  <si>
    <t>Муминова К.Ш.</t>
  </si>
  <si>
    <t>Ихтиология пәні бойынша практикалық сабақтарына арналған әдістемелік нұсқау</t>
  </si>
  <si>
    <t>5В060700-Биология мамандығының күндізгі студенттері үшін «ихтиология» пәні бойынша практикалық сабақтарына арналған әдістемелік нұсқау.
 Әдістемелік нұсқау «Ихтиология» пәнінің оқу жоспары мен бағдарламасына сәйкес құрылып, курстың практикалық сабақтарының тақырыптарын орындауға арналған қажетті мағлұматтарды қамтиды. 
 Әдістемелік нұсқаулық 5В060700-Биология мамандығының күндізгіі оқу түріндегі студенттері үшін арналған.</t>
  </si>
  <si>
    <t>0004911</t>
  </si>
  <si>
    <t>Орнитология</t>
  </si>
  <si>
    <t>Оқу құралы жоғары және арнаулы білім беретін оқу орындарының жаратылыстану мамандықтарында оқитын студенттерге арналған. 
 Оқу құралында Қазақстан құстарының қазіргі заманғы жүйесі, құстардың анатомиялық және экологиялық ерекшеліктері, шығу тегі мен эволюциясы, елімізде кездесетін құстардың негізгі топтары өкілдерінің сипаттамасы, биологиясы, таралуы туралы мәліметтер келтіріледі. 
 Кітапта, Қазақстанның Қызыл Кітабына енгізілген құстар жөнінде де мағлұматтар берілген.
 Оқулық университеттер мен педагогикалық жоғары оқу орындарының студенттеріне, магистранттарына, оқытушыларына, сондай-ақ биология және экология салаларының мамандарына арналған.</t>
  </si>
  <si>
    <t>0004912</t>
  </si>
  <si>
    <t>978-601-330-444-1</t>
  </si>
  <si>
    <t>Паразитология</t>
  </si>
  <si>
    <t>Бұл оқулық «Паразитология» пәнінің типтік бағдарламасы мен оқу жоспары талаптарына сәйкес және студенттердің, магистрлердің өз бетінше жұмыстарды орындауға қажетті барлық мәліметтер негізінде құрастырылған. 5В01130 -«Биология», 6М060700-«Биология» мамандығының студенттеріне, магистрлеріне арналған.</t>
  </si>
  <si>
    <t>0004915</t>
  </si>
  <si>
    <t>Мунатаева Э.М.</t>
  </si>
  <si>
    <t>Учебное пособие по английскому языку для студентов специальности «Начальная Военная Подготовка»</t>
  </si>
  <si>
    <t>0004916</t>
  </si>
  <si>
    <t>Учебное пособие по английскому языку для студентов специальности «Юриспруденция»</t>
  </si>
  <si>
    <t>Настоящее пособие предназначено для студентов 1-2 курсов по специальности “Юриспруденция”.
  Целью данной работы является помощь преподавателю и студенту в оптимизации процесса усвоения лексико-грамматического материала, а также совершенствования навыков устной речи по темам дисциплины.Данное пособие способствует также расширению кругозора, развитию креативного мышления и выявлению уровня владения тематическим материалом.
  Учебный материал, предоставленный в пособии, состоит из 14 разделов. Каждый раздел состоит из текста А и текста В и лексико-грамматических упражнений.Тематика текстов включает наиболее актуальные аспекты по юриспруденции на современном этапе развития общества: судебная система США и Великобритании; различные специализации юридического профиля такие, как: юристы, судьи, адвокаты, прокуроры; виды законодательст; конституция США; виды судебных дел; военные спецслужбы особого назначения и т.д. Тексты – для изучающего чтения, снабжены подтекстовыми и послетекстовыми упражнениями.</t>
  </si>
  <si>
    <t>0004917</t>
  </si>
  <si>
    <t>Мунатаева Э.М., Тургунтаева Г.А.</t>
  </si>
  <si>
    <t>Учебно-методическое пособие по дисциплине «Профессионально-ориентированный английский язык» для студентов специальности «Профессиональное обучение»</t>
  </si>
  <si>
    <t>0004918</t>
  </si>
  <si>
    <t>Тарих және география мамандықтарына арналған ағылшын тілі курсы</t>
  </si>
  <si>
    <t>0004919</t>
  </si>
  <si>
    <t>Тарих жане география мамандықтар білімгерлеріне арналған оқу құралы</t>
  </si>
  <si>
    <t>0004920</t>
  </si>
  <si>
    <t>Учебное пособие для историков и географов (курс английского языка)</t>
  </si>
  <si>
    <t>Настоящее пособие предназначено для студентов вторых курсов специальностей история и география и имеет целью ознакомить тудентов с историей, культурой, наследием, политикой и экономическим развитием Казахстана, США, Великобритании. Данное пособие способствует также расширению кругозора, развитию креативного мышления и выявлению уровня владения тематическим материалом. Пособие также предназначено для студентов второго курса с целью оказания помощи в подготовке к ПГК.</t>
  </si>
  <si>
    <t>0004921</t>
  </si>
  <si>
    <t>Учебное пособие по страноведению для магистрантов.</t>
  </si>
  <si>
    <t>0004922</t>
  </si>
  <si>
    <t>Муратбеков М.М.</t>
  </si>
  <si>
    <t>Разделимость и спектральные свойства сингулярных дифференциальных операторов смешанного типа</t>
  </si>
  <si>
    <t>математика, механика</t>
  </si>
  <si>
    <t>В монографии исследуются разделимость и спектральные свойства сингулярных дифференциальных операторов смешанного типа. Особенностью рассматриваемых в ней операторов смешанного типа является произвольность характера вырождения на линии изменения типа, что позволило автору охватить такие известные уравнения, как уравнения Лаврентьева-Бицадзе и Трикоми. Основные вопросы, рассмотренные в монографии, следующие: изучение дифференциальных свойств резольвенты оператора смешанного типа; исследование асимптотических свойств собственных чисел и функций их распределения. Монография рассчитана на студентов, магистрантов и докторантов математических, физических, естественно-научных и прикладных факультетов университетов</t>
  </si>
  <si>
    <t>0004923</t>
  </si>
  <si>
    <t>978-601-13-0695-9</t>
  </si>
  <si>
    <t>Муратова Р.А.</t>
  </si>
  <si>
    <t>Теория государственного управления</t>
  </si>
  <si>
    <t>В учебном пособии «Теория государственного управления» собраны материалы по теоретическим и практическим задачам государственного управления. Рассматриваются вопросы развития классической и новой институциональной теории государства Пособие предназначено для изучения студентами экономических специальностей, а также для всех заинтересованных лиц</t>
  </si>
  <si>
    <t>0004926</t>
  </si>
  <si>
    <t>Мурзагалиев Д.Н.</t>
  </si>
  <si>
    <t>Геология нефтегазоносности Западного Казахстана</t>
  </si>
  <si>
    <t>0004927</t>
  </si>
  <si>
    <t>Қазақстанның мұнай және газды аймақтары</t>
  </si>
  <si>
    <t>0004930</t>
  </si>
  <si>
    <t>Мурсалимова Э.А., Алексеева М.А, Ахметкеримова Г.Е., Культемиров Р.К.</t>
  </si>
  <si>
    <t>Мониторинг и кадастр земельных ресурсов. (Учебное пособие «Мониторинг и кадастр земельных ресурсов» разработано в рамках проекта Erasmus+ ECAP «Развитие компетенций Центрально-Азиатских университетов в области аграрной политики по охране окружающей среды и управления земельными ресурсами» № 561590-EPP-1-2015-SK-EPPKA2-CBHE-JP.)</t>
  </si>
  <si>
    <t>Учебное пособие «Мониторинг и кадастр земельных ресурсов» рекомендовано для обучающихся землеустроительной и кадастровой специальностей с акцентом на мониторинг и охрану окружающей среды. Пособие разработано в рамках проекта Erasmus+ ECAP «Развитие компетенций Центрально-Азиатских университетов в области аграрной политики по охране окружающей среды и управления земельными ресурсами» № 561590-EPP-1-2015-SK-EPPKA2-CBHE-JP. Проект исходит из необходимости усиления и укрепления осведомленности в области охраны окружающей среды и управления земельными ресурсами.</t>
  </si>
  <si>
    <t>0004931</t>
  </si>
  <si>
    <t>Мурсалимова Э.А., Ахметкеримова Г.Е., Культемиров Р.К.,</t>
  </si>
  <si>
    <t>Жер ресурстарының мониторингі және кадастры. (Жер ресурстарының мониторингі және кадастры» оқу құралы «Орталық Азия университеттерінің қоршаған ортаны қорғау мен жер ресурстарын басқару саласындағы ауылшаруашылық саясаттағы құзіреттілігін арттыру», № 561590-EPP-1-2015-SK-EPPKA2-CBHE-JP Erasmus+ ECAP жобасы аясында әзірленген)</t>
  </si>
  <si>
    <t>"Жер ресурстарының мониторингі және кадастры "оқу құралы қоршаған ортаны қорғау мен мониторингке баса назар аудара отырып, жерге орналастыру және кадастр мамандықтарының білім алушылары үшін ұсынылған. Оқу құралы «Орталық Азия университеттерінің қоршаған ортаны қорғау мен жер ресурстарын басқару саласындағы ауылшаруашылық саясаттағы құзіреттілігін арттыру», № 561590-EPP-1-2015-SK-EPPKA2-CBHE-JP Erasmus+ ECAP жобасы аясында әзірленген.
 "Жер ресурстарының мониторингі және кадастры" курсы білім алушыларға жер ресурстарының мониторингі мен кадастрын жүргізу кезінде практикалық дағдыларды игеруге көмектеседі, олар тұрақты болашақ үшін жоспарларды әзірлеу және шешімдерді іздеу үшін таптырмас құрал болады деп үміттенеміз. Жоба қоршаған ортаны қорғау және жер ресурстарын басқару саласында хабардарлықты күшейту мен нығайту қажеттігінен туындайды.
  Жер ресурстарын басқару, жерді ұтымды пайдалану, қоршаған ортаны қорғау Өзбекстан мен Қазақстан Республикасында инновациялық оқу жоспарлары арқылы іске асырылған ауыл шаруашылығы саясатының ажырамас бөлігі болып табылады. Әртүрлі меншік нысандары мен жердегі басқару жағдайларында ұтымды жер пайдалану мәселесі жерді пайдалануды одан әрі күшейту, қоршаған ортаны қорғау, ғылым мен озық тәжірибе жетістіктерін кең ауқымды өрістету негізінде топырақ құнарлылығын арттыру жөніндегі іс-шаралардың кең тобын қамтиды.</t>
  </si>
  <si>
    <t>0004932</t>
  </si>
  <si>
    <t>Мусабаев Б.К.</t>
  </si>
  <si>
    <t>Актово-претензионная работа на железнодорожном транспорте</t>
  </si>
  <si>
    <t>0004933</t>
  </si>
  <si>
    <t>Темір жол көлігіндегі акттілік жұмысы</t>
  </si>
  <si>
    <t>0004934</t>
  </si>
  <si>
    <t>Мусабаев К.К., Ақылбеков А.Т., Гиниятова Ш.Г.</t>
  </si>
  <si>
    <t>Атом ядросы физикасына кіріспе</t>
  </si>
  <si>
    <t>Ұсынылып отырған оқу құралында «Атом ядросы физикасына кіріспе» курсының негіздерін құрайтын барлық материалдар баяндалған. Оқу құралында баяндалған материалдарды терең түсіну және жоғары деңгейде меңгеруді қамтамасыз ету үшін көптеген мысалдар мен есептерді талдауға ерекше көңіл бөлінген. Альфа-бөлшектердің серпімді шашырауының классикалық қимасының резерфордтық әдісі қарастырылған. Оның классикалық формуласы тиісті кванттық формулаға сәйкес келетіні көрсетіліп және осындай әдіс мүмкін екендігі түсіндірілген. Аталмыш оқу құралы «Ядролық физика» мамандығы бойынша білім алатын студенттерге арналған</t>
  </si>
  <si>
    <t>0004936</t>
  </si>
  <si>
    <t>Мусабаева Г.К., Акилбеков А.Т., Мусабаев К.К.</t>
  </si>
  <si>
    <t>Введение в физику атомного ядра</t>
  </si>
  <si>
    <t>В данном учебном пособии изложены вопросы, которые, на взгляд авторов, могут составить основы учебного курса «Введения в физику атомного ядра» (типовой учебной программы нет).При изложении этого вводного курса авторы стремились добиться простого и ясного освещения содержания понятий, доведения расчётной стороны по возможности до численного результата. Учитывая, что это вводный курс, авторы подробно осветили, например, резерфордовский подход к выводу классического сечения упругого рассеяния альфа-частиц. Показали, что его классическая формула совпадает с соответствующей квантовой формулой и объяснили, почему возможен такой исход.Данное учебное пособие предназначено для студентов третьего курса, обучающихся по специальности «Ядерная физика»</t>
  </si>
  <si>
    <t>0004939</t>
  </si>
  <si>
    <t>Мусабеков М.О.</t>
  </si>
  <si>
    <t>Энергетические установки транспортной техники.</t>
  </si>
  <si>
    <t>В учебнике освещаются конструктивные особенности и принцип действия распространеных типов тепловых двигателей (внутреннего и внешнего сгорания). Приводятся основы теории ра­бочих процессов поршневых и комбинированных двигателей, методы расчета основных параметров двигателей и составляющих теплового баланса. Приводятся основные требования и нормируемые физико-химические свойства топлив применяемых в двигателях. Описываются конструкции основных деталей и механизмов поршневых двигателей.</t>
  </si>
  <si>
    <t>0004940</t>
  </si>
  <si>
    <t>Мусабеков М.О., Шанлаяков А.С.</t>
  </si>
  <si>
    <t>Топливо, вода, смазочные материалы</t>
  </si>
  <si>
    <t>0004941</t>
  </si>
  <si>
    <t>Мусабекова Г.З.</t>
  </si>
  <si>
    <t>Применение инновационных технологий в обучении иностранным языкам студентов неязыковых специальностей</t>
  </si>
  <si>
    <t>Данное учебное пособие предназначено для преподавателей иностранных языков. В пособии рассматриваются творческие возможности преподавателя, дается возможность студентам выступать активным субъектом процесса обучения, самому конструировать этот процесс и управлять им. Предложенные инновационные технологии также рассматривают особенности применения компьютерных технологий в педагогическом процессе. 
  В данном пособии выявлены наиболее благоприятные условия применения инновационных технологий в обучении иностранным языкам с учетом когнетивных особенностей студентов неязыковых специальностей, а также демонстрируется позитивное влияние предложенных инновационных технологий на мотивационный и ценностный аспекты обучения иностранным языкам.
  Описаны особенности новых взаимоотношений преподавателя и студента, изменение их ролей в организации и проведении учебного процесса в зависимости от комплексного воздействия таких факторов, как уровень подготовки преподавателя, владение им иннвационными технологиями обучения и изменение стиля педагогического руководства, его компетентность в применении информационных технологий и организации процесса обучения так, чтобы создать каждому студенту условия для индивидуального обучения; уровень развития обучающихся и их готовность стать самим организаторами своего процесса обучения.</t>
  </si>
  <si>
    <t>0004942</t>
  </si>
  <si>
    <t>Применение Интернет-технологий в организации самостоятельной работы по иностранному языку студентов неязыковых специальностей</t>
  </si>
  <si>
    <t>Данная работа предлагает методические указания по использованию Интернет - технологий в связи с всевозрастающей актуальностью использования технологий в качестве организации разнообразных форм проведения СРО.
  В работе рассмотрены дидактические возможности, практическое применение Интернет – технологий, где уделяется особое внимание влиянию применяемых Интернет - технологий на развитие креативных способностей студентов, их способностей самостоятельного поиска материала для усвоения информации.
 Также описываются этапы практического использования Интернет – технологий при организации и проведении СРО по основным темам, изучаемым конкретными студентами, конкретного ВУЗа, по программе кредитного обучения студентов первого и второго курсов.</t>
  </si>
  <si>
    <t>0004946</t>
  </si>
  <si>
    <t>Судебно-медицинская характеристика повреждений при выстрелах из оружия самообороны</t>
  </si>
  <si>
    <t>Учебное пособие посвящено вопросам изучения целей и задач судебно-медицинских исследовании в случаях нанесения повреждений из оружия самообороны, показана важность проведения и дифференциальной диагностики подобного типа повреждений. Описаны основные понятия и вопросы, решаемые судебно-медицинской экспертизой при нанесении повреждений из оружия самообороны, подробно отражен алгоритм описания судебно-медицинского исследования в таких случаях. Учебно-методическое пособие рекомендовано студентам медицинских и юридических ВУЗов, судебно-медицинским экспертам, работникам правоохранительных органов и судов, преподавателям вузов, занимающимся проблемами судебно-медицинской экспертизы.</t>
  </si>
  <si>
    <t>0004947</t>
  </si>
  <si>
    <t>Мусаев А.М.</t>
  </si>
  <si>
    <t>“5В020500 – Филология: қазақ филологиясы” мамандығының модульдік оқу жоспарына енгізілген бұл арнайы пәннің мақсаты – қазақ әдебиетінің тарихы негізінде оқытылатын қазақ драматургиясының қалыптасуы мен дамуы, әдебиет тарихындағы орны мен қоғам дамуындағы атқарар ролі жөнінде жоғарғы курс студенттеріне драматургия саласы бойынша теориялық және практикалық тұрғыдан жан-жақты білімдерін толықтыру. Алғашқы қазақ драматургиясындағы ізденістер мен нәтижелердің жемісі ХХ ғасырдың басынан бастап жарыққа шығып, кейін дәстүр мен жаңашылдық аясында дүиеге келген драмалық шығармалардың ерекшеліктері, сахналық қойылымдардағы табыстары жөнінде нақты мысалдар мен деректер арқылы студент білімін шыңдау. Драматургияның зерттелу жайы мен тарихынан да жан-жақты, мол мағлұмат беру. Қазақ драматургиясын әлем әдебиетінің драматургиясымен салыстыра қарау, сараптау студенттердің лабораториялық жұмыстары барысында жүзеге асыру. Кеңес дәуіріндегі қазақ драматургиясының қазіргі тәуелсіздік кезеңіндегі ерекшеліктері мен соны қырларын қарастыру.</t>
  </si>
  <si>
    <t>0004948</t>
  </si>
  <si>
    <t>Қазақ драматургиясы</t>
  </si>
  <si>
    <t>0004950</t>
  </si>
  <si>
    <t>Вагондар динамикасы</t>
  </si>
  <si>
    <t>Оқулықта механикалық жүйенің тербеліс процесстері қарастырылған: тербеліс кезінде әсер ететін күштер топтамасы, тербеліс түрлері, қозғалыстағы дифференциалды теңдеулерді алу әдістері, теміржол жылжымалы құрамның тербелісінің физикасы және динамикалық жүйелердің тербеліс үрдістерінің негізгі заңдылықтары қарастырылған. Динамикалық үрдістерін компьютерлік модельдеудің негіздері келтірілген және әр түрлі типті жылжымалы құрамның динамикалық ерекшеліктері талданған
 Жылжымалы құрамның элементтеріндегі діріл параметрлерін және соққылы әсерлерді өлшеу технологияларының негіздерімен жылжымалы құрамның құрама бөлшектерінің динамикалық сипаттамаларын жөндеу кәсіпорындарында бақылау құралдарын шолу жүргізіледі. Жылжымалы құрамды сынау әдістері және діріл өлшеу аспаптарының олардың метрологиялық қызмет көрсетуі кезінде тексеруге арналған стенділер сипатталады. 
 5В071300 «Көлік, көліктік техника және технологиялар» мамандығы бойынша студенттерге арналған оқулық ретінде ұсынылды.</t>
  </si>
  <si>
    <t>0004951</t>
  </si>
  <si>
    <t>Вагондарды автоматты жобалау жүйелері. (Автоматтаудың негізгі принциптері және тәжірибесін қолдану)</t>
  </si>
  <si>
    <t>0004952</t>
  </si>
  <si>
    <t>Взаимодействие пути и подвижного состава</t>
  </si>
  <si>
    <t>В предлагаемом пособии представлены описания конструктивных и технологических методов улучшения динамического взаимодействия по-движного состава и пути. Рассмотрены вопросы влияния величины диссипа-тивных сил пути на снижение уровня динамического воздействия подвижного состава на путь, увеличение долговечности подвижного состава и пути, уменьшение износа пути, повышение тяговых свойств локомотивов, снижение уровня структурного шума и вибрации при движении подвижного состава.
  Рекомендовано для магистрантов высших учебных заведений по специ-альности 6М071300 «Транспорт, транспортная техника и технологии».</t>
  </si>
  <si>
    <t>0004953</t>
  </si>
  <si>
    <t>Динамика и прочность транспорта и транспортной техники</t>
  </si>
  <si>
    <t>0004957</t>
  </si>
  <si>
    <t>Конструкция ходовых частей вагонов</t>
  </si>
  <si>
    <t>0004958</t>
  </si>
  <si>
    <t>0004959</t>
  </si>
  <si>
    <t>Көліктік техниканың техникалық бақылауының әдістері</t>
  </si>
  <si>
    <t>0004960</t>
  </si>
  <si>
    <t>Основы теории автоматического управления</t>
  </si>
  <si>
    <t>0004961</t>
  </si>
  <si>
    <t>Основы технической диагностики вагонов</t>
  </si>
  <si>
    <t>В учебном пособии освещены основные положения технической диагностики транспортной техники. Рассматриваются основные факторы, влияющие на безотказную, долговечную работу объектов транспортной техники,приводящее к его изменению в процессе эксплуатации. Приводятся общие принципы диагностики и технического обслуживания объектов транспортной техники, описываются процессы восстановления работоспособного состояния транспортной техники и расчет их показателей.Рассмотрены основные современные методы и средства техниче¬ской диагностики и неразрушающего контроля деталей и узлов вагонов</t>
  </si>
  <si>
    <t>0004962</t>
  </si>
  <si>
    <t>Системы автоматического проектирования вагонов</t>
  </si>
  <si>
    <t>0004963</t>
  </si>
  <si>
    <t>Современные технологии в транспортной технике: эксплуатация, техническое обслуживание и ремонт высокоскоростного подвижного состава</t>
  </si>
  <si>
    <t>0004965</t>
  </si>
  <si>
    <t>Оптимизация ходовых частей грузовых вагонов</t>
  </si>
  <si>
    <t>В настоящей монографии объектом исследования являются тележки грузовых вагонов. Цель данной научно-исследовательской работы – определение технической и экономической целесообразности перевода парка грузовых вагонов Республики Казахстан на тележки нового поколения с коническими подшипниками кассетного типа. При написании монографии использованы следующие методы: аналитические и теоретические методы, оценка показателей надежности расчетно–экспериментальным методом, сравнительный анализ.
 В результате выполненных исследований научно обоснована целесообразность перевода грузового парка вагонов на тележки нового поколения штампосварной конструкции с коническими кассетными подшипникам; экспериментально установлена правомерность применения корректированной линейной гипотезы для оценки показателей надежности боковой и надрессорной балки тележки модели 18–100, определены пути совершенствования методики статистической обработки экспериментальных данных при определении параметра степенного уравнения кривой усталости; разработана методика расчетно–экспериментальной оценки показателей надежности вагонных конструкций по критерию сопротивления усталости, а так же установлены значения, позволяющие количественно оценить уровень стандарта эксплуатационных динамических напряжений в наиболее опасных сечениях деталей тележки (при наличии экспериментальных данных испытаний от эксплуатационной нагруженности деталей – аналогов), необходимого для исследования влияния условий эксплуатации на показатели надежности механической части вагона. Кроме того исследованы параметры сопротивления усталости боковой рамы и надрессорной балки тележки модели 18–100, анализ результатов расчетов показал недостаточную надежность литых деталей тележек, особенно надрессорных балок и боковых рам.</t>
  </si>
  <si>
    <t>0004966</t>
  </si>
  <si>
    <t>Высокоскорстной подвижной состав</t>
  </si>
  <si>
    <t>0004967</t>
  </si>
  <si>
    <t>Мусаев Ж.С., Жауыт Ә.</t>
  </si>
  <si>
    <t>Современный подвижной состав железных дорог</t>
  </si>
  <si>
    <t>Рассмотрено устройство кузовов современного тягового подвижного состава семейства TRAXX и семейства PRIMA компании ALSTOM. Приведены краткие технические характеристики современных высокоскоростных пассажирских поездов VENTURIO, ARLANDA-EXPRESS и ZEFIRO находящихся в эксплуатации на железных дорогах стран дальнего зарубежья.Выполнен обзор современных французских моторвагонных поездов увеличенной вместимости и германских моторвагонных поездов. Книга предназначена для магистрантов и студентов вузов и колледжей железнодорожного транспорта, может служить практическим пособием для работников вагонного хозяйства и предприятий, интересующихся конструкцией и эксплуатацией современного подвижного состава железнодорожного транспорта</t>
  </si>
  <si>
    <t>0004968</t>
  </si>
  <si>
    <t>Мусаев Ж.С., Солоненко В.Г.</t>
  </si>
  <si>
    <t>Методика испытаний подвижного состава</t>
  </si>
  <si>
    <t>В учебном пособии рассмотрены основные виды испытаний вагонов: лабораторные и стендовые, статические, динамические (ходовые), по воздействию на путь, испытания на соударение вагонов, вибрационные. Указаны типы тензодатчиков, применяемых при испытаниях вагонов. Приведены основные данные по измерительным приборам и устройствам, динамометрам измерения вертикальных динамических сил и поперечных горизонтальных сил; тензометрическим усилителям измеряемых сигналов. Приведена методика определения погрешностей измерения опытных данных.
 Предназначено для студентов вузов железнодорожного транспорта, а также для научных сотрудников и инженерно-технических работников, связанных с испытаниями подвижного состава.</t>
  </si>
  <si>
    <t>0004969</t>
  </si>
  <si>
    <t>Математическое моделирование динамических процессов транспортной техники</t>
  </si>
  <si>
    <t>В учебном пособии изложены основы теоретических исследований математического моделирования подвижного состава во взаимодействии с железнодорожным путем. Освещены вопросы безопасного и плавного движения подвижного состава определения математическим путем величин динамических сил взаимодействия пути ходовых частей вагонов и локомотивов в поезде и установления критериев для определения оптимальных динамических параметров подвижного состава и пути для перспективных условий эксплуатации. 
 Учебное пособие предназначено для докторантов по направлению подготовки: 8D071 Инженерия и инженерное дело, а также для научных работников занимающихся исследованиями в области математического моделирования подвижного состава.</t>
  </si>
  <si>
    <t>0004970</t>
  </si>
  <si>
    <t>Мусаев Ж.С., Туркебаев М.Ж.</t>
  </si>
  <si>
    <t>Вагондардағы ауаны кондиционерлеу</t>
  </si>
  <si>
    <t>Оқу құралы кредиттік технология бойынша білім берудің мемлекеттік стандартына сәйкес, оқу жоспарымен қарастырылып, арнайы пәндерді оқуға арналған. Оқу құралында темір жол жылжымалы құрамның, жолаушылар вагондарының ауа кондиционерлеу жүйесінің жіктелуі және жалпы қондырғысы, міндеті: суық ауа өндіру, жылыту тәсілдері, оның тәуелді болатын факторлары; кондционерлеу қондырғысының жабдығының жіктелуі, қоректендіру аспаптары, жылжымалы құрамда орналасқан жері, қондырғысы, міндеті көрсетілген.
 Оқу құралы техникалық мамандықта білім алып жатқан тәлімгерлерге арналған және өзіндік жұмыс бойынша тәжірибе құралдарымен қатар қолдануға мүмкіндік береді.</t>
  </si>
  <si>
    <t>0004971</t>
  </si>
  <si>
    <t>Бұл кітапта автоматты басқару теориясы негіздерінің мәселелері, АБЖ математикалық үлгілері, АБЖ сызықты және сызықты емес зерттеу әдістері, сызықты АБЖ зерттеу әдістері автоматты басқару жүйесінің тұрақтылығы мен сапасы, сызықты АБЖ –гі кездейсоқ әсерлері, оңтайлы басқару және басқару жүйенің қазіргі даму тенденциясы жете қарастырылған. 
 Дайындық бағыты: 6B071 «Инженерия және инженерлік іс»бойынша студенттерге арналған оқулық ретінде ұсынылды.</t>
  </si>
  <si>
    <t>0004974</t>
  </si>
  <si>
    <t>Мусаева С.Т.</t>
  </si>
  <si>
    <t>Кітапханалық менеджмент</t>
  </si>
  <si>
    <t>Оқу құралы кітапхана қызметінің менеджменті саласындағы білімді жүйелейді. Оқу құралында кітапхана менеджментінің теориялық, ұйымдастыру, кітапхана ұжымның психологиялық негіздері мазмұндалады. Оқу құралының ерекшелігі оның ақпараттылығы, оларды табысты дамыту мақсатында замануи кітапханалар потенциалын ең тиімді пайдалану тұрғысынан көкейкесті мәселелерді қарау болып табылады.
  Оқу құралы кітапхана кадрларына кәсіби білім жүйесінде оқитын студенттерге, магистранттарға әрі кітапхана жетекшілері-тәжірибелі мамандарға арналған
  Оқу құралы 5В091000 - Кітапхана ісі мамандығының студенттеріне арналған және білім берудің типтік оқу бағдарламасына сәйкес жасалынған.</t>
  </si>
  <si>
    <t>0004979</t>
  </si>
  <si>
    <t>Мусанов Алькен</t>
  </si>
  <si>
    <t>Ұңғыларды бурғылау</t>
  </si>
  <si>
    <t>Оқулықта «Геология және пайдалы қазбалар кен орындарын барлау» мамандығына арналған оқу бағдарламасына сәйкес материалдар жинақталып сұрыпталған.
  Тау жыныстарының қасиеттері сипатталып, оларды анықтау әдістері жөнінде мағлұматтар берілген. Ұңғы бұрғылау процестеріне зор әсер ететін тау жыныстарының қасиеттері көп қарастырылған. Тау жыныстарын талқандайтын негізгі және қосымша құралдар келтірілген. Талқандалған тау жыныстарын жербетіне шығару және ұңғыларды жуу әдістері кеңінен қарастырылған.Ұңғыларды әр-түрлі бұрғылау тәсілдерінің технологиясы келтірілген. Айналма бұрғылауда қолданылатын бұрғы қондырғылары, бұрғы мұнаралары, бұрғы сораптары, олардың техникалық сипаттамалары және жабдықтары берілген. Бұрғылауда кездесетін апаттар және олардың алдын алу шаралары қарастырылған. Ұңғылардың қисаюы, оны анықтау және қисаю себептері, бағыттап бұрғылаудың техникалық құралдары сипатталған.</t>
  </si>
  <si>
    <t>0004988</t>
  </si>
  <si>
    <t>Мустапаева А.Д.</t>
  </si>
  <si>
    <t>Автоматизированные системы управления на транспорте</t>
  </si>
  <si>
    <t>В учебном пособии изложены основные принципы концепции информатизации транспорта; структура современной автоматизированной системы, ее обеспечивающей части. Подробно рассмотрены задачи оперативного управления перевозками, комплексной грузовой работой, контейнерными; вопросы автоматизации диспетчерского управления перевозками; намечены перспективы развития информационных технологий на транспорте. 
  Учебное пособие предназначено для студентов специальности 050901 – «Организация перевозок, движения и эксплуатация транспорта», магистрантов специальности 6N0901 – «Организация перевозок, движения и эксплуатация транспорта», соискателей, полезно специалистам, занимающимся эксплуатацией информационных систем.</t>
  </si>
  <si>
    <t>0004989</t>
  </si>
  <si>
    <t>Мустафаева А. К.</t>
  </si>
  <si>
    <t>Ет және сүт өндірісінің технологиялық машиналарын монтаждау және жөндеу</t>
  </si>
  <si>
    <t>Технологическое оборудование и машины</t>
  </si>
  <si>
    <t>Бұл оқу құралында тамақ өндірісінде қолданылатын технологиялық жабдықтардың сенімді жұмыс істеуін қамтамасыз ететін тәсілдер мен құрылғылар, алдын ала жоспарлы жөндеу жұмыстарының жүйесі, монтаждау, баптау қалпына келтіру және жөндеу туралы негізгі мәліметтер көрсетілген. Негізгі технологиялық жабдықтарда кездесетін ақаулар және оларды жоюдың оңтайлы жолдарын қарастыру, монтаждау жұмыстарын дұрыс ұйымдастыру, жабдықтарды күрделі жөндеу кезінде орындалатын технологиялық операцияларға және МЕСТ сай анықтамалар мен аспаптарға ерекше көңіл бөлінген. 
 Оқу құралы жоғары оқу орнының «Технологиялық машиналар мен жабдықтар» бакалавр мамандығында оқитын студенттеріне арналған. Сонымен қатар ғылыми-техникалық қызметкерлер, магистранттар, докторанттар және сәйкесінше кәсіпорындардағы инженер-механик мамандарға қолдануға ұсынылады.</t>
  </si>
  <si>
    <t>0005000</t>
  </si>
  <si>
    <t>Мухажанова Р.М.</t>
  </si>
  <si>
    <t>Әлем әдебиетінің тарихы</t>
  </si>
  <si>
    <t>Кітапта әлем елдері әдебиетінің дамуындағы маңызды ерекшеліктер, әлемдік көркем әдебиетте үлкен орны бар классиктер шығармашылығына орын берілген. Антиктік дәуір нұсқаларынан ХХ ғ. кезеңі аралығындағы әдеби – мәдени құндылықтар іріктеліп топтастырылған.
 Кітап орта кәсіптік оқу орындары студенттеріне, мектеп мұғалімдері мен оқушыларына, әлемдік мәдени мұраларға қызығушылық танытқан қалың оқырманға арналған.</t>
  </si>
  <si>
    <t>0005005</t>
  </si>
  <si>
    <t>Мухамбетова Л.К., Турекулова Д.М., Бабошкина П.А., Тургаева А.А.</t>
  </si>
  <si>
    <t>Управление персоналом организации. 1 том</t>
  </si>
  <si>
    <t>В учебном пособии рассматриваются вопросы, имеющие важное значение для специалистов в области управления персоналом: теория управления человеческими ресурсами, основы формирования системы управления персоналом предприятия, организация и планирование кадровой работы, технологии управления трудовыми ресурсами, развитие персонала и оценка результативности его деятельности, а также вопросы управления мотивационной структурой и деловой карьерой работников. Кроме того, представлен комплекс практических заданий. Учебное пособие предназначено для студентов, магистрантов и докторантов экономических специальностей, а также для специалистов организаций, принимающих участие в формировании системы управления кадрами и систем управления предприятием в целом</t>
  </si>
  <si>
    <t>0005006</t>
  </si>
  <si>
    <t>Управление персоналом организации. 2 том</t>
  </si>
  <si>
    <t>0005007</t>
  </si>
  <si>
    <t>Мухамеджанова А.Т.</t>
  </si>
  <si>
    <t>Автомобиль жолдары</t>
  </si>
  <si>
    <t>Оқу құралында автомобиль жолдарын іздестіру бойынша мәліметтер қамтылған, автомобиль және аэродромдар жолдарының жобалау қағидалары сипатталған. Сонымен қатар жол төсемесіне қолданылатын материалдар, оларды тандау бойынша есептеу мысалдары келтірілген. Автомобиль жолдарын салу технологиясы басқа да көлік құрылысы бойынша оқытылатын пәндермен тығыз байланысты. Жол төсемесін есептеуде топырақ механикасы бойынша топырақтардың классификациясы, құрылыс материалдарын практикада қолдану ерекшеліктері қарасытырылады. Оқу құралында есептеулерге қажетті барлық мәліметтерді табуға болады. Бұл оқу құралының шығуы Қазақстан Республикасының 5В074500 «Көлік құрылысы» мамандығы бойынша мамандарды дайындауда аса қажетті және маңызды. Оқу құралында қазіргі заманға сай келетін есептеулер мен тұжырымдамалар алынған, сонымен қатар ҚР ҚНжЕ «Автомобиль жолдары» бойынша негізгі ережелер қамтылған. Оқу құралы көлік құрылыс инженерлеріне, құрылыс факультеттерінің жоғарғы курс студенттеріне, магистранттары мен докторанттарға аса қажетті болып табылады</t>
  </si>
  <si>
    <t>0005015</t>
  </si>
  <si>
    <t>Мухамедрахимова Г.И., Калиева С.А., Мухамедрахимов К.У., Байкенов А.С.</t>
  </si>
  <si>
    <t>Мобильді байланыс жүйелері</t>
  </si>
  <si>
    <t>Қазақстанда Радиотехника, электроника және телекоммуникациялар мамандығындағы студенттерге арналған «Мобильді байланыс жүйелері» пәні мемлекеттік қазақ тілінде кең насихатты, қолдауды қажет ететін бағыттардың бірі деуге болады. Жастардың бұл мамандыққа келуі артса да, ана тіліндегі оқулықпен қамсыздандырылуы төмен. Оған қоса, дүние жүзінде, ТМД елдерінде және Қазақстанда радио-технологиялар қарқынды дамып, заманауи телекоммуникациялық қондырғыларды тиімді бағаға ұсынылатын телекоммуникациялық қондырғылар нарығында жаңа компаниялар пайда болды. Сондықтан ұялы байланысты құрудың концепциялары әрбір 3-5 жылда жаңартылып отыруды қажет етеді. Олай болса, біздің де жұмысымыз осы оқу-әдістемелік құралмен шектелмейді. Оқу құралы радиотехника, электроника және телекоммуникациялар мамандығындағы студенттерге арналған «Мобильді байланыс жүйелері» пәні бойынша дәріс негізінде құрастырылған, Силлабус пен ПОӘК сәйкес жасалып, толықтырылған материалдар салынды, құралдың елеулі де маңызды бөлігі болып табылатын тарауы – глоссарийдің үлкен бөлімі кірді. Оған кірген терминдер орыс тілінен аударылса да, олардың шығу көзі (яғни, шығу тілі – грекия, латын) зерттеліп, техникалық терминнің қазақ тіліне аударуға жатпайтындарын, қолданыста жүрген белгілі анықтамалары да ескерілді.</t>
  </si>
  <si>
    <t>0005016</t>
  </si>
  <si>
    <t>Мухамедрахимова Ғ.И., Калиева С.А., Мухамедрахимов К.У., Чежимбаева К.С.</t>
  </si>
  <si>
    <t>Радио-толқындардың таралу теориясы</t>
  </si>
  <si>
    <t>Қазақстанда Радиотехника, электроника және телекоммуникация мамандығындағы студенттерге арналған «Радио-толқындардың таралу теориясы» пәні мемлекеттік қазақ тілінде кең насихатты, қолдауды қажет ететін бағыттардың бірі деуге болады. Радиотехника, электроника және телекоммуникация мамандығына келген жастар үшін ана тіліндегі оқу құралдарының, оқу-әдістемелік құралдарының тапшылығы әлі де орын алады.Оқу-әдістемелік құрал «Радиотехника, электроника және телекоммуникациялар» мамандығындағы студенттерге арналған «Радио-толқындардың таралу теориясы» пәні бойынша оқылған дәріс негізінде құрастырылған, толықтырылған материалдар салынды. Сонымен қатар бұл оқу-әдістемелік құралының тағы да бір ерекшелігі – блок-схемаларды қолдана отырып, дәрісті жүргізу түрі қолданылған. Оған кірген блок-схемаларды қолдану осы күндері кең өріс алғанын ескерсек, онда дәріс материалдарын беруде бұл әдіс пәнді оқытудың ерекше түріне жатқызуға болады.</t>
  </si>
  <si>
    <t>0005017</t>
  </si>
  <si>
    <t>Мухамедрахимова Ғ.И., Мухамедрахимов К.У., Калиева С.А., Байкенов А.С.</t>
  </si>
  <si>
    <t>Теория распространения радиоволн</t>
  </si>
  <si>
    <t>В курсе «Теория распространения радиоволн» рассматриваются вопросы, сопряженные с процессами произвольного распространения радиоволн в пространстве: в толще земли, в атмосфере, вдоль поверхности всего земного шара, в космическом пространстве. Основные задачи теории электромагнетизма, порождаемые радиотехнической практикой, зачастую настолько трудоемки, что только зарождение современных ЭВМ делает эту концепцию средством проектирования всей аппаратуры, уже автоматизированного. Предлагаемое учебное пособие «Теория распространения радиоволн» представляет собой результат опыта преподавательской деятельности преподавателей в вузе, который позволил авторам разработать и создать курс теории распространения радиоволн (ТРРВ) для студентов специальности «радиотехника, электроника и телекоммуникаций». Курс ТРРВ призван содействовать при выработке у студентов мастерства использовать знания, оперировать ими в своей обыденной жизни, оценочного взаимоотношения к тем или иным познаниям о приеме/передачи информации на любые расстояния, уметь подвергать анализу и выяснять их достоинство, значимость и обладать способностью строить современные сети и системы радиосвязи. В УП «Теория распространения радиоволн» приведены определения и понятия в блок-схемах и таблицах, применяемых авторами в виде интерактивных демонстраций. Особое место в УП имеют обширные материалы к курсу собранные в Глоссарий. Учебное пособие содержит много современных блок-схем, таблиц, отличается лаконичным и ясным изложением учебного материала. Такое изложение нацелено на понимание предмета. Учебное пособие рекомендуется преподавателям и студентам вуза Республики Казахстан.</t>
  </si>
  <si>
    <t>0005022</t>
  </si>
  <si>
    <t>Мухаметжанова Б.О., Сейпишева Э.К., Кайбасова Д.Ж.</t>
  </si>
  <si>
    <t>Автоматтандырылған ақпараттық жүйелерді жобалауда деректер қорын қолдану тәсілдері</t>
  </si>
  <si>
    <t>Автоматтандырылған ақпараттық жүйелерді жобалауда жүйелік талдау, компьютерлік жобаларды жобалау əдістерін –микро жəне макродеңгейдегі ақпараттық– басқарушы жүйелерді; жүйенің иерархиялық принциптері; ақпараттық оптималды жобалау мақсатымен жүйе есебінің декомпозиция əдістерін қолдана білу қажет. Ұсынылып отырған жұмыста күрделі жүйелердің негізгі концепциялары мен талдау əдістемелері жəне синтезі, есептеуіш техника мен жаңа ақпараттық технологияларды, қазіргі жүйелерді жобалау принциптері, жаңа ақпараттық технологиялар ғасырында жедел жоғарылайтын, экономиканың жəне өндірістің əртүрлі аймақтарында құрылатын ақпараттық жүйеге (АЖ) талаптары анықталған. Оқу құралы «Ақпараттық жүйелер», «Есептеу техникасы және бағдарламалық қамтамасыз ету» және «Кәсіптік оқыту» мамандықтарының студенттері мен магистранттарына, сонымен қатар, тәжірибелі кәсіпқойларға да анықтама құралына айналады деген оймен жазылған.</t>
  </si>
  <si>
    <t>0005025</t>
  </si>
  <si>
    <t>Муханбеткалиев К.</t>
  </si>
  <si>
    <t>Еңбек қорғау</t>
  </si>
  <si>
    <t>0005026</t>
  </si>
  <si>
    <t>Муханбеткалиева А.К.</t>
  </si>
  <si>
    <t>Модели и методы управления</t>
  </si>
  <si>
    <t>0005029</t>
  </si>
  <si>
    <t>Мухитдинов Н., Бегенов Ә., Айдосова С.</t>
  </si>
  <si>
    <t>Өсімдіктер морфологиясы мен анатомиясы</t>
  </si>
  <si>
    <t>Оқулық өсімдіктер эволюциясы, филогениясы және систематикасын жан-жақты қамти отырып, ботаника пәнінің типтік бағдарламасы негізінде жазылған.</t>
  </si>
  <si>
    <t>0005034</t>
  </si>
  <si>
    <t>Мухтаров Т.М., Интыков Т.С.</t>
  </si>
  <si>
    <t>Жол қозғаласын ұйымдастыру негіздері</t>
  </si>
  <si>
    <t>Оқу құралында қозғалысты ұйымдастыру негіздері, оны зерттеу әдістері мен тиімділігіне баға берілген. Көлік жол апаттарының себептеріне талдау жасалып, олардың классификациясы мен есеп алу жүйесі берілген. 
 Көлік және жаяу жүру ағымдарына сипаттама көрсетілген. Көше-жол жүйелерінің жеке элементтеріне қозғалысты ұйымдастыру бойынша іс-шаралар қарастырылған.
 Оқу әдістемелік құралы 5В090100 «Көлікті пайдалану және жүк қозғалысы мен тасымалдауды ұйымдастыру» мамандығы бойынша білім алатын жоғары оқу орындарының студенттеріне арналған.</t>
  </si>
  <si>
    <t>0005035</t>
  </si>
  <si>
    <t>Мухтарова С.С. Карагулова Б.С</t>
  </si>
  <si>
    <t>Theory аnd Practice оf Intercultural Communication</t>
  </si>
  <si>
    <t>В учебном пособии изложены лекционные материалы, семинарские и контрольные задания по дисциплине «Theory and Practice of Intercultural Communication». Учебное пособие включает вопросы, необходимые для изучения учебного материала по всем темам дисциплины. Приведен список рекомендуемой литературы.</t>
  </si>
  <si>
    <t>0005037</t>
  </si>
  <si>
    <t>Мұқажанова Р.М. (Мухажанова Р.М.), Мусанова А.Д.</t>
  </si>
  <si>
    <t>Әлем әдебиеті. Қайта өрлеу дәуірі. Хрестоматия. І кітап</t>
  </si>
  <si>
    <t>Кітапта әлем елдері әдебиетінің дамуындағы маңызды ерекшеліктер, әлемдік көркем әдебиетте үлкен орны бар классиктер шығармашылығына орын берілген. Ренессанс дәуірінің ірі классиктерінің туындылары іріктеліп топтастырылған.
 Кітап жоғары оқу орындары студенттеріне, орта кәсіптік оқу орындары мен мектеп мұғалімдері, оқушыларына, әлемдік мәдени мұраларға қызығушылық танытқан қалың оқырманға арналған.</t>
  </si>
  <si>
    <t>0005038</t>
  </si>
  <si>
    <t>Әлем әдебиеті. Қайта өрлеу дәуірі. Хрестоматия. ІІ кітап</t>
  </si>
  <si>
    <t>цены</t>
  </si>
  <si>
    <t>ЭВЕРО</t>
  </si>
</sst>
</file>

<file path=xl/styles.xml><?xml version="1.0" encoding="utf-8"?>
<styleSheet xmlns="http://schemas.openxmlformats.org/spreadsheetml/2006/main">
  <fonts count="61">
    <font>
      <sz val="11"/>
      <color theme="1"/>
      <name val="Calibri"/>
      <family val="2"/>
      <charset val="204"/>
      <scheme val="minor"/>
    </font>
    <font>
      <b/>
      <sz val="10"/>
      <color rgb="FF000000"/>
      <name val="Times New Roman"/>
      <family val="1"/>
      <charset val="204"/>
    </font>
    <font>
      <b/>
      <sz val="10"/>
      <color theme="1"/>
      <name val="Times New Roman"/>
      <family val="1"/>
      <charset val="204"/>
    </font>
    <font>
      <sz val="10"/>
      <color rgb="FF000000"/>
      <name val="Times New Roman"/>
      <family val="1"/>
      <charset val="204"/>
    </font>
    <font>
      <b/>
      <sz val="8"/>
      <color rgb="FF000000"/>
      <name val="Times New Roman"/>
      <family val="1"/>
      <charset val="204"/>
    </font>
    <font>
      <sz val="10"/>
      <color theme="1"/>
      <name val="Times New Roman"/>
      <family val="1"/>
      <charset val="204"/>
    </font>
    <font>
      <sz val="8"/>
      <color rgb="FF000000"/>
      <name val="Times New Roman"/>
      <family val="1"/>
      <charset val="204"/>
    </font>
    <font>
      <sz val="10"/>
      <color rgb="FF212121"/>
      <name val="Times New Roman"/>
      <family val="1"/>
      <charset val="204"/>
    </font>
    <font>
      <sz val="8"/>
      <color rgb="FF212121"/>
      <name val="Times New Roman"/>
      <family val="1"/>
      <charset val="204"/>
    </font>
    <font>
      <sz val="8"/>
      <color theme="1"/>
      <name val="Times New Roman"/>
      <family val="1"/>
      <charset val="204"/>
    </font>
    <font>
      <sz val="8"/>
      <color rgb="FF222222"/>
      <name val="Times New Roman"/>
      <family val="1"/>
      <charset val="204"/>
    </font>
    <font>
      <sz val="10"/>
      <color rgb="FFFF0000"/>
      <name val="Times New Roman"/>
      <family val="1"/>
      <charset val="204"/>
    </font>
    <font>
      <sz val="10"/>
      <color rgb="FF222222"/>
      <name val="Times New Roman"/>
      <family val="1"/>
      <charset val="204"/>
    </font>
    <font>
      <sz val="10"/>
      <color rgb="FF000000"/>
      <name val="&quot;Times New Roman&quot;"/>
    </font>
    <font>
      <sz val="10"/>
      <color rgb="FF1F1F1F"/>
      <name val="Times New Roman"/>
      <family val="1"/>
      <charset val="204"/>
    </font>
    <font>
      <i/>
      <sz val="10"/>
      <color rgb="FF000000"/>
      <name val="Times New Roman"/>
      <family val="1"/>
      <charset val="204"/>
    </font>
    <font>
      <sz val="10"/>
      <color rgb="FF262626"/>
      <name val="Times New Roman"/>
      <family val="1"/>
      <charset val="204"/>
    </font>
    <font>
      <sz val="8"/>
      <color rgb="FF242424"/>
      <name val="Times New Roman"/>
      <family val="1"/>
      <charset val="204"/>
    </font>
    <font>
      <sz val="10"/>
      <color theme="1"/>
      <name val="&quot;Times New Roman&quot;"/>
    </font>
    <font>
      <b/>
      <sz val="10"/>
      <color rgb="FF000000"/>
      <name val="&quot;Times New Roman&quot;"/>
    </font>
    <font>
      <sz val="8"/>
      <color rgb="FF000000"/>
      <name val="&quot;Times New Roman&quot;"/>
    </font>
    <font>
      <sz val="10"/>
      <color rgb="FF0D0D0D"/>
      <name val="Times New Roman"/>
      <family val="1"/>
      <charset val="204"/>
    </font>
    <font>
      <sz val="8"/>
      <color rgb="FF0D0D0D"/>
      <name val="Times New Roman"/>
      <family val="1"/>
      <charset val="204"/>
    </font>
    <font>
      <sz val="10"/>
      <color rgb="FF202124"/>
      <name val="Times New Roman"/>
      <family val="1"/>
      <charset val="204"/>
    </font>
    <font>
      <sz val="8"/>
      <color rgb="FF202124"/>
      <name val="Times New Roman"/>
      <family val="1"/>
      <charset val="204"/>
    </font>
    <font>
      <sz val="8"/>
      <color rgb="FFFF0000"/>
      <name val="Times New Roman"/>
      <family val="1"/>
      <charset val="204"/>
    </font>
    <font>
      <sz val="10"/>
      <color rgb="FF221E1F"/>
      <name val="Times New Roman"/>
      <family val="1"/>
      <charset val="204"/>
    </font>
    <font>
      <sz val="8"/>
      <color rgb="FF221E1F"/>
      <name val="Times New Roman"/>
      <family val="1"/>
      <charset val="204"/>
    </font>
    <font>
      <sz val="8"/>
      <color theme="1"/>
      <name val="Arial"/>
      <family val="2"/>
      <charset val="204"/>
    </font>
    <font>
      <sz val="10"/>
      <color rgb="FF231F20"/>
      <name val="Times New Roman"/>
      <family val="1"/>
      <charset val="204"/>
    </font>
    <font>
      <sz val="8"/>
      <color rgb="FF231F20"/>
      <name val="Times New Roman"/>
      <family val="1"/>
      <charset val="204"/>
    </font>
    <font>
      <sz val="10"/>
      <color rgb="FF00000A"/>
      <name val="Times New Roman"/>
      <family val="1"/>
      <charset val="204"/>
    </font>
    <font>
      <u/>
      <sz val="10"/>
      <color rgb="FF000000"/>
      <name val="Times New Roman"/>
      <family val="1"/>
      <charset val="204"/>
    </font>
    <font>
      <sz val="11"/>
      <color rgb="FF000000"/>
      <name val="&quot;Times New Roman&quot;"/>
    </font>
    <font>
      <sz val="10"/>
      <color rgb="FF292929"/>
      <name val="Times New Roman"/>
      <family val="1"/>
      <charset val="204"/>
    </font>
    <font>
      <sz val="10"/>
      <color rgb="FF000000"/>
      <name val="Calibri"/>
      <family val="2"/>
      <charset val="204"/>
    </font>
    <font>
      <sz val="10"/>
      <color rgb="FF3A3850"/>
      <name val="Times New Roman"/>
      <family val="1"/>
      <charset val="204"/>
    </font>
    <font>
      <sz val="11"/>
      <color theme="1"/>
      <name val="Times New Roman"/>
      <family val="1"/>
      <charset val="204"/>
    </font>
    <font>
      <sz val="10"/>
      <color theme="1"/>
      <name val="Calibri"/>
      <family val="2"/>
      <charset val="204"/>
      <scheme val="minor"/>
    </font>
    <font>
      <sz val="10"/>
      <color rgb="FF000000"/>
      <name val="&quot;Times New Roman"/>
    </font>
    <font>
      <sz val="10"/>
      <color rgb="FF2C2C2C"/>
      <name val="&quot;Times New Roman&quot;"/>
    </font>
    <font>
      <b/>
      <sz val="8"/>
      <color rgb="FF3F3F3F"/>
      <name val="&quot;Times New Roman&quot;"/>
    </font>
    <font>
      <sz val="8"/>
      <color rgb="FF3F3F3F"/>
      <name val="&quot;Times New Roman&quot;"/>
    </font>
    <font>
      <sz val="8"/>
      <color theme="1"/>
      <name val="&quot;Times New Roman&quot;"/>
    </font>
    <font>
      <sz val="10"/>
      <color rgb="FF0D0D0D"/>
      <name val="&quot;Times New Roman&quot;"/>
    </font>
    <font>
      <sz val="10"/>
      <color rgb="FF181818"/>
      <name val="&quot;Times New Roman&quot;"/>
    </font>
    <font>
      <sz val="10"/>
      <color rgb="FF262626"/>
      <name val="&quot;Times New Roman&quot;"/>
    </font>
    <font>
      <sz val="10"/>
      <color rgb="FF1F1F1F"/>
      <name val="&quot;Times New Roman&quot;"/>
    </font>
    <font>
      <sz val="8"/>
      <color rgb="FF1F1F1F"/>
      <name val="&quot;Times New Roman&quot;"/>
    </font>
    <font>
      <sz val="8"/>
      <color rgb="FF000000"/>
      <name val="Cambria"/>
      <family val="1"/>
      <charset val="204"/>
    </font>
    <font>
      <sz val="8"/>
      <color rgb="FF231F20"/>
      <name val="&quot;Times New Roman&quot;"/>
    </font>
    <font>
      <sz val="9"/>
      <color rgb="FF000000"/>
      <name val="&quot;Times New Roman&quot;"/>
    </font>
    <font>
      <sz val="8"/>
      <color rgb="FF000000"/>
      <name val="&quot;\&quot;Times New Roman\&quot;&quot;"/>
    </font>
    <font>
      <sz val="10"/>
      <color rgb="FF000000"/>
      <name val="Arial"/>
      <family val="2"/>
      <charset val="204"/>
    </font>
    <font>
      <sz val="8"/>
      <color rgb="FF000000"/>
      <name val="Calibri"/>
      <family val="2"/>
      <charset val="204"/>
    </font>
    <font>
      <sz val="11"/>
      <color rgb="FF000000"/>
      <name val="Calibri"/>
      <family val="2"/>
      <charset val="204"/>
    </font>
    <font>
      <sz val="10"/>
      <color rgb="FF221F1F"/>
      <name val="&quot;Times New Roman&quot;"/>
    </font>
    <font>
      <sz val="10"/>
      <color rgb="FF231F20"/>
      <name val="&quot;Times New Roman&quot;"/>
    </font>
    <font>
      <sz val="8"/>
      <color rgb="FF221F1F"/>
      <name val="&quot;Times New Roman&quot;"/>
    </font>
    <font>
      <sz val="10"/>
      <color rgb="FF000000"/>
      <name val="Cambria"/>
      <family val="1"/>
      <charset val="204"/>
    </font>
    <font>
      <b/>
      <sz val="10"/>
      <color rgb="FFFF0000"/>
      <name val="Times New Roman"/>
      <family val="1"/>
      <charset val="204"/>
    </font>
  </fonts>
  <fills count="21">
    <fill>
      <patternFill patternType="none"/>
    </fill>
    <fill>
      <patternFill patternType="gray125"/>
    </fill>
    <fill>
      <patternFill patternType="solid">
        <fgColor rgb="FF92D050"/>
        <bgColor rgb="FF92D050"/>
      </patternFill>
    </fill>
    <fill>
      <patternFill patternType="solid">
        <fgColor rgb="FFFFFF00"/>
        <bgColor rgb="FFFFFF00"/>
      </patternFill>
    </fill>
    <fill>
      <patternFill patternType="solid">
        <fgColor rgb="FF00FFFF"/>
        <bgColor rgb="FF00FFFF"/>
      </patternFill>
    </fill>
    <fill>
      <patternFill patternType="solid">
        <fgColor rgb="FFFFFFFF"/>
        <bgColor rgb="FFFFFFFF"/>
      </patternFill>
    </fill>
    <fill>
      <patternFill patternType="solid">
        <fgColor rgb="FFB7DEE8"/>
        <bgColor rgb="FFB7DEE8"/>
      </patternFill>
    </fill>
    <fill>
      <patternFill patternType="solid">
        <fgColor rgb="FFC4D79B"/>
        <bgColor rgb="FFC4D79B"/>
      </patternFill>
    </fill>
    <fill>
      <patternFill patternType="solid">
        <fgColor theme="4"/>
        <bgColor theme="4"/>
      </patternFill>
    </fill>
    <fill>
      <patternFill patternType="solid">
        <fgColor rgb="FFEAD1DC"/>
        <bgColor rgb="FFEAD1DC"/>
      </patternFill>
    </fill>
    <fill>
      <patternFill patternType="solid">
        <fgColor rgb="FFFDE9D9"/>
        <bgColor rgb="FFFDE9D9"/>
      </patternFill>
    </fill>
    <fill>
      <patternFill patternType="solid">
        <fgColor rgb="FFEA9999"/>
        <bgColor rgb="FFEA9999"/>
      </patternFill>
    </fill>
    <fill>
      <patternFill patternType="solid">
        <fgColor rgb="FFD8E4BC"/>
        <bgColor rgb="FFD8E4BC"/>
      </patternFill>
    </fill>
    <fill>
      <patternFill patternType="solid">
        <fgColor rgb="FFFF0000"/>
        <bgColor rgb="FFFF0000"/>
      </patternFill>
    </fill>
    <fill>
      <patternFill patternType="solid">
        <fgColor rgb="FFFF00FF"/>
        <bgColor rgb="FFFF00FF"/>
      </patternFill>
    </fill>
    <fill>
      <patternFill patternType="solid">
        <fgColor rgb="FFDDD9C4"/>
        <bgColor rgb="FFDDD9C4"/>
      </patternFill>
    </fill>
    <fill>
      <patternFill patternType="solid">
        <fgColor rgb="FFFFFFCC"/>
        <bgColor rgb="FFFFFFCC"/>
      </patternFill>
    </fill>
    <fill>
      <patternFill patternType="solid">
        <fgColor rgb="FFC4BD97"/>
        <bgColor rgb="FFC4BD97"/>
      </patternFill>
    </fill>
    <fill>
      <patternFill patternType="solid">
        <fgColor rgb="FFC00000"/>
        <bgColor rgb="FFC00000"/>
      </patternFill>
    </fill>
    <fill>
      <patternFill patternType="solid">
        <fgColor rgb="FF4285F4"/>
        <bgColor rgb="FF4285F4"/>
      </patternFill>
    </fill>
    <fill>
      <patternFill patternType="solid">
        <fgColor rgb="FFF2F2F2"/>
        <bgColor rgb="FFF2F2F2"/>
      </patternFill>
    </fill>
  </fills>
  <borders count="17">
    <border>
      <left/>
      <right/>
      <top/>
      <bottom/>
      <diagonal/>
    </border>
    <border>
      <left style="thin">
        <color rgb="FF3F3F3F"/>
      </left>
      <right style="thin">
        <color rgb="FF3F3F3F"/>
      </right>
      <top style="thin">
        <color rgb="FF3F3F3F"/>
      </top>
      <bottom style="thin">
        <color rgb="FF3F3F3F"/>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3F3F3F"/>
      </left>
      <right style="thin">
        <color rgb="FF3F3F3F"/>
      </right>
      <top/>
      <bottom style="thin">
        <color rgb="FF3F3F3F"/>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bottom/>
      <diagonal/>
    </border>
    <border>
      <left/>
      <right/>
      <top style="thin">
        <color rgb="FFF79646"/>
      </top>
      <bottom/>
      <diagonal/>
    </border>
    <border>
      <left/>
      <right/>
      <top/>
      <bottom style="thin">
        <color rgb="FF000000"/>
      </bottom>
      <diagonal/>
    </border>
    <border>
      <left style="thin">
        <color rgb="FF000000"/>
      </left>
      <right/>
      <top/>
      <bottom style="thin">
        <color rgb="FF000000"/>
      </bottom>
      <diagonal/>
    </border>
    <border>
      <left/>
      <right/>
      <top style="thin">
        <color rgb="FF000000"/>
      </top>
      <bottom/>
      <diagonal/>
    </border>
    <border>
      <left style="thin">
        <color rgb="FF000000"/>
      </left>
      <right style="thin">
        <color rgb="FF000000"/>
      </right>
      <top/>
      <bottom/>
      <diagonal/>
    </border>
  </borders>
  <cellStyleXfs count="1">
    <xf numFmtId="0" fontId="0" fillId="0" borderId="0"/>
  </cellStyleXfs>
  <cellXfs count="298">
    <xf numFmtId="0" fontId="0" fillId="0" borderId="0" xfId="0"/>
    <xf numFmtId="49" fontId="1" fillId="2" borderId="2" xfId="0" applyNumberFormat="1" applyFont="1" applyFill="1" applyBorder="1" applyAlignment="1">
      <alignment horizontal="center" vertical="top" wrapText="1"/>
    </xf>
    <xf numFmtId="0" fontId="2" fillId="2" borderId="2" xfId="0" applyFont="1" applyFill="1" applyBorder="1" applyAlignment="1">
      <alignment horizontal="center" vertical="top" wrapText="1"/>
    </xf>
    <xf numFmtId="0" fontId="1" fillId="2" borderId="2" xfId="0" applyFont="1" applyFill="1" applyBorder="1" applyAlignment="1">
      <alignment horizontal="center" vertical="top" wrapText="1"/>
    </xf>
    <xf numFmtId="49" fontId="3" fillId="2" borderId="2" xfId="0" applyNumberFormat="1" applyFont="1" applyFill="1" applyBorder="1" applyAlignment="1">
      <alignment horizontal="center" vertical="top" wrapText="1"/>
    </xf>
    <xf numFmtId="0" fontId="1" fillId="4" borderId="2" xfId="0" applyFont="1" applyFill="1" applyBorder="1" applyAlignment="1">
      <alignment horizontal="center" vertical="top" wrapText="1"/>
    </xf>
    <xf numFmtId="0" fontId="2" fillId="4" borderId="2" xfId="0" applyFont="1" applyFill="1" applyBorder="1" applyAlignment="1">
      <alignment horizontal="center" vertical="top" wrapText="1"/>
    </xf>
    <xf numFmtId="0" fontId="4" fillId="2" borderId="2" xfId="0" applyFont="1" applyFill="1" applyBorder="1" applyAlignment="1">
      <alignment horizontal="center" vertical="top" wrapText="1"/>
    </xf>
    <xf numFmtId="49" fontId="1" fillId="6" borderId="2" xfId="0" applyNumberFormat="1" applyFont="1" applyFill="1" applyBorder="1" applyAlignment="1">
      <alignment horizontal="center" vertical="top" wrapText="1"/>
    </xf>
    <xf numFmtId="0" fontId="5" fillId="0" borderId="2" xfId="0" applyFont="1" applyBorder="1" applyAlignment="1">
      <alignment horizontal="center" vertical="top" wrapText="1"/>
    </xf>
    <xf numFmtId="0" fontId="3" fillId="5" borderId="2" xfId="0" applyFont="1" applyFill="1" applyBorder="1" applyAlignment="1">
      <alignment horizontal="center" vertical="top" wrapText="1"/>
    </xf>
    <xf numFmtId="0" fontId="3" fillId="0" borderId="2" xfId="0" applyFont="1" applyBorder="1" applyAlignment="1">
      <alignment horizontal="left" vertical="top" wrapText="1"/>
    </xf>
    <xf numFmtId="0" fontId="3" fillId="0" borderId="2" xfId="0" applyFont="1" applyBorder="1" applyAlignment="1">
      <alignment horizontal="center" vertical="top" wrapText="1"/>
    </xf>
    <xf numFmtId="0" fontId="5" fillId="5" borderId="2" xfId="0" applyFont="1" applyFill="1" applyBorder="1" applyAlignment="1">
      <alignment horizontal="center" vertical="top" wrapText="1"/>
    </xf>
    <xf numFmtId="49" fontId="3" fillId="0" borderId="2" xfId="0" applyNumberFormat="1" applyFont="1" applyBorder="1" applyAlignment="1">
      <alignment horizontal="center" vertical="top" wrapText="1"/>
    </xf>
    <xf numFmtId="0" fontId="6" fillId="0" borderId="2" xfId="0" applyFont="1" applyBorder="1" applyAlignment="1">
      <alignment horizontal="left" vertical="top" wrapText="1"/>
    </xf>
    <xf numFmtId="0" fontId="6" fillId="0" borderId="2" xfId="0" applyFont="1" applyBorder="1" applyAlignment="1">
      <alignment vertical="top" wrapText="1"/>
    </xf>
    <xf numFmtId="0" fontId="7" fillId="0" borderId="2" xfId="0" applyFont="1" applyBorder="1" applyAlignment="1">
      <alignment horizontal="left" vertical="top" wrapText="1"/>
    </xf>
    <xf numFmtId="0" fontId="8" fillId="0" borderId="2" xfId="0" applyFont="1" applyBorder="1" applyAlignment="1">
      <alignment horizontal="left" vertical="top" wrapText="1"/>
    </xf>
    <xf numFmtId="0" fontId="5" fillId="0" borderId="2" xfId="0" applyFont="1" applyBorder="1" applyAlignment="1">
      <alignment horizontal="left" vertical="top" wrapText="1"/>
    </xf>
    <xf numFmtId="0" fontId="4" fillId="0" borderId="2" xfId="0" applyFont="1" applyBorder="1" applyAlignment="1">
      <alignment horizontal="left" vertical="top" wrapText="1"/>
    </xf>
    <xf numFmtId="0" fontId="9" fillId="0" borderId="2" xfId="0" applyFont="1" applyBorder="1" applyAlignment="1">
      <alignment horizontal="left" vertical="top" wrapText="1"/>
    </xf>
    <xf numFmtId="0" fontId="3" fillId="5" borderId="2" xfId="0" applyFont="1" applyFill="1" applyBorder="1" applyAlignment="1">
      <alignment horizontal="left" vertical="top" wrapText="1"/>
    </xf>
    <xf numFmtId="0" fontId="6" fillId="5" borderId="2" xfId="0" applyFont="1" applyFill="1" applyBorder="1" applyAlignment="1">
      <alignment horizontal="left" vertical="top" wrapText="1"/>
    </xf>
    <xf numFmtId="0" fontId="10" fillId="0" borderId="2" xfId="0" applyFont="1" applyBorder="1" applyAlignment="1">
      <alignment horizontal="left" vertical="top" wrapText="1"/>
    </xf>
    <xf numFmtId="0" fontId="3" fillId="7" borderId="2" xfId="0" applyFont="1" applyFill="1" applyBorder="1" applyAlignment="1">
      <alignment horizontal="left" vertical="top" wrapText="1"/>
    </xf>
    <xf numFmtId="0" fontId="3" fillId="7" borderId="2" xfId="0" applyFont="1" applyFill="1" applyBorder="1" applyAlignment="1">
      <alignment horizontal="center" vertical="top" wrapText="1"/>
    </xf>
    <xf numFmtId="0" fontId="5" fillId="7" borderId="2" xfId="0" applyFont="1" applyFill="1" applyBorder="1" applyAlignment="1">
      <alignment horizontal="center" vertical="top" wrapText="1"/>
    </xf>
    <xf numFmtId="49" fontId="5" fillId="5" borderId="2" xfId="0" applyNumberFormat="1" applyFont="1" applyFill="1" applyBorder="1" applyAlignment="1">
      <alignment horizontal="center" vertical="top" wrapText="1"/>
    </xf>
    <xf numFmtId="0" fontId="12" fillId="0" borderId="2" xfId="0" applyFont="1" applyBorder="1" applyAlignment="1">
      <alignment horizontal="center" vertical="top" wrapText="1"/>
    </xf>
    <xf numFmtId="0" fontId="13" fillId="0" borderId="2" xfId="0" applyFont="1" applyBorder="1" applyAlignment="1">
      <alignment horizontal="center" vertical="top" wrapText="1"/>
    </xf>
    <xf numFmtId="0" fontId="9" fillId="5" borderId="2" xfId="0" applyFont="1" applyFill="1" applyBorder="1" applyAlignment="1">
      <alignment horizontal="left" vertical="top" wrapText="1"/>
    </xf>
    <xf numFmtId="0" fontId="5" fillId="5" borderId="2" xfId="0" applyFont="1" applyFill="1" applyBorder="1" applyAlignment="1">
      <alignment horizontal="left" vertical="top" wrapText="1"/>
    </xf>
    <xf numFmtId="0" fontId="1" fillId="0" borderId="2" xfId="0" applyFont="1" applyBorder="1" applyAlignment="1">
      <alignment horizontal="center" vertical="top" wrapText="1"/>
    </xf>
    <xf numFmtId="0" fontId="11" fillId="3" borderId="2" xfId="0" applyFont="1" applyFill="1" applyBorder="1" applyAlignment="1">
      <alignment horizontal="left" vertical="top" wrapText="1"/>
    </xf>
    <xf numFmtId="0" fontId="11" fillId="3" borderId="2" xfId="0" applyFont="1" applyFill="1" applyBorder="1" applyAlignment="1">
      <alignment horizontal="center" vertical="top" wrapText="1"/>
    </xf>
    <xf numFmtId="0" fontId="13" fillId="5" borderId="0" xfId="0" applyFont="1" applyFill="1" applyAlignment="1">
      <alignment horizontal="left" vertical="top"/>
    </xf>
    <xf numFmtId="0" fontId="15" fillId="0" borderId="2" xfId="0" applyFont="1" applyBorder="1" applyAlignment="1">
      <alignment horizontal="left" vertical="top" wrapText="1"/>
    </xf>
    <xf numFmtId="0" fontId="5" fillId="0" borderId="2" xfId="0" applyFont="1" applyBorder="1" applyAlignment="1">
      <alignment vertical="top" wrapText="1"/>
    </xf>
    <xf numFmtId="0" fontId="12" fillId="0" borderId="2" xfId="0" applyFont="1" applyBorder="1" applyAlignment="1">
      <alignment horizontal="left" vertical="top" wrapText="1"/>
    </xf>
    <xf numFmtId="0" fontId="3" fillId="8" borderId="2" xfId="0" applyFont="1" applyFill="1" applyBorder="1" applyAlignment="1">
      <alignment horizontal="center" vertical="top" wrapText="1"/>
    </xf>
    <xf numFmtId="0" fontId="9" fillId="0" borderId="2" xfId="0" applyFont="1" applyBorder="1" applyAlignment="1">
      <alignment vertical="top" wrapText="1"/>
    </xf>
    <xf numFmtId="0" fontId="16" fillId="0" borderId="2" xfId="0" applyFont="1" applyBorder="1" applyAlignment="1">
      <alignment horizontal="left" vertical="top" wrapText="1"/>
    </xf>
    <xf numFmtId="0" fontId="16" fillId="0" borderId="2" xfId="0" applyFont="1" applyBorder="1" applyAlignment="1">
      <alignment horizontal="center" vertical="top" wrapText="1"/>
    </xf>
    <xf numFmtId="0" fontId="17" fillId="0" borderId="2" xfId="0" applyFont="1" applyBorder="1" applyAlignment="1">
      <alignment horizontal="left" vertical="top" wrapText="1"/>
    </xf>
    <xf numFmtId="0" fontId="3" fillId="0" borderId="2" xfId="0" applyFont="1" applyBorder="1" applyAlignment="1">
      <alignment vertical="top" wrapText="1"/>
    </xf>
    <xf numFmtId="0" fontId="3" fillId="5" borderId="2" xfId="0" applyFont="1" applyFill="1" applyBorder="1" applyAlignment="1">
      <alignment vertical="top" wrapText="1"/>
    </xf>
    <xf numFmtId="0" fontId="18" fillId="0" borderId="0" xfId="0" applyFont="1" applyAlignment="1">
      <alignment vertical="top"/>
    </xf>
    <xf numFmtId="49" fontId="2" fillId="6" borderId="2" xfId="0" applyNumberFormat="1" applyFont="1" applyFill="1" applyBorder="1" applyAlignment="1">
      <alignment horizontal="center" vertical="top" wrapText="1"/>
    </xf>
    <xf numFmtId="49" fontId="19" fillId="6" borderId="3" xfId="0" applyNumberFormat="1" applyFont="1" applyFill="1" applyBorder="1" applyAlignment="1">
      <alignment horizontal="center" vertical="top" wrapText="1"/>
    </xf>
    <xf numFmtId="0" fontId="13" fillId="0" borderId="4" xfId="0" applyFont="1" applyBorder="1" applyAlignment="1">
      <alignment horizontal="center" vertical="top" wrapText="1"/>
    </xf>
    <xf numFmtId="0" fontId="13" fillId="5" borderId="4" xfId="0" applyFont="1" applyFill="1" applyBorder="1" applyAlignment="1">
      <alignment horizontal="center" vertical="top" wrapText="1"/>
    </xf>
    <xf numFmtId="0" fontId="13" fillId="0" borderId="4" xfId="0" applyFont="1" applyBorder="1" applyAlignment="1">
      <alignment horizontal="left" vertical="top" wrapText="1"/>
    </xf>
    <xf numFmtId="0" fontId="19" fillId="4" borderId="4" xfId="0" applyFont="1" applyFill="1" applyBorder="1" applyAlignment="1">
      <alignment horizontal="center" vertical="top" wrapText="1"/>
    </xf>
    <xf numFmtId="0" fontId="20" fillId="0" borderId="4" xfId="0" applyFont="1" applyBorder="1" applyAlignment="1">
      <alignment horizontal="left" vertical="top" wrapText="1"/>
    </xf>
    <xf numFmtId="49" fontId="2" fillId="9" borderId="2" xfId="0" applyNumberFormat="1" applyFont="1" applyFill="1" applyBorder="1" applyAlignment="1">
      <alignment horizontal="center" vertical="top" wrapText="1"/>
    </xf>
    <xf numFmtId="0" fontId="21" fillId="0" borderId="2" xfId="0" applyFont="1" applyBorder="1" applyAlignment="1">
      <alignment horizontal="left" vertical="top" wrapText="1"/>
    </xf>
    <xf numFmtId="0" fontId="21" fillId="0" borderId="2" xfId="0" applyFont="1" applyBorder="1" applyAlignment="1">
      <alignment horizontal="center" vertical="top" wrapText="1"/>
    </xf>
    <xf numFmtId="0" fontId="22" fillId="0" borderId="2" xfId="0" applyFont="1" applyBorder="1" applyAlignment="1">
      <alignment horizontal="left" vertical="top" wrapText="1"/>
    </xf>
    <xf numFmtId="0" fontId="6" fillId="5" borderId="2" xfId="0" applyFont="1" applyFill="1" applyBorder="1" applyAlignment="1">
      <alignment vertical="top" wrapText="1"/>
    </xf>
    <xf numFmtId="0" fontId="23" fillId="0" borderId="2" xfId="0" applyFont="1" applyBorder="1" applyAlignment="1">
      <alignment horizontal="center" vertical="top" wrapText="1"/>
    </xf>
    <xf numFmtId="0" fontId="24" fillId="0" borderId="2" xfId="0" applyFont="1" applyBorder="1" applyAlignment="1">
      <alignment horizontal="left" vertical="top" wrapText="1"/>
    </xf>
    <xf numFmtId="0" fontId="3" fillId="10" borderId="2" xfId="0" applyFont="1" applyFill="1" applyBorder="1" applyAlignment="1">
      <alignment horizontal="left" vertical="top" wrapText="1"/>
    </xf>
    <xf numFmtId="0" fontId="3" fillId="10" borderId="2" xfId="0" applyFont="1" applyFill="1" applyBorder="1" applyAlignment="1">
      <alignment horizontal="center" vertical="top" wrapText="1"/>
    </xf>
    <xf numFmtId="0" fontId="6" fillId="10" borderId="2" xfId="0" applyFont="1" applyFill="1" applyBorder="1" applyAlignment="1">
      <alignment horizontal="left" vertical="top" wrapText="1"/>
    </xf>
    <xf numFmtId="0" fontId="11" fillId="5" borderId="2" xfId="0" applyFont="1" applyFill="1" applyBorder="1" applyAlignment="1">
      <alignment horizontal="center" vertical="top" wrapText="1"/>
    </xf>
    <xf numFmtId="0" fontId="25" fillId="3" borderId="2" xfId="0" applyFont="1" applyFill="1" applyBorder="1" applyAlignment="1">
      <alignment horizontal="left" vertical="top" wrapText="1"/>
    </xf>
    <xf numFmtId="0" fontId="26" fillId="0" borderId="2" xfId="0" applyFont="1" applyBorder="1" applyAlignment="1">
      <alignment horizontal="left" vertical="top" wrapText="1"/>
    </xf>
    <xf numFmtId="0" fontId="27" fillId="0" borderId="2" xfId="0" applyFont="1" applyBorder="1" applyAlignment="1">
      <alignment horizontal="left" vertical="top" wrapText="1"/>
    </xf>
    <xf numFmtId="0" fontId="28" fillId="0" borderId="2" xfId="0" applyFont="1" applyBorder="1" applyAlignment="1">
      <alignment vertical="top"/>
    </xf>
    <xf numFmtId="0" fontId="11" fillId="0" borderId="2" xfId="0" applyFont="1" applyBorder="1" applyAlignment="1">
      <alignment horizontal="left" vertical="top" wrapText="1"/>
    </xf>
    <xf numFmtId="0" fontId="11" fillId="0" borderId="2" xfId="0" applyFont="1" applyBorder="1" applyAlignment="1">
      <alignment horizontal="center" vertical="top" wrapText="1"/>
    </xf>
    <xf numFmtId="49" fontId="1" fillId="5" borderId="2" xfId="0" applyNumberFormat="1" applyFont="1" applyFill="1" applyBorder="1" applyAlignment="1">
      <alignment horizontal="center" vertical="top" wrapText="1"/>
    </xf>
    <xf numFmtId="0" fontId="3" fillId="11" borderId="2" xfId="0" applyFont="1" applyFill="1" applyBorder="1" applyAlignment="1">
      <alignment horizontal="center" vertical="top" wrapText="1"/>
    </xf>
    <xf numFmtId="0" fontId="7" fillId="0" borderId="2" xfId="0" applyFont="1" applyBorder="1" applyAlignment="1">
      <alignment horizontal="center" vertical="top" wrapText="1"/>
    </xf>
    <xf numFmtId="0" fontId="29" fillId="0" borderId="2" xfId="0" applyFont="1" applyBorder="1" applyAlignment="1">
      <alignment horizontal="left" vertical="top" wrapText="1"/>
    </xf>
    <xf numFmtId="0" fontId="29" fillId="0" borderId="2" xfId="0" applyFont="1" applyBorder="1" applyAlignment="1">
      <alignment horizontal="center" vertical="top" wrapText="1"/>
    </xf>
    <xf numFmtId="0" fontId="30" fillId="0" borderId="2" xfId="0" applyFont="1" applyBorder="1" applyAlignment="1">
      <alignment horizontal="left" vertical="top" wrapText="1"/>
    </xf>
    <xf numFmtId="0" fontId="15" fillId="0" borderId="2" xfId="0" applyFont="1" applyBorder="1" applyAlignment="1">
      <alignment horizontal="center" vertical="top" wrapText="1"/>
    </xf>
    <xf numFmtId="0" fontId="1" fillId="5" borderId="2" xfId="0" applyFont="1" applyFill="1" applyBorder="1" applyAlignment="1">
      <alignment horizontal="center" vertical="top" wrapText="1"/>
    </xf>
    <xf numFmtId="0" fontId="31" fillId="0" borderId="2" xfId="0" applyFont="1" applyBorder="1" applyAlignment="1">
      <alignment horizontal="left" vertical="top" wrapText="1"/>
    </xf>
    <xf numFmtId="0" fontId="13" fillId="0" borderId="2" xfId="0" applyFont="1" applyBorder="1" applyAlignment="1">
      <alignment horizontal="left" vertical="top" wrapText="1"/>
    </xf>
    <xf numFmtId="0" fontId="32" fillId="0" borderId="2" xfId="0" applyFont="1" applyBorder="1" applyAlignment="1">
      <alignment horizontal="center" vertical="top" wrapText="1"/>
    </xf>
    <xf numFmtId="0" fontId="6" fillId="12" borderId="2" xfId="0" applyFont="1" applyFill="1" applyBorder="1" applyAlignment="1">
      <alignment horizontal="left" vertical="top" wrapText="1"/>
    </xf>
    <xf numFmtId="0" fontId="3" fillId="3" borderId="2" xfId="0" applyFont="1" applyFill="1" applyBorder="1" applyAlignment="1">
      <alignment horizontal="center" vertical="top" wrapText="1"/>
    </xf>
    <xf numFmtId="0" fontId="10" fillId="0" borderId="2" xfId="0" applyFont="1" applyBorder="1" applyAlignment="1">
      <alignment vertical="top" wrapText="1"/>
    </xf>
    <xf numFmtId="0" fontId="33" fillId="0" borderId="2" xfId="0" applyFont="1" applyBorder="1" applyAlignment="1">
      <alignment horizontal="left" vertical="top" wrapText="1"/>
    </xf>
    <xf numFmtId="0" fontId="34" fillId="0" borderId="2" xfId="0" applyFont="1" applyBorder="1" applyAlignment="1">
      <alignment horizontal="left" vertical="top" wrapText="1"/>
    </xf>
    <xf numFmtId="0" fontId="3" fillId="13" borderId="2" xfId="0" applyFont="1" applyFill="1" applyBorder="1" applyAlignment="1">
      <alignment horizontal="left" vertical="top" wrapText="1"/>
    </xf>
    <xf numFmtId="0" fontId="3" fillId="13" borderId="2" xfId="0" applyFont="1" applyFill="1" applyBorder="1" applyAlignment="1">
      <alignment horizontal="center" vertical="top" wrapText="1"/>
    </xf>
    <xf numFmtId="0" fontId="6" fillId="13" borderId="2" xfId="0" applyFont="1" applyFill="1" applyBorder="1" applyAlignment="1">
      <alignment horizontal="left" vertical="top" wrapText="1"/>
    </xf>
    <xf numFmtId="0" fontId="5" fillId="0" borderId="0" xfId="0" applyFont="1" applyAlignment="1">
      <alignment vertical="top"/>
    </xf>
    <xf numFmtId="0" fontId="13" fillId="0" borderId="0" xfId="0" applyFont="1" applyAlignment="1">
      <alignment horizontal="left" vertical="top" wrapText="1"/>
    </xf>
    <xf numFmtId="0" fontId="13" fillId="0" borderId="2" xfId="0" applyFont="1" applyBorder="1" applyAlignment="1">
      <alignment horizontal="left" vertical="top"/>
    </xf>
    <xf numFmtId="49" fontId="1" fillId="14" borderId="2" xfId="0" applyNumberFormat="1" applyFont="1" applyFill="1" applyBorder="1" applyAlignment="1">
      <alignment horizontal="center" vertical="top" wrapText="1"/>
    </xf>
    <xf numFmtId="0" fontId="5" fillId="7" borderId="2" xfId="0" applyFont="1" applyFill="1" applyBorder="1" applyAlignment="1">
      <alignment horizontal="left" vertical="top" wrapText="1"/>
    </xf>
    <xf numFmtId="0" fontId="13" fillId="0" borderId="2" xfId="0" applyFont="1" applyBorder="1" applyAlignment="1">
      <alignment horizontal="center" vertical="top"/>
    </xf>
    <xf numFmtId="0" fontId="5" fillId="15" borderId="2" xfId="0" applyFont="1" applyFill="1" applyBorder="1" applyAlignment="1">
      <alignment horizontal="center" vertical="top" wrapText="1"/>
    </xf>
    <xf numFmtId="0" fontId="9" fillId="5" borderId="2" xfId="0" applyFont="1" applyFill="1" applyBorder="1" applyAlignment="1">
      <alignment vertical="top" wrapText="1"/>
    </xf>
    <xf numFmtId="0" fontId="36" fillId="7" borderId="2" xfId="0" applyFont="1" applyFill="1" applyBorder="1" applyAlignment="1">
      <alignment horizontal="left" vertical="top" wrapText="1"/>
    </xf>
    <xf numFmtId="0" fontId="35" fillId="0" borderId="0" xfId="0" applyFont="1" applyAlignment="1">
      <alignment horizontal="center" vertical="top"/>
    </xf>
    <xf numFmtId="0" fontId="3" fillId="16" borderId="2" xfId="0" applyFont="1" applyFill="1" applyBorder="1" applyAlignment="1">
      <alignment horizontal="center" vertical="top" wrapText="1"/>
    </xf>
    <xf numFmtId="0" fontId="37" fillId="0" borderId="0" xfId="0" applyFont="1" applyAlignment="1">
      <alignment horizontal="center" vertical="top"/>
    </xf>
    <xf numFmtId="0" fontId="6" fillId="7" borderId="2" xfId="0" applyFont="1" applyFill="1" applyBorder="1" applyAlignment="1">
      <alignment horizontal="left" vertical="top" wrapText="1"/>
    </xf>
    <xf numFmtId="0" fontId="5" fillId="17" borderId="2" xfId="0" applyFont="1" applyFill="1" applyBorder="1" applyAlignment="1">
      <alignment horizontal="center" vertical="top" wrapText="1"/>
    </xf>
    <xf numFmtId="0" fontId="13" fillId="0" borderId="2" xfId="0" applyFont="1" applyBorder="1" applyAlignment="1">
      <alignment vertical="top"/>
    </xf>
    <xf numFmtId="0" fontId="13" fillId="0" borderId="6" xfId="0" applyFont="1" applyBorder="1" applyAlignment="1">
      <alignment horizontal="left" vertical="top"/>
    </xf>
    <xf numFmtId="0" fontId="13" fillId="0" borderId="6" xfId="0" applyFont="1" applyBorder="1" applyAlignment="1">
      <alignment horizontal="center" vertical="top"/>
    </xf>
    <xf numFmtId="0" fontId="13" fillId="0" borderId="6" xfId="0" applyFont="1" applyBorder="1" applyAlignment="1">
      <alignment vertical="top"/>
    </xf>
    <xf numFmtId="0" fontId="20" fillId="0" borderId="6" xfId="0" applyFont="1" applyBorder="1" applyAlignment="1">
      <alignment horizontal="left" vertical="top"/>
    </xf>
    <xf numFmtId="0" fontId="13" fillId="0" borderId="3" xfId="0" applyFont="1" applyBorder="1" applyAlignment="1">
      <alignment vertical="top"/>
    </xf>
    <xf numFmtId="0" fontId="13" fillId="0" borderId="4" xfId="0" applyFont="1" applyBorder="1" applyAlignment="1">
      <alignment horizontal="left" vertical="top"/>
    </xf>
    <xf numFmtId="0" fontId="13" fillId="0" borderId="4" xfId="0" applyFont="1" applyBorder="1" applyAlignment="1">
      <alignment horizontal="center" vertical="top"/>
    </xf>
    <xf numFmtId="0" fontId="13" fillId="0" borderId="4" xfId="0" applyFont="1" applyBorder="1" applyAlignment="1">
      <alignment vertical="top"/>
    </xf>
    <xf numFmtId="0" fontId="20" fillId="0" borderId="4" xfId="0" applyFont="1" applyBorder="1" applyAlignment="1">
      <alignment horizontal="left" vertical="top"/>
    </xf>
    <xf numFmtId="0" fontId="3" fillId="18" borderId="2" xfId="0" applyFont="1" applyFill="1" applyBorder="1" applyAlignment="1">
      <alignment horizontal="center" vertical="top" wrapText="1"/>
    </xf>
    <xf numFmtId="0" fontId="5" fillId="5" borderId="2" xfId="0" applyFont="1" applyFill="1" applyBorder="1" applyAlignment="1">
      <alignment vertical="top" wrapText="1"/>
    </xf>
    <xf numFmtId="0" fontId="5" fillId="19" borderId="2" xfId="0" applyFont="1" applyFill="1" applyBorder="1" applyAlignment="1">
      <alignment horizontal="center" vertical="top" wrapText="1"/>
    </xf>
    <xf numFmtId="0" fontId="5" fillId="14" borderId="2" xfId="0" applyFont="1" applyFill="1" applyBorder="1" applyAlignment="1">
      <alignment horizontal="center" vertical="top" wrapText="1"/>
    </xf>
    <xf numFmtId="0" fontId="3" fillId="14" borderId="2" xfId="0" applyFont="1" applyFill="1" applyBorder="1" applyAlignment="1">
      <alignment horizontal="center" vertical="top" wrapText="1"/>
    </xf>
    <xf numFmtId="0" fontId="5" fillId="14" borderId="2" xfId="0" applyFont="1" applyFill="1" applyBorder="1" applyAlignment="1">
      <alignment vertical="top" wrapText="1"/>
    </xf>
    <xf numFmtId="0" fontId="13" fillId="5" borderId="2" xfId="0" applyFont="1" applyFill="1" applyBorder="1" applyAlignment="1">
      <alignment horizontal="center" vertical="top"/>
    </xf>
    <xf numFmtId="0" fontId="1" fillId="13" borderId="2" xfId="0" applyFont="1" applyFill="1" applyBorder="1" applyAlignment="1">
      <alignment horizontal="center" vertical="top" wrapText="1"/>
    </xf>
    <xf numFmtId="0" fontId="2" fillId="13" borderId="2" xfId="0" applyFont="1" applyFill="1" applyBorder="1" applyAlignment="1">
      <alignment horizontal="center" vertical="top" wrapText="1"/>
    </xf>
    <xf numFmtId="0" fontId="2" fillId="0" borderId="2" xfId="0" applyFont="1" applyBorder="1" applyAlignment="1">
      <alignment horizontal="center" vertical="top" wrapText="1"/>
    </xf>
    <xf numFmtId="49" fontId="1" fillId="0" borderId="2" xfId="0" applyNumberFormat="1" applyFont="1" applyBorder="1" applyAlignment="1">
      <alignment horizontal="center" vertical="top" wrapText="1"/>
    </xf>
    <xf numFmtId="0" fontId="13" fillId="0" borderId="0" xfId="0" applyFont="1" applyAlignment="1">
      <alignment vertical="top"/>
    </xf>
    <xf numFmtId="0" fontId="32" fillId="0" borderId="2" xfId="0" applyFont="1" applyBorder="1" applyAlignment="1">
      <alignment horizontal="left" vertical="top" wrapText="1"/>
    </xf>
    <xf numFmtId="0" fontId="3" fillId="5" borderId="2" xfId="0" applyFont="1" applyFill="1" applyBorder="1" applyAlignment="1">
      <alignment horizontal="center" vertical="top"/>
    </xf>
    <xf numFmtId="0" fontId="38" fillId="0" borderId="0" xfId="0" applyFont="1" applyAlignment="1">
      <alignment vertical="top"/>
    </xf>
    <xf numFmtId="0" fontId="13" fillId="0" borderId="3" xfId="0" applyFont="1" applyBorder="1" applyAlignment="1">
      <alignment horizontal="left" vertical="top" wrapText="1"/>
    </xf>
    <xf numFmtId="0" fontId="13" fillId="0" borderId="7" xfId="0" applyFont="1" applyBorder="1" applyAlignment="1">
      <alignment horizontal="left" vertical="top"/>
    </xf>
    <xf numFmtId="0" fontId="20" fillId="0" borderId="6" xfId="0" applyFont="1" applyBorder="1" applyAlignment="1">
      <alignment vertical="top"/>
    </xf>
    <xf numFmtId="0" fontId="20" fillId="0" borderId="4" xfId="0" applyFont="1" applyBorder="1" applyAlignment="1">
      <alignment vertical="top"/>
    </xf>
    <xf numFmtId="0" fontId="20" fillId="0" borderId="0" xfId="0" applyFont="1" applyAlignment="1">
      <alignment horizontal="left" vertical="top"/>
    </xf>
    <xf numFmtId="0" fontId="39" fillId="0" borderId="0" xfId="0" applyFont="1" applyAlignment="1">
      <alignment horizontal="left" vertical="top"/>
    </xf>
    <xf numFmtId="0" fontId="40" fillId="0" borderId="6" xfId="0" applyFont="1" applyBorder="1" applyAlignment="1">
      <alignment horizontal="left" vertical="top"/>
    </xf>
    <xf numFmtId="0" fontId="13" fillId="5" borderId="6" xfId="0" applyFont="1" applyFill="1" applyBorder="1" applyAlignment="1">
      <alignment horizontal="left" vertical="top"/>
    </xf>
    <xf numFmtId="0" fontId="13" fillId="5" borderId="6" xfId="0" applyFont="1" applyFill="1" applyBorder="1" applyAlignment="1">
      <alignment horizontal="center" vertical="top"/>
    </xf>
    <xf numFmtId="0" fontId="41" fillId="20" borderId="1" xfId="0" applyFont="1" applyFill="1" applyBorder="1" applyAlignment="1">
      <alignment vertical="top"/>
    </xf>
    <xf numFmtId="0" fontId="13" fillId="5" borderId="2" xfId="0" applyFont="1" applyFill="1" applyBorder="1" applyAlignment="1">
      <alignment horizontal="left" vertical="top"/>
    </xf>
    <xf numFmtId="0" fontId="13" fillId="5" borderId="4" xfId="0" applyFont="1" applyFill="1" applyBorder="1" applyAlignment="1">
      <alignment horizontal="left" vertical="top"/>
    </xf>
    <xf numFmtId="0" fontId="41" fillId="20" borderId="8" xfId="0" applyFont="1" applyFill="1" applyBorder="1" applyAlignment="1">
      <alignment vertical="top"/>
    </xf>
    <xf numFmtId="0" fontId="13" fillId="5" borderId="3" xfId="0" applyFont="1" applyFill="1" applyBorder="1" applyAlignment="1">
      <alignment horizontal="left" vertical="top"/>
    </xf>
    <xf numFmtId="0" fontId="13" fillId="5" borderId="2" xfId="0" applyFont="1" applyFill="1" applyBorder="1" applyAlignment="1">
      <alignment vertical="top"/>
    </xf>
    <xf numFmtId="0" fontId="41" fillId="5" borderId="1" xfId="0" applyFont="1" applyFill="1" applyBorder="1" applyAlignment="1">
      <alignment vertical="top"/>
    </xf>
    <xf numFmtId="0" fontId="20" fillId="5" borderId="6" xfId="0" applyFont="1" applyFill="1" applyBorder="1" applyAlignment="1">
      <alignment horizontal="left" vertical="top"/>
    </xf>
    <xf numFmtId="0" fontId="13" fillId="0" borderId="3" xfId="0" applyFont="1" applyBorder="1" applyAlignment="1">
      <alignment horizontal="left" vertical="top"/>
    </xf>
    <xf numFmtId="0" fontId="20" fillId="5" borderId="4" xfId="0" applyFont="1" applyFill="1" applyBorder="1" applyAlignment="1">
      <alignment horizontal="left" vertical="top"/>
    </xf>
    <xf numFmtId="0" fontId="20" fillId="0" borderId="0" xfId="0" applyFont="1" applyAlignment="1">
      <alignment vertical="top"/>
    </xf>
    <xf numFmtId="0" fontId="13" fillId="0" borderId="0" xfId="0" applyFont="1" applyAlignment="1">
      <alignment horizontal="left" vertical="top"/>
    </xf>
    <xf numFmtId="0" fontId="13" fillId="0" borderId="9" xfId="0" applyFont="1" applyBorder="1" applyAlignment="1">
      <alignment horizontal="left" vertical="top"/>
    </xf>
    <xf numFmtId="0" fontId="20" fillId="0" borderId="2" xfId="0" applyFont="1" applyBorder="1" applyAlignment="1">
      <alignment horizontal="left" vertical="top"/>
    </xf>
    <xf numFmtId="0" fontId="42" fillId="20" borderId="1" xfId="0" applyFont="1" applyFill="1" applyBorder="1" applyAlignment="1">
      <alignment horizontal="left" vertical="top"/>
    </xf>
    <xf numFmtId="0" fontId="42" fillId="20" borderId="8" xfId="0" applyFont="1" applyFill="1" applyBorder="1" applyAlignment="1">
      <alignment horizontal="left" vertical="top"/>
    </xf>
    <xf numFmtId="0" fontId="35" fillId="0" borderId="6" xfId="0" applyFont="1" applyBorder="1" applyAlignment="1">
      <alignment vertical="top"/>
    </xf>
    <xf numFmtId="0" fontId="18" fillId="0" borderId="2" xfId="0" applyFont="1" applyBorder="1" applyAlignment="1">
      <alignment horizontal="left" vertical="top"/>
    </xf>
    <xf numFmtId="0" fontId="18" fillId="0" borderId="6" xfId="0" applyFont="1" applyBorder="1" applyAlignment="1">
      <alignment horizontal="left" vertical="top"/>
    </xf>
    <xf numFmtId="0" fontId="18" fillId="0" borderId="6" xfId="0" applyFont="1" applyBorder="1" applyAlignment="1">
      <alignment horizontal="center" vertical="top"/>
    </xf>
    <xf numFmtId="0" fontId="18" fillId="5" borderId="6" xfId="0" applyFont="1" applyFill="1" applyBorder="1" applyAlignment="1">
      <alignment horizontal="left" vertical="top"/>
    </xf>
    <xf numFmtId="0" fontId="43" fillId="0" borderId="6" xfId="0" applyFont="1" applyBorder="1" applyAlignment="1">
      <alignment horizontal="left" vertical="top"/>
    </xf>
    <xf numFmtId="0" fontId="18" fillId="0" borderId="9" xfId="0" applyFont="1" applyBorder="1" applyAlignment="1">
      <alignment horizontal="center" vertical="top"/>
    </xf>
    <xf numFmtId="0" fontId="13" fillId="0" borderId="10" xfId="0" applyFont="1" applyBorder="1" applyAlignment="1">
      <alignment horizontal="left" vertical="top"/>
    </xf>
    <xf numFmtId="0" fontId="18" fillId="0" borderId="3" xfId="0" applyFont="1" applyBorder="1" applyAlignment="1">
      <alignment horizontal="left" vertical="top"/>
    </xf>
    <xf numFmtId="0" fontId="18" fillId="0" borderId="4" xfId="0" applyFont="1" applyBorder="1" applyAlignment="1">
      <alignment horizontal="left" vertical="top"/>
    </xf>
    <xf numFmtId="0" fontId="18" fillId="0" borderId="4" xfId="0" applyFont="1" applyBorder="1" applyAlignment="1">
      <alignment horizontal="center" vertical="top"/>
    </xf>
    <xf numFmtId="0" fontId="18" fillId="5" borderId="4" xfId="0" applyFont="1" applyFill="1" applyBorder="1" applyAlignment="1">
      <alignment horizontal="left" vertical="top"/>
    </xf>
    <xf numFmtId="0" fontId="43" fillId="0" borderId="4" xfId="0" applyFont="1" applyBorder="1" applyAlignment="1">
      <alignment horizontal="left" vertical="top"/>
    </xf>
    <xf numFmtId="0" fontId="43" fillId="0" borderId="0" xfId="0" applyFont="1" applyAlignment="1">
      <alignment vertical="top"/>
    </xf>
    <xf numFmtId="0" fontId="44" fillId="0" borderId="6" xfId="0" applyFont="1" applyBorder="1" applyAlignment="1">
      <alignment horizontal="left" vertical="top"/>
    </xf>
    <xf numFmtId="0" fontId="13" fillId="0" borderId="11" xfId="0" applyFont="1" applyBorder="1" applyAlignment="1">
      <alignment horizontal="left" vertical="top"/>
    </xf>
    <xf numFmtId="0" fontId="13" fillId="0" borderId="11" xfId="0" applyFont="1" applyBorder="1" applyAlignment="1">
      <alignment horizontal="center" vertical="top"/>
    </xf>
    <xf numFmtId="0" fontId="14" fillId="5" borderId="2" xfId="0" applyFont="1" applyFill="1" applyBorder="1" applyAlignment="1">
      <alignment vertical="top"/>
    </xf>
    <xf numFmtId="0" fontId="35" fillId="0" borderId="6" xfId="0" applyFont="1" applyBorder="1" applyAlignment="1">
      <alignment horizontal="center" vertical="top"/>
    </xf>
    <xf numFmtId="0" fontId="35" fillId="0" borderId="6" xfId="0" applyFont="1" applyBorder="1" applyAlignment="1">
      <alignment horizontal="left" vertical="top"/>
    </xf>
    <xf numFmtId="0" fontId="13" fillId="3" borderId="6" xfId="0" applyFont="1" applyFill="1" applyBorder="1" applyAlignment="1">
      <alignment horizontal="left" vertical="top"/>
    </xf>
    <xf numFmtId="0" fontId="14" fillId="5" borderId="0" xfId="0" applyFont="1" applyFill="1" applyAlignment="1">
      <alignment vertical="top"/>
    </xf>
    <xf numFmtId="0" fontId="45" fillId="0" borderId="6" xfId="0" applyFont="1" applyBorder="1" applyAlignment="1">
      <alignment vertical="top"/>
    </xf>
    <xf numFmtId="0" fontId="13" fillId="0" borderId="0" xfId="0" applyFont="1" applyAlignment="1">
      <alignment horizontal="center" vertical="top"/>
    </xf>
    <xf numFmtId="0" fontId="35" fillId="0" borderId="0" xfId="0" applyFont="1" applyAlignment="1">
      <alignment horizontal="left" vertical="top"/>
    </xf>
    <xf numFmtId="0" fontId="13" fillId="0" borderId="6" xfId="0" applyFont="1" applyBorder="1" applyAlignment="1">
      <alignment horizontal="left" vertical="top" wrapText="1"/>
    </xf>
    <xf numFmtId="49" fontId="13" fillId="0" borderId="2" xfId="0" applyNumberFormat="1" applyFont="1" applyBorder="1" applyAlignment="1">
      <alignment horizontal="left" vertical="top"/>
    </xf>
    <xf numFmtId="0" fontId="13" fillId="0" borderId="7" xfId="0" applyFont="1" applyBorder="1" applyAlignment="1">
      <alignment vertical="top"/>
    </xf>
    <xf numFmtId="0" fontId="13" fillId="0" borderId="10" xfId="0" applyFont="1" applyBorder="1" applyAlignment="1">
      <alignment vertical="top"/>
    </xf>
    <xf numFmtId="0" fontId="20" fillId="0" borderId="7" xfId="0" applyFont="1" applyBorder="1" applyAlignment="1">
      <alignment horizontal="left" vertical="top"/>
    </xf>
    <xf numFmtId="0" fontId="3" fillId="0" borderId="6" xfId="0" applyFont="1" applyBorder="1" applyAlignment="1">
      <alignment horizontal="left" vertical="top"/>
    </xf>
    <xf numFmtId="0" fontId="3" fillId="0" borderId="6" xfId="0" applyFont="1" applyBorder="1" applyAlignment="1">
      <alignment horizontal="center" vertical="top"/>
    </xf>
    <xf numFmtId="0" fontId="18" fillId="0" borderId="7" xfId="0" applyFont="1" applyBorder="1" applyAlignment="1">
      <alignment horizontal="left" vertical="top"/>
    </xf>
    <xf numFmtId="0" fontId="18" fillId="5" borderId="7" xfId="0" applyFont="1" applyFill="1" applyBorder="1" applyAlignment="1">
      <alignment horizontal="left" vertical="top"/>
    </xf>
    <xf numFmtId="0" fontId="18" fillId="5" borderId="12" xfId="0" applyFont="1" applyFill="1" applyBorder="1" applyAlignment="1">
      <alignment horizontal="left" vertical="top"/>
    </xf>
    <xf numFmtId="0" fontId="18" fillId="0" borderId="0" xfId="0" applyFont="1" applyAlignment="1">
      <alignment horizontal="left" vertical="top"/>
    </xf>
    <xf numFmtId="0" fontId="43" fillId="0" borderId="10" xfId="0" applyFont="1" applyBorder="1" applyAlignment="1">
      <alignment horizontal="left" vertical="top"/>
    </xf>
    <xf numFmtId="0" fontId="13" fillId="0" borderId="6" xfId="0" applyFont="1" applyBorder="1" applyAlignment="1">
      <alignment vertical="top" wrapText="1"/>
    </xf>
    <xf numFmtId="0" fontId="43" fillId="5" borderId="6" xfId="0" applyFont="1" applyFill="1" applyBorder="1" applyAlignment="1">
      <alignment horizontal="left" vertical="top"/>
    </xf>
    <xf numFmtId="0" fontId="46" fillId="0" borderId="6" xfId="0" applyFont="1" applyBorder="1" applyAlignment="1">
      <alignment horizontal="left" vertical="top"/>
    </xf>
    <xf numFmtId="0" fontId="46" fillId="0" borderId="0" xfId="0" applyFont="1" applyAlignment="1">
      <alignment horizontal="left" vertical="top"/>
    </xf>
    <xf numFmtId="0" fontId="18" fillId="5" borderId="2" xfId="0" applyFont="1" applyFill="1" applyBorder="1" applyAlignment="1">
      <alignment horizontal="left" vertical="top"/>
    </xf>
    <xf numFmtId="0" fontId="18" fillId="0" borderId="9" xfId="0" applyFont="1" applyBorder="1" applyAlignment="1">
      <alignment horizontal="left" vertical="top"/>
    </xf>
    <xf numFmtId="0" fontId="47" fillId="0" borderId="6" xfId="0" applyFont="1" applyBorder="1" applyAlignment="1">
      <alignment horizontal="left" vertical="top"/>
    </xf>
    <xf numFmtId="0" fontId="18" fillId="5" borderId="9" xfId="0" applyFont="1" applyFill="1" applyBorder="1" applyAlignment="1">
      <alignment horizontal="left" vertical="top"/>
    </xf>
    <xf numFmtId="0" fontId="18" fillId="3" borderId="6" xfId="0" applyFont="1" applyFill="1" applyBorder="1" applyAlignment="1">
      <alignment horizontal="left" vertical="top"/>
    </xf>
    <xf numFmtId="0" fontId="42" fillId="0" borderId="1" xfId="0" applyFont="1" applyBorder="1" applyAlignment="1">
      <alignment horizontal="left" vertical="top"/>
    </xf>
    <xf numFmtId="49" fontId="19" fillId="0" borderId="2" xfId="0" applyNumberFormat="1" applyFont="1" applyBorder="1" applyAlignment="1">
      <alignment horizontal="center" vertical="top"/>
    </xf>
    <xf numFmtId="49" fontId="19" fillId="0" borderId="3" xfId="0" applyNumberFormat="1" applyFont="1" applyBorder="1" applyAlignment="1">
      <alignment horizontal="center" vertical="top"/>
    </xf>
    <xf numFmtId="0" fontId="48" fillId="0" borderId="0" xfId="0" applyFont="1" applyAlignment="1">
      <alignment horizontal="left" vertical="top"/>
    </xf>
    <xf numFmtId="0" fontId="20" fillId="0" borderId="6" xfId="0" applyFont="1" applyBorder="1" applyAlignment="1">
      <alignment horizontal="left" vertical="top" wrapText="1"/>
    </xf>
    <xf numFmtId="0" fontId="35" fillId="0" borderId="4" xfId="0" applyFont="1" applyBorder="1" applyAlignment="1">
      <alignment horizontal="left" vertical="top"/>
    </xf>
    <xf numFmtId="0" fontId="3" fillId="0" borderId="2" xfId="0" applyFont="1" applyBorder="1" applyAlignment="1">
      <alignment horizontal="left" vertical="top"/>
    </xf>
    <xf numFmtId="0" fontId="3" fillId="0" borderId="4" xfId="0" applyFont="1" applyBorder="1" applyAlignment="1">
      <alignment horizontal="left" vertical="top"/>
    </xf>
    <xf numFmtId="0" fontId="20" fillId="0" borderId="5" xfId="0" applyFont="1" applyBorder="1" applyAlignment="1">
      <alignment horizontal="left" vertical="top"/>
    </xf>
    <xf numFmtId="0" fontId="20" fillId="0" borderId="14" xfId="0" applyFont="1" applyBorder="1" applyAlignment="1">
      <alignment horizontal="left" vertical="top"/>
    </xf>
    <xf numFmtId="0" fontId="20" fillId="0" borderId="13" xfId="0" applyFont="1" applyBorder="1" applyAlignment="1">
      <alignment horizontal="left" vertical="top"/>
    </xf>
    <xf numFmtId="0" fontId="42" fillId="20" borderId="6" xfId="0" applyFont="1" applyFill="1" applyBorder="1" applyAlignment="1">
      <alignment horizontal="left" vertical="top"/>
    </xf>
    <xf numFmtId="0" fontId="6" fillId="0" borderId="6" xfId="0" applyFont="1" applyBorder="1" applyAlignment="1">
      <alignment horizontal="left" vertical="top"/>
    </xf>
    <xf numFmtId="0" fontId="3" fillId="0" borderId="3" xfId="0" applyFont="1" applyBorder="1" applyAlignment="1">
      <alignment horizontal="left" vertical="top"/>
    </xf>
    <xf numFmtId="0" fontId="6" fillId="0" borderId="4" xfId="0" applyFont="1" applyBorder="1" applyAlignment="1">
      <alignment horizontal="left" vertical="top"/>
    </xf>
    <xf numFmtId="0" fontId="5" fillId="0" borderId="6" xfId="0" applyFont="1" applyBorder="1" applyAlignment="1">
      <alignment horizontal="left" vertical="top"/>
    </xf>
    <xf numFmtId="0" fontId="20" fillId="0" borderId="2" xfId="0" applyFont="1" applyBorder="1" applyAlignment="1">
      <alignment vertical="top"/>
    </xf>
    <xf numFmtId="0" fontId="5" fillId="0" borderId="2" xfId="0" applyFont="1" applyBorder="1" applyAlignment="1">
      <alignment horizontal="left" vertical="top"/>
    </xf>
    <xf numFmtId="0" fontId="9" fillId="0" borderId="0" xfId="0" applyFont="1" applyAlignment="1">
      <alignment horizontal="left" vertical="top"/>
    </xf>
    <xf numFmtId="0" fontId="5" fillId="0" borderId="3" xfId="0" applyFont="1" applyBorder="1" applyAlignment="1">
      <alignment horizontal="left" vertical="top"/>
    </xf>
    <xf numFmtId="0" fontId="5" fillId="0" borderId="4" xfId="0" applyFont="1" applyBorder="1" applyAlignment="1">
      <alignment horizontal="left" vertical="top"/>
    </xf>
    <xf numFmtId="0" fontId="19" fillId="4" borderId="2" xfId="0" applyFont="1" applyFill="1" applyBorder="1" applyAlignment="1">
      <alignment horizontal="center" vertical="top"/>
    </xf>
    <xf numFmtId="0" fontId="19" fillId="4" borderId="3" xfId="0" applyFont="1" applyFill="1" applyBorder="1" applyAlignment="1">
      <alignment horizontal="center" vertical="top"/>
    </xf>
    <xf numFmtId="0" fontId="13" fillId="0" borderId="0" xfId="0" applyFont="1"/>
    <xf numFmtId="0" fontId="18" fillId="5" borderId="3" xfId="0" applyFont="1" applyFill="1" applyBorder="1" applyAlignment="1">
      <alignment horizontal="left" vertical="top"/>
    </xf>
    <xf numFmtId="0" fontId="18" fillId="5" borderId="2" xfId="0" applyFont="1" applyFill="1" applyBorder="1" applyAlignment="1">
      <alignment vertical="top"/>
    </xf>
    <xf numFmtId="0" fontId="18" fillId="5" borderId="13" xfId="0" applyFont="1" applyFill="1" applyBorder="1" applyAlignment="1">
      <alignment horizontal="left" vertical="top"/>
    </xf>
    <xf numFmtId="0" fontId="18" fillId="5" borderId="3" xfId="0" applyFont="1" applyFill="1" applyBorder="1" applyAlignment="1">
      <alignment vertical="top"/>
    </xf>
    <xf numFmtId="0" fontId="43" fillId="5" borderId="4" xfId="0" applyFont="1" applyFill="1" applyBorder="1" applyAlignment="1">
      <alignment horizontal="left" vertical="top"/>
    </xf>
    <xf numFmtId="0" fontId="20" fillId="0" borderId="3" xfId="0" applyFont="1" applyBorder="1" applyAlignment="1">
      <alignment horizontal="left" vertical="top"/>
    </xf>
    <xf numFmtId="0" fontId="13" fillId="5" borderId="5" xfId="0" applyFont="1" applyFill="1" applyBorder="1" applyAlignment="1">
      <alignment horizontal="left" vertical="top"/>
    </xf>
    <xf numFmtId="0" fontId="20" fillId="20" borderId="8" xfId="0" applyFont="1" applyFill="1" applyBorder="1" applyAlignment="1">
      <alignment horizontal="left" vertical="top"/>
    </xf>
    <xf numFmtId="0" fontId="20" fillId="0" borderId="9" xfId="0" applyFont="1" applyBorder="1" applyAlignment="1">
      <alignment horizontal="left" vertical="top"/>
    </xf>
    <xf numFmtId="0" fontId="49" fillId="0" borderId="2" xfId="0" applyFont="1" applyBorder="1" applyAlignment="1">
      <alignment horizontal="left" vertical="top"/>
    </xf>
    <xf numFmtId="0" fontId="42" fillId="20" borderId="4" xfId="0" applyFont="1" applyFill="1" applyBorder="1" applyAlignment="1">
      <alignment horizontal="left" vertical="top"/>
    </xf>
    <xf numFmtId="0" fontId="3" fillId="0" borderId="0" xfId="0" applyFont="1" applyAlignment="1">
      <alignment horizontal="center" vertical="top" wrapText="1"/>
    </xf>
    <xf numFmtId="0" fontId="18" fillId="0" borderId="2" xfId="0" applyFont="1" applyBorder="1" applyAlignment="1">
      <alignment vertical="top"/>
    </xf>
    <xf numFmtId="0" fontId="43" fillId="5" borderId="2" xfId="0" applyFont="1" applyFill="1" applyBorder="1" applyAlignment="1">
      <alignment vertical="top"/>
    </xf>
    <xf numFmtId="0" fontId="6" fillId="0" borderId="2" xfId="0" applyFont="1" applyBorder="1" applyAlignment="1">
      <alignment vertical="top"/>
    </xf>
    <xf numFmtId="0" fontId="33" fillId="0" borderId="6" xfId="0" applyFont="1" applyBorder="1" applyAlignment="1">
      <alignment horizontal="left" vertical="top"/>
    </xf>
    <xf numFmtId="0" fontId="33" fillId="0" borderId="4" xfId="0" applyFont="1" applyBorder="1" applyAlignment="1">
      <alignment horizontal="left" vertical="top"/>
    </xf>
    <xf numFmtId="0" fontId="50" fillId="0" borderId="0" xfId="0" applyFont="1" applyAlignment="1">
      <alignment horizontal="left" vertical="top"/>
    </xf>
    <xf numFmtId="0" fontId="20" fillId="0" borderId="15" xfId="0" applyFont="1" applyBorder="1" applyAlignment="1">
      <alignment horizontal="left" vertical="top"/>
    </xf>
    <xf numFmtId="0" fontId="13" fillId="5" borderId="14" xfId="0" applyFont="1" applyFill="1" applyBorder="1" applyAlignment="1">
      <alignment horizontal="left" vertical="top"/>
    </xf>
    <xf numFmtId="0" fontId="33" fillId="0" borderId="7" xfId="0" applyFont="1" applyBorder="1" applyAlignment="1">
      <alignment horizontal="left" vertical="top"/>
    </xf>
    <xf numFmtId="0" fontId="33" fillId="0" borderId="2" xfId="0" applyFont="1" applyBorder="1" applyAlignment="1">
      <alignment horizontal="left" vertical="top"/>
    </xf>
    <xf numFmtId="0" fontId="51" fillId="0" borderId="6" xfId="0" applyFont="1" applyBorder="1" applyAlignment="1">
      <alignment horizontal="left" vertical="top"/>
    </xf>
    <xf numFmtId="0" fontId="51" fillId="0" borderId="4" xfId="0" applyFont="1" applyBorder="1" applyAlignment="1">
      <alignment horizontal="left" vertical="top"/>
    </xf>
    <xf numFmtId="0" fontId="51" fillId="0" borderId="4" xfId="0" applyFont="1" applyBorder="1" applyAlignment="1">
      <alignment horizontal="center" vertical="top"/>
    </xf>
    <xf numFmtId="0" fontId="52" fillId="0" borderId="6" xfId="0" applyFont="1" applyBorder="1" applyAlignment="1">
      <alignment horizontal="left" vertical="top"/>
    </xf>
    <xf numFmtId="0" fontId="33" fillId="0" borderId="2" xfId="0" applyFont="1" applyBorder="1" applyAlignment="1">
      <alignment vertical="top"/>
    </xf>
    <xf numFmtId="0" fontId="53" fillId="0" borderId="6" xfId="0" applyFont="1" applyBorder="1" applyAlignment="1">
      <alignment vertical="top"/>
    </xf>
    <xf numFmtId="0" fontId="13" fillId="0" borderId="2" xfId="0" applyFont="1" applyBorder="1" applyAlignment="1">
      <alignment vertical="top" wrapText="1"/>
    </xf>
    <xf numFmtId="0" fontId="13" fillId="0" borderId="3" xfId="0" applyFont="1" applyBorder="1" applyAlignment="1">
      <alignment horizontal="center" vertical="top"/>
    </xf>
    <xf numFmtId="0" fontId="18" fillId="5" borderId="6" xfId="0" applyFont="1" applyFill="1" applyBorder="1" applyAlignment="1">
      <alignment vertical="top"/>
    </xf>
    <xf numFmtId="0" fontId="13" fillId="3" borderId="2" xfId="0" applyFont="1" applyFill="1" applyBorder="1" applyAlignment="1">
      <alignment horizontal="left" vertical="top"/>
    </xf>
    <xf numFmtId="0" fontId="51" fillId="0" borderId="2" xfId="0" applyFont="1" applyBorder="1" applyAlignment="1">
      <alignment horizontal="left" vertical="top"/>
    </xf>
    <xf numFmtId="0" fontId="20" fillId="0" borderId="0" xfId="0" applyFont="1"/>
    <xf numFmtId="0" fontId="54" fillId="0" borderId="0" xfId="0" applyFont="1" applyAlignment="1">
      <alignment horizontal="left" vertical="top"/>
    </xf>
    <xf numFmtId="0" fontId="43" fillId="0" borderId="2" xfId="0" applyFont="1" applyBorder="1" applyAlignment="1">
      <alignment horizontal="left" vertical="top"/>
    </xf>
    <xf numFmtId="0" fontId="55" fillId="0" borderId="2" xfId="0" applyFont="1" applyBorder="1" applyAlignment="1">
      <alignment horizontal="left" vertical="top"/>
    </xf>
    <xf numFmtId="0" fontId="35" fillId="0" borderId="2" xfId="0" applyFont="1" applyBorder="1" applyAlignment="1">
      <alignment horizontal="left" vertical="top"/>
    </xf>
    <xf numFmtId="0" fontId="13" fillId="0" borderId="16" xfId="0" applyFont="1" applyBorder="1" applyAlignment="1">
      <alignment horizontal="left" vertical="top"/>
    </xf>
    <xf numFmtId="0" fontId="20" fillId="0" borderId="11" xfId="0" applyFont="1" applyBorder="1" applyAlignment="1">
      <alignment horizontal="left" vertical="top"/>
    </xf>
    <xf numFmtId="0" fontId="43" fillId="0" borderId="0" xfId="0" applyFont="1"/>
    <xf numFmtId="0" fontId="50" fillId="0" borderId="2" xfId="0" applyFont="1" applyBorder="1" applyAlignment="1">
      <alignment horizontal="left" vertical="top"/>
    </xf>
    <xf numFmtId="0" fontId="43" fillId="5" borderId="2" xfId="0" applyFont="1" applyFill="1" applyBorder="1" applyAlignment="1">
      <alignment horizontal="left" vertical="top"/>
    </xf>
    <xf numFmtId="0" fontId="20" fillId="0" borderId="2" xfId="0" applyFont="1" applyBorder="1"/>
    <xf numFmtId="0" fontId="56" fillId="0" borderId="2" xfId="0" applyFont="1" applyBorder="1" applyAlignment="1">
      <alignment horizontal="left" vertical="top"/>
    </xf>
    <xf numFmtId="0" fontId="57" fillId="0" borderId="2" xfId="0" applyFont="1" applyBorder="1" applyAlignment="1">
      <alignment horizontal="left" vertical="top"/>
    </xf>
    <xf numFmtId="0" fontId="50" fillId="0" borderId="0" xfId="0" applyFont="1" applyAlignment="1">
      <alignment vertical="top"/>
    </xf>
    <xf numFmtId="0" fontId="56" fillId="0" borderId="0" xfId="0" applyFont="1" applyAlignment="1">
      <alignment horizontal="left" vertical="top"/>
    </xf>
    <xf numFmtId="0" fontId="58" fillId="0" borderId="2" xfId="0" applyFont="1" applyBorder="1" applyAlignment="1">
      <alignment horizontal="left" vertical="top"/>
    </xf>
    <xf numFmtId="0" fontId="33" fillId="5" borderId="2" xfId="0" applyFont="1" applyFill="1" applyBorder="1" applyAlignment="1">
      <alignment horizontal="left" vertical="top"/>
    </xf>
    <xf numFmtId="0" fontId="20" fillId="5" borderId="2" xfId="0" applyFont="1" applyFill="1" applyBorder="1" applyAlignment="1">
      <alignment horizontal="left" vertical="top"/>
    </xf>
    <xf numFmtId="0" fontId="5" fillId="0" borderId="2" xfId="0" applyFont="1" applyBorder="1" applyAlignment="1">
      <alignment horizontal="left" wrapText="1"/>
    </xf>
    <xf numFmtId="0" fontId="18" fillId="0" borderId="2" xfId="0" applyFont="1" applyBorder="1" applyAlignment="1">
      <alignment vertical="top" wrapText="1"/>
    </xf>
    <xf numFmtId="0" fontId="9" fillId="0" borderId="0" xfId="0" applyFont="1" applyAlignment="1">
      <alignment vertical="top"/>
    </xf>
    <xf numFmtId="0" fontId="20" fillId="0" borderId="7" xfId="0" applyFont="1" applyBorder="1" applyAlignment="1">
      <alignment vertical="top"/>
    </xf>
    <xf numFmtId="0" fontId="3" fillId="0" borderId="7" xfId="0" applyFont="1" applyBorder="1" applyAlignment="1">
      <alignment horizontal="left" vertical="top"/>
    </xf>
    <xf numFmtId="0" fontId="59" fillId="0" borderId="2" xfId="0" applyFont="1" applyBorder="1" applyAlignment="1">
      <alignment horizontal="left" vertical="top"/>
    </xf>
    <xf numFmtId="0" fontId="51" fillId="0" borderId="16" xfId="0" applyFont="1" applyBorder="1" applyAlignment="1">
      <alignment horizontal="left" vertical="top"/>
    </xf>
    <xf numFmtId="0" fontId="20" fillId="0" borderId="7" xfId="0" applyFont="1" applyBorder="1"/>
    <xf numFmtId="49" fontId="3" fillId="0" borderId="0" xfId="0" applyNumberFormat="1" applyFont="1" applyAlignment="1">
      <alignment horizontal="center" vertical="top" wrapText="1"/>
    </xf>
    <xf numFmtId="0" fontId="3" fillId="0" borderId="0" xfId="0" applyFont="1" applyAlignment="1">
      <alignment horizontal="left" vertical="top" wrapText="1"/>
    </xf>
    <xf numFmtId="0" fontId="1" fillId="0" borderId="0" xfId="0" applyFont="1" applyAlignment="1">
      <alignment horizontal="center" vertical="top" wrapText="1"/>
    </xf>
    <xf numFmtId="0" fontId="3" fillId="5" borderId="0" xfId="0" applyFont="1" applyFill="1" applyAlignment="1">
      <alignment horizontal="center" vertical="top" wrapText="1"/>
    </xf>
    <xf numFmtId="0" fontId="6" fillId="0" borderId="0" xfId="0" applyFont="1" applyAlignment="1">
      <alignment horizontal="left" vertical="top" wrapText="1"/>
    </xf>
    <xf numFmtId="0" fontId="6" fillId="5" borderId="5" xfId="0" applyFont="1" applyFill="1" applyBorder="1" applyAlignment="1">
      <alignment horizontal="left" vertical="top" wrapText="1"/>
    </xf>
    <xf numFmtId="0" fontId="6" fillId="0" borderId="5" xfId="0" applyFont="1" applyBorder="1" applyAlignment="1">
      <alignment horizontal="left" vertical="top" wrapText="1"/>
    </xf>
    <xf numFmtId="49" fontId="60" fillId="6" borderId="2" xfId="0" applyNumberFormat="1" applyFont="1" applyFill="1" applyBorder="1" applyAlignment="1">
      <alignment horizontal="center" vertical="top" wrapText="1"/>
    </xf>
    <xf numFmtId="0" fontId="60" fillId="4" borderId="2" xfId="0" applyFont="1" applyFill="1" applyBorder="1" applyAlignment="1">
      <alignment horizontal="center" vertical="top" wrapText="1"/>
    </xf>
    <xf numFmtId="0" fontId="25" fillId="0" borderId="2" xfId="0" applyFont="1" applyBorder="1" applyAlignment="1">
      <alignment horizontal="left" vertical="top" wrapText="1"/>
    </xf>
    <xf numFmtId="0" fontId="25" fillId="5" borderId="2" xfId="0" applyFont="1" applyFill="1" applyBorder="1" applyAlignment="1">
      <alignment horizontal="left" vertical="top" wrapText="1"/>
    </xf>
    <xf numFmtId="49" fontId="60" fillId="5" borderId="2" xfId="0" applyNumberFormat="1" applyFont="1" applyFill="1" applyBorder="1" applyAlignment="1">
      <alignment horizontal="center" vertical="top" wrapText="1"/>
    </xf>
    <xf numFmtId="0" fontId="11" fillId="11" borderId="2" xfId="0" applyFont="1" applyFill="1" applyBorder="1" applyAlignment="1">
      <alignment horizontal="center" vertical="top" wrapText="1"/>
    </xf>
    <xf numFmtId="0" fontId="60" fillId="0" borderId="2" xfId="0" applyFont="1" applyBorder="1" applyAlignment="1">
      <alignment horizontal="center"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2:L8112"/>
  <sheetViews>
    <sheetView tabSelected="1" topLeftCell="A4750" workbookViewId="0">
      <selection activeCell="A4751" sqref="A3608:XFD4751"/>
    </sheetView>
  </sheetViews>
  <sheetFormatPr defaultRowHeight="15"/>
  <cols>
    <col min="3" max="4" width="0" hidden="1" customWidth="1"/>
    <col min="5" max="6" width="21.5703125" customWidth="1"/>
    <col min="7" max="7" width="10.28515625" bestFit="1" customWidth="1"/>
    <col min="9" max="9" width="9.28515625" bestFit="1" customWidth="1"/>
    <col min="10" max="10" width="11" bestFit="1" customWidth="1"/>
    <col min="11" max="11" width="10.140625" customWidth="1"/>
    <col min="12" max="12" width="35.140625" customWidth="1"/>
  </cols>
  <sheetData>
    <row r="2" spans="1:12">
      <c r="E2" t="s">
        <v>13848</v>
      </c>
    </row>
    <row r="4" spans="1:12" ht="38.25">
      <c r="A4" s="1" t="s">
        <v>0</v>
      </c>
      <c r="B4" s="2" t="s">
        <v>1</v>
      </c>
      <c r="C4" s="3" t="s">
        <v>2</v>
      </c>
      <c r="D4" s="4" t="s">
        <v>3</v>
      </c>
      <c r="E4" s="3" t="s">
        <v>4</v>
      </c>
      <c r="F4" s="3" t="s">
        <v>5</v>
      </c>
      <c r="G4" s="3" t="s">
        <v>6</v>
      </c>
      <c r="H4" s="3" t="s">
        <v>7</v>
      </c>
      <c r="I4" s="5" t="s">
        <v>8</v>
      </c>
      <c r="J4" s="6" t="s">
        <v>13847</v>
      </c>
      <c r="K4" s="3" t="s">
        <v>9</v>
      </c>
      <c r="L4" s="7" t="s">
        <v>10</v>
      </c>
    </row>
    <row r="5" spans="1:12" ht="168.75">
      <c r="A5" s="8" t="s">
        <v>11</v>
      </c>
      <c r="B5" s="9" t="s">
        <v>12</v>
      </c>
      <c r="C5" s="10" t="s">
        <v>13</v>
      </c>
      <c r="D5" s="10" t="str">
        <f ca="1">IFERROR(__xludf.DUMMYFUNCTION(" VLOOKUP(A2, IMPORTRANGE(""https://docs.google.com/spreadsheets/d/1fj_Bhi2XPL3siwIh4sx4VRLAe31yD50oKdj5UlRYW0c/"", ""Сводка!A:AA""), 11, FALSE)"),"978-601-327-730")</f>
        <v>978-601-327-730</v>
      </c>
      <c r="E5" s="11" t="s">
        <v>14</v>
      </c>
      <c r="F5" s="11" t="s">
        <v>15</v>
      </c>
      <c r="G5" s="12">
        <f ca="1">IFERROR(__xludf.DUMMYFUNCTION(" VLOOKUP(A2, IMPORTRANGE(""https://docs.google.com/spreadsheets/d/1fj_Bhi2XPL3siwIh4sx4VRLAe31yD50oKdj5UlRYW0c/"", ""Сводка!A:AA""), 5, FALSE)"),100)</f>
        <v>100</v>
      </c>
      <c r="H5" s="12" t="s">
        <v>16</v>
      </c>
      <c r="I5" s="10">
        <f ca="1">IFERROR(__xludf.DUMMYFUNCTION(" VLOOKUP(A2, IMPORTRANGE(""https://docs.google.com/spreadsheets/d/1QNLbnkR_AongFt22vMfNzfpjZ0CjpI8QI-w0wBnYA1w/"", ""Инфа!A:AA""), 6, FALSE)"),2024)</f>
        <v>2024</v>
      </c>
      <c r="J5" s="5">
        <f ca="1">ROUND((5000+G5*30),-2)</f>
        <v>8000</v>
      </c>
      <c r="K5" s="12" t="s">
        <v>17</v>
      </c>
      <c r="L5" s="15" t="s">
        <v>19</v>
      </c>
    </row>
    <row r="6" spans="1:12" ht="146.25">
      <c r="A6" s="8" t="s">
        <v>20</v>
      </c>
      <c r="B6" s="9" t="s">
        <v>12</v>
      </c>
      <c r="C6" s="10" t="s">
        <v>21</v>
      </c>
      <c r="D6" s="10" t="str">
        <f ca="1">IFERROR(__xludf.DUMMYFUNCTION(" VLOOKUP(A3, IMPORTRANGE(""https://docs.google.com/spreadsheets/d/1fj_Bhi2XPL3siwIh4sx4VRLAe31yD50oKdj5UlRYW0c/"", ""Сводка!A:AA""), 11, FALSE)"),"978-601-7868-06-2")</f>
        <v>978-601-7868-06-2</v>
      </c>
      <c r="E6" s="11" t="s">
        <v>22</v>
      </c>
      <c r="F6" s="11" t="s">
        <v>23</v>
      </c>
      <c r="G6" s="12">
        <f ca="1">IFERROR(__xludf.DUMMYFUNCTION(" VLOOKUP(A3, IMPORTRANGE(""https://docs.google.com/spreadsheets/d/1fj_Bhi2XPL3siwIh4sx4VRLAe31yD50oKdj5UlRYW0c/"", ""Сводка!A:AA""), 5, FALSE)"),156)</f>
        <v>156</v>
      </c>
      <c r="H6" s="12" t="s">
        <v>24</v>
      </c>
      <c r="I6" s="10">
        <f ca="1">IFERROR(__xludf.DUMMYFUNCTION(" VLOOKUP(A3, IMPORTRANGE(""https://docs.google.com/spreadsheets/d/1QNLbnkR_AongFt22vMfNzfpjZ0CjpI8QI-w0wBnYA1w/"", ""Инфа!A:AA""), 6, FALSE)"),2024)</f>
        <v>2024</v>
      </c>
      <c r="J6" s="5">
        <f ca="1">ROUND((5000+G6*60),-2)</f>
        <v>14400</v>
      </c>
      <c r="K6" s="12" t="s">
        <v>25</v>
      </c>
      <c r="L6" s="15" t="s">
        <v>27</v>
      </c>
    </row>
    <row r="7" spans="1:12" ht="292.5">
      <c r="A7" s="8" t="s">
        <v>28</v>
      </c>
      <c r="B7" s="9" t="s">
        <v>12</v>
      </c>
      <c r="C7" s="10" t="s">
        <v>13</v>
      </c>
      <c r="D7" s="10" t="str">
        <f ca="1">IFERROR(__xludf.DUMMYFUNCTION(" VLOOKUP(A4, IMPORTRANGE(""https://docs.google.com/spreadsheets/d/1fj_Bhi2XPL3siwIh4sx4VRLAe31yD50oKdj5UlRYW0c/"", ""Сводка!A:AA""), 11, FALSE)"),"978-601-327-997-8")</f>
        <v>978-601-327-997-8</v>
      </c>
      <c r="E7" s="11" t="s">
        <v>29</v>
      </c>
      <c r="F7" s="11" t="s">
        <v>30</v>
      </c>
      <c r="G7" s="12">
        <f ca="1">IFERROR(__xludf.DUMMYFUNCTION(" VLOOKUP(A4, IMPORTRANGE(""https://docs.google.com/spreadsheets/d/1fj_Bhi2XPL3siwIh4sx4VRLAe31yD50oKdj5UlRYW0c/"", ""Сводка!A:AA""), 5, FALSE)"),192)</f>
        <v>192</v>
      </c>
      <c r="H7" s="12" t="s">
        <v>31</v>
      </c>
      <c r="I7" s="10">
        <f ca="1">IFERROR(__xludf.DUMMYFUNCTION(" VLOOKUP(A4, IMPORTRANGE(""https://docs.google.com/spreadsheets/d/1QNLbnkR_AongFt22vMfNzfpjZ0CjpI8QI-w0wBnYA1w/"", ""Инфа!A:AA""), 6, FALSE)"),2024)</f>
        <v>2024</v>
      </c>
      <c r="J7" s="5">
        <f ca="1">ROUND((5000+G7*30),-2)</f>
        <v>10800</v>
      </c>
      <c r="K7" s="12" t="s">
        <v>17</v>
      </c>
      <c r="L7" s="15" t="s">
        <v>32</v>
      </c>
    </row>
    <row r="8" spans="1:12" ht="168.75">
      <c r="A8" s="8" t="s">
        <v>33</v>
      </c>
      <c r="B8" s="9" t="s">
        <v>12</v>
      </c>
      <c r="C8" s="10" t="s">
        <v>21</v>
      </c>
      <c r="D8" s="10" t="str">
        <f ca="1">IFERROR(__xludf.DUMMYFUNCTION(" VLOOKUP(A5, IMPORTRANGE(""https://docs.google.com/spreadsheets/d/1fj_Bhi2XPL3siwIh4sx4VRLAe31yD50oKdj5UlRYW0c/"", ""Сводка!A:AA""), 11, FALSE)"),"978-601-337-045-3")</f>
        <v>978-601-337-045-3</v>
      </c>
      <c r="E8" s="11" t="s">
        <v>34</v>
      </c>
      <c r="F8" s="11" t="s">
        <v>35</v>
      </c>
      <c r="G8" s="12">
        <f ca="1">IFERROR(__xludf.DUMMYFUNCTION(" VLOOKUP(A5, IMPORTRANGE(""https://docs.google.com/spreadsheets/d/1fj_Bhi2XPL3siwIh4sx4VRLAe31yD50oKdj5UlRYW0c/"", ""Сводка!A:AA""), 5, FALSE)"),140)</f>
        <v>140</v>
      </c>
      <c r="H8" s="12" t="s">
        <v>36</v>
      </c>
      <c r="I8" s="10">
        <f ca="1">IFERROR(__xludf.DUMMYFUNCTION(" VLOOKUP(A5, IMPORTRANGE(""https://docs.google.com/spreadsheets/d/1QNLbnkR_AongFt22vMfNzfpjZ0CjpI8QI-w0wBnYA1w/"", ""Инфа!A:AA""), 6, FALSE)"),2024)</f>
        <v>2024</v>
      </c>
      <c r="J8" s="5">
        <f ca="1">ROUND((5000+G8*30),-2)</f>
        <v>9200</v>
      </c>
      <c r="K8" s="12" t="s">
        <v>37</v>
      </c>
      <c r="L8" s="15" t="s">
        <v>38</v>
      </c>
    </row>
    <row r="9" spans="1:12" ht="180">
      <c r="A9" s="8" t="s">
        <v>39</v>
      </c>
      <c r="B9" s="9" t="s">
        <v>12</v>
      </c>
      <c r="C9" s="10" t="s">
        <v>13</v>
      </c>
      <c r="D9" s="10" t="str">
        <f ca="1">IFERROR(__xludf.DUMMYFUNCTION(" VLOOKUP(A6, IMPORTRANGE(""https://docs.google.com/spreadsheets/d/1fj_Bhi2XPL3siwIh4sx4VRLAe31yD50oKdj5UlRYW0c/"", ""Сводка!A:AA""), 11, FALSE)"),"978-601-327-697-7")</f>
        <v>978-601-327-697-7</v>
      </c>
      <c r="E9" s="11" t="s">
        <v>40</v>
      </c>
      <c r="F9" s="11" t="s">
        <v>41</v>
      </c>
      <c r="G9" s="12">
        <f ca="1">IFERROR(__xludf.DUMMYFUNCTION(" VLOOKUP(A6, IMPORTRANGE(""https://docs.google.com/spreadsheets/d/1fj_Bhi2XPL3siwIh4sx4VRLAe31yD50oKdj5UlRYW0c/"", ""Сводка!A:AA""), 5, FALSE)"),336)</f>
        <v>336</v>
      </c>
      <c r="H9" s="12" t="s">
        <v>42</v>
      </c>
      <c r="I9" s="10">
        <f ca="1">IFERROR(__xludf.DUMMYFUNCTION(" VLOOKUP(A6, IMPORTRANGE(""https://docs.google.com/spreadsheets/d/1QNLbnkR_AongFt22vMfNzfpjZ0CjpI8QI-w0wBnYA1w/"", ""Инфа!A:AA""), 6, FALSE)"),2024)</f>
        <v>2024</v>
      </c>
      <c r="J9" s="5">
        <f ca="1">ROUND((5000+G9*30),-2)</f>
        <v>15100</v>
      </c>
      <c r="K9" s="12" t="s">
        <v>18</v>
      </c>
      <c r="L9" s="15" t="s">
        <v>43</v>
      </c>
    </row>
    <row r="10" spans="1:12" ht="51">
      <c r="A10" s="8" t="s">
        <v>44</v>
      </c>
      <c r="B10" s="9" t="s">
        <v>12</v>
      </c>
      <c r="C10" s="10" t="s">
        <v>13</v>
      </c>
      <c r="D10" s="10" t="str">
        <f ca="1">IFERROR(__xludf.DUMMYFUNCTION(" VLOOKUP(A7, IMPORTRANGE(""https://docs.google.com/spreadsheets/d/1fj_Bhi2XPL3siwIh4sx4VRLAe31yD50oKdj5UlRYW0c/"", ""Сводка!A:AA""), 11, FALSE)"),"978-601-342-553-5")</f>
        <v>978-601-342-553-5</v>
      </c>
      <c r="E10" s="11" t="s">
        <v>45</v>
      </c>
      <c r="F10" s="11" t="s">
        <v>46</v>
      </c>
      <c r="G10" s="12">
        <f ca="1">IFERROR(__xludf.DUMMYFUNCTION(" VLOOKUP(A7, IMPORTRANGE(""https://docs.google.com/spreadsheets/d/1fj_Bhi2XPL3siwIh4sx4VRLAe31yD50oKdj5UlRYW0c/"", ""Сводка!A:AA""), 5, FALSE)"),128)</f>
        <v>128</v>
      </c>
      <c r="H10" s="12" t="s">
        <v>47</v>
      </c>
      <c r="I10" s="10">
        <f ca="1">IFERROR(__xludf.DUMMYFUNCTION(" VLOOKUP(A7, IMPORTRANGE(""https://docs.google.com/spreadsheets/d/1QNLbnkR_AongFt22vMfNzfpjZ0CjpI8QI-w0wBnYA1w/"", ""Инфа!A:AA""), 6, FALSE)"),2024)</f>
        <v>2024</v>
      </c>
      <c r="J10" s="5">
        <f ca="1">ROUND((5000+G10*30),-2)</f>
        <v>8800</v>
      </c>
      <c r="K10" s="12" t="s">
        <v>48</v>
      </c>
      <c r="L10" s="15"/>
    </row>
    <row r="11" spans="1:12" ht="146.25">
      <c r="A11" s="8" t="s">
        <v>49</v>
      </c>
      <c r="B11" s="9" t="s">
        <v>12</v>
      </c>
      <c r="C11" s="10" t="s">
        <v>13</v>
      </c>
      <c r="D11" s="10" t="str">
        <f ca="1">IFERROR(__xludf.DUMMYFUNCTION(" VLOOKUP(A8, IMPORTRANGE(""https://docs.google.com/spreadsheets/d/1fj_Bhi2XPL3siwIh4sx4VRLAe31yD50oKdj5UlRYW0c/"", ""Сводка!A:AA""), 11, FALSE)"),"978-601-328-130-9")</f>
        <v>978-601-328-130-9</v>
      </c>
      <c r="E11" s="11" t="s">
        <v>50</v>
      </c>
      <c r="F11" s="11" t="s">
        <v>51</v>
      </c>
      <c r="G11" s="12">
        <f ca="1">IFERROR(__xludf.DUMMYFUNCTION(" VLOOKUP(A8, IMPORTRANGE(""https://docs.google.com/spreadsheets/d/1fj_Bhi2XPL3siwIh4sx4VRLAe31yD50oKdj5UlRYW0c/"", ""Сводка!A:AA""), 5, FALSE)"),152)</f>
        <v>152</v>
      </c>
      <c r="H11" s="12" t="s">
        <v>47</v>
      </c>
      <c r="I11" s="10">
        <f ca="1">IFERROR(__xludf.DUMMYFUNCTION(" VLOOKUP(A8, IMPORTRANGE(""https://docs.google.com/spreadsheets/d/1QNLbnkR_AongFt22vMfNzfpjZ0CjpI8QI-w0wBnYA1w/"", ""Инфа!A:AA""), 6, FALSE)"),2024)</f>
        <v>2024</v>
      </c>
      <c r="J11" s="5">
        <f ca="1">ROUND((5000+G11*30),-2)</f>
        <v>9600</v>
      </c>
      <c r="K11" s="12" t="s">
        <v>48</v>
      </c>
      <c r="L11" s="16" t="s">
        <v>52</v>
      </c>
    </row>
    <row r="12" spans="1:12" ht="157.5">
      <c r="A12" s="8" t="s">
        <v>53</v>
      </c>
      <c r="B12" s="9" t="s">
        <v>12</v>
      </c>
      <c r="C12" s="10" t="s">
        <v>21</v>
      </c>
      <c r="D12" s="10" t="str">
        <f ca="1">IFERROR(__xludf.DUMMYFUNCTION(" VLOOKUP(A9, IMPORTRANGE(""https://docs.google.com/spreadsheets/d/1fj_Bhi2XPL3siwIh4sx4VRLAe31yD50oKdj5UlRYW0c/"", ""Сводка!A:AA""), 11, FALSE)"),"978-601-342-417-0")</f>
        <v>978-601-342-417-0</v>
      </c>
      <c r="E12" s="11" t="s">
        <v>54</v>
      </c>
      <c r="F12" s="11" t="s">
        <v>55</v>
      </c>
      <c r="G12" s="12">
        <f ca="1">IFERROR(__xludf.DUMMYFUNCTION(" VLOOKUP(A9, IMPORTRANGE(""https://docs.google.com/spreadsheets/d/1fj_Bhi2XPL3siwIh4sx4VRLAe31yD50oKdj5UlRYW0c/"", ""Сводка!A:AA""), 5, FALSE)"),216)</f>
        <v>216</v>
      </c>
      <c r="H12" s="12" t="s">
        <v>56</v>
      </c>
      <c r="I12" s="10">
        <f ca="1">IFERROR(__xludf.DUMMYFUNCTION(" VLOOKUP(A9, IMPORTRANGE(""https://docs.google.com/spreadsheets/d/1QNLbnkR_AongFt22vMfNzfpjZ0CjpI8QI-w0wBnYA1w/"", ""Инфа!A:AA""), 6, FALSE)"),2024)</f>
        <v>2024</v>
      </c>
      <c r="J12" s="5">
        <f ca="1">ROUND((5000+G12*60),-2)</f>
        <v>18000</v>
      </c>
      <c r="K12" s="10" t="s">
        <v>57</v>
      </c>
      <c r="L12" s="15" t="s">
        <v>58</v>
      </c>
    </row>
    <row r="13" spans="1:12" ht="101.25">
      <c r="A13" s="8" t="s">
        <v>59</v>
      </c>
      <c r="B13" s="9" t="s">
        <v>12</v>
      </c>
      <c r="C13" s="10" t="s">
        <v>21</v>
      </c>
      <c r="D13" s="10" t="str">
        <f ca="1">IFERROR(__xludf.DUMMYFUNCTION(" VLOOKUP(A10, IMPORTRANGE(""https://docs.google.com/spreadsheets/d/1fj_Bhi2XPL3siwIh4sx4VRLAe31yD50oKdj5UlRYW0c/"", ""Сводка!A:AA""), 11, FALSE)"),"978-601-342-634-1")</f>
        <v>978-601-342-634-1</v>
      </c>
      <c r="E13" s="11" t="s">
        <v>60</v>
      </c>
      <c r="F13" s="11" t="s">
        <v>61</v>
      </c>
      <c r="G13" s="12">
        <f ca="1">IFERROR(__xludf.DUMMYFUNCTION(" VLOOKUP(A10, IMPORTRANGE(""https://docs.google.com/spreadsheets/d/1fj_Bhi2XPL3siwIh4sx4VRLAe31yD50oKdj5UlRYW0c/"", ""Сводка!A:AA""), 5, FALSE)"),128)</f>
        <v>128</v>
      </c>
      <c r="H13" s="12" t="s">
        <v>62</v>
      </c>
      <c r="I13" s="10">
        <f ca="1">IFERROR(__xludf.DUMMYFUNCTION(" VLOOKUP(A10, IMPORTRANGE(""https://docs.google.com/spreadsheets/d/1QNLbnkR_AongFt22vMfNzfpjZ0CjpI8QI-w0wBnYA1w/"", ""Инфа!A:AA""), 6, FALSE)"),2024)</f>
        <v>2024</v>
      </c>
      <c r="J13" s="5">
        <f ca="1">ROUND((5000+G13*60),-2)</f>
        <v>12700</v>
      </c>
      <c r="K13" s="12" t="s">
        <v>63</v>
      </c>
      <c r="L13" s="15" t="s">
        <v>64</v>
      </c>
    </row>
    <row r="14" spans="1:12" ht="281.25">
      <c r="A14" s="8" t="s">
        <v>65</v>
      </c>
      <c r="B14" s="9" t="s">
        <v>12</v>
      </c>
      <c r="C14" s="10" t="s">
        <v>66</v>
      </c>
      <c r="D14" s="10" t="str">
        <f ca="1">IFERROR(__xludf.DUMMYFUNCTION(" VLOOKUP(A11, IMPORTRANGE(""https://docs.google.com/spreadsheets/d/1fj_Bhi2XPL3siwIh4sx4VRLAe31yD50oKdj5UlRYW0c/"", ""Сводка!A:AA""), 11, FALSE)"),"978-601-342-488-0")</f>
        <v>978-601-342-488-0</v>
      </c>
      <c r="E14" s="11" t="s">
        <v>67</v>
      </c>
      <c r="F14" s="11" t="s">
        <v>68</v>
      </c>
      <c r="G14" s="12">
        <f ca="1">IFERROR(__xludf.DUMMYFUNCTION(" VLOOKUP(A11, IMPORTRANGE(""https://docs.google.com/spreadsheets/d/1fj_Bhi2XPL3siwIh4sx4VRLAe31yD50oKdj5UlRYW0c/"", ""Сводка!A:AA""), 5, FALSE)"),284)</f>
        <v>284</v>
      </c>
      <c r="H14" s="12" t="s">
        <v>42</v>
      </c>
      <c r="I14" s="10">
        <f ca="1">IFERROR(__xludf.DUMMYFUNCTION(" VLOOKUP(A11, IMPORTRANGE(""https://docs.google.com/spreadsheets/d/1QNLbnkR_AongFt22vMfNzfpjZ0CjpI8QI-w0wBnYA1w/"", ""Инфа!A:AA""), 6, FALSE)"),2024)</f>
        <v>2024</v>
      </c>
      <c r="J14" s="5">
        <f ca="1">ROUND((5000+G14*60),-2)</f>
        <v>22000</v>
      </c>
      <c r="K14" s="9" t="s">
        <v>69</v>
      </c>
      <c r="L14" s="15" t="s">
        <v>70</v>
      </c>
    </row>
    <row r="15" spans="1:12" ht="270">
      <c r="A15" s="8" t="s">
        <v>71</v>
      </c>
      <c r="B15" s="9" t="s">
        <v>12</v>
      </c>
      <c r="C15" s="10" t="s">
        <v>66</v>
      </c>
      <c r="D15" s="10" t="str">
        <f ca="1">IFERROR(__xludf.DUMMYFUNCTION(" VLOOKUP(A12, IMPORTRANGE(""https://docs.google.com/spreadsheets/d/1fj_Bhi2XPL3siwIh4sx4VRLAe31yD50oKdj5UlRYW0c/"", ""Сводка!A:AA""), 11, FALSE)"),"978-601-342-475-0")</f>
        <v>978-601-342-475-0</v>
      </c>
      <c r="E15" s="11" t="s">
        <v>67</v>
      </c>
      <c r="F15" s="11" t="s">
        <v>72</v>
      </c>
      <c r="G15" s="12">
        <f ca="1">IFERROR(__xludf.DUMMYFUNCTION(" VLOOKUP(A12, IMPORTRANGE(""https://docs.google.com/spreadsheets/d/1fj_Bhi2XPL3siwIh4sx4VRLAe31yD50oKdj5UlRYW0c/"", ""Сводка!A:AA""), 5, FALSE)"),164)</f>
        <v>164</v>
      </c>
      <c r="H15" s="12" t="s">
        <v>42</v>
      </c>
      <c r="I15" s="10">
        <f ca="1">IFERROR(__xludf.DUMMYFUNCTION(" VLOOKUP(A12, IMPORTRANGE(""https://docs.google.com/spreadsheets/d/1QNLbnkR_AongFt22vMfNzfpjZ0CjpI8QI-w0wBnYA1w/"", ""Инфа!A:AA""), 6, FALSE)"),2024)</f>
        <v>2024</v>
      </c>
      <c r="J15" s="5">
        <f ca="1">ROUND((5000+G15*60),-2)</f>
        <v>14800</v>
      </c>
      <c r="K15" s="9" t="s">
        <v>69</v>
      </c>
      <c r="L15" s="15" t="s">
        <v>73</v>
      </c>
    </row>
    <row r="16" spans="1:12" ht="168.75">
      <c r="A16" s="8" t="s">
        <v>74</v>
      </c>
      <c r="B16" s="9" t="s">
        <v>12</v>
      </c>
      <c r="C16" s="10" t="s">
        <v>21</v>
      </c>
      <c r="D16" s="10" t="str">
        <f ca="1">IFERROR(__xludf.DUMMYFUNCTION(" VLOOKUP(A13, IMPORTRANGE(""https://docs.google.com/spreadsheets/d/1fj_Bhi2XPL3siwIh4sx4VRLAe31yD50oKdj5UlRYW0c/"", ""Сводка!A:AA""), 11, FALSE)"),"978-601-327-166-8")</f>
        <v>978-601-327-166-8</v>
      </c>
      <c r="E16" s="17" t="s">
        <v>75</v>
      </c>
      <c r="F16" s="17" t="s">
        <v>76</v>
      </c>
      <c r="G16" s="12">
        <f ca="1">IFERROR(__xludf.DUMMYFUNCTION(" VLOOKUP(A13, IMPORTRANGE(""https://docs.google.com/spreadsheets/d/1fj_Bhi2XPL3siwIh4sx4VRLAe31yD50oKdj5UlRYW0c/"", ""Сводка!A:AA""), 5, FALSE)"),120)</f>
        <v>120</v>
      </c>
      <c r="H16" s="12" t="s">
        <v>77</v>
      </c>
      <c r="I16" s="10">
        <f ca="1">IFERROR(__xludf.DUMMYFUNCTION(" VLOOKUP(A13, IMPORTRANGE(""https://docs.google.com/spreadsheets/d/1QNLbnkR_AongFt22vMfNzfpjZ0CjpI8QI-w0wBnYA1w/"", ""Инфа!A:AA""), 6, FALSE)"),2024)</f>
        <v>2024</v>
      </c>
      <c r="J16" s="5">
        <f ca="1">ROUND((5000+G16*30),-2)</f>
        <v>8600</v>
      </c>
      <c r="K16" s="12" t="s">
        <v>78</v>
      </c>
      <c r="L16" s="18" t="s">
        <v>79</v>
      </c>
    </row>
    <row r="17" spans="1:12" ht="258.75">
      <c r="A17" s="8" t="s">
        <v>80</v>
      </c>
      <c r="B17" s="9" t="s">
        <v>12</v>
      </c>
      <c r="C17" s="10" t="s">
        <v>13</v>
      </c>
      <c r="D17" s="10" t="str">
        <f ca="1">IFERROR(__xludf.DUMMYFUNCTION(" VLOOKUP(A14, IMPORTRANGE(""https://docs.google.com/spreadsheets/d/1fj_Bhi2XPL3siwIh4sx4VRLAe31yD50oKdj5UlRYW0c/"", ""Сводка!A:AA""), 11, FALSE)"),"978-9965-634-12-3")</f>
        <v>978-9965-634-12-3</v>
      </c>
      <c r="E17" s="19" t="s">
        <v>81</v>
      </c>
      <c r="F17" s="11" t="s">
        <v>82</v>
      </c>
      <c r="G17" s="12">
        <f ca="1">IFERROR(__xludf.DUMMYFUNCTION(" VLOOKUP(A14, IMPORTRANGE(""https://docs.google.com/spreadsheets/d/1fj_Bhi2XPL3siwIh4sx4VRLAe31yD50oKdj5UlRYW0c/"", ""Сводка!A:AA""), 5, FALSE)"),256)</f>
        <v>256</v>
      </c>
      <c r="H17" s="12" t="s">
        <v>83</v>
      </c>
      <c r="I17" s="10">
        <f ca="1">IFERROR(__xludf.DUMMYFUNCTION(" VLOOKUP(A14, IMPORTRANGE(""https://docs.google.com/spreadsheets/d/1QNLbnkR_AongFt22vMfNzfpjZ0CjpI8QI-w0wBnYA1w/"", ""Инфа!A:AA""), 6, FALSE)"),2024)</f>
        <v>2024</v>
      </c>
      <c r="J17" s="5">
        <f ca="1">ROUND((5000+G17*60),-2)</f>
        <v>20400</v>
      </c>
      <c r="K17" s="12" t="s">
        <v>84</v>
      </c>
      <c r="L17" s="15" t="s">
        <v>85</v>
      </c>
    </row>
    <row r="18" spans="1:12" ht="180">
      <c r="A18" s="8" t="s">
        <v>86</v>
      </c>
      <c r="B18" s="9" t="s">
        <v>12</v>
      </c>
      <c r="C18" s="10" t="s">
        <v>13</v>
      </c>
      <c r="D18" s="10" t="str">
        <f ca="1">IFERROR(__xludf.DUMMYFUNCTION(" VLOOKUP(A15, IMPORTRANGE(""https://docs.google.com/spreadsheets/d/1fj_Bhi2XPL3siwIh4sx4VRLAe31yD50oKdj5UlRYW0c/"", ""Сводка!A:AA""), 11, FALSE)"),"978-601-337-237-2")</f>
        <v>978-601-337-237-2</v>
      </c>
      <c r="E18" s="11" t="s">
        <v>87</v>
      </c>
      <c r="F18" s="11" t="s">
        <v>88</v>
      </c>
      <c r="G18" s="12">
        <f ca="1">IFERROR(__xludf.DUMMYFUNCTION(" VLOOKUP(A15, IMPORTRANGE(""https://docs.google.com/spreadsheets/d/1fj_Bhi2XPL3siwIh4sx4VRLAe31yD50oKdj5UlRYW0c/"", ""Сводка!A:AA""), 5, FALSE)"),152)</f>
        <v>152</v>
      </c>
      <c r="H18" s="12" t="s">
        <v>89</v>
      </c>
      <c r="I18" s="10">
        <f ca="1">IFERROR(__xludf.DUMMYFUNCTION(" VLOOKUP(A15, IMPORTRANGE(""https://docs.google.com/spreadsheets/d/1QNLbnkR_AongFt22vMfNzfpjZ0CjpI8QI-w0wBnYA1w/"", ""Инфа!A:AA""), 6, FALSE)"),2024)</f>
        <v>2024</v>
      </c>
      <c r="J18" s="5">
        <f ca="1">ROUND((5000+G18*30),-2)</f>
        <v>9600</v>
      </c>
      <c r="K18" s="12" t="s">
        <v>90</v>
      </c>
      <c r="L18" s="15" t="s">
        <v>91</v>
      </c>
    </row>
    <row r="19" spans="1:12" ht="270">
      <c r="A19" s="8" t="s">
        <v>92</v>
      </c>
      <c r="B19" s="9" t="s">
        <v>12</v>
      </c>
      <c r="C19" s="10" t="s">
        <v>13</v>
      </c>
      <c r="D19" s="10" t="str">
        <f ca="1">IFERROR(__xludf.DUMMYFUNCTION(" VLOOKUP(A16, IMPORTRANGE(""https://docs.google.com/spreadsheets/d/1fj_Bhi2XPL3siwIh4sx4VRLAe31yD50oKdj5UlRYW0c/"", ""Сводка!A:AA""), 11, FALSE)"),"978-601-216-597-5")</f>
        <v>978-601-216-597-5</v>
      </c>
      <c r="E19" s="11" t="s">
        <v>93</v>
      </c>
      <c r="F19" s="11" t="s">
        <v>94</v>
      </c>
      <c r="G19" s="12">
        <f ca="1">IFERROR(__xludf.DUMMYFUNCTION(" VLOOKUP(A16, IMPORTRANGE(""https://docs.google.com/spreadsheets/d/1fj_Bhi2XPL3siwIh4sx4VRLAe31yD50oKdj5UlRYW0c/"", ""Сводка!A:AA""), 5, FALSE)"),146)</f>
        <v>146</v>
      </c>
      <c r="H19" s="12" t="s">
        <v>95</v>
      </c>
      <c r="I19" s="10">
        <f ca="1">IFERROR(__xludf.DUMMYFUNCTION(" VLOOKUP(A16, IMPORTRANGE(""https://docs.google.com/spreadsheets/d/1QNLbnkR_AongFt22vMfNzfpjZ0CjpI8QI-w0wBnYA1w/"", ""Инфа!A:AA""), 6, FALSE)"),2024)</f>
        <v>2024</v>
      </c>
      <c r="J19" s="5">
        <f ca="1">ROUND((5000+G19*30),-2)</f>
        <v>9400</v>
      </c>
      <c r="K19" s="12" t="s">
        <v>96</v>
      </c>
      <c r="L19" s="15" t="s">
        <v>97</v>
      </c>
    </row>
    <row r="20" spans="1:12" ht="123.75">
      <c r="A20" s="8" t="s">
        <v>98</v>
      </c>
      <c r="B20" s="9" t="s">
        <v>12</v>
      </c>
      <c r="C20" s="10" t="s">
        <v>21</v>
      </c>
      <c r="D20" s="10" t="str">
        <f ca="1">IFERROR(__xludf.DUMMYFUNCTION(" VLOOKUP(A17, IMPORTRANGE(""https://docs.google.com/spreadsheets/d/1fj_Bhi2XPL3siwIh4sx4VRLAe31yD50oKdj5UlRYW0c/"", ""Сводка!A:AA""), 11, FALSE)"),"978-601-342-227-5")</f>
        <v>978-601-342-227-5</v>
      </c>
      <c r="E20" s="11" t="s">
        <v>99</v>
      </c>
      <c r="F20" s="11" t="s">
        <v>100</v>
      </c>
      <c r="G20" s="12">
        <f ca="1">IFERROR(__xludf.DUMMYFUNCTION(" VLOOKUP(A17, IMPORTRANGE(""https://docs.google.com/spreadsheets/d/1fj_Bhi2XPL3siwIh4sx4VRLAe31yD50oKdj5UlRYW0c/"", ""Сводка!A:AA""), 5, FALSE)"),216)</f>
        <v>216</v>
      </c>
      <c r="H20" s="12" t="s">
        <v>42</v>
      </c>
      <c r="I20" s="10">
        <f ca="1">IFERROR(__xludf.DUMMYFUNCTION(" VLOOKUP(A17, IMPORTRANGE(""https://docs.google.com/spreadsheets/d/1QNLbnkR_AongFt22vMfNzfpjZ0CjpI8QI-w0wBnYA1w/"", ""Инфа!A:AA""), 6, FALSE)"),2024)</f>
        <v>2024</v>
      </c>
      <c r="J20" s="5">
        <f ca="1">ROUND((5000+G20*30),-2)</f>
        <v>11500</v>
      </c>
      <c r="K20" s="12" t="s">
        <v>101</v>
      </c>
      <c r="L20" s="15" t="s">
        <v>102</v>
      </c>
    </row>
    <row r="21" spans="1:12" ht="78.75">
      <c r="A21" s="8" t="s">
        <v>103</v>
      </c>
      <c r="B21" s="9" t="s">
        <v>12</v>
      </c>
      <c r="C21" s="10" t="s">
        <v>13</v>
      </c>
      <c r="D21" s="10" t="str">
        <f ca="1">IFERROR(__xludf.DUMMYFUNCTION(" VLOOKUP(A18, IMPORTRANGE(""https://docs.google.com/spreadsheets/d/1fj_Bhi2XPL3siwIh4sx4VRLAe31yD50oKdj5UlRYW0c/"", ""Сводка!A:AA""), 11, FALSE)"),"978-601-327-510-9")</f>
        <v>978-601-327-510-9</v>
      </c>
      <c r="E21" s="11" t="s">
        <v>104</v>
      </c>
      <c r="F21" s="11" t="s">
        <v>105</v>
      </c>
      <c r="G21" s="12">
        <f ca="1">IFERROR(__xludf.DUMMYFUNCTION(" VLOOKUP(A18, IMPORTRANGE(""https://docs.google.com/spreadsheets/d/1fj_Bhi2XPL3siwIh4sx4VRLAe31yD50oKdj5UlRYW0c/"", ""Сводка!A:AA""), 5, FALSE)"),120)</f>
        <v>120</v>
      </c>
      <c r="H21" s="12" t="s">
        <v>106</v>
      </c>
      <c r="I21" s="10">
        <f ca="1">IFERROR(__xludf.DUMMYFUNCTION(" VLOOKUP(A18, IMPORTRANGE(""https://docs.google.com/spreadsheets/d/1QNLbnkR_AongFt22vMfNzfpjZ0CjpI8QI-w0wBnYA1w/"", ""Инфа!A:AA""), 6, FALSE)"),2024)</f>
        <v>2024</v>
      </c>
      <c r="J21" s="5">
        <f ca="1">ROUND((5000+G21*60),-2)</f>
        <v>12200</v>
      </c>
      <c r="K21" s="12" t="s">
        <v>107</v>
      </c>
      <c r="L21" s="15" t="s">
        <v>108</v>
      </c>
    </row>
    <row r="22" spans="1:12" ht="202.5">
      <c r="A22" s="8" t="s">
        <v>109</v>
      </c>
      <c r="B22" s="9" t="s">
        <v>12</v>
      </c>
      <c r="C22" s="10" t="s">
        <v>13</v>
      </c>
      <c r="D22" s="10" t="str">
        <f ca="1">IFERROR(__xludf.DUMMYFUNCTION(" VLOOKUP(A19, IMPORTRANGE(""https://docs.google.com/spreadsheets/d/1fj_Bhi2XPL3siwIh4sx4VRLAe31yD50oKdj5UlRYW0c/"", ""Сводка!A:AA""), 11, FALSE)"),"978-601-327-990-9")</f>
        <v>978-601-327-990-9</v>
      </c>
      <c r="E22" s="11" t="s">
        <v>110</v>
      </c>
      <c r="F22" s="11" t="s">
        <v>111</v>
      </c>
      <c r="G22" s="12">
        <f ca="1">IFERROR(__xludf.DUMMYFUNCTION(" VLOOKUP(A19, IMPORTRANGE(""https://docs.google.com/spreadsheets/d/1fj_Bhi2XPL3siwIh4sx4VRLAe31yD50oKdj5UlRYW0c/"", ""Сводка!A:AA""), 5, FALSE)"),152)</f>
        <v>152</v>
      </c>
      <c r="H22" s="12" t="s">
        <v>47</v>
      </c>
      <c r="I22" s="10">
        <f ca="1">IFERROR(__xludf.DUMMYFUNCTION(" VLOOKUP(A19, IMPORTRANGE(""https://docs.google.com/spreadsheets/d/1QNLbnkR_AongFt22vMfNzfpjZ0CjpI8QI-w0wBnYA1w/"", ""Инфа!A:AA""), 6, FALSE)"),2024)</f>
        <v>2024</v>
      </c>
      <c r="J22" s="5">
        <f ca="1">ROUND((5000+G22*30),-2)</f>
        <v>9600</v>
      </c>
      <c r="K22" s="12" t="s">
        <v>25</v>
      </c>
      <c r="L22" s="15" t="s">
        <v>112</v>
      </c>
    </row>
    <row r="23" spans="1:12" ht="135">
      <c r="A23" s="8" t="s">
        <v>113</v>
      </c>
      <c r="B23" s="9" t="s">
        <v>12</v>
      </c>
      <c r="C23" s="10" t="s">
        <v>13</v>
      </c>
      <c r="D23" s="10" t="str">
        <f ca="1">IFERROR(__xludf.DUMMYFUNCTION(" VLOOKUP(A20, IMPORTRANGE(""https://docs.google.com/spreadsheets/d/1fj_Bhi2XPL3siwIh4sx4VRLAe31yD50oKdj5UlRYW0c/"", ""Сводка!A:AA""), 11, FALSE)"),"978-601-342-384-5")</f>
        <v>978-601-342-384-5</v>
      </c>
      <c r="E23" s="11" t="s">
        <v>114</v>
      </c>
      <c r="F23" s="11" t="s">
        <v>115</v>
      </c>
      <c r="G23" s="12">
        <f ca="1">IFERROR(__xludf.DUMMYFUNCTION(" VLOOKUP(A20, IMPORTRANGE(""https://docs.google.com/spreadsheets/d/1fj_Bhi2XPL3siwIh4sx4VRLAe31yD50oKdj5UlRYW0c/"", ""Сводка!A:AA""), 5, FALSE)"),144)</f>
        <v>144</v>
      </c>
      <c r="H23" s="12" t="s">
        <v>42</v>
      </c>
      <c r="I23" s="10">
        <f ca="1">IFERROR(__xludf.DUMMYFUNCTION(" VLOOKUP(A20, IMPORTRANGE(""https://docs.google.com/spreadsheets/d/1QNLbnkR_AongFt22vMfNzfpjZ0CjpI8QI-w0wBnYA1w/"", ""Инфа!A:AA""), 6, FALSE)"),2024)</f>
        <v>2024</v>
      </c>
      <c r="J23" s="5">
        <f ca="1">ROUND((5000+G23*60),-2)</f>
        <v>13600</v>
      </c>
      <c r="K23" s="12" t="s">
        <v>116</v>
      </c>
      <c r="L23" s="15" t="s">
        <v>117</v>
      </c>
    </row>
    <row r="24" spans="1:12" ht="210">
      <c r="A24" s="8" t="s">
        <v>118</v>
      </c>
      <c r="B24" s="9" t="s">
        <v>12</v>
      </c>
      <c r="C24" s="10" t="s">
        <v>13</v>
      </c>
      <c r="D24" s="10" t="str">
        <f ca="1">IFERROR(__xludf.DUMMYFUNCTION(" VLOOKUP(A21, IMPORTRANGE(""https://docs.google.com/spreadsheets/d/1fj_Bhi2XPL3siwIh4sx4VRLAe31yD50oKdj5UlRYW0c/"", ""Сводка!A:AA""), 11, FALSE)"),"978-601-342-552-8")</f>
        <v>978-601-342-552-8</v>
      </c>
      <c r="E24" s="11" t="s">
        <v>119</v>
      </c>
      <c r="F24" s="11" t="s">
        <v>120</v>
      </c>
      <c r="G24" s="12">
        <f ca="1">IFERROR(__xludf.DUMMYFUNCTION(" VLOOKUP(A21, IMPORTRANGE(""https://docs.google.com/spreadsheets/d/1fj_Bhi2XPL3siwIh4sx4VRLAe31yD50oKdj5UlRYW0c/"", ""Сводка!A:AA""), 5, FALSE)"),132)</f>
        <v>132</v>
      </c>
      <c r="H24" s="12" t="s">
        <v>121</v>
      </c>
      <c r="I24" s="10">
        <f ca="1">IFERROR(__xludf.DUMMYFUNCTION(" VLOOKUP(A21, IMPORTRANGE(""https://docs.google.com/spreadsheets/d/1QNLbnkR_AongFt22vMfNzfpjZ0CjpI8QI-w0wBnYA1w/"", ""Инфа!A:AA""), 6, FALSE)"),2024)</f>
        <v>2024</v>
      </c>
      <c r="J24" s="5">
        <f ca="1">ROUND((5000+G24*60),-2)</f>
        <v>12900</v>
      </c>
      <c r="K24" s="12" t="s">
        <v>122</v>
      </c>
      <c r="L24" s="20" t="s">
        <v>123</v>
      </c>
    </row>
    <row r="25" spans="1:12" ht="191.25">
      <c r="A25" s="8" t="s">
        <v>124</v>
      </c>
      <c r="B25" s="9" t="s">
        <v>12</v>
      </c>
      <c r="C25" s="10" t="s">
        <v>21</v>
      </c>
      <c r="D25" s="10" t="str">
        <f ca="1">IFERROR(__xludf.DUMMYFUNCTION(" VLOOKUP(A22, IMPORTRANGE(""https://docs.google.com/spreadsheets/d/1fj_Bhi2XPL3siwIh4sx4VRLAe31yD50oKdj5UlRYW0c/"", ""Сводка!A:AA""), 11, FALSE)"),"978-601-342-363-0")</f>
        <v>978-601-342-363-0</v>
      </c>
      <c r="E25" s="11" t="s">
        <v>125</v>
      </c>
      <c r="F25" s="11" t="s">
        <v>126</v>
      </c>
      <c r="G25" s="12">
        <f ca="1">IFERROR(__xludf.DUMMYFUNCTION(" VLOOKUP(A22, IMPORTRANGE(""https://docs.google.com/spreadsheets/d/1fj_Bhi2XPL3siwIh4sx4VRLAe31yD50oKdj5UlRYW0c/"", ""Сводка!A:AA""), 5, FALSE)"),164)</f>
        <v>164</v>
      </c>
      <c r="H25" s="12" t="s">
        <v>62</v>
      </c>
      <c r="I25" s="10">
        <f ca="1">IFERROR(__xludf.DUMMYFUNCTION(" VLOOKUP(A22, IMPORTRANGE(""https://docs.google.com/spreadsheets/d/1QNLbnkR_AongFt22vMfNzfpjZ0CjpI8QI-w0wBnYA1w/"", ""Инфа!A:AA""), 6, FALSE)"),2024)</f>
        <v>2024</v>
      </c>
      <c r="J25" s="5">
        <f ca="1">ROUND((5000+G25*60),-2)</f>
        <v>14800</v>
      </c>
      <c r="K25" s="12" t="s">
        <v>127</v>
      </c>
      <c r="L25" s="15" t="s">
        <v>128</v>
      </c>
    </row>
    <row r="26" spans="1:12" ht="146.25">
      <c r="A26" s="8" t="s">
        <v>129</v>
      </c>
      <c r="B26" s="9" t="s">
        <v>12</v>
      </c>
      <c r="C26" s="10" t="s">
        <v>13</v>
      </c>
      <c r="D26" s="10" t="str">
        <f ca="1">IFERROR(__xludf.DUMMYFUNCTION(" VLOOKUP(A23, IMPORTRANGE(""https://docs.google.com/spreadsheets/d/1fj_Bhi2XPL3siwIh4sx4VRLAe31yD50oKdj5UlRYW0c/"", ""Сводка!A:AA""), 11, FALSE)"),"978-601-327-045-6")</f>
        <v>978-601-327-045-6</v>
      </c>
      <c r="E26" s="11" t="s">
        <v>130</v>
      </c>
      <c r="F26" s="11" t="s">
        <v>131</v>
      </c>
      <c r="G26" s="12">
        <f ca="1">IFERROR(__xludf.DUMMYFUNCTION(" VLOOKUP(A23, IMPORTRANGE(""https://docs.google.com/spreadsheets/d/1fj_Bhi2XPL3siwIh4sx4VRLAe31yD50oKdj5UlRYW0c/"", ""Сводка!A:AA""), 5, FALSE)"),228)</f>
        <v>228</v>
      </c>
      <c r="H26" s="12" t="s">
        <v>132</v>
      </c>
      <c r="I26" s="10">
        <f ca="1">IFERROR(__xludf.DUMMYFUNCTION(" VLOOKUP(A23, IMPORTRANGE(""https://docs.google.com/spreadsheets/d/1QNLbnkR_AongFt22vMfNzfpjZ0CjpI8QI-w0wBnYA1w/"", ""Инфа!A:AA""), 6, FALSE)"),2024)</f>
        <v>2024</v>
      </c>
      <c r="J26" s="5">
        <f ca="1">ROUND((5000+G26*30),-2)</f>
        <v>11800</v>
      </c>
      <c r="K26" s="12" t="s">
        <v>133</v>
      </c>
      <c r="L26" s="15" t="s">
        <v>134</v>
      </c>
    </row>
    <row r="27" spans="1:12" ht="135">
      <c r="A27" s="8" t="s">
        <v>135</v>
      </c>
      <c r="B27" s="9" t="s">
        <v>12</v>
      </c>
      <c r="C27" s="10" t="s">
        <v>13</v>
      </c>
      <c r="D27" s="10" t="str">
        <f ca="1">IFERROR(__xludf.DUMMYFUNCTION(" VLOOKUP(A24, IMPORTRANGE(""https://docs.google.com/spreadsheets/d/1fj_Bhi2XPL3siwIh4sx4VRLAe31yD50oKdj5UlRYW0c/"", ""Сводка!A:AA""), 11, FALSE)"),"978-601-342-223-8")</f>
        <v>978-601-342-223-8</v>
      </c>
      <c r="E27" s="11" t="s">
        <v>136</v>
      </c>
      <c r="F27" s="11" t="s">
        <v>137</v>
      </c>
      <c r="G27" s="12">
        <f ca="1">IFERROR(__xludf.DUMMYFUNCTION(" VLOOKUP(A24, IMPORTRANGE(""https://docs.google.com/spreadsheets/d/1fj_Bhi2XPL3siwIh4sx4VRLAe31yD50oKdj5UlRYW0c/"", ""Сводка!A:AA""), 5, FALSE)"),168)</f>
        <v>168</v>
      </c>
      <c r="H27" s="12" t="s">
        <v>138</v>
      </c>
      <c r="I27" s="10">
        <f ca="1">IFERROR(__xludf.DUMMYFUNCTION(" VLOOKUP(A24, IMPORTRANGE(""https://docs.google.com/spreadsheets/d/1QNLbnkR_AongFt22vMfNzfpjZ0CjpI8QI-w0wBnYA1w/"", ""Инфа!A:AA""), 6, FALSE)"),2024)</f>
        <v>2024</v>
      </c>
      <c r="J27" s="5">
        <f ca="1">ROUND((5000+G27*30),-2)</f>
        <v>10000</v>
      </c>
      <c r="K27" s="12" t="s">
        <v>139</v>
      </c>
      <c r="L27" s="15" t="s">
        <v>140</v>
      </c>
    </row>
    <row r="28" spans="1:12" ht="123.75">
      <c r="A28" s="8" t="s">
        <v>141</v>
      </c>
      <c r="B28" s="9" t="s">
        <v>12</v>
      </c>
      <c r="C28" s="10" t="s">
        <v>13</v>
      </c>
      <c r="D28" s="10" t="str">
        <f ca="1">IFERROR(__xludf.DUMMYFUNCTION(" VLOOKUP(A25, IMPORTRANGE(""https://docs.google.com/spreadsheets/d/1fj_Bhi2XPL3siwIh4sx4VRLAe31yD50oKdj5UlRYW0c/"", ""Сводка!A:AA""), 11, FALSE)"),"978-601-342-223-9")</f>
        <v>978-601-342-223-9</v>
      </c>
      <c r="E28" s="11" t="s">
        <v>136</v>
      </c>
      <c r="F28" s="11" t="s">
        <v>142</v>
      </c>
      <c r="G28" s="12">
        <f ca="1">IFERROR(__xludf.DUMMYFUNCTION(" VLOOKUP(A25, IMPORTRANGE(""https://docs.google.com/spreadsheets/d/1fj_Bhi2XPL3siwIh4sx4VRLAe31yD50oKdj5UlRYW0c/"", ""Сводка!A:AA""), 5, FALSE)"),128)</f>
        <v>128</v>
      </c>
      <c r="H28" s="12" t="s">
        <v>138</v>
      </c>
      <c r="I28" s="10">
        <f ca="1">IFERROR(__xludf.DUMMYFUNCTION(" VLOOKUP(A25, IMPORTRANGE(""https://docs.google.com/spreadsheets/d/1QNLbnkR_AongFt22vMfNzfpjZ0CjpI8QI-w0wBnYA1w/"", ""Инфа!A:AA""), 6, FALSE)"),2024)</f>
        <v>2024</v>
      </c>
      <c r="J28" s="5">
        <f ca="1">ROUND((5000+G28*30),-2)</f>
        <v>8800</v>
      </c>
      <c r="K28" s="12" t="s">
        <v>139</v>
      </c>
      <c r="L28" s="15" t="s">
        <v>143</v>
      </c>
    </row>
    <row r="29" spans="1:12" ht="123.75">
      <c r="A29" s="8" t="s">
        <v>144</v>
      </c>
      <c r="B29" s="9" t="s">
        <v>12</v>
      </c>
      <c r="C29" s="10" t="s">
        <v>13</v>
      </c>
      <c r="D29" s="10" t="str">
        <f ca="1">IFERROR(__xludf.DUMMYFUNCTION(" VLOOKUP(A26, IMPORTRANGE(""https://docs.google.com/spreadsheets/d/1fj_Bhi2XPL3siwIh4sx4VRLAe31yD50oKdj5UlRYW0c/"", ""Сводка!A:AA""), 11, FALSE)"),"978-601-342-635-8")</f>
        <v>978-601-342-635-8</v>
      </c>
      <c r="E29" s="11" t="s">
        <v>145</v>
      </c>
      <c r="F29" s="11" t="s">
        <v>146</v>
      </c>
      <c r="G29" s="12">
        <f ca="1">IFERROR(__xludf.DUMMYFUNCTION(" VLOOKUP(A26, IMPORTRANGE(""https://docs.google.com/spreadsheets/d/1fj_Bhi2XPL3siwIh4sx4VRLAe31yD50oKdj5UlRYW0c/"", ""Сводка!A:AA""), 5, FALSE)"),128)</f>
        <v>128</v>
      </c>
      <c r="H29" s="12" t="s">
        <v>147</v>
      </c>
      <c r="I29" s="10">
        <f ca="1">IFERROR(__xludf.DUMMYFUNCTION(" VLOOKUP(A26, IMPORTRANGE(""https://docs.google.com/spreadsheets/d/1QNLbnkR_AongFt22vMfNzfpjZ0CjpI8QI-w0wBnYA1w/"", ""Инфа!A:AA""), 6, FALSE)"),2024)</f>
        <v>2024</v>
      </c>
      <c r="J29" s="5">
        <f ca="1">ROUND((5000+G29*30),-2)</f>
        <v>8800</v>
      </c>
      <c r="K29" s="12" t="s">
        <v>148</v>
      </c>
      <c r="L29" s="21" t="s">
        <v>149</v>
      </c>
    </row>
    <row r="30" spans="1:12" ht="270">
      <c r="A30" s="8" t="s">
        <v>150</v>
      </c>
      <c r="B30" s="9" t="s">
        <v>12</v>
      </c>
      <c r="C30" s="10" t="s">
        <v>151</v>
      </c>
      <c r="D30" s="10" t="str">
        <f ca="1">IFERROR(__xludf.DUMMYFUNCTION(" VLOOKUP(A27, IMPORTRANGE(""https://docs.google.com/spreadsheets/d/1fj_Bhi2XPL3siwIh4sx4VRLAe31yD50oKdj5UlRYW0c/"", ""Сводка!A:AA""), 11, FALSE)"),"987-601-310-609-1")</f>
        <v>987-601-310-609-1</v>
      </c>
      <c r="E30" s="11" t="s">
        <v>152</v>
      </c>
      <c r="F30" s="11" t="s">
        <v>153</v>
      </c>
      <c r="G30" s="12">
        <f ca="1">IFERROR(__xludf.DUMMYFUNCTION(" VLOOKUP(A27, IMPORTRANGE(""https://docs.google.com/spreadsheets/d/1fj_Bhi2XPL3siwIh4sx4VRLAe31yD50oKdj5UlRYW0c/"", ""Сводка!A:AA""), 5, FALSE)"),96)</f>
        <v>96</v>
      </c>
      <c r="H30" s="12" t="s">
        <v>24</v>
      </c>
      <c r="I30" s="10">
        <f ca="1">IFERROR(__xludf.DUMMYFUNCTION(" VLOOKUP(A27, IMPORTRANGE(""https://docs.google.com/spreadsheets/d/1QNLbnkR_AongFt22vMfNzfpjZ0CjpI8QI-w0wBnYA1w/"", ""Инфа!A:AA""), 6, FALSE)"),2024)</f>
        <v>2024</v>
      </c>
      <c r="J30" s="5">
        <f ca="1">ROUND((5000+G30*60),-2)</f>
        <v>10800</v>
      </c>
      <c r="K30" s="12" t="s">
        <v>154</v>
      </c>
      <c r="L30" s="15" t="s">
        <v>155</v>
      </c>
    </row>
    <row r="31" spans="1:12" ht="135">
      <c r="A31" s="8" t="s">
        <v>156</v>
      </c>
      <c r="B31" s="9" t="s">
        <v>12</v>
      </c>
      <c r="C31" s="10" t="s">
        <v>13</v>
      </c>
      <c r="D31" s="10" t="str">
        <f ca="1">IFERROR(__xludf.DUMMYFUNCTION(" VLOOKUP(A28, IMPORTRANGE(""https://docs.google.com/spreadsheets/d/1fj_Bhi2XPL3siwIh4sx4VRLAe31yD50oKdj5UlRYW0c/"", ""Сводка!A:AA""), 11, FALSE)"),"9965-878-09-9")</f>
        <v>9965-878-09-9</v>
      </c>
      <c r="E31" s="22" t="s">
        <v>157</v>
      </c>
      <c r="F31" s="22" t="s">
        <v>158</v>
      </c>
      <c r="G31" s="12">
        <f ca="1">IFERROR(__xludf.DUMMYFUNCTION(" VLOOKUP(A28, IMPORTRANGE(""https://docs.google.com/spreadsheets/d/1fj_Bhi2XPL3siwIh4sx4VRLAe31yD50oKdj5UlRYW0c/"", ""Сводка!A:AA""), 5, FALSE)"),344)</f>
        <v>344</v>
      </c>
      <c r="H31" s="10" t="s">
        <v>159</v>
      </c>
      <c r="I31" s="10">
        <f ca="1">IFERROR(__xludf.DUMMYFUNCTION(" VLOOKUP(A28, IMPORTRANGE(""https://docs.google.com/spreadsheets/d/1QNLbnkR_AongFt22vMfNzfpjZ0CjpI8QI-w0wBnYA1w/"", ""Инфа!A:AA""), 6, FALSE)"),2024)</f>
        <v>2024</v>
      </c>
      <c r="J31" s="5">
        <f ca="1">ROUND((5000+G31*30),-2)</f>
        <v>15300</v>
      </c>
      <c r="K31" s="12" t="s">
        <v>160</v>
      </c>
      <c r="L31" s="23" t="s">
        <v>161</v>
      </c>
    </row>
    <row r="32" spans="1:12" ht="168.75">
      <c r="A32" s="8" t="s">
        <v>162</v>
      </c>
      <c r="B32" s="9" t="s">
        <v>12</v>
      </c>
      <c r="C32" s="10" t="s">
        <v>21</v>
      </c>
      <c r="D32" s="10" t="str">
        <f ca="1">IFERROR(__xludf.DUMMYFUNCTION(" VLOOKUP(A29, IMPORTRANGE(""https://docs.google.com/spreadsheets/d/1fj_Bhi2XPL3siwIh4sx4VRLAe31yD50oKdj5UlRYW0c/"", ""Сводка!A:AA""), 11, FALSE)"),"978-9965-20-007-6")</f>
        <v>978-9965-20-007-6</v>
      </c>
      <c r="E32" s="11" t="s">
        <v>163</v>
      </c>
      <c r="F32" s="11" t="s">
        <v>164</v>
      </c>
      <c r="G32" s="12">
        <f ca="1">IFERROR(__xludf.DUMMYFUNCTION(" VLOOKUP(A29, IMPORTRANGE(""https://docs.google.com/spreadsheets/d/1fj_Bhi2XPL3siwIh4sx4VRLAe31yD50oKdj5UlRYW0c/"", ""Сводка!A:AA""), 5, FALSE)"),112)</f>
        <v>112</v>
      </c>
      <c r="H32" s="12" t="s">
        <v>165</v>
      </c>
      <c r="I32" s="10">
        <f ca="1">IFERROR(__xludf.DUMMYFUNCTION(" VLOOKUP(A29, IMPORTRANGE(""https://docs.google.com/spreadsheets/d/1QNLbnkR_AongFt22vMfNzfpjZ0CjpI8QI-w0wBnYA1w/"", ""Инфа!A:AA""), 6, FALSE)"),2024)</f>
        <v>2024</v>
      </c>
      <c r="J32" s="5">
        <f ca="1">ROUND((5000+G32*30),-2)</f>
        <v>8400</v>
      </c>
      <c r="K32" s="12" t="s">
        <v>166</v>
      </c>
      <c r="L32" s="15" t="s">
        <v>167</v>
      </c>
    </row>
    <row r="33" spans="1:12" ht="101.25">
      <c r="A33" s="8" t="s">
        <v>168</v>
      </c>
      <c r="B33" s="9" t="s">
        <v>12</v>
      </c>
      <c r="C33" s="10" t="s">
        <v>13</v>
      </c>
      <c r="D33" s="10" t="str">
        <f ca="1">IFERROR(__xludf.DUMMYFUNCTION(" VLOOKUP(A30, IMPORTRANGE(""https://docs.google.com/spreadsheets/d/1fj_Bhi2XPL3siwIh4sx4VRLAe31yD50oKdj5UlRYW0c/"", ""Сводка!A:AA""), 11, FALSE)"),"9965-878-09-9")</f>
        <v>9965-878-09-9</v>
      </c>
      <c r="E33" s="11" t="s">
        <v>169</v>
      </c>
      <c r="F33" s="11" t="s">
        <v>170</v>
      </c>
      <c r="G33" s="12">
        <f ca="1">IFERROR(__xludf.DUMMYFUNCTION(" VLOOKUP(A30, IMPORTRANGE(""https://docs.google.com/spreadsheets/d/1fj_Bhi2XPL3siwIh4sx4VRLAe31yD50oKdj5UlRYW0c/"", ""Сводка!A:AA""), 5, FALSE)"),344)</f>
        <v>344</v>
      </c>
      <c r="H33" s="12" t="s">
        <v>165</v>
      </c>
      <c r="I33" s="10">
        <f ca="1">IFERROR(__xludf.DUMMYFUNCTION(" VLOOKUP(A30, IMPORTRANGE(""https://docs.google.com/spreadsheets/d/1QNLbnkR_AongFt22vMfNzfpjZ0CjpI8QI-w0wBnYA1w/"", ""Инфа!A:AA""), 6, FALSE)"),2023)</f>
        <v>2023</v>
      </c>
      <c r="J33" s="5">
        <f ca="1">ROUND((5000+G33*30),-2)</f>
        <v>15300</v>
      </c>
      <c r="K33" s="12" t="s">
        <v>171</v>
      </c>
      <c r="L33" s="15" t="s">
        <v>172</v>
      </c>
    </row>
    <row r="34" spans="1:12" ht="270">
      <c r="A34" s="8" t="s">
        <v>173</v>
      </c>
      <c r="B34" s="9" t="s">
        <v>12</v>
      </c>
      <c r="C34" s="10" t="s">
        <v>21</v>
      </c>
      <c r="D34" s="10" t="str">
        <f ca="1">IFERROR(__xludf.DUMMYFUNCTION(" VLOOKUP(A31, IMPORTRANGE(""https://docs.google.com/spreadsheets/d/1fj_Bhi2XPL3siwIh4sx4VRLAe31yD50oKdj5UlRYW0c/"", ""Сводка!A:AA""), 11, FALSE)"),"978-601-241-799-9")</f>
        <v>978-601-241-799-9</v>
      </c>
      <c r="E34" s="11" t="s">
        <v>174</v>
      </c>
      <c r="F34" s="11" t="s">
        <v>175</v>
      </c>
      <c r="G34" s="12">
        <f ca="1">IFERROR(__xludf.DUMMYFUNCTION(" VLOOKUP(A31, IMPORTRANGE(""https://docs.google.com/spreadsheets/d/1fj_Bhi2XPL3siwIh4sx4VRLAe31yD50oKdj5UlRYW0c/"", ""Сводка!A:AA""), 5, FALSE)"),112)</f>
        <v>112</v>
      </c>
      <c r="H34" s="12" t="s">
        <v>176</v>
      </c>
      <c r="I34" s="10">
        <f ca="1">IFERROR(__xludf.DUMMYFUNCTION(" VLOOKUP(A31, IMPORTRANGE(""https://docs.google.com/spreadsheets/d/1QNLbnkR_AongFt22vMfNzfpjZ0CjpI8QI-w0wBnYA1w/"", ""Инфа!A:AA""), 6, FALSE)"),2024)</f>
        <v>2024</v>
      </c>
      <c r="J34" s="5">
        <f ca="1">ROUND((5000+G34*60),-2)</f>
        <v>11700</v>
      </c>
      <c r="K34" s="12" t="s">
        <v>177</v>
      </c>
      <c r="L34" s="15" t="s">
        <v>178</v>
      </c>
    </row>
    <row r="35" spans="1:12" ht="303.75">
      <c r="A35" s="8" t="s">
        <v>179</v>
      </c>
      <c r="B35" s="9" t="s">
        <v>12</v>
      </c>
      <c r="C35" s="10" t="s">
        <v>13</v>
      </c>
      <c r="D35" s="10" t="str">
        <f ca="1">IFERROR(__xludf.DUMMYFUNCTION(" VLOOKUP(A32, IMPORTRANGE(""https://docs.google.com/spreadsheets/d/1fj_Bhi2XPL3siwIh4sx4VRLAe31yD50oKdj5UlRYW0c/"", ""Сводка!A:AA""), 11, FALSE)"),"978-601-7955-83-0")</f>
        <v>978-601-7955-83-0</v>
      </c>
      <c r="E35" s="11" t="s">
        <v>180</v>
      </c>
      <c r="F35" s="11" t="s">
        <v>181</v>
      </c>
      <c r="G35" s="12">
        <f ca="1">IFERROR(__xludf.DUMMYFUNCTION(" VLOOKUP(A32, IMPORTRANGE(""https://docs.google.com/spreadsheets/d/1fj_Bhi2XPL3siwIh4sx4VRLAe31yD50oKdj5UlRYW0c/"", ""Сводка!A:AA""), 5, FALSE)"),196)</f>
        <v>196</v>
      </c>
      <c r="H35" s="12" t="s">
        <v>182</v>
      </c>
      <c r="I35" s="10">
        <f ca="1">IFERROR(__xludf.DUMMYFUNCTION(" VLOOKUP(A32, IMPORTRANGE(""https://docs.google.com/spreadsheets/d/1QNLbnkR_AongFt22vMfNzfpjZ0CjpI8QI-w0wBnYA1w/"", ""Инфа!A:AA""), 6, FALSE)"),2024)</f>
        <v>2024</v>
      </c>
      <c r="J35" s="5">
        <f ca="1">ROUND((5000+G35*60),-2)</f>
        <v>16800</v>
      </c>
      <c r="K35" s="12" t="s">
        <v>183</v>
      </c>
      <c r="L35" s="15" t="s">
        <v>184</v>
      </c>
    </row>
    <row r="36" spans="1:12" ht="213.75">
      <c r="A36" s="8" t="s">
        <v>185</v>
      </c>
      <c r="B36" s="9" t="s">
        <v>12</v>
      </c>
      <c r="C36" s="10" t="s">
        <v>21</v>
      </c>
      <c r="D36" s="10" t="str">
        <f ca="1">IFERROR(__xludf.DUMMYFUNCTION(" VLOOKUP(A33, IMPORTRANGE(""https://docs.google.com/spreadsheets/d/1fj_Bhi2XPL3siwIh4sx4VRLAe31yD50oKdj5UlRYW0c/"", ""Сводка!A:AA""), 11, FALSE)"),"978-601-7787-42-4")</f>
        <v>978-601-7787-42-4</v>
      </c>
      <c r="E36" s="11" t="s">
        <v>186</v>
      </c>
      <c r="F36" s="11" t="s">
        <v>187</v>
      </c>
      <c r="G36" s="12">
        <f ca="1">IFERROR(__xludf.DUMMYFUNCTION(" VLOOKUP(A33, IMPORTRANGE(""https://docs.google.com/spreadsheets/d/1fj_Bhi2XPL3siwIh4sx4VRLAe31yD50oKdj5UlRYW0c/"", ""Сводка!A:AA""), 5, FALSE)"),180)</f>
        <v>180</v>
      </c>
      <c r="H36" s="12" t="s">
        <v>24</v>
      </c>
      <c r="I36" s="10">
        <f ca="1">IFERROR(__xludf.DUMMYFUNCTION(" VLOOKUP(A33, IMPORTRANGE(""https://docs.google.com/spreadsheets/d/1QNLbnkR_AongFt22vMfNzfpjZ0CjpI8QI-w0wBnYA1w/"", ""Инфа!A:AA""), 6, FALSE)"),2024)</f>
        <v>2024</v>
      </c>
      <c r="J36" s="5">
        <f ca="1">ROUND((5000+G36*60),-2)</f>
        <v>15800</v>
      </c>
      <c r="K36" s="12" t="s">
        <v>188</v>
      </c>
      <c r="L36" s="16" t="s">
        <v>189</v>
      </c>
    </row>
    <row r="37" spans="1:12" ht="213.75">
      <c r="A37" s="8" t="s">
        <v>190</v>
      </c>
      <c r="B37" s="9" t="s">
        <v>12</v>
      </c>
      <c r="C37" s="10" t="s">
        <v>21</v>
      </c>
      <c r="D37" s="10" t="str">
        <f ca="1">IFERROR(__xludf.DUMMYFUNCTION(" VLOOKUP(A34, IMPORTRANGE(""https://docs.google.com/spreadsheets/d/1fj_Bhi2XPL3siwIh4sx4VRLAe31yD50oKdj5UlRYW0c/"", ""Сводка!A:AA""), 11, FALSE)"),"978-601-342-495-8")</f>
        <v>978-601-342-495-8</v>
      </c>
      <c r="E37" s="11" t="s">
        <v>191</v>
      </c>
      <c r="F37" s="11" t="s">
        <v>192</v>
      </c>
      <c r="G37" s="12">
        <f ca="1">IFERROR(__xludf.DUMMYFUNCTION(" VLOOKUP(A34, IMPORTRANGE(""https://docs.google.com/spreadsheets/d/1fj_Bhi2XPL3siwIh4sx4VRLAe31yD50oKdj5UlRYW0c/"", ""Сводка!A:AA""), 5, FALSE)"),152)</f>
        <v>152</v>
      </c>
      <c r="H37" s="12" t="s">
        <v>24</v>
      </c>
      <c r="I37" s="10">
        <f ca="1">IFERROR(__xludf.DUMMYFUNCTION(" VLOOKUP(A34, IMPORTRANGE(""https://docs.google.com/spreadsheets/d/1QNLbnkR_AongFt22vMfNzfpjZ0CjpI8QI-w0wBnYA1w/"", ""Инфа!A:AA""), 6, FALSE)"),2024)</f>
        <v>2024</v>
      </c>
      <c r="J37" s="5">
        <f ca="1">ROUND((5000+G37*30),-2)</f>
        <v>9600</v>
      </c>
      <c r="K37" s="12" t="s">
        <v>160</v>
      </c>
      <c r="L37" s="24" t="s">
        <v>193</v>
      </c>
    </row>
    <row r="38" spans="1:12" ht="213.75">
      <c r="A38" s="8" t="s">
        <v>194</v>
      </c>
      <c r="B38" s="9" t="s">
        <v>12</v>
      </c>
      <c r="C38" s="10" t="s">
        <v>13</v>
      </c>
      <c r="D38" s="10" t="str">
        <f ca="1">IFERROR(__xludf.DUMMYFUNCTION(" VLOOKUP(A35, IMPORTRANGE(""https://docs.google.com/spreadsheets/d/1fj_Bhi2XPL3siwIh4sx4VRLAe31yD50oKdj5UlRYW0c/"", ""Сводка!A:AA""), 11, FALSE)"),"978-601-302-155-3")</f>
        <v>978-601-302-155-3</v>
      </c>
      <c r="E38" s="11" t="s">
        <v>195</v>
      </c>
      <c r="F38" s="11" t="s">
        <v>196</v>
      </c>
      <c r="G38" s="12">
        <f ca="1">IFERROR(__xludf.DUMMYFUNCTION(" VLOOKUP(A35, IMPORTRANGE(""https://docs.google.com/spreadsheets/d/1fj_Bhi2XPL3siwIh4sx4VRLAe31yD50oKdj5UlRYW0c/"", ""Сводка!A:AA""), 5, FALSE)"),160)</f>
        <v>160</v>
      </c>
      <c r="H38" s="12"/>
      <c r="I38" s="10">
        <f ca="1">IFERROR(__xludf.DUMMYFUNCTION(" VLOOKUP(A35, IMPORTRANGE(""https://docs.google.com/spreadsheets/d/1QNLbnkR_AongFt22vMfNzfpjZ0CjpI8QI-w0wBnYA1w/"", ""Инфа!A:AA""), 6, FALSE)"),2024)</f>
        <v>2024</v>
      </c>
      <c r="J38" s="5">
        <f ca="1">ROUND((5000+G38*30),-2)</f>
        <v>9800</v>
      </c>
      <c r="K38" s="12" t="s">
        <v>197</v>
      </c>
      <c r="L38" s="15" t="s">
        <v>198</v>
      </c>
    </row>
    <row r="39" spans="1:12" ht="146.25">
      <c r="A39" s="8" t="s">
        <v>199</v>
      </c>
      <c r="B39" s="9" t="s">
        <v>12</v>
      </c>
      <c r="C39" s="10" t="s">
        <v>200</v>
      </c>
      <c r="D39" s="10" t="str">
        <f ca="1">IFERROR(__xludf.DUMMYFUNCTION(" VLOOKUP(A36, IMPORTRANGE(""https://docs.google.com/spreadsheets/d/1fj_Bhi2XPL3siwIh4sx4VRLAe31yD50oKdj5UlRYW0c/"", ""Сводка!A:AA""), 11, FALSE)"),"978-601-342-726-3")</f>
        <v>978-601-342-726-3</v>
      </c>
      <c r="E39" s="11" t="s">
        <v>201</v>
      </c>
      <c r="F39" s="11" t="s">
        <v>202</v>
      </c>
      <c r="G39" s="12">
        <f ca="1">IFERROR(__xludf.DUMMYFUNCTION(" VLOOKUP(A36, IMPORTRANGE(""https://docs.google.com/spreadsheets/d/1fj_Bhi2XPL3siwIh4sx4VRLAe31yD50oKdj5UlRYW0c/"", ""Сводка!A:AA""), 5, FALSE)"),84)</f>
        <v>84</v>
      </c>
      <c r="H39" s="12" t="s">
        <v>203</v>
      </c>
      <c r="I39" s="10">
        <f ca="1">IFERROR(__xludf.DUMMYFUNCTION(" VLOOKUP(A36, IMPORTRANGE(""https://docs.google.com/spreadsheets/d/1QNLbnkR_AongFt22vMfNzfpjZ0CjpI8QI-w0wBnYA1w/"", ""Инфа!A:AA""), 6, FALSE)"),2024)</f>
        <v>2024</v>
      </c>
      <c r="J39" s="5">
        <f ca="1">ROUND((5000+G39*30),-2)</f>
        <v>7500</v>
      </c>
      <c r="K39" s="12" t="s">
        <v>204</v>
      </c>
      <c r="L39" s="15" t="s">
        <v>205</v>
      </c>
    </row>
    <row r="40" spans="1:12" ht="112.5">
      <c r="A40" s="8" t="s">
        <v>206</v>
      </c>
      <c r="B40" s="9" t="s">
        <v>12</v>
      </c>
      <c r="C40" s="10" t="s">
        <v>13</v>
      </c>
      <c r="D40" s="10" t="str">
        <f ca="1">IFERROR(__xludf.DUMMYFUNCTION(" VLOOKUP(A37, IMPORTRANGE(""https://docs.google.com/spreadsheets/d/1fj_Bhi2XPL3siwIh4sx4VRLAe31yD50oKdj5UlRYW0c/"", ""Сводка!A:AA""), 11, FALSE)"),"978-601-327-511-6")</f>
        <v>978-601-327-511-6</v>
      </c>
      <c r="E40" s="11" t="s">
        <v>207</v>
      </c>
      <c r="F40" s="11" t="s">
        <v>208</v>
      </c>
      <c r="G40" s="12">
        <f ca="1">IFERROR(__xludf.DUMMYFUNCTION(" VLOOKUP(A37, IMPORTRANGE(""https://docs.google.com/spreadsheets/d/1fj_Bhi2XPL3siwIh4sx4VRLAe31yD50oKdj5UlRYW0c/"", ""Сводка!A:AA""), 5, FALSE)"),208)</f>
        <v>208</v>
      </c>
      <c r="H40" s="12" t="s">
        <v>36</v>
      </c>
      <c r="I40" s="10">
        <f ca="1">IFERROR(__xludf.DUMMYFUNCTION(" VLOOKUP(A37, IMPORTRANGE(""https://docs.google.com/spreadsheets/d/1QNLbnkR_AongFt22vMfNzfpjZ0CjpI8QI-w0wBnYA1w/"", ""Инфа!A:AA""), 6, FALSE)"),2024)</f>
        <v>2024</v>
      </c>
      <c r="J40" s="5">
        <f ca="1">ROUND((5000+G40*60),-2)</f>
        <v>17500</v>
      </c>
      <c r="K40" s="12" t="s">
        <v>37</v>
      </c>
      <c r="L40" s="15" t="s">
        <v>209</v>
      </c>
    </row>
    <row r="41" spans="1:12" ht="112.5">
      <c r="A41" s="8" t="s">
        <v>210</v>
      </c>
      <c r="B41" s="9" t="s">
        <v>12</v>
      </c>
      <c r="C41" s="10" t="s">
        <v>13</v>
      </c>
      <c r="D41" s="10" t="str">
        <f ca="1">IFERROR(__xludf.DUMMYFUNCTION(" VLOOKUP(A38, IMPORTRANGE(""https://docs.google.com/spreadsheets/d/1fj_Bhi2XPL3siwIh4sx4VRLAe31yD50oKdj5UlRYW0c/"", ""Сводка!A:AA""), 11, FALSE)"),"978-601-240-637-5")</f>
        <v>978-601-240-637-5</v>
      </c>
      <c r="E41" s="11" t="s">
        <v>211</v>
      </c>
      <c r="F41" s="11" t="s">
        <v>212</v>
      </c>
      <c r="G41" s="12">
        <f ca="1">IFERROR(__xludf.DUMMYFUNCTION(" VLOOKUP(A38, IMPORTRANGE(""https://docs.google.com/spreadsheets/d/1fj_Bhi2XPL3siwIh4sx4VRLAe31yD50oKdj5UlRYW0c/"", ""Сводка!A:AA""), 5, FALSE)"),176)</f>
        <v>176</v>
      </c>
      <c r="H41" s="12" t="s">
        <v>42</v>
      </c>
      <c r="I41" s="10">
        <f ca="1">IFERROR(__xludf.DUMMYFUNCTION(" VLOOKUP(A38, IMPORTRANGE(""https://docs.google.com/spreadsheets/d/1QNLbnkR_AongFt22vMfNzfpjZ0CjpI8QI-w0wBnYA1w/"", ""Инфа!A:AA""), 6, FALSE)"),2024)</f>
        <v>2024</v>
      </c>
      <c r="J41" s="5">
        <f ca="1">ROUND((5000+G41*60),-2)</f>
        <v>15600</v>
      </c>
      <c r="K41" s="12" t="s">
        <v>213</v>
      </c>
      <c r="L41" s="16" t="s">
        <v>214</v>
      </c>
    </row>
    <row r="42" spans="1:12" ht="292.5">
      <c r="A42" s="8" t="s">
        <v>215</v>
      </c>
      <c r="B42" s="9" t="s">
        <v>12</v>
      </c>
      <c r="C42" s="10" t="s">
        <v>13</v>
      </c>
      <c r="D42" s="10" t="str">
        <f ca="1">IFERROR(__xludf.DUMMYFUNCTION(" VLOOKUP(A39, IMPORTRANGE(""https://docs.google.com/spreadsheets/d/1fj_Bhi2XPL3siwIh4sx4VRLAe31yD50oKdj5UlRYW0c/"", ""Сводка!A:AA""), 11, FALSE)"),"")</f>
        <v/>
      </c>
      <c r="E42" s="11" t="s">
        <v>216</v>
      </c>
      <c r="F42" s="11" t="s">
        <v>217</v>
      </c>
      <c r="G42" s="12">
        <f ca="1">IFERROR(__xludf.DUMMYFUNCTION(" VLOOKUP(A39, IMPORTRANGE(""https://docs.google.com/spreadsheets/d/1fj_Bhi2XPL3siwIh4sx4VRLAe31yD50oKdj5UlRYW0c/"", ""Сводка!A:AA""), 5, FALSE)"),96)</f>
        <v>96</v>
      </c>
      <c r="H42" s="12" t="s">
        <v>218</v>
      </c>
      <c r="I42" s="10">
        <f ca="1">IFERROR(__xludf.DUMMYFUNCTION(" VLOOKUP(A39, IMPORTRANGE(""https://docs.google.com/spreadsheets/d/1QNLbnkR_AongFt22vMfNzfpjZ0CjpI8QI-w0wBnYA1w/"", ""Инфа!A:AA""), 6, FALSE)"),2024)</f>
        <v>2024</v>
      </c>
      <c r="J42" s="5">
        <f ca="1">ROUND((5000+G42*30),-2)</f>
        <v>7900</v>
      </c>
      <c r="K42" s="12" t="s">
        <v>166</v>
      </c>
      <c r="L42" s="15" t="s">
        <v>219</v>
      </c>
    </row>
    <row r="43" spans="1:12" ht="51">
      <c r="A43" s="8" t="s">
        <v>220</v>
      </c>
      <c r="B43" s="9" t="s">
        <v>12</v>
      </c>
      <c r="C43" s="10" t="s">
        <v>13</v>
      </c>
      <c r="D43" s="10" t="str">
        <f ca="1">IFERROR(__xludf.DUMMYFUNCTION(" VLOOKUP(A40, IMPORTRANGE(""https://docs.google.com/spreadsheets/d/1fj_Bhi2XPL3siwIh4sx4VRLAe31yD50oKdj5UlRYW0c/"", ""Сводка!A:AA""), 11, FALSE)"),"978-601-327-164-4")</f>
        <v>978-601-327-164-4</v>
      </c>
      <c r="E43" s="11" t="s">
        <v>221</v>
      </c>
      <c r="F43" s="11" t="s">
        <v>222</v>
      </c>
      <c r="G43" s="12">
        <f ca="1">IFERROR(__xludf.DUMMYFUNCTION(" VLOOKUP(A40, IMPORTRANGE(""https://docs.google.com/spreadsheets/d/1fj_Bhi2XPL3siwIh4sx4VRLAe31yD50oKdj5UlRYW0c/"", ""Сводка!A:AA""), 5, FALSE)"),324)</f>
        <v>324</v>
      </c>
      <c r="H43" s="12" t="s">
        <v>223</v>
      </c>
      <c r="I43" s="10">
        <f ca="1">IFERROR(__xludf.DUMMYFUNCTION(" VLOOKUP(A40, IMPORTRANGE(""https://docs.google.com/spreadsheets/d/1QNLbnkR_AongFt22vMfNzfpjZ0CjpI8QI-w0wBnYA1w/"", ""Инфа!A:AA""), 6, FALSE)"),2024)</f>
        <v>2024</v>
      </c>
      <c r="J43" s="5">
        <f ca="1">ROUND((5000+G43*30),-2)</f>
        <v>14700</v>
      </c>
      <c r="K43" s="12" t="s">
        <v>160</v>
      </c>
      <c r="L43" s="15" t="s">
        <v>224</v>
      </c>
    </row>
    <row r="44" spans="1:12" ht="270">
      <c r="A44" s="8" t="s">
        <v>225</v>
      </c>
      <c r="B44" s="9" t="s">
        <v>12</v>
      </c>
      <c r="C44" s="13" t="s">
        <v>226</v>
      </c>
      <c r="D44" s="10" t="str">
        <f ca="1">IFERROR(__xludf.DUMMYFUNCTION(" VLOOKUP(A41, IMPORTRANGE(""https://docs.google.com/spreadsheets/d/1fj_Bhi2XPL3siwIh4sx4VRLAe31yD50oKdj5UlRYW0c/"", ""Сводка!A:AA""), 11, FALSE)"),"978-601-342-385-2")</f>
        <v>978-601-342-385-2</v>
      </c>
      <c r="E44" s="11" t="s">
        <v>227</v>
      </c>
      <c r="F44" s="11" t="s">
        <v>228</v>
      </c>
      <c r="G44" s="12">
        <f ca="1">IFERROR(__xludf.DUMMYFUNCTION(" VLOOKUP(A41, IMPORTRANGE(""https://docs.google.com/spreadsheets/d/1fj_Bhi2XPL3siwIh4sx4VRLAe31yD50oKdj5UlRYW0c/"", ""Сводка!A:AA""), 5, FALSE)"),156)</f>
        <v>156</v>
      </c>
      <c r="H44" s="12" t="s">
        <v>203</v>
      </c>
      <c r="I44" s="10">
        <f ca="1">IFERROR(__xludf.DUMMYFUNCTION(" VLOOKUP(A41, IMPORTRANGE(""https://docs.google.com/spreadsheets/d/1QNLbnkR_AongFt22vMfNzfpjZ0CjpI8QI-w0wBnYA1w/"", ""Инфа!A:AA""), 6, FALSE)"),2024)</f>
        <v>2024</v>
      </c>
      <c r="J44" s="5">
        <f ca="1">ROUND(((5000+G44*30)*1.3),-2)</f>
        <v>12600</v>
      </c>
      <c r="K44" s="10" t="s">
        <v>229</v>
      </c>
      <c r="L44" s="15" t="s">
        <v>230</v>
      </c>
    </row>
    <row r="45" spans="1:12" ht="270">
      <c r="A45" s="8" t="s">
        <v>231</v>
      </c>
      <c r="B45" s="9" t="s">
        <v>12</v>
      </c>
      <c r="C45" s="13" t="s">
        <v>226</v>
      </c>
      <c r="D45" s="10" t="str">
        <f ca="1">IFERROR(__xludf.DUMMYFUNCTION(" VLOOKUP(A42, IMPORTRANGE(""https://docs.google.com/spreadsheets/d/1fj_Bhi2XPL3siwIh4sx4VRLAe31yD50oKdj5UlRYW0c/"", ""Сводка!A:AA""), 11, FALSE)"),"978-601-342-385-2")</f>
        <v>978-601-342-385-2</v>
      </c>
      <c r="E45" s="11" t="s">
        <v>227</v>
      </c>
      <c r="F45" s="11" t="s">
        <v>232</v>
      </c>
      <c r="G45" s="12">
        <f ca="1">IFERROR(__xludf.DUMMYFUNCTION(" VLOOKUP(A42, IMPORTRANGE(""https://docs.google.com/spreadsheets/d/1fj_Bhi2XPL3siwIh4sx4VRLAe31yD50oKdj5UlRYW0c/"", ""Сводка!A:AA""), 5, FALSE)"),156)</f>
        <v>156</v>
      </c>
      <c r="H45" s="12" t="s">
        <v>203</v>
      </c>
      <c r="I45" s="10">
        <f ca="1">IFERROR(__xludf.DUMMYFUNCTION(" VLOOKUP(A42, IMPORTRANGE(""https://docs.google.com/spreadsheets/d/1QNLbnkR_AongFt22vMfNzfpjZ0CjpI8QI-w0wBnYA1w/"", ""Инфа!A:AA""), 6, FALSE)"),2024)</f>
        <v>2024</v>
      </c>
      <c r="J45" s="5">
        <f ca="1">ROUND(((5000+G45*30)*1.3),-2)</f>
        <v>12600</v>
      </c>
      <c r="K45" s="10" t="s">
        <v>229</v>
      </c>
      <c r="L45" s="15" t="s">
        <v>230</v>
      </c>
    </row>
    <row r="46" spans="1:12" ht="270">
      <c r="A46" s="8" t="s">
        <v>233</v>
      </c>
      <c r="B46" s="9" t="s">
        <v>12</v>
      </c>
      <c r="C46" s="13" t="s">
        <v>226</v>
      </c>
      <c r="D46" s="10" t="str">
        <f ca="1">IFERROR(__xludf.DUMMYFUNCTION(" VLOOKUP(A43, IMPORTRANGE(""https://docs.google.com/spreadsheets/d/1fj_Bhi2XPL3siwIh4sx4VRLAe31yD50oKdj5UlRYW0c/"", ""Сводка!A:AA""), 11, FALSE)"),"978-601-342-385-2")</f>
        <v>978-601-342-385-2</v>
      </c>
      <c r="E46" s="11" t="s">
        <v>227</v>
      </c>
      <c r="F46" s="11" t="s">
        <v>234</v>
      </c>
      <c r="G46" s="12">
        <f ca="1">IFERROR(__xludf.DUMMYFUNCTION(" VLOOKUP(A43, IMPORTRANGE(""https://docs.google.com/spreadsheets/d/1fj_Bhi2XPL3siwIh4sx4VRLAe31yD50oKdj5UlRYW0c/"", ""Сводка!A:AA""), 5, FALSE)"),156)</f>
        <v>156</v>
      </c>
      <c r="H46" s="12" t="s">
        <v>203</v>
      </c>
      <c r="I46" s="10">
        <f ca="1">IFERROR(__xludf.DUMMYFUNCTION(" VLOOKUP(A43, IMPORTRANGE(""https://docs.google.com/spreadsheets/d/1QNLbnkR_AongFt22vMfNzfpjZ0CjpI8QI-w0wBnYA1w/"", ""Инфа!A:AA""), 6, FALSE)"),2024)</f>
        <v>2024</v>
      </c>
      <c r="J46" s="5">
        <f ca="1">ROUND(((5000+G46*30)*1.3),-2)</f>
        <v>12600</v>
      </c>
      <c r="K46" s="10" t="s">
        <v>229</v>
      </c>
      <c r="L46" s="15" t="s">
        <v>230</v>
      </c>
    </row>
    <row r="47" spans="1:12" ht="168.75">
      <c r="A47" s="8" t="s">
        <v>235</v>
      </c>
      <c r="B47" s="9" t="s">
        <v>12</v>
      </c>
      <c r="C47" s="10" t="s">
        <v>13</v>
      </c>
      <c r="D47" s="10" t="str">
        <f ca="1">IFERROR(__xludf.DUMMYFUNCTION(" VLOOKUP(A44, IMPORTRANGE(""https://docs.google.com/spreadsheets/d/1fj_Bhi2XPL3siwIh4sx4VRLAe31yD50oKdj5UlRYW0c/"", ""Сводка!A:AA""), 11, FALSE)"),"978-601-327-177-4")</f>
        <v>978-601-327-177-4</v>
      </c>
      <c r="E47" s="11" t="s">
        <v>236</v>
      </c>
      <c r="F47" s="11" t="s">
        <v>237</v>
      </c>
      <c r="G47" s="12">
        <f ca="1">IFERROR(__xludf.DUMMYFUNCTION(" VLOOKUP(A44, IMPORTRANGE(""https://docs.google.com/spreadsheets/d/1fj_Bhi2XPL3siwIh4sx4VRLAe31yD50oKdj5UlRYW0c/"", ""Сводка!A:AA""), 5, FALSE)"),192)</f>
        <v>192</v>
      </c>
      <c r="H47" s="12" t="s">
        <v>176</v>
      </c>
      <c r="I47" s="10">
        <f ca="1">IFERROR(__xludf.DUMMYFUNCTION(" VLOOKUP(A44, IMPORTRANGE(""https://docs.google.com/spreadsheets/d/1QNLbnkR_AongFt22vMfNzfpjZ0CjpI8QI-w0wBnYA1w/"", ""Инфа!A:AA""), 6, FALSE)"),2024)</f>
        <v>2024</v>
      </c>
      <c r="J47" s="5">
        <f ca="1">ROUND((5000+G47*30),-2)</f>
        <v>10800</v>
      </c>
      <c r="K47" s="12" t="s">
        <v>160</v>
      </c>
      <c r="L47" s="15" t="s">
        <v>238</v>
      </c>
    </row>
    <row r="48" spans="1:12" ht="191.25">
      <c r="A48" s="8" t="s">
        <v>239</v>
      </c>
      <c r="B48" s="9" t="s">
        <v>12</v>
      </c>
      <c r="C48" s="10" t="s">
        <v>21</v>
      </c>
      <c r="D48" s="10" t="str">
        <f ca="1">IFERROR(__xludf.DUMMYFUNCTION(" VLOOKUP(A45, IMPORTRANGE(""https://docs.google.com/spreadsheets/d/1fj_Bhi2XPL3siwIh4sx4VRLAe31yD50oKdj5UlRYW0c/"", ""Сводка!A:AA""), 11, FALSE)"),"978-601-310-731-8")</f>
        <v>978-601-310-731-8</v>
      </c>
      <c r="E48" s="11" t="s">
        <v>240</v>
      </c>
      <c r="F48" s="11" t="s">
        <v>241</v>
      </c>
      <c r="G48" s="12">
        <f ca="1">IFERROR(__xludf.DUMMYFUNCTION(" VLOOKUP(A45, IMPORTRANGE(""https://docs.google.com/spreadsheets/d/1fj_Bhi2XPL3siwIh4sx4VRLAe31yD50oKdj5UlRYW0c/"", ""Сводка!A:AA""), 5, FALSE)"),100)</f>
        <v>100</v>
      </c>
      <c r="H48" s="12" t="s">
        <v>242</v>
      </c>
      <c r="I48" s="10">
        <f ca="1">IFERROR(__xludf.DUMMYFUNCTION(" VLOOKUP(A45, IMPORTRANGE(""https://docs.google.com/spreadsheets/d/1QNLbnkR_AongFt22vMfNzfpjZ0CjpI8QI-w0wBnYA1w/"", ""Инфа!A:AA""), 6, FALSE)"),2024)</f>
        <v>2024</v>
      </c>
      <c r="J48" s="5">
        <f ca="1">ROUND((5000+G48*30),-2)</f>
        <v>8000</v>
      </c>
      <c r="K48" s="9" t="s">
        <v>243</v>
      </c>
      <c r="L48" s="15" t="s">
        <v>244</v>
      </c>
    </row>
    <row r="49" spans="1:12" ht="281.25">
      <c r="A49" s="8" t="s">
        <v>245</v>
      </c>
      <c r="B49" s="9" t="s">
        <v>12</v>
      </c>
      <c r="C49" s="10" t="s">
        <v>66</v>
      </c>
      <c r="D49" s="10" t="str">
        <f ca="1">IFERROR(__xludf.DUMMYFUNCTION(" VLOOKUP(A46, IMPORTRANGE(""https://docs.google.com/spreadsheets/d/1fj_Bhi2XPL3siwIh4sx4VRLAe31yD50oKdj5UlRYW0c/"", ""Сводка!A:AA""), 11, FALSE)"),"978-601-240-482-1")</f>
        <v>978-601-240-482-1</v>
      </c>
      <c r="E49" s="11" t="s">
        <v>246</v>
      </c>
      <c r="F49" s="11" t="s">
        <v>247</v>
      </c>
      <c r="G49" s="12">
        <f ca="1">IFERROR(__xludf.DUMMYFUNCTION(" VLOOKUP(A46, IMPORTRANGE(""https://docs.google.com/spreadsheets/d/1fj_Bhi2XPL3siwIh4sx4VRLAe31yD50oKdj5UlRYW0c/"", ""Сводка!A:AA""), 5, FALSE)"),228)</f>
        <v>228</v>
      </c>
      <c r="H49" s="12" t="s">
        <v>165</v>
      </c>
      <c r="I49" s="10">
        <f ca="1">IFERROR(__xludf.DUMMYFUNCTION(" VLOOKUP(A46, IMPORTRANGE(""https://docs.google.com/spreadsheets/d/1QNLbnkR_AongFt22vMfNzfpjZ0CjpI8QI-w0wBnYA1w/"", ""Инфа!A:AA""), 6, FALSE)"),2024)</f>
        <v>2024</v>
      </c>
      <c r="J49" s="5">
        <f ca="1">ROUND((5000+G49*60),-2)</f>
        <v>18700</v>
      </c>
      <c r="K49" s="12" t="s">
        <v>248</v>
      </c>
      <c r="L49" s="15" t="s">
        <v>249</v>
      </c>
    </row>
    <row r="50" spans="1:12" ht="258.75">
      <c r="A50" s="8" t="s">
        <v>250</v>
      </c>
      <c r="B50" s="9" t="s">
        <v>12</v>
      </c>
      <c r="C50" s="10" t="s">
        <v>13</v>
      </c>
      <c r="D50" s="10" t="str">
        <f ca="1">IFERROR(__xludf.DUMMYFUNCTION(" VLOOKUP(A47, IMPORTRANGE(""https://docs.google.com/spreadsheets/d/1fj_Bhi2XPL3siwIh4sx4VRLAe31yD50oKdj5UlRYW0c/"", ""Сводка!A:AA""), 11, FALSE)"),"978-601-327-153-8")</f>
        <v>978-601-327-153-8</v>
      </c>
      <c r="E50" s="11" t="s">
        <v>251</v>
      </c>
      <c r="F50" s="11" t="s">
        <v>252</v>
      </c>
      <c r="G50" s="12">
        <f ca="1">IFERROR(__xludf.DUMMYFUNCTION(" VLOOKUP(A47, IMPORTRANGE(""https://docs.google.com/spreadsheets/d/1fj_Bhi2XPL3siwIh4sx4VRLAe31yD50oKdj5UlRYW0c/"", ""Сводка!A:AA""), 5, FALSE)"),140)</f>
        <v>140</v>
      </c>
      <c r="H50" s="12" t="s">
        <v>42</v>
      </c>
      <c r="I50" s="10">
        <f ca="1">IFERROR(__xludf.DUMMYFUNCTION(" VLOOKUP(A47, IMPORTRANGE(""https://docs.google.com/spreadsheets/d/1QNLbnkR_AongFt22vMfNzfpjZ0CjpI8QI-w0wBnYA1w/"", ""Инфа!A:AA""), 6, FALSE)"),2024)</f>
        <v>2024</v>
      </c>
      <c r="J50" s="5">
        <f ca="1">ROUND((5000+G50*30),-2)</f>
        <v>9200</v>
      </c>
      <c r="K50" s="12" t="s">
        <v>101</v>
      </c>
      <c r="L50" s="15" t="s">
        <v>253</v>
      </c>
    </row>
    <row r="51" spans="1:12" ht="191.25">
      <c r="A51" s="8" t="s">
        <v>254</v>
      </c>
      <c r="B51" s="9" t="s">
        <v>12</v>
      </c>
      <c r="C51" s="10" t="s">
        <v>13</v>
      </c>
      <c r="D51" s="10" t="str">
        <f ca="1">IFERROR(__xludf.DUMMYFUNCTION(" VLOOKUP(A48, IMPORTRANGE(""https://docs.google.com/spreadsheets/d/1fj_Bhi2XPL3siwIh4sx4VRLAe31yD50oKdj5UlRYW0c/"", ""Сводка!A:AA""), 11, FALSE)"),"978-601-327-076-0")</f>
        <v>978-601-327-076-0</v>
      </c>
      <c r="E51" s="11" t="s">
        <v>255</v>
      </c>
      <c r="F51" s="11" t="s">
        <v>256</v>
      </c>
      <c r="G51" s="12">
        <f ca="1">IFERROR(__xludf.DUMMYFUNCTION(" VLOOKUP(A48, IMPORTRANGE(""https://docs.google.com/spreadsheets/d/1fj_Bhi2XPL3siwIh4sx4VRLAe31yD50oKdj5UlRYW0c/"", ""Сводка!A:AA""), 5, FALSE)"),160)</f>
        <v>160</v>
      </c>
      <c r="H51" s="12" t="s">
        <v>42</v>
      </c>
      <c r="I51" s="10">
        <f ca="1">IFERROR(__xludf.DUMMYFUNCTION(" VLOOKUP(A48, IMPORTRANGE(""https://docs.google.com/spreadsheets/d/1QNLbnkR_AongFt22vMfNzfpjZ0CjpI8QI-w0wBnYA1w/"", ""Инфа!A:AA""), 6, FALSE)"),2024)</f>
        <v>2024</v>
      </c>
      <c r="J51" s="5">
        <f ca="1">ROUND((5000+G51*30),-2)</f>
        <v>9800</v>
      </c>
      <c r="K51" s="12" t="s">
        <v>257</v>
      </c>
      <c r="L51" s="15" t="s">
        <v>258</v>
      </c>
    </row>
    <row r="52" spans="1:12" ht="236.25">
      <c r="A52" s="8" t="s">
        <v>259</v>
      </c>
      <c r="B52" s="9" t="s">
        <v>12</v>
      </c>
      <c r="C52" s="10" t="s">
        <v>13</v>
      </c>
      <c r="D52" s="10" t="str">
        <f ca="1">IFERROR(__xludf.DUMMYFUNCTION(" VLOOKUP(A49, IMPORTRANGE(""https://docs.google.com/spreadsheets/d/1fj_Bhi2XPL3siwIh4sx4VRLAe31yD50oKdj5UlRYW0c/"", ""Сводка!A:AA""), 11, FALSE)"),"978-601-327-042-5")</f>
        <v>978-601-327-042-5</v>
      </c>
      <c r="E52" s="11" t="s">
        <v>260</v>
      </c>
      <c r="F52" s="11" t="s">
        <v>261</v>
      </c>
      <c r="G52" s="12">
        <f ca="1">IFERROR(__xludf.DUMMYFUNCTION(" VLOOKUP(A49, IMPORTRANGE(""https://docs.google.com/spreadsheets/d/1fj_Bhi2XPL3siwIh4sx4VRLAe31yD50oKdj5UlRYW0c/"", ""Сводка!A:AA""), 5, FALSE)"),168)</f>
        <v>168</v>
      </c>
      <c r="H52" s="12" t="s">
        <v>42</v>
      </c>
      <c r="I52" s="10">
        <f ca="1">IFERROR(__xludf.DUMMYFUNCTION(" VLOOKUP(A49, IMPORTRANGE(""https://docs.google.com/spreadsheets/d/1QNLbnkR_AongFt22vMfNzfpjZ0CjpI8QI-w0wBnYA1w/"", ""Инфа!A:AA""), 6, FALSE)"),2024)</f>
        <v>2024</v>
      </c>
      <c r="J52" s="5">
        <f ca="1">ROUND((5000+G52*30),-2)</f>
        <v>10000</v>
      </c>
      <c r="K52" s="12" t="s">
        <v>101</v>
      </c>
      <c r="L52" s="15" t="s">
        <v>262</v>
      </c>
    </row>
    <row r="53" spans="1:12" ht="146.25">
      <c r="A53" s="8" t="s">
        <v>263</v>
      </c>
      <c r="B53" s="9" t="s">
        <v>12</v>
      </c>
      <c r="C53" s="10" t="s">
        <v>13</v>
      </c>
      <c r="D53" s="10" t="str">
        <f ca="1">IFERROR(__xludf.DUMMYFUNCTION(" VLOOKUP(A50, IMPORTRANGE(""https://docs.google.com/spreadsheets/d/1fj_Bhi2XPL3siwIh4sx4VRLAe31yD50oKdj5UlRYW0c/"", ""Сводка!A:AA""), 11, FALSE)"),"978-601-240-219-2")</f>
        <v>978-601-240-219-2</v>
      </c>
      <c r="E53" s="11" t="s">
        <v>264</v>
      </c>
      <c r="F53" s="11" t="s">
        <v>265</v>
      </c>
      <c r="G53" s="12">
        <f ca="1">IFERROR(__xludf.DUMMYFUNCTION(" VLOOKUP(A50, IMPORTRANGE(""https://docs.google.com/spreadsheets/d/1fj_Bhi2XPL3siwIh4sx4VRLAe31yD50oKdj5UlRYW0c/"", ""Сводка!A:AA""), 5, FALSE)"),104)</f>
        <v>104</v>
      </c>
      <c r="H53" s="12" t="s">
        <v>24</v>
      </c>
      <c r="I53" s="10">
        <f ca="1">IFERROR(__xludf.DUMMYFUNCTION(" VLOOKUP(A50, IMPORTRANGE(""https://docs.google.com/spreadsheets/d/1QNLbnkR_AongFt22vMfNzfpjZ0CjpI8QI-w0wBnYA1w/"", ""Инфа!A:AA""), 6, FALSE)"),2024)</f>
        <v>2024</v>
      </c>
      <c r="J53" s="5">
        <f ca="1">ROUND((5000+G53*60),-2)</f>
        <v>11200</v>
      </c>
      <c r="K53" s="12" t="s">
        <v>266</v>
      </c>
      <c r="L53" s="15" t="s">
        <v>267</v>
      </c>
    </row>
    <row r="54" spans="1:12" ht="202.5">
      <c r="A54" s="8" t="s">
        <v>268</v>
      </c>
      <c r="B54" s="9" t="s">
        <v>12</v>
      </c>
      <c r="C54" s="10" t="s">
        <v>66</v>
      </c>
      <c r="D54" s="10" t="str">
        <f ca="1">IFERROR(__xludf.DUMMYFUNCTION(" VLOOKUP(A51, IMPORTRANGE(""https://docs.google.com/spreadsheets/d/1fj_Bhi2XPL3siwIh4sx4VRLAe31yD50oKdj5UlRYW0c/"", ""Сводка!A:AA""), 11, FALSE)"),"978-601-342-496-5")</f>
        <v>978-601-342-496-5</v>
      </c>
      <c r="E54" s="11" t="s">
        <v>269</v>
      </c>
      <c r="F54" s="11" t="s">
        <v>270</v>
      </c>
      <c r="G54" s="12">
        <f ca="1">IFERROR(__xludf.DUMMYFUNCTION(" VLOOKUP(A51, IMPORTRANGE(""https://docs.google.com/spreadsheets/d/1fj_Bhi2XPL3siwIh4sx4VRLAe31yD50oKdj5UlRYW0c/"", ""Сводка!A:AA""), 5, FALSE)"),104)</f>
        <v>104</v>
      </c>
      <c r="H54" s="12" t="s">
        <v>165</v>
      </c>
      <c r="I54" s="10">
        <f ca="1">IFERROR(__xludf.DUMMYFUNCTION(" VLOOKUP(A51, IMPORTRANGE(""https://docs.google.com/spreadsheets/d/1QNLbnkR_AongFt22vMfNzfpjZ0CjpI8QI-w0wBnYA1w/"", ""Инфа!A:AA""), 6, FALSE)"),2024)</f>
        <v>2024</v>
      </c>
      <c r="J54" s="5">
        <f ca="1">ROUND((5000+G54*60),-2)</f>
        <v>11200</v>
      </c>
      <c r="K54" s="9" t="s">
        <v>271</v>
      </c>
      <c r="L54" s="15" t="s">
        <v>272</v>
      </c>
    </row>
    <row r="55" spans="1:12" ht="191.25">
      <c r="A55" s="8" t="s">
        <v>273</v>
      </c>
      <c r="B55" s="9" t="s">
        <v>12</v>
      </c>
      <c r="C55" s="10" t="s">
        <v>13</v>
      </c>
      <c r="D55" s="10" t="str">
        <f ca="1">IFERROR(__xludf.DUMMYFUNCTION(" VLOOKUP(A52, IMPORTRANGE(""https://docs.google.com/spreadsheets/d/1fj_Bhi2XPL3siwIh4sx4VRLAe31yD50oKdj5UlRYW0c/"", ""Сводка!A:AA""), 11, FALSE)"),"978-601-255-127-3")</f>
        <v>978-601-255-127-3</v>
      </c>
      <c r="E55" s="25" t="s">
        <v>274</v>
      </c>
      <c r="F55" s="25" t="s">
        <v>275</v>
      </c>
      <c r="G55" s="12">
        <f ca="1">IFERROR(__xludf.DUMMYFUNCTION(" VLOOKUP(A52, IMPORTRANGE(""https://docs.google.com/spreadsheets/d/1fj_Bhi2XPL3siwIh4sx4VRLAe31yD50oKdj5UlRYW0c/"", ""Сводка!A:AA""), 5, FALSE)"),176)</f>
        <v>176</v>
      </c>
      <c r="H55" s="26" t="s">
        <v>276</v>
      </c>
      <c r="I55" s="10">
        <f ca="1">IFERROR(__xludf.DUMMYFUNCTION(" VLOOKUP(A52, IMPORTRANGE(""https://docs.google.com/spreadsheets/d/1QNLbnkR_AongFt22vMfNzfpjZ0CjpI8QI-w0wBnYA1w/"", ""Инфа!A:AA""), 6, FALSE)"),2024)</f>
        <v>2024</v>
      </c>
      <c r="J55" s="5">
        <f ca="1">ROUND((5000+G55*30),-2)</f>
        <v>10300</v>
      </c>
      <c r="K55" s="12" t="s">
        <v>277</v>
      </c>
      <c r="L55" s="15" t="s">
        <v>278</v>
      </c>
    </row>
    <row r="56" spans="1:12" ht="236.25">
      <c r="A56" s="8" t="s">
        <v>279</v>
      </c>
      <c r="B56" s="9" t="s">
        <v>12</v>
      </c>
      <c r="C56" s="10" t="s">
        <v>13</v>
      </c>
      <c r="D56" s="10" t="str">
        <f ca="1">IFERROR(__xludf.DUMMYFUNCTION(" VLOOKUP(A53, IMPORTRANGE(""https://docs.google.com/spreadsheets/d/1fj_Bhi2XPL3siwIh4sx4VRLAe31yD50oKdj5UlRYW0c/"", ""Сводка!A:AA""), 11, FALSE)"),"978-601-342-673-0")</f>
        <v>978-601-342-673-0</v>
      </c>
      <c r="E56" s="11" t="s">
        <v>280</v>
      </c>
      <c r="F56" s="11" t="s">
        <v>281</v>
      </c>
      <c r="G56" s="12">
        <f ca="1">IFERROR(__xludf.DUMMYFUNCTION(" VLOOKUP(A53, IMPORTRANGE(""https://docs.google.com/spreadsheets/d/1fj_Bhi2XPL3siwIh4sx4VRLAe31yD50oKdj5UlRYW0c/"", ""Сводка!A:AA""), 5, FALSE)"),132)</f>
        <v>132</v>
      </c>
      <c r="H56" s="12" t="s">
        <v>282</v>
      </c>
      <c r="I56" s="10">
        <f ca="1">IFERROR(__xludf.DUMMYFUNCTION(" VLOOKUP(A53, IMPORTRANGE(""https://docs.google.com/spreadsheets/d/1QNLbnkR_AongFt22vMfNzfpjZ0CjpI8QI-w0wBnYA1w/"", ""Инфа!A:AA""), 6, FALSE)"),2024)</f>
        <v>2024</v>
      </c>
      <c r="J56" s="5">
        <f ca="1">ROUND((5000+G56*30),-2)</f>
        <v>9000</v>
      </c>
      <c r="K56" s="12" t="s">
        <v>18</v>
      </c>
      <c r="L56" s="15" t="s">
        <v>283</v>
      </c>
    </row>
    <row r="57" spans="1:12" ht="225">
      <c r="A57" s="8" t="s">
        <v>284</v>
      </c>
      <c r="B57" s="9" t="s">
        <v>12</v>
      </c>
      <c r="C57" s="10" t="s">
        <v>21</v>
      </c>
      <c r="D57" s="10" t="str">
        <f ca="1">IFERROR(__xludf.DUMMYFUNCTION(" VLOOKUP(A54, IMPORTRANGE(""https://docs.google.com/spreadsheets/d/1fj_Bhi2XPL3siwIh4sx4VRLAe31yD50oKdj5UlRYW0c/"", ""Сводка!A:AA""), 11, FALSE)"),"987-601-310-467-6")</f>
        <v>987-601-310-467-6</v>
      </c>
      <c r="E57" s="11" t="s">
        <v>285</v>
      </c>
      <c r="F57" s="11" t="s">
        <v>286</v>
      </c>
      <c r="G57" s="12">
        <f ca="1">IFERROR(__xludf.DUMMYFUNCTION(" VLOOKUP(A54, IMPORTRANGE(""https://docs.google.com/spreadsheets/d/1fj_Bhi2XPL3siwIh4sx4VRLAe31yD50oKdj5UlRYW0c/"", ""Сводка!A:AA""), 5, FALSE)"),244)</f>
        <v>244</v>
      </c>
      <c r="H57" s="12"/>
      <c r="I57" s="10">
        <f ca="1">IFERROR(__xludf.DUMMYFUNCTION(" VLOOKUP(A54, IMPORTRANGE(""https://docs.google.com/spreadsheets/d/1QNLbnkR_AongFt22vMfNzfpjZ0CjpI8QI-w0wBnYA1w/"", ""Инфа!A:AA""), 6, FALSE)"),2024)</f>
        <v>2024</v>
      </c>
      <c r="J57" s="5">
        <f ca="1">ROUND((5000+G57*30),-2)</f>
        <v>12300</v>
      </c>
      <c r="K57" s="12" t="s">
        <v>287</v>
      </c>
      <c r="L57" s="15" t="s">
        <v>288</v>
      </c>
    </row>
    <row r="58" spans="1:12" ht="56.25">
      <c r="A58" s="8" t="s">
        <v>289</v>
      </c>
      <c r="B58" s="9" t="s">
        <v>12</v>
      </c>
      <c r="C58" s="10" t="s">
        <v>13</v>
      </c>
      <c r="D58" s="10" t="str">
        <f ca="1">IFERROR(__xludf.DUMMYFUNCTION(" VLOOKUP(A55, IMPORTRANGE(""https://docs.google.com/spreadsheets/d/1fj_Bhi2XPL3siwIh4sx4VRLAe31yD50oKdj5UlRYW0c/"", ""Сводка!A:AA""), 11, FALSE)"),"978-601-327-175-0")</f>
        <v>978-601-327-175-0</v>
      </c>
      <c r="E58" s="11" t="s">
        <v>290</v>
      </c>
      <c r="F58" s="11" t="s">
        <v>291</v>
      </c>
      <c r="G58" s="12">
        <f ca="1">IFERROR(__xludf.DUMMYFUNCTION(" VLOOKUP(A55, IMPORTRANGE(""https://docs.google.com/spreadsheets/d/1fj_Bhi2XPL3siwIh4sx4VRLAe31yD50oKdj5UlRYW0c/"", ""Сводка!A:AA""), 5, FALSE)"),112)</f>
        <v>112</v>
      </c>
      <c r="H58" s="12"/>
      <c r="I58" s="10">
        <f ca="1">IFERROR(__xludf.DUMMYFUNCTION(" VLOOKUP(A55, IMPORTRANGE(""https://docs.google.com/spreadsheets/d/1QNLbnkR_AongFt22vMfNzfpjZ0CjpI8QI-w0wBnYA1w/"", ""Инфа!A:AA""), 6, FALSE)"),2024)</f>
        <v>2024</v>
      </c>
      <c r="J58" s="5">
        <f ca="1">ROUND((5000+G58*60),-2)</f>
        <v>11700</v>
      </c>
      <c r="K58" s="12" t="s">
        <v>139</v>
      </c>
      <c r="L58" s="15" t="s">
        <v>292</v>
      </c>
    </row>
    <row r="59" spans="1:12" ht="303.75">
      <c r="A59" s="8" t="s">
        <v>293</v>
      </c>
      <c r="B59" s="9" t="s">
        <v>12</v>
      </c>
      <c r="C59" s="10" t="s">
        <v>66</v>
      </c>
      <c r="D59" s="10" t="str">
        <f ca="1">IFERROR(__xludf.DUMMYFUNCTION(" VLOOKUP(A56, IMPORTRANGE(""https://docs.google.com/spreadsheets/d/1fj_Bhi2XPL3siwIh4sx4VRLAe31yD50oKdj5UlRYW0c/"", ""Сводка!A:AA""), 11, FALSE)"),"978-9965-32-859-6")</f>
        <v>978-9965-32-859-6</v>
      </c>
      <c r="E59" s="11" t="s">
        <v>294</v>
      </c>
      <c r="F59" s="11" t="s">
        <v>295</v>
      </c>
      <c r="G59" s="12">
        <f ca="1">IFERROR(__xludf.DUMMYFUNCTION(" VLOOKUP(A56, IMPORTRANGE(""https://docs.google.com/spreadsheets/d/1fj_Bhi2XPL3siwIh4sx4VRLAe31yD50oKdj5UlRYW0c/"", ""Сводка!A:AA""), 5, FALSE)"),108)</f>
        <v>108</v>
      </c>
      <c r="H59" s="12" t="s">
        <v>165</v>
      </c>
      <c r="I59" s="10">
        <f ca="1">IFERROR(__xludf.DUMMYFUNCTION(" VLOOKUP(A56, IMPORTRANGE(""https://docs.google.com/spreadsheets/d/1QNLbnkR_AongFt22vMfNzfpjZ0CjpI8QI-w0wBnYA1w/"", ""Инфа!A:AA""), 6, FALSE)"),2024)</f>
        <v>2024</v>
      </c>
      <c r="J59" s="5">
        <f ca="1">ROUND((5000+G59*60),-2)</f>
        <v>11500</v>
      </c>
      <c r="K59" s="12" t="s">
        <v>296</v>
      </c>
      <c r="L59" s="15" t="s">
        <v>297</v>
      </c>
    </row>
    <row r="60" spans="1:12" ht="202.5">
      <c r="A60" s="8" t="s">
        <v>298</v>
      </c>
      <c r="B60" s="9" t="s">
        <v>12</v>
      </c>
      <c r="C60" s="10" t="s">
        <v>66</v>
      </c>
      <c r="D60" s="10" t="str">
        <f ca="1">IFERROR(__xludf.DUMMYFUNCTION(" VLOOKUP(A57, IMPORTRANGE(""https://docs.google.com/spreadsheets/d/1fj_Bhi2XPL3siwIh4sx4VRLAe31yD50oKdj5UlRYW0c/"", ""Сводка!A:AA""), 11, FALSE)"),"978-601-342-489-7")</f>
        <v>978-601-342-489-7</v>
      </c>
      <c r="E60" s="11" t="s">
        <v>299</v>
      </c>
      <c r="F60" s="11" t="s">
        <v>300</v>
      </c>
      <c r="G60" s="12">
        <f ca="1">IFERROR(__xludf.DUMMYFUNCTION(" VLOOKUP(A57, IMPORTRANGE(""https://docs.google.com/spreadsheets/d/1fj_Bhi2XPL3siwIh4sx4VRLAe31yD50oKdj5UlRYW0c/"", ""Сводка!A:AA""), 5, FALSE)"),200)</f>
        <v>200</v>
      </c>
      <c r="H60" s="12" t="s">
        <v>301</v>
      </c>
      <c r="I60" s="10">
        <f ca="1">IFERROR(__xludf.DUMMYFUNCTION(" VLOOKUP(A57, IMPORTRANGE(""https://docs.google.com/spreadsheets/d/1QNLbnkR_AongFt22vMfNzfpjZ0CjpI8QI-w0wBnYA1w/"", ""Инфа!A:AA""), 6, FALSE)"),2024)</f>
        <v>2024</v>
      </c>
      <c r="J60" s="5">
        <f ca="1">ROUND((5000+G60*60),-2)</f>
        <v>17000</v>
      </c>
      <c r="K60" s="12" t="s">
        <v>302</v>
      </c>
      <c r="L60" s="15" t="s">
        <v>303</v>
      </c>
    </row>
    <row r="61" spans="1:12" ht="135">
      <c r="A61" s="8" t="s">
        <v>304</v>
      </c>
      <c r="B61" s="9" t="s">
        <v>12</v>
      </c>
      <c r="C61" s="10" t="s">
        <v>13</v>
      </c>
      <c r="D61" s="10" t="str">
        <f ca="1">IFERROR(__xludf.DUMMYFUNCTION(" VLOOKUP(A58, IMPORTRANGE(""https://docs.google.com/spreadsheets/d/1fj_Bhi2XPL3siwIh4sx4VRLAe31yD50oKdj5UlRYW0c/"", ""Сводка!A:AA""), 11, FALSE)"),"978-9965-824-79-1")</f>
        <v>978-9965-824-79-1</v>
      </c>
      <c r="E61" s="11" t="s">
        <v>305</v>
      </c>
      <c r="F61" s="11" t="s">
        <v>306</v>
      </c>
      <c r="G61" s="12">
        <f ca="1">IFERROR(__xludf.DUMMYFUNCTION(" VLOOKUP(A58, IMPORTRANGE(""https://docs.google.com/spreadsheets/d/1fj_Bhi2XPL3siwIh4sx4VRLAe31yD50oKdj5UlRYW0c/"", ""Сводка!A:AA""), 5, FALSE)"),86)</f>
        <v>86</v>
      </c>
      <c r="H61" s="12" t="s">
        <v>307</v>
      </c>
      <c r="I61" s="10">
        <f ca="1">IFERROR(__xludf.DUMMYFUNCTION(" VLOOKUP(A58, IMPORTRANGE(""https://docs.google.com/spreadsheets/d/1QNLbnkR_AongFt22vMfNzfpjZ0CjpI8QI-w0wBnYA1w/"", ""Инфа!A:AA""), 6, FALSE)"),2024)</f>
        <v>2024</v>
      </c>
      <c r="J61" s="5">
        <f ca="1">ROUND((5000+G61*60),-2)</f>
        <v>10200</v>
      </c>
      <c r="K61" s="12" t="s">
        <v>308</v>
      </c>
      <c r="L61" s="15" t="s">
        <v>309</v>
      </c>
    </row>
    <row r="62" spans="1:12" ht="114.75">
      <c r="A62" s="8" t="s">
        <v>310</v>
      </c>
      <c r="B62" s="9" t="s">
        <v>12</v>
      </c>
      <c r="C62" s="10" t="s">
        <v>13</v>
      </c>
      <c r="D62" s="10" t="str">
        <f ca="1">IFERROR(__xludf.DUMMYFUNCTION(" VLOOKUP(A59, IMPORTRANGE(""https://docs.google.com/spreadsheets/d/1fj_Bhi2XPL3siwIh4sx4VRLAe31yD50oKdj5UlRYW0c/"", ""Сводка!A:AA""), 11, FALSE)"),"978-9965-824-79-1")</f>
        <v>978-9965-824-79-1</v>
      </c>
      <c r="E62" s="11" t="s">
        <v>305</v>
      </c>
      <c r="F62" s="11" t="s">
        <v>311</v>
      </c>
      <c r="G62" s="12">
        <f ca="1">IFERROR(__xludf.DUMMYFUNCTION(" VLOOKUP(A59, IMPORTRANGE(""https://docs.google.com/spreadsheets/d/1fj_Bhi2XPL3siwIh4sx4VRLAe31yD50oKdj5UlRYW0c/"", ""Сводка!A:AA""), 5, FALSE)"),132)</f>
        <v>132</v>
      </c>
      <c r="H62" s="12" t="s">
        <v>312</v>
      </c>
      <c r="I62" s="10">
        <f ca="1">IFERROR(__xludf.DUMMYFUNCTION(" VLOOKUP(A59, IMPORTRANGE(""https://docs.google.com/spreadsheets/d/1QNLbnkR_AongFt22vMfNzfpjZ0CjpI8QI-w0wBnYA1w/"", ""Инфа!A:AA""), 6, FALSE)"),2024)</f>
        <v>2024</v>
      </c>
      <c r="J62" s="5">
        <f ca="1">ROUND((5000+G62*30),-2)</f>
        <v>9000</v>
      </c>
      <c r="K62" s="12" t="s">
        <v>308</v>
      </c>
      <c r="L62" s="15" t="s">
        <v>313</v>
      </c>
    </row>
    <row r="63" spans="1:12" ht="135">
      <c r="A63" s="8" t="s">
        <v>314</v>
      </c>
      <c r="B63" s="9" t="s">
        <v>12</v>
      </c>
      <c r="C63" s="10" t="s">
        <v>13</v>
      </c>
      <c r="D63" s="10" t="str">
        <f ca="1">IFERROR(__xludf.DUMMYFUNCTION(" VLOOKUP(A60, IMPORTRANGE(""https://docs.google.com/spreadsheets/d/1fj_Bhi2XPL3siwIh4sx4VRLAe31yD50oKdj5UlRYW0c/"", ""Сводка!A:AA""), 11, FALSE)"),"978-9965-824-79-1")</f>
        <v>978-9965-824-79-1</v>
      </c>
      <c r="E63" s="11" t="s">
        <v>305</v>
      </c>
      <c r="F63" s="11" t="s">
        <v>315</v>
      </c>
      <c r="G63" s="12">
        <f ca="1">IFERROR(__xludf.DUMMYFUNCTION(" VLOOKUP(A60, IMPORTRANGE(""https://docs.google.com/spreadsheets/d/1fj_Bhi2XPL3siwIh4sx4VRLAe31yD50oKdj5UlRYW0c/"", ""Сводка!A:AA""), 5, FALSE)"),156)</f>
        <v>156</v>
      </c>
      <c r="H63" s="12" t="s">
        <v>316</v>
      </c>
      <c r="I63" s="10">
        <f ca="1">IFERROR(__xludf.DUMMYFUNCTION(" VLOOKUP(A60, IMPORTRANGE(""https://docs.google.com/spreadsheets/d/1QNLbnkR_AongFt22vMfNzfpjZ0CjpI8QI-w0wBnYA1w/"", ""Инфа!A:AA""), 6, FALSE)"),2024)</f>
        <v>2024</v>
      </c>
      <c r="J63" s="5">
        <f ca="1">ROUND((5000+G63*60),-2)</f>
        <v>14400</v>
      </c>
      <c r="K63" s="12" t="s">
        <v>308</v>
      </c>
      <c r="L63" s="15" t="s">
        <v>317</v>
      </c>
    </row>
    <row r="64" spans="1:12" ht="123.75">
      <c r="A64" s="8" t="s">
        <v>318</v>
      </c>
      <c r="B64" s="9" t="s">
        <v>12</v>
      </c>
      <c r="C64" s="10" t="s">
        <v>13</v>
      </c>
      <c r="D64" s="10" t="str">
        <f ca="1">IFERROR(__xludf.DUMMYFUNCTION(" VLOOKUP(A61, IMPORTRANGE(""https://docs.google.com/spreadsheets/d/1fj_Bhi2XPL3siwIh4sx4VRLAe31yD50oKdj5UlRYW0c/"", ""Сводка!A:AA""), 11, FALSE)"),"978-601-327-049-4")</f>
        <v>978-601-327-049-4</v>
      </c>
      <c r="E64" s="11" t="s">
        <v>319</v>
      </c>
      <c r="F64" s="11" t="s">
        <v>320</v>
      </c>
      <c r="G64" s="12">
        <f ca="1">IFERROR(__xludf.DUMMYFUNCTION(" VLOOKUP(A61, IMPORTRANGE(""https://docs.google.com/spreadsheets/d/1fj_Bhi2XPL3siwIh4sx4VRLAe31yD50oKdj5UlRYW0c/"", ""Сводка!A:AA""), 5, FALSE)"),172)</f>
        <v>172</v>
      </c>
      <c r="H64" s="12" t="s">
        <v>42</v>
      </c>
      <c r="I64" s="10">
        <f ca="1">IFERROR(__xludf.DUMMYFUNCTION(" VLOOKUP(A61, IMPORTRANGE(""https://docs.google.com/spreadsheets/d/1QNLbnkR_AongFt22vMfNzfpjZ0CjpI8QI-w0wBnYA1w/"", ""Инфа!A:AA""), 6, FALSE)"),2024)</f>
        <v>2024</v>
      </c>
      <c r="J64" s="5">
        <f ca="1">ROUND((5000+G64*60),-2)</f>
        <v>15300</v>
      </c>
      <c r="K64" s="12" t="s">
        <v>84</v>
      </c>
      <c r="L64" s="15" t="s">
        <v>321</v>
      </c>
    </row>
    <row r="65" spans="1:12" ht="292.5">
      <c r="A65" s="8" t="s">
        <v>322</v>
      </c>
      <c r="B65" s="9" t="s">
        <v>12</v>
      </c>
      <c r="C65" s="10" t="s">
        <v>13</v>
      </c>
      <c r="D65" s="10" t="str">
        <f ca="1">IFERROR(__xludf.DUMMYFUNCTION(" VLOOKUP(A62, IMPORTRANGE(""https://docs.google.com/spreadsheets/d/1fj_Bhi2XPL3siwIh4sx4VRLAe31yD50oKdj5UlRYW0c/"", ""Сводка!A:AA""), 11, FALSE)"),"978-601-342-588-7")</f>
        <v>978-601-342-588-7</v>
      </c>
      <c r="E65" s="11" t="s">
        <v>323</v>
      </c>
      <c r="F65" s="11" t="s">
        <v>324</v>
      </c>
      <c r="G65" s="12">
        <f ca="1">IFERROR(__xludf.DUMMYFUNCTION(" VLOOKUP(A62, IMPORTRANGE(""https://docs.google.com/spreadsheets/d/1fj_Bhi2XPL3siwIh4sx4VRLAe31yD50oKdj5UlRYW0c/"", ""Сводка!A:AA""), 5, FALSE)"),232)</f>
        <v>232</v>
      </c>
      <c r="H65" s="12" t="s">
        <v>325</v>
      </c>
      <c r="I65" s="10">
        <f ca="1">IFERROR(__xludf.DUMMYFUNCTION(" VLOOKUP(A62, IMPORTRANGE(""https://docs.google.com/spreadsheets/d/1QNLbnkR_AongFt22vMfNzfpjZ0CjpI8QI-w0wBnYA1w/"", ""Инфа!A:AA""), 6, FALSE)"),2024)</f>
        <v>2024</v>
      </c>
      <c r="J65" s="5">
        <f ca="1">ROUND((5000+G65*30),-2)</f>
        <v>12000</v>
      </c>
      <c r="K65" s="12" t="s">
        <v>326</v>
      </c>
      <c r="L65" s="15" t="s">
        <v>327</v>
      </c>
    </row>
    <row r="66" spans="1:12" ht="315">
      <c r="A66" s="8" t="s">
        <v>328</v>
      </c>
      <c r="B66" s="9" t="s">
        <v>12</v>
      </c>
      <c r="C66" s="10" t="s">
        <v>151</v>
      </c>
      <c r="D66" s="10" t="str">
        <f ca="1">IFERROR(__xludf.DUMMYFUNCTION(" VLOOKUP(A63, IMPORTRANGE(""https://docs.google.com/spreadsheets/d/1fj_Bhi2XPL3siwIh4sx4VRLAe31yD50oKdj5UlRYW0c/"", ""Сводка!A:AA""), 11, FALSE)"),"978-601-310-989-3")</f>
        <v>978-601-310-989-3</v>
      </c>
      <c r="E66" s="11" t="s">
        <v>329</v>
      </c>
      <c r="F66" s="11" t="s">
        <v>330</v>
      </c>
      <c r="G66" s="12">
        <f ca="1">IFERROR(__xludf.DUMMYFUNCTION(" VLOOKUP(A63, IMPORTRANGE(""https://docs.google.com/spreadsheets/d/1fj_Bhi2XPL3siwIh4sx4VRLAe31yD50oKdj5UlRYW0c/"", ""Сводка!A:AA""), 5, FALSE)"),124)</f>
        <v>124</v>
      </c>
      <c r="H66" s="12" t="s">
        <v>47</v>
      </c>
      <c r="I66" s="10">
        <f ca="1">IFERROR(__xludf.DUMMYFUNCTION(" VLOOKUP(A63, IMPORTRANGE(""https://docs.google.com/spreadsheets/d/1QNLbnkR_AongFt22vMfNzfpjZ0CjpI8QI-w0wBnYA1w/"", ""Инфа!A:AA""), 6, FALSE)"),2024)</f>
        <v>2024</v>
      </c>
      <c r="J66" s="5">
        <f ca="1">ROUND((5000+G66*60),-2)</f>
        <v>12400</v>
      </c>
      <c r="K66" s="12" t="s">
        <v>48</v>
      </c>
      <c r="L66" s="21" t="s">
        <v>331</v>
      </c>
    </row>
    <row r="67" spans="1:12" ht="202.5">
      <c r="A67" s="8" t="s">
        <v>332</v>
      </c>
      <c r="B67" s="9" t="s">
        <v>12</v>
      </c>
      <c r="C67" s="10" t="s">
        <v>333</v>
      </c>
      <c r="D67" s="10" t="str">
        <f ca="1">IFERROR(__xludf.DUMMYFUNCTION(" VLOOKUP(A64, IMPORTRANGE(""https://docs.google.com/spreadsheets/d/1fj_Bhi2XPL3siwIh4sx4VRLAe31yD50oKdj5UlRYW0c/"", ""Сводка!A:AA""), 11, FALSE)"),"978-601-342-423-2")</f>
        <v>978-601-342-423-2</v>
      </c>
      <c r="E67" s="11" t="s">
        <v>334</v>
      </c>
      <c r="F67" s="11" t="s">
        <v>335</v>
      </c>
      <c r="G67" s="12">
        <f ca="1">IFERROR(__xludf.DUMMYFUNCTION(" VLOOKUP(A64, IMPORTRANGE(""https://docs.google.com/spreadsheets/d/1fj_Bhi2XPL3siwIh4sx4VRLAe31yD50oKdj5UlRYW0c/"", ""Сводка!A:AA""), 5, FALSE)"),128)</f>
        <v>128</v>
      </c>
      <c r="H67" s="12" t="s">
        <v>106</v>
      </c>
      <c r="I67" s="10">
        <f ca="1">IFERROR(__xludf.DUMMYFUNCTION(" VLOOKUP(A64, IMPORTRANGE(""https://docs.google.com/spreadsheets/d/1QNLbnkR_AongFt22vMfNzfpjZ0CjpI8QI-w0wBnYA1w/"", ""Инфа!A:AA""), 6, FALSE)"),2024)</f>
        <v>2024</v>
      </c>
      <c r="J67" s="5">
        <f ca="1">ROUND((5000+G67*60),-2)</f>
        <v>12700</v>
      </c>
      <c r="K67" s="12" t="s">
        <v>336</v>
      </c>
      <c r="L67" s="15" t="s">
        <v>337</v>
      </c>
    </row>
    <row r="68" spans="1:12" ht="191.25">
      <c r="A68" s="8" t="s">
        <v>338</v>
      </c>
      <c r="B68" s="9" t="s">
        <v>12</v>
      </c>
      <c r="C68" s="10" t="s">
        <v>13</v>
      </c>
      <c r="D68" s="10" t="str">
        <f ca="1">IFERROR(__xludf.DUMMYFUNCTION(" VLOOKUP(A65, IMPORTRANGE(""https://docs.google.com/spreadsheets/d/1fj_Bhi2XPL3siwIh4sx4VRLAe31yD50oKdj5UlRYW0c/"", ""Сводка!A:AA""), 11, FALSE)"),"978-601-13-0482-5")</f>
        <v>978-601-13-0482-5</v>
      </c>
      <c r="E68" s="25" t="s">
        <v>339</v>
      </c>
      <c r="F68" s="25" t="s">
        <v>340</v>
      </c>
      <c r="G68" s="12">
        <f ca="1">IFERROR(__xludf.DUMMYFUNCTION(" VLOOKUP(A65, IMPORTRANGE(""https://docs.google.com/spreadsheets/d/1fj_Bhi2XPL3siwIh4sx4VRLAe31yD50oKdj5UlRYW0c/"", ""Сводка!A:AA""), 5, FALSE)"),188)</f>
        <v>188</v>
      </c>
      <c r="H68" s="26"/>
      <c r="I68" s="10">
        <f ca="1">IFERROR(__xludf.DUMMYFUNCTION(" VLOOKUP(A65, IMPORTRANGE(""https://docs.google.com/spreadsheets/d/1QNLbnkR_AongFt22vMfNzfpjZ0CjpI8QI-w0wBnYA1w/"", ""Инфа!A:AA""), 6, FALSE)"),2024)</f>
        <v>2024</v>
      </c>
      <c r="J68" s="5">
        <f ca="1">ROUND((5000+G68*30),-2)</f>
        <v>10600</v>
      </c>
      <c r="K68" s="12" t="s">
        <v>101</v>
      </c>
      <c r="L68" s="15" t="s">
        <v>341</v>
      </c>
    </row>
    <row r="69" spans="1:12" ht="146.25">
      <c r="A69" s="8" t="s">
        <v>342</v>
      </c>
      <c r="B69" s="9" t="s">
        <v>12</v>
      </c>
      <c r="C69" s="10" t="s">
        <v>13</v>
      </c>
      <c r="D69" s="10" t="str">
        <f ca="1">IFERROR(__xludf.DUMMYFUNCTION(" VLOOKUP(A66, IMPORTRANGE(""https://docs.google.com/spreadsheets/d/1fj_Bhi2XPL3siwIh4sx4VRLAe31yD50oKdj5UlRYW0c/"", ""Сводка!A:AA""), 11, FALSE)"),"978-601-327-176-7")</f>
        <v>978-601-327-176-7</v>
      </c>
      <c r="E69" s="11" t="s">
        <v>343</v>
      </c>
      <c r="F69" s="11" t="s">
        <v>344</v>
      </c>
      <c r="G69" s="12">
        <f ca="1">IFERROR(__xludf.DUMMYFUNCTION(" VLOOKUP(A66, IMPORTRANGE(""https://docs.google.com/spreadsheets/d/1fj_Bhi2XPL3siwIh4sx4VRLAe31yD50oKdj5UlRYW0c/"", ""Сводка!A:AA""), 5, FALSE)"),188)</f>
        <v>188</v>
      </c>
      <c r="H69" s="12" t="s">
        <v>176</v>
      </c>
      <c r="I69" s="10">
        <f ca="1">IFERROR(__xludf.DUMMYFUNCTION(" VLOOKUP(A66, IMPORTRANGE(""https://docs.google.com/spreadsheets/d/1QNLbnkR_AongFt22vMfNzfpjZ0CjpI8QI-w0wBnYA1w/"", ""Инфа!A:AA""), 6, FALSE)"),2024)</f>
        <v>2024</v>
      </c>
      <c r="J69" s="5">
        <f ca="1">ROUND((5000+G69*60),-2)</f>
        <v>16300</v>
      </c>
      <c r="K69" s="12" t="s">
        <v>277</v>
      </c>
      <c r="L69" s="15" t="s">
        <v>345</v>
      </c>
    </row>
    <row r="70" spans="1:12" ht="78.75">
      <c r="A70" s="8" t="s">
        <v>346</v>
      </c>
      <c r="B70" s="9" t="s">
        <v>12</v>
      </c>
      <c r="C70" s="10" t="s">
        <v>21</v>
      </c>
      <c r="D70" s="10" t="str">
        <f ca="1">IFERROR(__xludf.DUMMYFUNCTION(" VLOOKUP(A67, IMPORTRANGE(""https://docs.google.com/spreadsheets/d/1fj_Bhi2XPL3siwIh4sx4VRLAe31yD50oKdj5UlRYW0c/"", ""Сводка!A:AA""), 11, FALSE)"),"978-601-342-123-0")</f>
        <v>978-601-342-123-0</v>
      </c>
      <c r="E70" s="11" t="s">
        <v>347</v>
      </c>
      <c r="F70" s="11" t="s">
        <v>348</v>
      </c>
      <c r="G70" s="12">
        <f ca="1">IFERROR(__xludf.DUMMYFUNCTION(" VLOOKUP(A67, IMPORTRANGE(""https://docs.google.com/spreadsheets/d/1fj_Bhi2XPL3siwIh4sx4VRLAe31yD50oKdj5UlRYW0c/"", ""Сводка!A:AA""), 5, FALSE)"),228)</f>
        <v>228</v>
      </c>
      <c r="H70" s="12" t="s">
        <v>165</v>
      </c>
      <c r="I70" s="10">
        <f ca="1">IFERROR(__xludf.DUMMYFUNCTION(" VLOOKUP(A67, IMPORTRANGE(""https://docs.google.com/spreadsheets/d/1QNLbnkR_AongFt22vMfNzfpjZ0CjpI8QI-w0wBnYA1w/"", ""Инфа!A:AA""), 6, FALSE)"),2024)</f>
        <v>2024</v>
      </c>
      <c r="J70" s="5">
        <f ca="1">ROUND((5000+G70*60),-2)</f>
        <v>18700</v>
      </c>
      <c r="K70" s="12" t="s">
        <v>171</v>
      </c>
      <c r="L70" s="15" t="s">
        <v>349</v>
      </c>
    </row>
    <row r="71" spans="1:12" ht="281.25">
      <c r="A71" s="8" t="s">
        <v>350</v>
      </c>
      <c r="B71" s="9" t="s">
        <v>12</v>
      </c>
      <c r="C71" s="10" t="s">
        <v>351</v>
      </c>
      <c r="D71" s="10" t="str">
        <f ca="1">IFERROR(__xludf.DUMMYFUNCTION(" VLOOKUP(A68, IMPORTRANGE(""https://docs.google.com/spreadsheets/d/1fj_Bhi2XPL3siwIh4sx4VRLAe31yD50oKdj5UlRYW0c/"", ""Сводка!A:AA""), 11, FALSE)"),"978-601-342-334-0")</f>
        <v>978-601-342-334-0</v>
      </c>
      <c r="E71" s="11" t="s">
        <v>352</v>
      </c>
      <c r="F71" s="11" t="s">
        <v>353</v>
      </c>
      <c r="G71" s="12">
        <f ca="1">IFERROR(__xludf.DUMMYFUNCTION(" VLOOKUP(A68, IMPORTRANGE(""https://docs.google.com/spreadsheets/d/1fj_Bhi2XPL3siwIh4sx4VRLAe31yD50oKdj5UlRYW0c/"", ""Сводка!A:AA""), 5, FALSE)"),132)</f>
        <v>132</v>
      </c>
      <c r="H71" s="12" t="s">
        <v>354</v>
      </c>
      <c r="I71" s="10">
        <f ca="1">IFERROR(__xludf.DUMMYFUNCTION(" VLOOKUP(A68, IMPORTRANGE(""https://docs.google.com/spreadsheets/d/1QNLbnkR_AongFt22vMfNzfpjZ0CjpI8QI-w0wBnYA1w/"", ""Инфа!A:AA""), 6, FALSE)"),2024)</f>
        <v>2024</v>
      </c>
      <c r="J71" s="5">
        <f ca="1">ROUND((5000+G71*30),-2)</f>
        <v>9000</v>
      </c>
      <c r="K71" s="10" t="s">
        <v>57</v>
      </c>
      <c r="L71" s="23" t="s">
        <v>355</v>
      </c>
    </row>
    <row r="72" spans="1:12" ht="168.75">
      <c r="A72" s="8" t="s">
        <v>356</v>
      </c>
      <c r="B72" s="9" t="s">
        <v>12</v>
      </c>
      <c r="C72" s="10" t="s">
        <v>13</v>
      </c>
      <c r="D72" s="10" t="str">
        <f ca="1">IFERROR(__xludf.DUMMYFUNCTION(" VLOOKUP(A69, IMPORTRANGE(""https://docs.google.com/spreadsheets/d/1fj_Bhi2XPL3siwIh4sx4VRLAe31yD50oKdj5UlRYW0c/"", ""Сводка!A:AA""), 11, FALSE)"),"987-601-310-581-11")</f>
        <v>987-601-310-581-11</v>
      </c>
      <c r="E72" s="11" t="s">
        <v>357</v>
      </c>
      <c r="F72" s="11" t="s">
        <v>358</v>
      </c>
      <c r="G72" s="12">
        <f ca="1">IFERROR(__xludf.DUMMYFUNCTION(" VLOOKUP(A69, IMPORTRANGE(""https://docs.google.com/spreadsheets/d/1fj_Bhi2XPL3siwIh4sx4VRLAe31yD50oKdj5UlRYW0c/"", ""Сводка!A:AA""), 5, FALSE)"),100)</f>
        <v>100</v>
      </c>
      <c r="H72" s="12" t="s">
        <v>24</v>
      </c>
      <c r="I72" s="10">
        <f ca="1">IFERROR(__xludf.DUMMYFUNCTION(" VLOOKUP(A69, IMPORTRANGE(""https://docs.google.com/spreadsheets/d/1QNLbnkR_AongFt22vMfNzfpjZ0CjpI8QI-w0wBnYA1w/"", ""Инфа!A:AA""), 6, FALSE)"),2024)</f>
        <v>2024</v>
      </c>
      <c r="J72" s="5">
        <f ca="1">ROUND((5000+G72*30),-2)</f>
        <v>8000</v>
      </c>
      <c r="K72" s="12" t="s">
        <v>359</v>
      </c>
      <c r="L72" s="15" t="s">
        <v>360</v>
      </c>
    </row>
    <row r="73" spans="1:12" ht="281.25">
      <c r="A73" s="8" t="s">
        <v>361</v>
      </c>
      <c r="B73" s="9" t="s">
        <v>12</v>
      </c>
      <c r="C73" s="10" t="s">
        <v>21</v>
      </c>
      <c r="D73" s="10" t="str">
        <f ca="1">IFERROR(__xludf.DUMMYFUNCTION(" VLOOKUP(A70, IMPORTRANGE(""https://docs.google.com/spreadsheets/d/1fj_Bhi2XPL3siwIh4sx4VRLAe31yD50oKdj5UlRYW0c/"", ""Сводка!A:AA""), 11, FALSE)"),"978-9965-07-827-9")</f>
        <v>978-9965-07-827-9</v>
      </c>
      <c r="E73" s="22" t="s">
        <v>362</v>
      </c>
      <c r="F73" s="22" t="s">
        <v>363</v>
      </c>
      <c r="G73" s="12">
        <f ca="1">IFERROR(__xludf.DUMMYFUNCTION(" VLOOKUP(A70, IMPORTRANGE(""https://docs.google.com/spreadsheets/d/1fj_Bhi2XPL3siwIh4sx4VRLAe31yD50oKdj5UlRYW0c/"", ""Сводка!A:AA""), 5, FALSE)"),128)</f>
        <v>128</v>
      </c>
      <c r="H73" s="10" t="s">
        <v>354</v>
      </c>
      <c r="I73" s="10">
        <f ca="1">IFERROR(__xludf.DUMMYFUNCTION(" VLOOKUP(A70, IMPORTRANGE(""https://docs.google.com/spreadsheets/d/1QNLbnkR_AongFt22vMfNzfpjZ0CjpI8QI-w0wBnYA1w/"", ""Инфа!A:AA""), 6, FALSE)"),2024)</f>
        <v>2024</v>
      </c>
      <c r="J73" s="5">
        <f ca="1">ROUND((5000+G73*60),-2)</f>
        <v>12700</v>
      </c>
      <c r="K73" s="10" t="s">
        <v>243</v>
      </c>
      <c r="L73" s="23" t="s">
        <v>364</v>
      </c>
    </row>
    <row r="74" spans="1:12" ht="247.5">
      <c r="A74" s="8" t="s">
        <v>365</v>
      </c>
      <c r="B74" s="9" t="s">
        <v>12</v>
      </c>
      <c r="C74" s="10" t="s">
        <v>21</v>
      </c>
      <c r="D74" s="10" t="str">
        <f ca="1">IFERROR(__xludf.DUMMYFUNCTION(" VLOOKUP(A71, IMPORTRANGE(""https://docs.google.com/spreadsheets/d/1fj_Bhi2XPL3siwIh4sx4VRLAe31yD50oKdj5UlRYW0c/"", ""Сводка!A:AA""), 11, FALSE)"),"978-601-327-132-3")</f>
        <v>978-601-327-132-3</v>
      </c>
      <c r="E74" s="11" t="s">
        <v>366</v>
      </c>
      <c r="F74" s="11" t="s">
        <v>367</v>
      </c>
      <c r="G74" s="12">
        <f ca="1">IFERROR(__xludf.DUMMYFUNCTION(" VLOOKUP(A71, IMPORTRANGE(""https://docs.google.com/spreadsheets/d/1fj_Bhi2XPL3siwIh4sx4VRLAe31yD50oKdj5UlRYW0c/"", ""Сводка!A:AA""), 5, FALSE)"),192)</f>
        <v>192</v>
      </c>
      <c r="H74" s="12" t="s">
        <v>138</v>
      </c>
      <c r="I74" s="10">
        <f ca="1">IFERROR(__xludf.DUMMYFUNCTION(" VLOOKUP(A71, IMPORTRANGE(""https://docs.google.com/spreadsheets/d/1QNLbnkR_AongFt22vMfNzfpjZ0CjpI8QI-w0wBnYA1w/"", ""Инфа!A:AA""), 6, FALSE)"),2024)</f>
        <v>2024</v>
      </c>
      <c r="J74" s="5">
        <f ca="1">ROUND((5000+G74*60),-2)</f>
        <v>16500</v>
      </c>
      <c r="K74" s="12" t="s">
        <v>368</v>
      </c>
      <c r="L74" s="16" t="s">
        <v>369</v>
      </c>
    </row>
    <row r="75" spans="1:12" ht="236.25">
      <c r="A75" s="8" t="s">
        <v>370</v>
      </c>
      <c r="B75" s="9" t="s">
        <v>12</v>
      </c>
      <c r="C75" s="13" t="s">
        <v>371</v>
      </c>
      <c r="D75" s="10" t="str">
        <f ca="1">IFERROR(__xludf.DUMMYFUNCTION(" VLOOKUP(A72, IMPORTRANGE(""https://docs.google.com/spreadsheets/d/1fj_Bhi2XPL3siwIh4sx4VRLAe31yD50oKdj5UlRYW0c/"", ""Сводка!A:AA""), 11, FALSE)"),"978-601-342-638-9")</f>
        <v>978-601-342-638-9</v>
      </c>
      <c r="E75" s="19" t="s">
        <v>366</v>
      </c>
      <c r="F75" s="11" t="s">
        <v>372</v>
      </c>
      <c r="G75" s="12">
        <f ca="1">IFERROR(__xludf.DUMMYFUNCTION(" VLOOKUP(A72, IMPORTRANGE(""https://docs.google.com/spreadsheets/d/1fj_Bhi2XPL3siwIh4sx4VRLAe31yD50oKdj5UlRYW0c/"", ""Сводка!A:AA""), 5, FALSE)"),152)</f>
        <v>152</v>
      </c>
      <c r="H75" s="12" t="s">
        <v>373</v>
      </c>
      <c r="I75" s="10">
        <f ca="1">IFERROR(__xludf.DUMMYFUNCTION(" VLOOKUP(A72, IMPORTRANGE(""https://docs.google.com/spreadsheets/d/1QNLbnkR_AongFt22vMfNzfpjZ0CjpI8QI-w0wBnYA1w/"", ""Инфа!A:AA""), 6, FALSE)"),2024)</f>
        <v>2024</v>
      </c>
      <c r="J75" s="5">
        <f ca="1">ROUND((5000+G75*60),-2)</f>
        <v>14100</v>
      </c>
      <c r="K75" s="10" t="s">
        <v>368</v>
      </c>
      <c r="L75" s="16" t="s">
        <v>374</v>
      </c>
    </row>
    <row r="76" spans="1:12" ht="281.25">
      <c r="A76" s="8" t="s">
        <v>375</v>
      </c>
      <c r="B76" s="9" t="s">
        <v>12</v>
      </c>
      <c r="C76" s="13" t="s">
        <v>21</v>
      </c>
      <c r="D76" s="10" t="str">
        <f ca="1">IFERROR(__xludf.DUMMYFUNCTION(" VLOOKUP(A73, IMPORTRANGE(""https://docs.google.com/spreadsheets/d/1fj_Bhi2XPL3siwIh4sx4VRLAe31yD50oKdj5UlRYW0c/"", ""Сводка!A:AA""), 11, FALSE)"),"978-601-342-637-2")</f>
        <v>978-601-342-637-2</v>
      </c>
      <c r="E76" s="19" t="s">
        <v>366</v>
      </c>
      <c r="F76" s="11" t="s">
        <v>376</v>
      </c>
      <c r="G76" s="12">
        <f ca="1">IFERROR(__xludf.DUMMYFUNCTION(" VLOOKUP(A73, IMPORTRANGE(""https://docs.google.com/spreadsheets/d/1fj_Bhi2XPL3siwIh4sx4VRLAe31yD50oKdj5UlRYW0c/"", ""Сводка!A:AA""), 5, FALSE)"),180)</f>
        <v>180</v>
      </c>
      <c r="H76" s="12" t="s">
        <v>373</v>
      </c>
      <c r="I76" s="10">
        <f ca="1">IFERROR(__xludf.DUMMYFUNCTION(" VLOOKUP(A73, IMPORTRANGE(""https://docs.google.com/spreadsheets/d/1QNLbnkR_AongFt22vMfNzfpjZ0CjpI8QI-w0wBnYA1w/"", ""Инфа!A:AA""), 6, FALSE)"),2024)</f>
        <v>2024</v>
      </c>
      <c r="J76" s="5">
        <f ca="1">ROUND((5000+G76*60),-2)</f>
        <v>15800</v>
      </c>
      <c r="K76" s="10" t="s">
        <v>368</v>
      </c>
      <c r="L76" s="16" t="s">
        <v>377</v>
      </c>
    </row>
    <row r="77" spans="1:12" ht="270">
      <c r="A77" s="8" t="s">
        <v>378</v>
      </c>
      <c r="B77" s="9" t="s">
        <v>12</v>
      </c>
      <c r="C77" s="13" t="s">
        <v>21</v>
      </c>
      <c r="D77" s="10" t="str">
        <f ca="1">IFERROR(__xludf.DUMMYFUNCTION(" VLOOKUP(A74, IMPORTRANGE(""https://docs.google.com/spreadsheets/d/1fj_Bhi2XPL3siwIh4sx4VRLAe31yD50oKdj5UlRYW0c/"", ""Сводка!A:AA""), 11, FALSE)"),"978-601-342-636-5")</f>
        <v>978-601-342-636-5</v>
      </c>
      <c r="E77" s="19" t="s">
        <v>366</v>
      </c>
      <c r="F77" s="11" t="s">
        <v>379</v>
      </c>
      <c r="G77" s="12">
        <f ca="1">IFERROR(__xludf.DUMMYFUNCTION(" VLOOKUP(A74, IMPORTRANGE(""https://docs.google.com/spreadsheets/d/1fj_Bhi2XPL3siwIh4sx4VRLAe31yD50oKdj5UlRYW0c/"", ""Сводка!A:AA""), 5, FALSE)"),192)</f>
        <v>192</v>
      </c>
      <c r="H77" s="12" t="s">
        <v>373</v>
      </c>
      <c r="I77" s="10">
        <f ca="1">IFERROR(__xludf.DUMMYFUNCTION(" VLOOKUP(A74, IMPORTRANGE(""https://docs.google.com/spreadsheets/d/1QNLbnkR_AongFt22vMfNzfpjZ0CjpI8QI-w0wBnYA1w/"", ""Инфа!A:AA""), 6, FALSE)"),2024)</f>
        <v>2024</v>
      </c>
      <c r="J77" s="5">
        <f ca="1">ROUND((5000+G77*60),-2)</f>
        <v>16500</v>
      </c>
      <c r="K77" s="10" t="s">
        <v>368</v>
      </c>
      <c r="L77" s="16" t="s">
        <v>380</v>
      </c>
    </row>
    <row r="78" spans="1:12" ht="225">
      <c r="A78" s="8" t="s">
        <v>381</v>
      </c>
      <c r="B78" s="9" t="s">
        <v>12</v>
      </c>
      <c r="C78" s="10" t="s">
        <v>21</v>
      </c>
      <c r="D78" s="10" t="str">
        <f ca="1">IFERROR(__xludf.DUMMYFUNCTION(" VLOOKUP(A75, IMPORTRANGE(""https://docs.google.com/spreadsheets/d/1fj_Bhi2XPL3siwIh4sx4VRLAe31yD50oKdj5UlRYW0c/"", ""Сводка!A:AA""), 11, FALSE)"),"978-601-327-978-7")</f>
        <v>978-601-327-978-7</v>
      </c>
      <c r="E78" s="11" t="s">
        <v>382</v>
      </c>
      <c r="F78" s="11" t="s">
        <v>383</v>
      </c>
      <c r="G78" s="12">
        <f ca="1">IFERROR(__xludf.DUMMYFUNCTION(" VLOOKUP(A75, IMPORTRANGE(""https://docs.google.com/spreadsheets/d/1fj_Bhi2XPL3siwIh4sx4VRLAe31yD50oKdj5UlRYW0c/"", ""Сводка!A:AA""), 5, FALSE)"),124)</f>
        <v>124</v>
      </c>
      <c r="H78" s="12" t="s">
        <v>325</v>
      </c>
      <c r="I78" s="10">
        <f ca="1">IFERROR(__xludf.DUMMYFUNCTION(" VLOOKUP(A75, IMPORTRANGE(""https://docs.google.com/spreadsheets/d/1QNLbnkR_AongFt22vMfNzfpjZ0CjpI8QI-w0wBnYA1w/"", ""Инфа!A:AA""), 6, FALSE)"),2024)</f>
        <v>2024</v>
      </c>
      <c r="J78" s="5">
        <f ca="1">ROUND((5000+G78*30),-2)</f>
        <v>8700</v>
      </c>
      <c r="K78" s="12" t="s">
        <v>277</v>
      </c>
      <c r="L78" s="18" t="s">
        <v>384</v>
      </c>
    </row>
    <row r="79" spans="1:12" ht="281.25">
      <c r="A79" s="8" t="s">
        <v>385</v>
      </c>
      <c r="B79" s="9" t="s">
        <v>12</v>
      </c>
      <c r="C79" s="10" t="s">
        <v>13</v>
      </c>
      <c r="D79" s="10" t="str">
        <f ca="1">IFERROR(__xludf.DUMMYFUNCTION(" VLOOKUP(A76, IMPORTRANGE(""https://docs.google.com/spreadsheets/d/1fj_Bhi2XPL3siwIh4sx4VRLAe31yD50oKdj5UlRYW0c/"", ""Сводка!A:AA""), 11, FALSE)"),"978-601-342-047-9")</f>
        <v>978-601-342-047-9</v>
      </c>
      <c r="E79" s="11" t="s">
        <v>386</v>
      </c>
      <c r="F79" s="11" t="s">
        <v>387</v>
      </c>
      <c r="G79" s="12">
        <f ca="1">IFERROR(__xludf.DUMMYFUNCTION(" VLOOKUP(A76, IMPORTRANGE(""https://docs.google.com/spreadsheets/d/1fj_Bhi2XPL3siwIh4sx4VRLAe31yD50oKdj5UlRYW0c/"", ""Сводка!A:AA""), 5, FALSE)"),164)</f>
        <v>164</v>
      </c>
      <c r="H79" s="12" t="s">
        <v>325</v>
      </c>
      <c r="I79" s="10">
        <f ca="1">IFERROR(__xludf.DUMMYFUNCTION(" VLOOKUP(A76, IMPORTRANGE(""https://docs.google.com/spreadsheets/d/1QNLbnkR_AongFt22vMfNzfpjZ0CjpI8QI-w0wBnYA1w/"", ""Инфа!A:AA""), 6, FALSE)"),2024)</f>
        <v>2024</v>
      </c>
      <c r="J79" s="5">
        <f ca="1">ROUND((5000+G79*30),-2)</f>
        <v>9900</v>
      </c>
      <c r="K79" s="12" t="s">
        <v>277</v>
      </c>
      <c r="L79" s="15" t="s">
        <v>388</v>
      </c>
    </row>
    <row r="80" spans="1:12" ht="213.75">
      <c r="A80" s="8" t="s">
        <v>389</v>
      </c>
      <c r="B80" s="9" t="s">
        <v>12</v>
      </c>
      <c r="C80" s="10" t="s">
        <v>21</v>
      </c>
      <c r="D80" s="10" t="str">
        <f ca="1">IFERROR(__xludf.DUMMYFUNCTION(" VLOOKUP(A77, IMPORTRANGE(""https://docs.google.com/spreadsheets/d/1fj_Bhi2XPL3siwIh4sx4VRLAe31yD50oKdj5UlRYW0c/"", ""Сводка!A:AA""), 11, FALSE)"),"978-601-327-970-1")</f>
        <v>978-601-327-970-1</v>
      </c>
      <c r="E80" s="11" t="s">
        <v>390</v>
      </c>
      <c r="F80" s="11" t="s">
        <v>391</v>
      </c>
      <c r="G80" s="12">
        <f ca="1">IFERROR(__xludf.DUMMYFUNCTION(" VLOOKUP(A77, IMPORTRANGE(""https://docs.google.com/spreadsheets/d/1fj_Bhi2XPL3siwIh4sx4VRLAe31yD50oKdj5UlRYW0c/"", ""Сводка!A:AA""), 5, FALSE)"),124)</f>
        <v>124</v>
      </c>
      <c r="H80" s="12" t="s">
        <v>16</v>
      </c>
      <c r="I80" s="10">
        <f ca="1">IFERROR(__xludf.DUMMYFUNCTION(" VLOOKUP(A77, IMPORTRANGE(""https://docs.google.com/spreadsheets/d/1QNLbnkR_AongFt22vMfNzfpjZ0CjpI8QI-w0wBnYA1w/"", ""Инфа!A:AA""), 6, FALSE)"),2024)</f>
        <v>2024</v>
      </c>
      <c r="J80" s="5">
        <f ca="1">ROUND((5000+G80*30),-2)</f>
        <v>8700</v>
      </c>
      <c r="K80" s="12" t="s">
        <v>277</v>
      </c>
      <c r="L80" s="18" t="s">
        <v>392</v>
      </c>
    </row>
    <row r="81" spans="1:12" ht="292.5">
      <c r="A81" s="8" t="s">
        <v>393</v>
      </c>
      <c r="B81" s="9" t="s">
        <v>12</v>
      </c>
      <c r="C81" s="10" t="s">
        <v>21</v>
      </c>
      <c r="D81" s="10" t="str">
        <f ca="1">IFERROR(__xludf.DUMMYFUNCTION(" VLOOKUP(A78, IMPORTRANGE(""https://docs.google.com/spreadsheets/d/1fj_Bhi2XPL3siwIh4sx4VRLAe31yD50oKdj5UlRYW0c/"", ""Сводка!A:AA""), 11, FALSE)"),"978-601-342-804-8")</f>
        <v>978-601-342-804-8</v>
      </c>
      <c r="E81" s="11" t="s">
        <v>394</v>
      </c>
      <c r="F81" s="11" t="s">
        <v>395</v>
      </c>
      <c r="G81" s="12">
        <f ca="1">IFERROR(__xludf.DUMMYFUNCTION(" VLOOKUP(A78, IMPORTRANGE(""https://docs.google.com/spreadsheets/d/1fj_Bhi2XPL3siwIh4sx4VRLAe31yD50oKdj5UlRYW0c/"", ""Сводка!A:AA""), 5, FALSE)"),348)</f>
        <v>348</v>
      </c>
      <c r="H81" s="12" t="s">
        <v>56</v>
      </c>
      <c r="I81" s="10">
        <f ca="1">IFERROR(__xludf.DUMMYFUNCTION(" VLOOKUP(A78, IMPORTRANGE(""https://docs.google.com/spreadsheets/d/1QNLbnkR_AongFt22vMfNzfpjZ0CjpI8QI-w0wBnYA1w/"", ""Инфа!A:AA""), 6, FALSE)"),2024)</f>
        <v>2024</v>
      </c>
      <c r="J81" s="5">
        <f ca="1">ROUND((5000+G81*60),-2)</f>
        <v>25900</v>
      </c>
      <c r="K81" s="12" t="s">
        <v>160</v>
      </c>
      <c r="L81" s="15" t="s">
        <v>396</v>
      </c>
    </row>
    <row r="82" spans="1:12" ht="292.5">
      <c r="A82" s="8" t="s">
        <v>397</v>
      </c>
      <c r="B82" s="9" t="s">
        <v>12</v>
      </c>
      <c r="C82" s="10" t="s">
        <v>21</v>
      </c>
      <c r="D82" s="10" t="str">
        <f ca="1">IFERROR(__xludf.DUMMYFUNCTION(" VLOOKUP(A79, IMPORTRANGE(""https://docs.google.com/spreadsheets/d/1fj_Bhi2XPL3siwIh4sx4VRLAe31yD50oKdj5UlRYW0c/"", ""Сводка!A:AA""), 11, FALSE)"),"978-601-342-806-2 (Vol. I)")</f>
        <v>978-601-342-806-2 (Vol. I)</v>
      </c>
      <c r="E82" s="11" t="s">
        <v>398</v>
      </c>
      <c r="F82" s="11" t="s">
        <v>399</v>
      </c>
      <c r="G82" s="12">
        <f ca="1">IFERROR(__xludf.DUMMYFUNCTION(" VLOOKUP(A79, IMPORTRANGE(""https://docs.google.com/spreadsheets/d/1fj_Bhi2XPL3siwIh4sx4VRLAe31yD50oKdj5UlRYW0c/"", ""Сводка!A:AA""), 5, FALSE)"),268)</f>
        <v>268</v>
      </c>
      <c r="H82" s="12" t="s">
        <v>165</v>
      </c>
      <c r="I82" s="10">
        <f ca="1">IFERROR(__xludf.DUMMYFUNCTION(" VLOOKUP(A79, IMPORTRANGE(""https://docs.google.com/spreadsheets/d/1QNLbnkR_AongFt22vMfNzfpjZ0CjpI8QI-w0wBnYA1w/"", ""Инфа!A:AA""), 6, FALSE)"),2024)</f>
        <v>2024</v>
      </c>
      <c r="J82" s="5">
        <f ca="1">ROUND((5000+G82*60),-2)</f>
        <v>21100</v>
      </c>
      <c r="K82" s="12" t="s">
        <v>160</v>
      </c>
      <c r="L82" s="15" t="s">
        <v>400</v>
      </c>
    </row>
    <row r="83" spans="1:12" ht="315">
      <c r="A83" s="8" t="s">
        <v>401</v>
      </c>
      <c r="B83" s="9" t="s">
        <v>12</v>
      </c>
      <c r="C83" s="10" t="s">
        <v>21</v>
      </c>
      <c r="D83" s="10" t="str">
        <f ca="1">IFERROR(__xludf.DUMMYFUNCTION(" VLOOKUP(A80, IMPORTRANGE(""https://docs.google.com/spreadsheets/d/1fj_Bhi2XPL3siwIh4sx4VRLAe31yD50oKdj5UlRYW0c/"", ""Сводка!A:AA""), 11, FALSE)"),"978-601-342-807-9 (Vol. II)")</f>
        <v>978-601-342-807-9 (Vol. II)</v>
      </c>
      <c r="E83" s="11" t="s">
        <v>398</v>
      </c>
      <c r="F83" s="11" t="s">
        <v>402</v>
      </c>
      <c r="G83" s="12">
        <f ca="1">IFERROR(__xludf.DUMMYFUNCTION(" VLOOKUP(A80, IMPORTRANGE(""https://docs.google.com/spreadsheets/d/1fj_Bhi2XPL3siwIh4sx4VRLAe31yD50oKdj5UlRYW0c/"", ""Сводка!A:AA""), 5, FALSE)"),232)</f>
        <v>232</v>
      </c>
      <c r="H83" s="12" t="s">
        <v>165</v>
      </c>
      <c r="I83" s="10">
        <f ca="1">IFERROR(__xludf.DUMMYFUNCTION(" VLOOKUP(A80, IMPORTRANGE(""https://docs.google.com/spreadsheets/d/1QNLbnkR_AongFt22vMfNzfpjZ0CjpI8QI-w0wBnYA1w/"", ""Инфа!A:AA""), 6, FALSE)"),2024)</f>
        <v>2024</v>
      </c>
      <c r="J83" s="5">
        <f ca="1">ROUND((5000+G83*60),-2)</f>
        <v>18900</v>
      </c>
      <c r="K83" s="12" t="s">
        <v>160</v>
      </c>
      <c r="L83" s="15" t="s">
        <v>403</v>
      </c>
    </row>
    <row r="84" spans="1:12" ht="292.5">
      <c r="A84" s="8" t="s">
        <v>404</v>
      </c>
      <c r="B84" s="9" t="s">
        <v>12</v>
      </c>
      <c r="C84" s="10" t="s">
        <v>13</v>
      </c>
      <c r="D84" s="10" t="str">
        <f ca="1">IFERROR(__xludf.DUMMYFUNCTION(" VLOOKUP(A81, IMPORTRANGE(""https://docs.google.com/spreadsheets/d/1fj_Bhi2XPL3siwIh4sx4VRLAe31yD50oKdj5UlRYW0c/"", ""Сводка!A:AA""), 11, FALSE)"),"978-601-327-950-3")</f>
        <v>978-601-327-950-3</v>
      </c>
      <c r="E84" s="11" t="s">
        <v>405</v>
      </c>
      <c r="F84" s="11" t="s">
        <v>406</v>
      </c>
      <c r="G84" s="12">
        <f ca="1">IFERROR(__xludf.DUMMYFUNCTION(" VLOOKUP(A81, IMPORTRANGE(""https://docs.google.com/spreadsheets/d/1fj_Bhi2XPL3siwIh4sx4VRLAe31yD50oKdj5UlRYW0c/"", ""Сводка!A:AA""), 5, FALSE)"),252)</f>
        <v>252</v>
      </c>
      <c r="H84" s="12" t="s">
        <v>407</v>
      </c>
      <c r="I84" s="10">
        <f ca="1">IFERROR(__xludf.DUMMYFUNCTION(" VLOOKUP(A81, IMPORTRANGE(""https://docs.google.com/spreadsheets/d/1QNLbnkR_AongFt22vMfNzfpjZ0CjpI8QI-w0wBnYA1w/"", ""Инфа!A:AA""), 6, FALSE)"),2024)</f>
        <v>2024</v>
      </c>
      <c r="J84" s="5">
        <f ca="1">ROUND((5000+G84*60),-2)</f>
        <v>20100</v>
      </c>
      <c r="K84" s="12" t="s">
        <v>408</v>
      </c>
      <c r="L84" s="15" t="s">
        <v>409</v>
      </c>
    </row>
    <row r="85" spans="1:12" ht="146.25">
      <c r="A85" s="8" t="s">
        <v>410</v>
      </c>
      <c r="B85" s="9" t="s">
        <v>12</v>
      </c>
      <c r="C85" s="10" t="s">
        <v>13</v>
      </c>
      <c r="D85" s="10" t="str">
        <f ca="1">IFERROR(__xludf.DUMMYFUNCTION(" VLOOKUP(A82, IMPORTRANGE(""https://docs.google.com/spreadsheets/d/1fj_Bhi2XPL3siwIh4sx4VRLAe31yD50oKdj5UlRYW0c/"", ""Сводка!A:AA""), 11, FALSE)"),"978-601-327-712-7")</f>
        <v>978-601-327-712-7</v>
      </c>
      <c r="E85" s="11" t="s">
        <v>411</v>
      </c>
      <c r="F85" s="11" t="s">
        <v>412</v>
      </c>
      <c r="G85" s="12">
        <f ca="1">IFERROR(__xludf.DUMMYFUNCTION(" VLOOKUP(A82, IMPORTRANGE(""https://docs.google.com/spreadsheets/d/1fj_Bhi2XPL3siwIh4sx4VRLAe31yD50oKdj5UlRYW0c/"", ""Сводка!A:AA""), 5, FALSE)"),204)</f>
        <v>204</v>
      </c>
      <c r="H85" s="12" t="s">
        <v>16</v>
      </c>
      <c r="I85" s="10">
        <f ca="1">IFERROR(__xludf.DUMMYFUNCTION(" VLOOKUP(A82, IMPORTRANGE(""https://docs.google.com/spreadsheets/d/1QNLbnkR_AongFt22vMfNzfpjZ0CjpI8QI-w0wBnYA1w/"", ""Инфа!A:AA""), 6, FALSE)"),2024)</f>
        <v>2024</v>
      </c>
      <c r="J85" s="5">
        <f ca="1">ROUND((5000+G85*30),-2)</f>
        <v>11100</v>
      </c>
      <c r="K85" s="12" t="s">
        <v>160</v>
      </c>
      <c r="L85" s="15" t="s">
        <v>413</v>
      </c>
    </row>
    <row r="86" spans="1:12" ht="180">
      <c r="A86" s="8" t="s">
        <v>414</v>
      </c>
      <c r="B86" s="9" t="s">
        <v>12</v>
      </c>
      <c r="C86" s="10" t="s">
        <v>13</v>
      </c>
      <c r="D86" s="10" t="str">
        <f ca="1">IFERROR(__xludf.DUMMYFUNCTION(" VLOOKUP(A83, IMPORTRANGE(""https://docs.google.com/spreadsheets/d/1fj_Bhi2XPL3siwIh4sx4VRLAe31yD50oKdj5UlRYW0c/"", ""Сводка!A:AA""), 11, FALSE)"),"978-601-337-145-2")</f>
        <v>978-601-337-145-2</v>
      </c>
      <c r="E86" s="11" t="s">
        <v>415</v>
      </c>
      <c r="F86" s="11" t="s">
        <v>416</v>
      </c>
      <c r="G86" s="12">
        <f ca="1">IFERROR(__xludf.DUMMYFUNCTION(" VLOOKUP(A83, IMPORTRANGE(""https://docs.google.com/spreadsheets/d/1fj_Bhi2XPL3siwIh4sx4VRLAe31yD50oKdj5UlRYW0c/"", ""Сводка!A:AA""), 5, FALSE)"),180)</f>
        <v>180</v>
      </c>
      <c r="H86" s="12" t="s">
        <v>417</v>
      </c>
      <c r="I86" s="10">
        <f ca="1">IFERROR(__xludf.DUMMYFUNCTION(" VLOOKUP(A83, IMPORTRANGE(""https://docs.google.com/spreadsheets/d/1QNLbnkR_AongFt22vMfNzfpjZ0CjpI8QI-w0wBnYA1w/"", ""Инфа!A:AA""), 6, FALSE)"),2024)</f>
        <v>2024</v>
      </c>
      <c r="J86" s="5">
        <f ca="1">ROUND((5000+G86*60),-2)</f>
        <v>15800</v>
      </c>
      <c r="K86" s="12" t="s">
        <v>26</v>
      </c>
      <c r="L86" s="15" t="s">
        <v>418</v>
      </c>
    </row>
    <row r="87" spans="1:12" ht="258.75">
      <c r="A87" s="8" t="s">
        <v>419</v>
      </c>
      <c r="B87" s="9" t="s">
        <v>12</v>
      </c>
      <c r="C87" s="10" t="s">
        <v>21</v>
      </c>
      <c r="D87" s="10" t="str">
        <f ca="1">IFERROR(__xludf.DUMMYFUNCTION(" VLOOKUP(A84, IMPORTRANGE(""https://docs.google.com/spreadsheets/d/1fj_Bhi2XPL3siwIh4sx4VRLAe31yD50oKdj5UlRYW0c/"", ""Сводка!A:AA""), 11, FALSE)"),"978-9965-07-828-6")</f>
        <v>978-9965-07-828-6</v>
      </c>
      <c r="E87" s="22" t="s">
        <v>420</v>
      </c>
      <c r="F87" s="22" t="s">
        <v>421</v>
      </c>
      <c r="G87" s="12">
        <f ca="1">IFERROR(__xludf.DUMMYFUNCTION(" VLOOKUP(A84, IMPORTRANGE(""https://docs.google.com/spreadsheets/d/1fj_Bhi2XPL3siwIh4sx4VRLAe31yD50oKdj5UlRYW0c/"", ""Сводка!A:AA""), 5, FALSE)"),160)</f>
        <v>160</v>
      </c>
      <c r="H87" s="10" t="s">
        <v>42</v>
      </c>
      <c r="I87" s="10">
        <f ca="1">IFERROR(__xludf.DUMMYFUNCTION(" VLOOKUP(A84, IMPORTRANGE(""https://docs.google.com/spreadsheets/d/1QNLbnkR_AongFt22vMfNzfpjZ0CjpI8QI-w0wBnYA1w/"", ""Инфа!A:AA""), 6, FALSE)"),2024)</f>
        <v>2024</v>
      </c>
      <c r="J87" s="5">
        <f ca="1">ROUND((5000+G87*60),-2)</f>
        <v>14600</v>
      </c>
      <c r="K87" s="10" t="s">
        <v>243</v>
      </c>
      <c r="L87" s="23" t="s">
        <v>422</v>
      </c>
    </row>
    <row r="88" spans="1:12" ht="78.75">
      <c r="A88" s="8" t="s">
        <v>423</v>
      </c>
      <c r="B88" s="9" t="s">
        <v>12</v>
      </c>
      <c r="C88" s="10" t="s">
        <v>21</v>
      </c>
      <c r="D88" s="10" t="str">
        <f ca="1">IFERROR(__xludf.DUMMYFUNCTION(" VLOOKUP(A85, IMPORTRANGE(""https://docs.google.com/spreadsheets/d/1fj_Bhi2XPL3siwIh4sx4VRLAe31yD50oKdj5UlRYW0c/"", ""Сводка!A:AA""), 11, FALSE)"),"978-601-342-121-6")</f>
        <v>978-601-342-121-6</v>
      </c>
      <c r="E88" s="11" t="s">
        <v>424</v>
      </c>
      <c r="F88" s="22" t="s">
        <v>425</v>
      </c>
      <c r="G88" s="12">
        <f ca="1">IFERROR(__xludf.DUMMYFUNCTION(" VLOOKUP(A85, IMPORTRANGE(""https://docs.google.com/spreadsheets/d/1fj_Bhi2XPL3siwIh4sx4VRLAe31yD50oKdj5UlRYW0c/"", ""Сводка!A:AA""), 5, FALSE)"),336)</f>
        <v>336</v>
      </c>
      <c r="H88" s="12" t="s">
        <v>282</v>
      </c>
      <c r="I88" s="10">
        <f ca="1">IFERROR(__xludf.DUMMYFUNCTION(" VLOOKUP(A85, IMPORTRANGE(""https://docs.google.com/spreadsheets/d/1QNLbnkR_AongFt22vMfNzfpjZ0CjpI8QI-w0wBnYA1w/"", ""Инфа!A:AA""), 6, FALSE)"),2024)</f>
        <v>2024</v>
      </c>
      <c r="J88" s="5">
        <f ca="1">ROUND((5000+G88*60),-2)</f>
        <v>25200</v>
      </c>
      <c r="K88" s="12" t="s">
        <v>171</v>
      </c>
      <c r="L88" s="15" t="s">
        <v>426</v>
      </c>
    </row>
    <row r="89" spans="1:12" ht="76.5">
      <c r="A89" s="8" t="s">
        <v>427</v>
      </c>
      <c r="B89" s="9" t="s">
        <v>12</v>
      </c>
      <c r="C89" s="10" t="s">
        <v>21</v>
      </c>
      <c r="D89" s="10" t="str">
        <f ca="1">IFERROR(__xludf.DUMMYFUNCTION(" VLOOKUP(A86, IMPORTRANGE(""https://docs.google.com/spreadsheets/d/1fj_Bhi2XPL3siwIh4sx4VRLAe31yD50oKdj5UlRYW0c/"", ""Сводка!A:AA""), 11, FALSE)"),"978-601-327-028-5")</f>
        <v>978-601-327-028-5</v>
      </c>
      <c r="E89" s="11" t="s">
        <v>428</v>
      </c>
      <c r="F89" s="11" t="s">
        <v>429</v>
      </c>
      <c r="G89" s="12">
        <f ca="1">IFERROR(__xludf.DUMMYFUNCTION(" VLOOKUP(A86, IMPORTRANGE(""https://docs.google.com/spreadsheets/d/1fj_Bhi2XPL3siwIh4sx4VRLAe31yD50oKdj5UlRYW0c/"", ""Сводка!A:AA""), 5, FALSE)"),144)</f>
        <v>144</v>
      </c>
      <c r="H89" s="12" t="s">
        <v>147</v>
      </c>
      <c r="I89" s="10">
        <f ca="1">IFERROR(__xludf.DUMMYFUNCTION(" VLOOKUP(A86, IMPORTRANGE(""https://docs.google.com/spreadsheets/d/1QNLbnkR_AongFt22vMfNzfpjZ0CjpI8QI-w0wBnYA1w/"", ""Инфа!A:AA""), 6, FALSE)"),2024)</f>
        <v>2024</v>
      </c>
      <c r="J89" s="5">
        <f ca="1">ROUND((5000+G89*30),-2)</f>
        <v>9300</v>
      </c>
      <c r="K89" s="12" t="s">
        <v>430</v>
      </c>
      <c r="L89" s="15" t="s">
        <v>431</v>
      </c>
    </row>
    <row r="90" spans="1:12" ht="315">
      <c r="A90" s="8" t="s">
        <v>432</v>
      </c>
      <c r="B90" s="9" t="s">
        <v>12</v>
      </c>
      <c r="C90" s="10" t="s">
        <v>21</v>
      </c>
      <c r="D90" s="10" t="str">
        <f ca="1">IFERROR(__xludf.DUMMYFUNCTION(" VLOOKUP(A87, IMPORTRANGE(""https://docs.google.com/spreadsheets/d/1fj_Bhi2XPL3siwIh4sx4VRLAe31yD50oKdj5UlRYW0c/"", ""Сводка!A:AA""), 11, FALSE)"),"978-601-342-603-7")</f>
        <v>978-601-342-603-7</v>
      </c>
      <c r="E90" s="11" t="s">
        <v>433</v>
      </c>
      <c r="F90" s="11" t="s">
        <v>434</v>
      </c>
      <c r="G90" s="12">
        <f ca="1">IFERROR(__xludf.DUMMYFUNCTION(" VLOOKUP(A87, IMPORTRANGE(""https://docs.google.com/spreadsheets/d/1fj_Bhi2XPL3siwIh4sx4VRLAe31yD50oKdj5UlRYW0c/"", ""Сводка!A:AA""), 5, FALSE)"),268)</f>
        <v>268</v>
      </c>
      <c r="H90" s="12" t="s">
        <v>435</v>
      </c>
      <c r="I90" s="10">
        <f ca="1">IFERROR(__xludf.DUMMYFUNCTION(" VLOOKUP(A87, IMPORTRANGE(""https://docs.google.com/spreadsheets/d/1QNLbnkR_AongFt22vMfNzfpjZ0CjpI8QI-w0wBnYA1w/"", ""Инфа!A:AA""), 6, FALSE)"),2024)</f>
        <v>2024</v>
      </c>
      <c r="J90" s="5">
        <f ca="1">ROUND((5000+G90*60),-2)</f>
        <v>21100</v>
      </c>
      <c r="K90" s="12" t="s">
        <v>430</v>
      </c>
      <c r="L90" s="15" t="s">
        <v>436</v>
      </c>
    </row>
    <row r="91" spans="1:12" ht="258.75">
      <c r="A91" s="8" t="s">
        <v>437</v>
      </c>
      <c r="B91" s="9" t="s">
        <v>12</v>
      </c>
      <c r="C91" s="10" t="s">
        <v>13</v>
      </c>
      <c r="D91" s="10" t="str">
        <f ca="1">IFERROR(__xludf.DUMMYFUNCTION(" VLOOKUP(A88, IMPORTRANGE(""https://docs.google.com/spreadsheets/d/1fj_Bhi2XPL3siwIh4sx4VRLAe31yD50oKdj5UlRYW0c/"", ""Сводка!A:AA""), 11, FALSE)"),"978-601-342-526-9")</f>
        <v>978-601-342-526-9</v>
      </c>
      <c r="E91" s="11" t="s">
        <v>438</v>
      </c>
      <c r="F91" s="11" t="s">
        <v>439</v>
      </c>
      <c r="G91" s="12">
        <f ca="1">IFERROR(__xludf.DUMMYFUNCTION(" VLOOKUP(A88, IMPORTRANGE(""https://docs.google.com/spreadsheets/d/1fj_Bhi2XPL3siwIh4sx4VRLAe31yD50oKdj5UlRYW0c/"", ""Сводка!A:AA""), 5, FALSE)"),176)</f>
        <v>176</v>
      </c>
      <c r="H91" s="12" t="s">
        <v>42</v>
      </c>
      <c r="I91" s="10">
        <f ca="1">IFERROR(__xludf.DUMMYFUNCTION(" VLOOKUP(A88, IMPORTRANGE(""https://docs.google.com/spreadsheets/d/1QNLbnkR_AongFt22vMfNzfpjZ0CjpI8QI-w0wBnYA1w/"", ""Инфа!A:AA""), 6, FALSE)"),2024)</f>
        <v>2024</v>
      </c>
      <c r="J91" s="5">
        <f ca="1">ROUND((5000+G91*60),-2)</f>
        <v>15600</v>
      </c>
      <c r="K91" s="12" t="s">
        <v>440</v>
      </c>
      <c r="L91" s="15" t="s">
        <v>441</v>
      </c>
    </row>
    <row r="92" spans="1:12" ht="202.5">
      <c r="A92" s="8" t="s">
        <v>442</v>
      </c>
      <c r="B92" s="9" t="s">
        <v>12</v>
      </c>
      <c r="C92" s="10" t="s">
        <v>443</v>
      </c>
      <c r="D92" s="10" t="str">
        <f ca="1">IFERROR(__xludf.DUMMYFUNCTION(" VLOOKUP(A89, IMPORTRANGE(""https://docs.google.com/spreadsheets/d/1fj_Bhi2XPL3siwIh4sx4VRLAe31yD50oKdj5UlRYW0c/"", ""Сводка!A:AA""), 11, FALSE)"),"978-601-342-457-6")</f>
        <v>978-601-342-457-6</v>
      </c>
      <c r="E92" s="11" t="s">
        <v>444</v>
      </c>
      <c r="F92" s="11" t="s">
        <v>445</v>
      </c>
      <c r="G92" s="12">
        <f ca="1">IFERROR(__xludf.DUMMYFUNCTION(" VLOOKUP(A89, IMPORTRANGE(""https://docs.google.com/spreadsheets/d/1fj_Bhi2XPL3siwIh4sx4VRLAe31yD50oKdj5UlRYW0c/"", ""Сводка!A:AA""), 5, FALSE)"),120)</f>
        <v>120</v>
      </c>
      <c r="H92" s="12" t="s">
        <v>446</v>
      </c>
      <c r="I92" s="10">
        <f ca="1">IFERROR(__xludf.DUMMYFUNCTION(" VLOOKUP(A89, IMPORTRANGE(""https://docs.google.com/spreadsheets/d/1QNLbnkR_AongFt22vMfNzfpjZ0CjpI8QI-w0wBnYA1w/"", ""Инфа!A:AA""), 6, FALSE)"),2024)</f>
        <v>2024</v>
      </c>
      <c r="J92" s="5">
        <f ca="1">ROUND((5000+G92*30),-2)</f>
        <v>8600</v>
      </c>
      <c r="K92" s="9" t="s">
        <v>447</v>
      </c>
      <c r="L92" s="15" t="s">
        <v>448</v>
      </c>
    </row>
    <row r="93" spans="1:12" ht="123.75">
      <c r="A93" s="8" t="s">
        <v>449</v>
      </c>
      <c r="B93" s="9" t="s">
        <v>12</v>
      </c>
      <c r="C93" s="10" t="s">
        <v>21</v>
      </c>
      <c r="D93" s="10" t="str">
        <f ca="1">IFERROR(__xludf.DUMMYFUNCTION(" VLOOKUP(A90, IMPORTRANGE(""https://docs.google.com/spreadsheets/d/1fj_Bhi2XPL3siwIh4sx4VRLAe31yD50oKdj5UlRYW0c/"", ""Сводка!A:AA""), 11, FALSE)"),"978-601-327-619-9")</f>
        <v>978-601-327-619-9</v>
      </c>
      <c r="E93" s="11" t="s">
        <v>450</v>
      </c>
      <c r="F93" s="11" t="s">
        <v>451</v>
      </c>
      <c r="G93" s="12">
        <f ca="1">IFERROR(__xludf.DUMMYFUNCTION(" VLOOKUP(A90, IMPORTRANGE(""https://docs.google.com/spreadsheets/d/1fj_Bhi2XPL3siwIh4sx4VRLAe31yD50oKdj5UlRYW0c/"", ""Сводка!A:AA""), 5, FALSE)"),120)</f>
        <v>120</v>
      </c>
      <c r="H93" s="12" t="s">
        <v>452</v>
      </c>
      <c r="I93" s="10">
        <f ca="1">IFERROR(__xludf.DUMMYFUNCTION(" VLOOKUP(A90, IMPORTRANGE(""https://docs.google.com/spreadsheets/d/1QNLbnkR_AongFt22vMfNzfpjZ0CjpI8QI-w0wBnYA1w/"", ""Инфа!A:AA""), 6, FALSE)"),2024)</f>
        <v>2024</v>
      </c>
      <c r="J93" s="5">
        <f ca="1">ROUND((5000+G93*30),-2)</f>
        <v>8600</v>
      </c>
      <c r="K93" s="12" t="s">
        <v>37</v>
      </c>
      <c r="L93" s="15" t="s">
        <v>453</v>
      </c>
    </row>
    <row r="94" spans="1:12" ht="281.25">
      <c r="A94" s="8" t="s">
        <v>454</v>
      </c>
      <c r="B94" s="9" t="s">
        <v>12</v>
      </c>
      <c r="C94" s="10" t="s">
        <v>13</v>
      </c>
      <c r="D94" s="10" t="str">
        <f ca="1">IFERROR(__xludf.DUMMYFUNCTION(" VLOOKUP(A91, IMPORTRANGE(""https://docs.google.com/spreadsheets/d/1fj_Bhi2XPL3siwIh4sx4VRLAe31yD50oKdj5UlRYW0c/"", ""Сводка!A:AA""), 11, FALSE)"),"978-601-342-554-2")</f>
        <v>978-601-342-554-2</v>
      </c>
      <c r="E94" s="11" t="s">
        <v>455</v>
      </c>
      <c r="F94" s="11" t="s">
        <v>456</v>
      </c>
      <c r="G94" s="12">
        <f ca="1">IFERROR(__xludf.DUMMYFUNCTION(" VLOOKUP(A91, IMPORTRANGE(""https://docs.google.com/spreadsheets/d/1fj_Bhi2XPL3siwIh4sx4VRLAe31yD50oKdj5UlRYW0c/"", ""Сводка!A:AA""), 5, FALSE)"),216)</f>
        <v>216</v>
      </c>
      <c r="H94" s="12"/>
      <c r="I94" s="10">
        <f ca="1">IFERROR(__xludf.DUMMYFUNCTION(" VLOOKUP(A91, IMPORTRANGE(""https://docs.google.com/spreadsheets/d/1QNLbnkR_AongFt22vMfNzfpjZ0CjpI8QI-w0wBnYA1w/"", ""Инфа!A:AA""), 6, FALSE)"),2024)</f>
        <v>2024</v>
      </c>
      <c r="J94" s="5">
        <f ca="1">ROUND((5000+G94*60),-2)</f>
        <v>18000</v>
      </c>
      <c r="K94" s="29" t="s">
        <v>457</v>
      </c>
      <c r="L94" s="15" t="s">
        <v>458</v>
      </c>
    </row>
    <row r="95" spans="1:12" ht="281.25">
      <c r="A95" s="8" t="s">
        <v>459</v>
      </c>
      <c r="B95" s="9" t="s">
        <v>12</v>
      </c>
      <c r="C95" s="10" t="s">
        <v>13</v>
      </c>
      <c r="D95" s="10" t="str">
        <f ca="1">IFERROR(__xludf.DUMMYFUNCTION(" VLOOKUP(A92, IMPORTRANGE(""https://docs.google.com/spreadsheets/d/1fj_Bhi2XPL3siwIh4sx4VRLAe31yD50oKdj5UlRYW0c/"", ""Сводка!A:AA""), 11, FALSE)"),"978-601-342-582-5")</f>
        <v>978-601-342-582-5</v>
      </c>
      <c r="E95" s="11" t="s">
        <v>460</v>
      </c>
      <c r="F95" s="11" t="s">
        <v>461</v>
      </c>
      <c r="G95" s="12">
        <f ca="1">IFERROR(__xludf.DUMMYFUNCTION(" VLOOKUP(A92, IMPORTRANGE(""https://docs.google.com/spreadsheets/d/1fj_Bhi2XPL3siwIh4sx4VRLAe31yD50oKdj5UlRYW0c/"", ""Сводка!A:AA""), 5, FALSE)"),184)</f>
        <v>184</v>
      </c>
      <c r="H95" s="12" t="s">
        <v>462</v>
      </c>
      <c r="I95" s="10">
        <f ca="1">IFERROR(__xludf.DUMMYFUNCTION(" VLOOKUP(A92, IMPORTRANGE(""https://docs.google.com/spreadsheets/d/1QNLbnkR_AongFt22vMfNzfpjZ0CjpI8QI-w0wBnYA1w/"", ""Инфа!A:AA""), 6, FALSE)"),2024)</f>
        <v>2024</v>
      </c>
      <c r="J95" s="5">
        <f ca="1">ROUND((5000+G95*60),-2)</f>
        <v>16000</v>
      </c>
      <c r="K95" s="12" t="s">
        <v>408</v>
      </c>
      <c r="L95" s="15" t="s">
        <v>463</v>
      </c>
    </row>
    <row r="96" spans="1:12" ht="303.75">
      <c r="A96" s="8" t="s">
        <v>464</v>
      </c>
      <c r="B96" s="9" t="s">
        <v>12</v>
      </c>
      <c r="C96" s="10" t="s">
        <v>13</v>
      </c>
      <c r="D96" s="10" t="str">
        <f ca="1">IFERROR(__xludf.DUMMYFUNCTION(" VLOOKUP(A93, IMPORTRANGE(""https://docs.google.com/spreadsheets/d/1fj_Bhi2XPL3siwIh4sx4VRLAe31yD50oKdj5UlRYW0c/"", ""Сводка!A:AA""), 11, FALSE)"),"978-601-342-555-9")</f>
        <v>978-601-342-555-9</v>
      </c>
      <c r="E96" s="11" t="s">
        <v>465</v>
      </c>
      <c r="F96" s="11" t="s">
        <v>466</v>
      </c>
      <c r="G96" s="12">
        <f ca="1">IFERROR(__xludf.DUMMYFUNCTION(" VLOOKUP(A93, IMPORTRANGE(""https://docs.google.com/spreadsheets/d/1fj_Bhi2XPL3siwIh4sx4VRLAe31yD50oKdj5UlRYW0c/"", ""Сводка!A:AA""), 5, FALSE)"),148)</f>
        <v>148</v>
      </c>
      <c r="H96" s="12" t="s">
        <v>106</v>
      </c>
      <c r="I96" s="10">
        <f ca="1">IFERROR(__xludf.DUMMYFUNCTION(" VLOOKUP(A93, IMPORTRANGE(""https://docs.google.com/spreadsheets/d/1QNLbnkR_AongFt22vMfNzfpjZ0CjpI8QI-w0wBnYA1w/"", ""Инфа!A:AA""), 6, FALSE)"),2024)</f>
        <v>2024</v>
      </c>
      <c r="J96" s="5">
        <f ca="1">ROUND((5000+G96*60),-2)</f>
        <v>13900</v>
      </c>
      <c r="K96" s="12" t="s">
        <v>467</v>
      </c>
      <c r="L96" s="15" t="s">
        <v>468</v>
      </c>
    </row>
    <row r="97" spans="1:12" ht="78.75">
      <c r="A97" s="8" t="s">
        <v>469</v>
      </c>
      <c r="B97" s="9" t="s">
        <v>12</v>
      </c>
      <c r="C97" s="10" t="s">
        <v>13</v>
      </c>
      <c r="D97" s="10" t="str">
        <f ca="1">IFERROR(__xludf.DUMMYFUNCTION(" VLOOKUP(A94, IMPORTRANGE(""https://docs.google.com/spreadsheets/d/1fj_Bhi2XPL3siwIh4sx4VRLAe31yD50oKdj5UlRYW0c/"", ""Сводка!A:AA""), 11, FALSE)"),"978-601-342-556-6")</f>
        <v>978-601-342-556-6</v>
      </c>
      <c r="E97" s="11" t="s">
        <v>470</v>
      </c>
      <c r="F97" s="11" t="s">
        <v>471</v>
      </c>
      <c r="G97" s="12">
        <f ca="1">IFERROR(__xludf.DUMMYFUNCTION(" VLOOKUP(A94, IMPORTRANGE(""https://docs.google.com/spreadsheets/d/1fj_Bhi2XPL3siwIh4sx4VRLAe31yD50oKdj5UlRYW0c/"", ""Сводка!A:AA""), 5, FALSE)"),100)</f>
        <v>100</v>
      </c>
      <c r="H97" s="12" t="s">
        <v>472</v>
      </c>
      <c r="I97" s="10">
        <f ca="1">IFERROR(__xludf.DUMMYFUNCTION(" VLOOKUP(A94, IMPORTRANGE(""https://docs.google.com/spreadsheets/d/1QNLbnkR_AongFt22vMfNzfpjZ0CjpI8QI-w0wBnYA1w/"", ""Инфа!A:AA""), 6, FALSE)"),2024)</f>
        <v>2024</v>
      </c>
      <c r="J97" s="5">
        <f ca="1">ROUND((5000+G97*30),-2)</f>
        <v>8000</v>
      </c>
      <c r="K97" s="12" t="s">
        <v>467</v>
      </c>
      <c r="L97" s="15" t="s">
        <v>473</v>
      </c>
    </row>
    <row r="98" spans="1:12" ht="157.5">
      <c r="A98" s="8" t="s">
        <v>474</v>
      </c>
      <c r="B98" s="9" t="s">
        <v>12</v>
      </c>
      <c r="C98" s="10" t="s">
        <v>21</v>
      </c>
      <c r="D98" s="10" t="str">
        <f ca="1">IFERROR(__xludf.DUMMYFUNCTION(" VLOOKUP(A95, IMPORTRANGE(""https://docs.google.com/spreadsheets/d/1fj_Bhi2XPL3siwIh4sx4VRLAe31yD50oKdj5UlRYW0c/"", ""Сводка!A:AA""), 11, FALSE)"),"978-601-342-604-4")</f>
        <v>978-601-342-604-4</v>
      </c>
      <c r="E98" s="11" t="s">
        <v>475</v>
      </c>
      <c r="F98" s="11" t="s">
        <v>476</v>
      </c>
      <c r="G98" s="12">
        <f ca="1">IFERROR(__xludf.DUMMYFUNCTION(" VLOOKUP(A95, IMPORTRANGE(""https://docs.google.com/spreadsheets/d/1fj_Bhi2XPL3siwIh4sx4VRLAe31yD50oKdj5UlRYW0c/"", ""Сводка!A:AA""), 5, FALSE)"),148)</f>
        <v>148</v>
      </c>
      <c r="H98" s="12" t="s">
        <v>138</v>
      </c>
      <c r="I98" s="10">
        <f ca="1">IFERROR(__xludf.DUMMYFUNCTION(" VLOOKUP(A95, IMPORTRANGE(""https://docs.google.com/spreadsheets/d/1QNLbnkR_AongFt22vMfNzfpjZ0CjpI8QI-w0wBnYA1w/"", ""Инфа!A:AA""), 6, FALSE)"),2024)</f>
        <v>2024</v>
      </c>
      <c r="J98" s="5">
        <f ca="1">ROUND((5000+G98*60),-2)</f>
        <v>13900</v>
      </c>
      <c r="K98" s="12" t="s">
        <v>368</v>
      </c>
      <c r="L98" s="16" t="s">
        <v>477</v>
      </c>
    </row>
    <row r="99" spans="1:12" ht="168.75">
      <c r="A99" s="8" t="s">
        <v>478</v>
      </c>
      <c r="B99" s="9" t="s">
        <v>12</v>
      </c>
      <c r="C99" s="10" t="s">
        <v>21</v>
      </c>
      <c r="D99" s="10" t="str">
        <f ca="1">IFERROR(__xludf.DUMMYFUNCTION(" VLOOKUP(A96, IMPORTRANGE(""https://docs.google.com/spreadsheets/d/1fj_Bhi2XPL3siwIh4sx4VRLAe31yD50oKdj5UlRYW0c/"", ""Сводка!A:AA""), 11, FALSE)"),"978-601-342-244-5")</f>
        <v>978-601-342-244-5</v>
      </c>
      <c r="E99" s="11" t="s">
        <v>475</v>
      </c>
      <c r="F99" s="11" t="s">
        <v>479</v>
      </c>
      <c r="G99" s="12">
        <f ca="1">IFERROR(__xludf.DUMMYFUNCTION(" VLOOKUP(A96, IMPORTRANGE(""https://docs.google.com/spreadsheets/d/1fj_Bhi2XPL3siwIh4sx4VRLAe31yD50oKdj5UlRYW0c/"", ""Сводка!A:AA""), 5, FALSE)"),100)</f>
        <v>100</v>
      </c>
      <c r="H99" s="12" t="s">
        <v>138</v>
      </c>
      <c r="I99" s="10">
        <f ca="1">IFERROR(__xludf.DUMMYFUNCTION(" VLOOKUP(A96, IMPORTRANGE(""https://docs.google.com/spreadsheets/d/1QNLbnkR_AongFt22vMfNzfpjZ0CjpI8QI-w0wBnYA1w/"", ""Инфа!A:AA""), 6, FALSE)"),2024)</f>
        <v>2024</v>
      </c>
      <c r="J99" s="5">
        <f ca="1">ROUND((5000+G99*30),-2)</f>
        <v>8000</v>
      </c>
      <c r="K99" s="12" t="s">
        <v>368</v>
      </c>
      <c r="L99" s="16" t="s">
        <v>480</v>
      </c>
    </row>
    <row r="100" spans="1:12" ht="247.5">
      <c r="A100" s="8" t="s">
        <v>481</v>
      </c>
      <c r="B100" s="9" t="s">
        <v>12</v>
      </c>
      <c r="C100" s="10" t="s">
        <v>21</v>
      </c>
      <c r="D100" s="10" t="str">
        <f ca="1">IFERROR(__xludf.DUMMYFUNCTION(" VLOOKUP(A97, IMPORTRANGE(""https://docs.google.com/spreadsheets/d/1fj_Bhi2XPL3siwIh4sx4VRLAe31yD50oKdj5UlRYW0c/"", ""Сводка!A:AA""), 11, FALSE)"),"978-601-342-755-3")</f>
        <v>978-601-342-755-3</v>
      </c>
      <c r="E100" s="11" t="s">
        <v>482</v>
      </c>
      <c r="F100" s="11" t="s">
        <v>483</v>
      </c>
      <c r="G100" s="12">
        <f ca="1">IFERROR(__xludf.DUMMYFUNCTION(" VLOOKUP(A97, IMPORTRANGE(""https://docs.google.com/spreadsheets/d/1fj_Bhi2XPL3siwIh4sx4VRLAe31yD50oKdj5UlRYW0c/"", ""Сводка!A:AA""), 5, FALSE)"),184)</f>
        <v>184</v>
      </c>
      <c r="H100" s="12" t="s">
        <v>42</v>
      </c>
      <c r="I100" s="10">
        <f ca="1">IFERROR(__xludf.DUMMYFUNCTION(" VLOOKUP(A97, IMPORTRANGE(""https://docs.google.com/spreadsheets/d/1QNLbnkR_AongFt22vMfNzfpjZ0CjpI8QI-w0wBnYA1w/"", ""Инфа!A:AA""), 6, FALSE)"),2024)</f>
        <v>2024</v>
      </c>
      <c r="J100" s="5">
        <f ca="1">ROUND((5000+G100*30),-2)</f>
        <v>10500</v>
      </c>
      <c r="K100" s="10" t="s">
        <v>368</v>
      </c>
      <c r="L100" s="15" t="s">
        <v>484</v>
      </c>
    </row>
    <row r="101" spans="1:12" ht="135">
      <c r="A101" s="8" t="s">
        <v>485</v>
      </c>
      <c r="B101" s="9" t="s">
        <v>12</v>
      </c>
      <c r="C101" s="10" t="s">
        <v>13</v>
      </c>
      <c r="D101" s="10" t="str">
        <f ca="1">IFERROR(__xludf.DUMMYFUNCTION(" VLOOKUP(A98, IMPORTRANGE(""https://docs.google.com/spreadsheets/d/1fj_Bhi2XPL3siwIh4sx4VRLAe31yD50oKdj5UlRYW0c/"", ""Сводка!A:AA""), 11, FALSE)"),"978-601-337-184-9")</f>
        <v>978-601-337-184-9</v>
      </c>
      <c r="E101" s="11" t="s">
        <v>486</v>
      </c>
      <c r="F101" s="11" t="s">
        <v>487</v>
      </c>
      <c r="G101" s="12">
        <f ca="1">IFERROR(__xludf.DUMMYFUNCTION(" VLOOKUP(A98, IMPORTRANGE(""https://docs.google.com/spreadsheets/d/1fj_Bhi2XPL3siwIh4sx4VRLAe31yD50oKdj5UlRYW0c/"", ""Сводка!A:AA""), 5, FALSE)"),208)</f>
        <v>208</v>
      </c>
      <c r="H101" s="12" t="s">
        <v>176</v>
      </c>
      <c r="I101" s="10">
        <f ca="1">IFERROR(__xludf.DUMMYFUNCTION(" VLOOKUP(A98, IMPORTRANGE(""https://docs.google.com/spreadsheets/d/1QNLbnkR_AongFt22vMfNzfpjZ0CjpI8QI-w0wBnYA1w/"", ""Инфа!A:AA""), 6, FALSE)"),2024)</f>
        <v>2024</v>
      </c>
      <c r="J101" s="5">
        <f ca="1">ROUND((5000+G101*60),-2)</f>
        <v>17500</v>
      </c>
      <c r="K101" s="12" t="s">
        <v>488</v>
      </c>
      <c r="L101" s="15" t="s">
        <v>489</v>
      </c>
    </row>
    <row r="102" spans="1:12" ht="135">
      <c r="A102" s="8" t="s">
        <v>490</v>
      </c>
      <c r="B102" s="9" t="s">
        <v>12</v>
      </c>
      <c r="C102" s="13" t="s">
        <v>21</v>
      </c>
      <c r="D102" s="10" t="str">
        <f ca="1">IFERROR(__xludf.DUMMYFUNCTION(" VLOOKUP(A99, IMPORTRANGE(""https://docs.google.com/spreadsheets/d/1fj_Bhi2XPL3siwIh4sx4VRLAe31yD50oKdj5UlRYW0c/"", ""Сводка!A:AA""), 11, FALSE)"),"987-601-342-639-6")</f>
        <v>987-601-342-639-6</v>
      </c>
      <c r="E102" s="19" t="s">
        <v>491</v>
      </c>
      <c r="F102" s="19" t="s">
        <v>492</v>
      </c>
      <c r="G102" s="12">
        <f ca="1">IFERROR(__xludf.DUMMYFUNCTION(" VLOOKUP(A99, IMPORTRANGE(""https://docs.google.com/spreadsheets/d/1fj_Bhi2XPL3siwIh4sx4VRLAe31yD50oKdj5UlRYW0c/"", ""Сводка!A:AA""), 5, FALSE)"),124)</f>
        <v>124</v>
      </c>
      <c r="H102" s="9" t="s">
        <v>493</v>
      </c>
      <c r="I102" s="10">
        <f ca="1">IFERROR(__xludf.DUMMYFUNCTION(" VLOOKUP(A99, IMPORTRANGE(""https://docs.google.com/spreadsheets/d/1QNLbnkR_AongFt22vMfNzfpjZ0CjpI8QI-w0wBnYA1w/"", ""Инфа!A:AA""), 6, FALSE)"),2024)</f>
        <v>2024</v>
      </c>
      <c r="J102" s="5">
        <f ca="1">ROUND((5000+G102*60),-2)</f>
        <v>12400</v>
      </c>
      <c r="K102" s="9" t="s">
        <v>139</v>
      </c>
      <c r="L102" s="21" t="s">
        <v>494</v>
      </c>
    </row>
    <row r="103" spans="1:12" ht="157.5">
      <c r="A103" s="8" t="s">
        <v>495</v>
      </c>
      <c r="B103" s="9" t="s">
        <v>12</v>
      </c>
      <c r="C103" s="10" t="s">
        <v>21</v>
      </c>
      <c r="D103" s="10" t="str">
        <f ca="1">IFERROR(__xludf.DUMMYFUNCTION(" VLOOKUP(A100, IMPORTRANGE(""https://docs.google.com/spreadsheets/d/1fj_Bhi2XPL3siwIh4sx4VRLAe31yD50oKdj5UlRYW0c/"", ""Сводка!A:AA""), 11, FALSE)"),"978-9965-618-55-0")</f>
        <v>978-9965-618-55-0</v>
      </c>
      <c r="E103" s="11" t="s">
        <v>496</v>
      </c>
      <c r="F103" s="11" t="s">
        <v>497</v>
      </c>
      <c r="G103" s="12">
        <f ca="1">IFERROR(__xludf.DUMMYFUNCTION(" VLOOKUP(A100, IMPORTRANGE(""https://docs.google.com/spreadsheets/d/1fj_Bhi2XPL3siwIh4sx4VRLAe31yD50oKdj5UlRYW0c/"", ""Сводка!A:AA""), 5, FALSE)"),156)</f>
        <v>156</v>
      </c>
      <c r="H103" s="12" t="s">
        <v>498</v>
      </c>
      <c r="I103" s="10">
        <f ca="1">IFERROR(__xludf.DUMMYFUNCTION(" VLOOKUP(A100, IMPORTRANGE(""https://docs.google.com/spreadsheets/d/1QNLbnkR_AongFt22vMfNzfpjZ0CjpI8QI-w0wBnYA1w/"", ""Инфа!A:AA""), 6, FALSE)"),2024)</f>
        <v>2024</v>
      </c>
      <c r="J103" s="5">
        <f ca="1">ROUND((5000+G103*60),-2)</f>
        <v>14400</v>
      </c>
      <c r="K103" s="12" t="s">
        <v>139</v>
      </c>
      <c r="L103" s="15" t="s">
        <v>499</v>
      </c>
    </row>
    <row r="104" spans="1:12" ht="168.75">
      <c r="A104" s="8" t="s">
        <v>500</v>
      </c>
      <c r="B104" s="9" t="s">
        <v>12</v>
      </c>
      <c r="C104" s="10" t="s">
        <v>21</v>
      </c>
      <c r="D104" s="10" t="str">
        <f ca="1">IFERROR(__xludf.DUMMYFUNCTION(" VLOOKUP(A101, IMPORTRANGE(""https://docs.google.com/spreadsheets/d/1fj_Bhi2XPL3siwIh4sx4VRLAe31yD50oKdj5UlRYW0c/"", ""Сводка!A:AA""), 11, FALSE)"),"978-601-240-483-8")</f>
        <v>978-601-240-483-8</v>
      </c>
      <c r="E104" s="11" t="s">
        <v>496</v>
      </c>
      <c r="F104" s="11" t="s">
        <v>501</v>
      </c>
      <c r="G104" s="12">
        <f ca="1">IFERROR(__xludf.DUMMYFUNCTION(" VLOOKUP(A101, IMPORTRANGE(""https://docs.google.com/spreadsheets/d/1fj_Bhi2XPL3siwIh4sx4VRLAe31yD50oKdj5UlRYW0c/"", ""Сводка!A:AA""), 5, FALSE)"),132)</f>
        <v>132</v>
      </c>
      <c r="H104" s="12" t="s">
        <v>502</v>
      </c>
      <c r="I104" s="10">
        <f ca="1">IFERROR(__xludf.DUMMYFUNCTION(" VLOOKUP(A101, IMPORTRANGE(""https://docs.google.com/spreadsheets/d/1QNLbnkR_AongFt22vMfNzfpjZ0CjpI8QI-w0wBnYA1w/"", ""Инфа!A:AA""), 6, FALSE)"),2024)</f>
        <v>2024</v>
      </c>
      <c r="J104" s="5">
        <f ca="1">ROUND((5000+G104*60),-2)</f>
        <v>12900</v>
      </c>
      <c r="K104" s="12" t="s">
        <v>139</v>
      </c>
      <c r="L104" s="15" t="s">
        <v>503</v>
      </c>
    </row>
    <row r="105" spans="1:12" ht="135">
      <c r="A105" s="8" t="s">
        <v>504</v>
      </c>
      <c r="B105" s="9" t="s">
        <v>12</v>
      </c>
      <c r="C105" s="10" t="s">
        <v>21</v>
      </c>
      <c r="D105" s="10" t="str">
        <f ca="1">IFERROR(__xludf.DUMMYFUNCTION(" VLOOKUP(A102, IMPORTRANGE(""https://docs.google.com/spreadsheets/d/1fj_Bhi2XPL3siwIh4sx4VRLAe31yD50oKdj5UlRYW0c/"", ""Сводка!A:AA""), 11, FALSE)"),"978-601-342-758-4")</f>
        <v>978-601-342-758-4</v>
      </c>
      <c r="E105" s="11" t="s">
        <v>496</v>
      </c>
      <c r="F105" s="11" t="s">
        <v>505</v>
      </c>
      <c r="G105" s="12">
        <f ca="1">IFERROR(__xludf.DUMMYFUNCTION(" VLOOKUP(A102, IMPORTRANGE(""https://docs.google.com/spreadsheets/d/1fj_Bhi2XPL3siwIh4sx4VRLAe31yD50oKdj5UlRYW0c/"", ""Сводка!A:AA""), 5, FALSE)"),112)</f>
        <v>112</v>
      </c>
      <c r="H105" s="12" t="s">
        <v>506</v>
      </c>
      <c r="I105" s="10">
        <f ca="1">IFERROR(__xludf.DUMMYFUNCTION(" VLOOKUP(A102, IMPORTRANGE(""https://docs.google.com/spreadsheets/d/1QNLbnkR_AongFt22vMfNzfpjZ0CjpI8QI-w0wBnYA1w/"", ""Инфа!A:AA""), 6, FALSE)"),2024)</f>
        <v>2024</v>
      </c>
      <c r="J105" s="5">
        <f ca="1">ROUND((5000+G105*60),-2)</f>
        <v>11700</v>
      </c>
      <c r="K105" s="12" t="s">
        <v>139</v>
      </c>
      <c r="L105" s="15" t="s">
        <v>507</v>
      </c>
    </row>
    <row r="106" spans="1:12" ht="78.75">
      <c r="A106" s="8" t="s">
        <v>508</v>
      </c>
      <c r="B106" s="9" t="s">
        <v>12</v>
      </c>
      <c r="C106" s="10" t="s">
        <v>443</v>
      </c>
      <c r="D106" s="10" t="str">
        <f ca="1">IFERROR(__xludf.DUMMYFUNCTION(" VLOOKUP(A103, IMPORTRANGE(""https://docs.google.com/spreadsheets/d/1fj_Bhi2XPL3siwIh4sx4VRLAe31yD50oKdj5UlRYW0c/"", ""Сводка!A:AA""), 11, FALSE)"),"978-601-327-285-6")</f>
        <v>978-601-327-285-6</v>
      </c>
      <c r="E106" s="11" t="s">
        <v>509</v>
      </c>
      <c r="F106" s="11" t="s">
        <v>510</v>
      </c>
      <c r="G106" s="12">
        <f ca="1">IFERROR(__xludf.DUMMYFUNCTION(" VLOOKUP(A103, IMPORTRANGE(""https://docs.google.com/spreadsheets/d/1fj_Bhi2XPL3siwIh4sx4VRLAe31yD50oKdj5UlRYW0c/"", ""Сводка!A:AA""), 5, FALSE)"),324)</f>
        <v>324</v>
      </c>
      <c r="H106" s="12" t="s">
        <v>511</v>
      </c>
      <c r="I106" s="10">
        <f ca="1">IFERROR(__xludf.DUMMYFUNCTION(" VLOOKUP(A103, IMPORTRANGE(""https://docs.google.com/spreadsheets/d/1QNLbnkR_AongFt22vMfNzfpjZ0CjpI8QI-w0wBnYA1w/"", ""Инфа!A:AA""), 6, FALSE)"),2024)</f>
        <v>2024</v>
      </c>
      <c r="J106" s="5">
        <f ca="1">ROUND((5000+G106*30),-2)</f>
        <v>14700</v>
      </c>
      <c r="K106" s="12" t="s">
        <v>26</v>
      </c>
      <c r="L106" s="15" t="s">
        <v>512</v>
      </c>
    </row>
    <row r="107" spans="1:12" ht="303.75">
      <c r="A107" s="8" t="s">
        <v>513</v>
      </c>
      <c r="B107" s="9" t="s">
        <v>12</v>
      </c>
      <c r="C107" s="10" t="s">
        <v>151</v>
      </c>
      <c r="D107" s="10" t="str">
        <f ca="1">IFERROR(__xludf.DUMMYFUNCTION(" VLOOKUP(A104, IMPORTRANGE(""https://docs.google.com/spreadsheets/d/1fj_Bhi2XPL3siwIh4sx4VRLAe31yD50oKdj5UlRYW0c/"", ""Сводка!A:AA""), 11, FALSE)"),"978-601-327-390-7")</f>
        <v>978-601-327-390-7</v>
      </c>
      <c r="E107" s="11" t="s">
        <v>514</v>
      </c>
      <c r="F107" s="11" t="s">
        <v>515</v>
      </c>
      <c r="G107" s="12">
        <f ca="1">IFERROR(__xludf.DUMMYFUNCTION(" VLOOKUP(A104, IMPORTRANGE(""https://docs.google.com/spreadsheets/d/1fj_Bhi2XPL3siwIh4sx4VRLAe31yD50oKdj5UlRYW0c/"", ""Сводка!A:AA""), 5, FALSE)"),124)</f>
        <v>124</v>
      </c>
      <c r="H107" s="12" t="s">
        <v>106</v>
      </c>
      <c r="I107" s="10">
        <f ca="1">IFERROR(__xludf.DUMMYFUNCTION(" VLOOKUP(A104, IMPORTRANGE(""https://docs.google.com/spreadsheets/d/1QNLbnkR_AongFt22vMfNzfpjZ0CjpI8QI-w0wBnYA1w/"", ""Инфа!A:AA""), 6, FALSE)"),2024)</f>
        <v>2024</v>
      </c>
      <c r="J107" s="5">
        <f ca="1">ROUND((5000+G107*60),-2)</f>
        <v>12400</v>
      </c>
      <c r="K107" s="12" t="s">
        <v>516</v>
      </c>
      <c r="L107" s="15" t="s">
        <v>517</v>
      </c>
    </row>
    <row r="108" spans="1:12" ht="247.5">
      <c r="A108" s="8" t="s">
        <v>518</v>
      </c>
      <c r="B108" s="9" t="s">
        <v>12</v>
      </c>
      <c r="C108" s="10" t="s">
        <v>151</v>
      </c>
      <c r="D108" s="10" t="str">
        <f ca="1">IFERROR(__xludf.DUMMYFUNCTION(" VLOOKUP(A105, IMPORTRANGE(""https://docs.google.com/spreadsheets/d/1fj_Bhi2XPL3siwIh4sx4VRLAe31yD50oKdj5UlRYW0c/"", ""Сводка!A:AA""), 11, FALSE)"),"978-601-327-530-7")</f>
        <v>978-601-327-530-7</v>
      </c>
      <c r="E108" s="11" t="s">
        <v>519</v>
      </c>
      <c r="F108" s="11" t="s">
        <v>520</v>
      </c>
      <c r="G108" s="12">
        <f ca="1">IFERROR(__xludf.DUMMYFUNCTION(" VLOOKUP(A105, IMPORTRANGE(""https://docs.google.com/spreadsheets/d/1fj_Bhi2XPL3siwIh4sx4VRLAe31yD50oKdj5UlRYW0c/"", ""Сводка!A:AA""), 5, FALSE)"),152)</f>
        <v>152</v>
      </c>
      <c r="H108" s="12" t="s">
        <v>165</v>
      </c>
      <c r="I108" s="10">
        <f ca="1">IFERROR(__xludf.DUMMYFUNCTION(" VLOOKUP(A105, IMPORTRANGE(""https://docs.google.com/spreadsheets/d/1QNLbnkR_AongFt22vMfNzfpjZ0CjpI8QI-w0wBnYA1w/"", ""Инфа!A:AA""), 6, FALSE)"),2024)</f>
        <v>2024</v>
      </c>
      <c r="J108" s="5">
        <f ca="1">ROUND((5000+G108*60),-2)</f>
        <v>14100</v>
      </c>
      <c r="K108" s="9" t="s">
        <v>408</v>
      </c>
      <c r="L108" s="15" t="s">
        <v>521</v>
      </c>
    </row>
    <row r="109" spans="1:12" ht="303.75">
      <c r="A109" s="8" t="s">
        <v>522</v>
      </c>
      <c r="B109" s="9" t="s">
        <v>12</v>
      </c>
      <c r="C109" s="10" t="s">
        <v>151</v>
      </c>
      <c r="D109" s="10" t="str">
        <f ca="1">IFERROR(__xludf.DUMMYFUNCTION(" VLOOKUP(A106, IMPORTRANGE(""https://docs.google.com/spreadsheets/d/1fj_Bhi2XPL3siwIh4sx4VRLAe31yD50oKdj5UlRYW0c/"", ""Сводка!A:AA""), 11, FALSE)"),"978-601-327-907-7")</f>
        <v>978-601-327-907-7</v>
      </c>
      <c r="E109" s="11" t="s">
        <v>523</v>
      </c>
      <c r="F109" s="11" t="s">
        <v>524</v>
      </c>
      <c r="G109" s="12">
        <f ca="1">IFERROR(__xludf.DUMMYFUNCTION(" VLOOKUP(A106, IMPORTRANGE(""https://docs.google.com/spreadsheets/d/1fj_Bhi2XPL3siwIh4sx4VRLAe31yD50oKdj5UlRYW0c/"", ""Сводка!A:AA""), 5, FALSE)"),236)</f>
        <v>236</v>
      </c>
      <c r="H109" s="12" t="s">
        <v>24</v>
      </c>
      <c r="I109" s="10">
        <f ca="1">IFERROR(__xludf.DUMMYFUNCTION(" VLOOKUP(A106, IMPORTRANGE(""https://docs.google.com/spreadsheets/d/1QNLbnkR_AongFt22vMfNzfpjZ0CjpI8QI-w0wBnYA1w/"", ""Инфа!A:AA""), 6, FALSE)"),2024)</f>
        <v>2024</v>
      </c>
      <c r="J109" s="5">
        <f ca="1">ROUND((5000+G109*30),-2)</f>
        <v>12100</v>
      </c>
      <c r="K109" s="9" t="s">
        <v>408</v>
      </c>
      <c r="L109" s="15" t="s">
        <v>525</v>
      </c>
    </row>
    <row r="110" spans="1:12" ht="157.5">
      <c r="A110" s="8" t="s">
        <v>526</v>
      </c>
      <c r="B110" s="9" t="s">
        <v>12</v>
      </c>
      <c r="C110" s="10" t="s">
        <v>443</v>
      </c>
      <c r="D110" s="10" t="str">
        <f ca="1">IFERROR(__xludf.DUMMYFUNCTION(" VLOOKUP(A107, IMPORTRANGE(""https://docs.google.com/spreadsheets/d/1fj_Bhi2XPL3siwIh4sx4VRLAe31yD50oKdj5UlRYW0c/"", ""Сводка!A:AA""), 11, FALSE)"),"978-601-342-058-5")</f>
        <v>978-601-342-058-5</v>
      </c>
      <c r="E110" s="11" t="s">
        <v>527</v>
      </c>
      <c r="F110" s="11" t="s">
        <v>528</v>
      </c>
      <c r="G110" s="12">
        <f ca="1">IFERROR(__xludf.DUMMYFUNCTION(" VLOOKUP(A107, IMPORTRANGE(""https://docs.google.com/spreadsheets/d/1fj_Bhi2XPL3siwIh4sx4VRLAe31yD50oKdj5UlRYW0c/"", ""Сводка!A:AA""), 5, FALSE)"),192)</f>
        <v>192</v>
      </c>
      <c r="H110" s="12" t="s">
        <v>106</v>
      </c>
      <c r="I110" s="10">
        <f ca="1">IFERROR(__xludf.DUMMYFUNCTION(" VLOOKUP(A107, IMPORTRANGE(""https://docs.google.com/spreadsheets/d/1QNLbnkR_AongFt22vMfNzfpjZ0CjpI8QI-w0wBnYA1w/"", ""Инфа!A:AA""), 6, FALSE)"),2024)</f>
        <v>2024</v>
      </c>
      <c r="J110" s="5">
        <f ca="1">ROUND((5000+G110*60),-2)</f>
        <v>16500</v>
      </c>
      <c r="K110" s="12" t="s">
        <v>26</v>
      </c>
      <c r="L110" s="15" t="s">
        <v>529</v>
      </c>
    </row>
    <row r="111" spans="1:12" ht="101.25">
      <c r="A111" s="8" t="s">
        <v>530</v>
      </c>
      <c r="B111" s="9" t="s">
        <v>12</v>
      </c>
      <c r="C111" s="10" t="s">
        <v>151</v>
      </c>
      <c r="D111" s="10" t="str">
        <f ca="1">IFERROR(__xludf.DUMMYFUNCTION(" VLOOKUP(A108, IMPORTRANGE(""https://docs.google.com/spreadsheets/d/1fj_Bhi2XPL3siwIh4sx4VRLAe31yD50oKdj5UlRYW0c/"", ""Сводка!A:AA""), 11, FALSE)"),"978-601-327-153-5")</f>
        <v>978-601-327-153-5</v>
      </c>
      <c r="E111" s="11" t="s">
        <v>531</v>
      </c>
      <c r="F111" s="11" t="s">
        <v>532</v>
      </c>
      <c r="G111" s="12">
        <f ca="1">IFERROR(__xludf.DUMMYFUNCTION(" VLOOKUP(A108, IMPORTRANGE(""https://docs.google.com/spreadsheets/d/1fj_Bhi2XPL3siwIh4sx4VRLAe31yD50oKdj5UlRYW0c/"", ""Сводка!A:AA""), 5, FALSE)"),178)</f>
        <v>178</v>
      </c>
      <c r="H111" s="12" t="s">
        <v>56</v>
      </c>
      <c r="I111" s="10">
        <f ca="1">IFERROR(__xludf.DUMMYFUNCTION(" VLOOKUP(A108, IMPORTRANGE(""https://docs.google.com/spreadsheets/d/1QNLbnkR_AongFt22vMfNzfpjZ0CjpI8QI-w0wBnYA1w/"", ""Инфа!A:AA""), 6, FALSE)"),2024)</f>
        <v>2024</v>
      </c>
      <c r="J111" s="5">
        <f ca="1">ROUND((5000+G111*60),-2)</f>
        <v>15700</v>
      </c>
      <c r="K111" s="10" t="s">
        <v>57</v>
      </c>
      <c r="L111" s="15" t="s">
        <v>533</v>
      </c>
    </row>
    <row r="112" spans="1:12" ht="292.5">
      <c r="A112" s="8" t="s">
        <v>534</v>
      </c>
      <c r="B112" s="9" t="s">
        <v>12</v>
      </c>
      <c r="C112" s="10" t="s">
        <v>535</v>
      </c>
      <c r="D112" s="10" t="str">
        <f ca="1">IFERROR(__xludf.DUMMYFUNCTION(" VLOOKUP(A109, IMPORTRANGE(""https://docs.google.com/spreadsheets/d/1fj_Bhi2XPL3siwIh4sx4VRLAe31yD50oKdj5UlRYW0c/"", ""Сводка!A:AA""), 11, FALSE)"),"978-601-327-877-3")</f>
        <v>978-601-327-877-3</v>
      </c>
      <c r="E112" s="11" t="s">
        <v>536</v>
      </c>
      <c r="F112" s="11" t="s">
        <v>537</v>
      </c>
      <c r="G112" s="12">
        <f ca="1">IFERROR(__xludf.DUMMYFUNCTION(" VLOOKUP(A109, IMPORTRANGE(""https://docs.google.com/spreadsheets/d/1fj_Bhi2XPL3siwIh4sx4VRLAe31yD50oKdj5UlRYW0c/"", ""Сводка!A:AA""), 5, FALSE)"),232)</f>
        <v>232</v>
      </c>
      <c r="H112" s="12" t="s">
        <v>538</v>
      </c>
      <c r="I112" s="10">
        <f ca="1">IFERROR(__xludf.DUMMYFUNCTION(" VLOOKUP(A109, IMPORTRANGE(""https://docs.google.com/spreadsheets/d/1QNLbnkR_AongFt22vMfNzfpjZ0CjpI8QI-w0wBnYA1w/"", ""Инфа!A:AA""), 6, FALSE)"),2024)</f>
        <v>2024</v>
      </c>
      <c r="J112" s="5">
        <f ca="1">ROUND((5000+G112*60),-2)</f>
        <v>18900</v>
      </c>
      <c r="K112" s="12" t="s">
        <v>539</v>
      </c>
      <c r="L112" s="15" t="s">
        <v>540</v>
      </c>
    </row>
    <row r="113" spans="1:12" ht="38.25">
      <c r="A113" s="8" t="s">
        <v>541</v>
      </c>
      <c r="B113" s="9" t="s">
        <v>12</v>
      </c>
      <c r="C113" s="10" t="s">
        <v>443</v>
      </c>
      <c r="D113" s="10" t="str">
        <f ca="1">IFERROR(__xludf.DUMMYFUNCTION(" VLOOKUP(A110, IMPORTRANGE(""https://docs.google.com/spreadsheets/d/1fj_Bhi2XPL3siwIh4sx4VRLAe31yD50oKdj5UlRYW0c/"", ""Сводка!A:AA""), 11, FALSE)"),"9965-585-89-х")</f>
        <v>9965-585-89-х</v>
      </c>
      <c r="E113" s="19" t="s">
        <v>542</v>
      </c>
      <c r="F113" s="19" t="s">
        <v>543</v>
      </c>
      <c r="G113" s="12">
        <f ca="1">IFERROR(__xludf.DUMMYFUNCTION(" VLOOKUP(A110, IMPORTRANGE(""https://docs.google.com/spreadsheets/d/1fj_Bhi2XPL3siwIh4sx4VRLAe31yD50oKdj5UlRYW0c/"", ""Сводка!A:AA""), 5, FALSE)"),140)</f>
        <v>140</v>
      </c>
      <c r="H113" s="9" t="s">
        <v>538</v>
      </c>
      <c r="I113" s="10">
        <f ca="1">IFERROR(__xludf.DUMMYFUNCTION(" VLOOKUP(A110, IMPORTRANGE(""https://docs.google.com/spreadsheets/d/1QNLbnkR_AongFt22vMfNzfpjZ0CjpI8QI-w0wBnYA1w/"", ""Инфа!A:AA""), 6, FALSE)"),2024)</f>
        <v>2024</v>
      </c>
      <c r="J113" s="5">
        <f ca="1">ROUND((5000+G113*30),-2)</f>
        <v>9200</v>
      </c>
      <c r="K113" s="9" t="s">
        <v>271</v>
      </c>
      <c r="L113" s="15" t="s">
        <v>544</v>
      </c>
    </row>
    <row r="114" spans="1:12" ht="303.75">
      <c r="A114" s="8" t="s">
        <v>545</v>
      </c>
      <c r="B114" s="9" t="s">
        <v>12</v>
      </c>
      <c r="C114" s="10" t="s">
        <v>443</v>
      </c>
      <c r="D114" s="10" t="str">
        <f ca="1">IFERROR(__xludf.DUMMYFUNCTION(" VLOOKUP(A111, IMPORTRANGE(""https://docs.google.com/spreadsheets/d/1fj_Bhi2XPL3siwIh4sx4VRLAe31yD50oKdj5UlRYW0c/"", ""Сводка!A:AA""), 11, FALSE)"),"978-601-327-587-1")</f>
        <v>978-601-327-587-1</v>
      </c>
      <c r="E114" s="11" t="s">
        <v>546</v>
      </c>
      <c r="F114" s="11" t="s">
        <v>547</v>
      </c>
      <c r="G114" s="12">
        <f ca="1">IFERROR(__xludf.DUMMYFUNCTION(" VLOOKUP(A111, IMPORTRANGE(""https://docs.google.com/spreadsheets/d/1fj_Bhi2XPL3siwIh4sx4VRLAe31yD50oKdj5UlRYW0c/"", ""Сводка!A:AA""), 5, FALSE)"),228)</f>
        <v>228</v>
      </c>
      <c r="H114" s="12" t="s">
        <v>538</v>
      </c>
      <c r="I114" s="10">
        <f ca="1">IFERROR(__xludf.DUMMYFUNCTION(" VLOOKUP(A111, IMPORTRANGE(""https://docs.google.com/spreadsheets/d/1QNLbnkR_AongFt22vMfNzfpjZ0CjpI8QI-w0wBnYA1w/"", ""Инфа!A:AA""), 6, FALSE)"),2024)</f>
        <v>2024</v>
      </c>
      <c r="J114" s="5">
        <f ca="1">ROUND((5000+G114*60),-2)</f>
        <v>18700</v>
      </c>
      <c r="K114" s="12" t="s">
        <v>548</v>
      </c>
      <c r="L114" s="15" t="s">
        <v>549</v>
      </c>
    </row>
    <row r="115" spans="1:12" ht="38.25">
      <c r="A115" s="8" t="s">
        <v>550</v>
      </c>
      <c r="B115" s="9" t="s">
        <v>12</v>
      </c>
      <c r="C115" s="10" t="s">
        <v>443</v>
      </c>
      <c r="D115" s="10" t="str">
        <f ca="1">IFERROR(__xludf.DUMMYFUNCTION(" VLOOKUP(A112, IMPORTRANGE(""https://docs.google.com/spreadsheets/d/1fj_Bhi2XPL3siwIh4sx4VRLAe31yD50oKdj5UlRYW0c/"", ""Сводка!A:AA""), 11, FALSE)"),"9965-520-60-7")</f>
        <v>9965-520-60-7</v>
      </c>
      <c r="E115" s="11" t="s">
        <v>551</v>
      </c>
      <c r="F115" s="11" t="s">
        <v>552</v>
      </c>
      <c r="G115" s="12">
        <f ca="1">IFERROR(__xludf.DUMMYFUNCTION(" VLOOKUP(A112, IMPORTRANGE(""https://docs.google.com/spreadsheets/d/1fj_Bhi2XPL3siwIh4sx4VRLAe31yD50oKdj5UlRYW0c/"", ""Сводка!A:AA""), 5, FALSE)"),156)</f>
        <v>156</v>
      </c>
      <c r="H115" s="12" t="s">
        <v>538</v>
      </c>
      <c r="I115" s="10">
        <f ca="1">IFERROR(__xludf.DUMMYFUNCTION(" VLOOKUP(A112, IMPORTRANGE(""https://docs.google.com/spreadsheets/d/1QNLbnkR_AongFt22vMfNzfpjZ0CjpI8QI-w0wBnYA1w/"", ""Инфа!A:AA""), 6, FALSE)"),2024)</f>
        <v>2024</v>
      </c>
      <c r="J115" s="5">
        <f ca="1">ROUND((5000+G115*30),-2)</f>
        <v>9700</v>
      </c>
      <c r="K115" s="12" t="s">
        <v>548</v>
      </c>
      <c r="L115" s="15"/>
    </row>
    <row r="116" spans="1:12" ht="112.5">
      <c r="A116" s="8" t="s">
        <v>553</v>
      </c>
      <c r="B116" s="9" t="s">
        <v>12</v>
      </c>
      <c r="C116" s="10" t="s">
        <v>443</v>
      </c>
      <c r="D116" s="10" t="str">
        <f ca="1">IFERROR(__xludf.DUMMYFUNCTION(" VLOOKUP(A113, IMPORTRANGE(""https://docs.google.com/spreadsheets/d/1fj_Bhi2XPL3siwIh4sx4VRLAe31yD50oKdj5UlRYW0c/"", ""Сводка!A:AA""), 11, FALSE)"),"978-601-327-312-9")</f>
        <v>978-601-327-312-9</v>
      </c>
      <c r="E116" s="11" t="s">
        <v>554</v>
      </c>
      <c r="F116" s="11" t="s">
        <v>555</v>
      </c>
      <c r="G116" s="12">
        <f ca="1">IFERROR(__xludf.DUMMYFUNCTION(" VLOOKUP(A113, IMPORTRANGE(""https://docs.google.com/spreadsheets/d/1fj_Bhi2XPL3siwIh4sx4VRLAe31yD50oKdj5UlRYW0c/"", ""Сводка!A:AA""), 5, FALSE)"),124)</f>
        <v>124</v>
      </c>
      <c r="H116" s="12" t="s">
        <v>556</v>
      </c>
      <c r="I116" s="10">
        <f ca="1">IFERROR(__xludf.DUMMYFUNCTION(" VLOOKUP(A113, IMPORTRANGE(""https://docs.google.com/spreadsheets/d/1QNLbnkR_AongFt22vMfNzfpjZ0CjpI8QI-w0wBnYA1w/"", ""Инфа!A:AA""), 6, FALSE)"),2024)</f>
        <v>2024</v>
      </c>
      <c r="J116" s="5">
        <f ca="1">ROUND((5000+G116*30),-2)</f>
        <v>8700</v>
      </c>
      <c r="K116" s="12" t="s">
        <v>557</v>
      </c>
      <c r="L116" s="15" t="s">
        <v>558</v>
      </c>
    </row>
    <row r="117" spans="1:12" ht="225">
      <c r="A117" s="8" t="s">
        <v>559</v>
      </c>
      <c r="B117" s="9" t="s">
        <v>12</v>
      </c>
      <c r="C117" s="10" t="s">
        <v>535</v>
      </c>
      <c r="D117" s="10" t="str">
        <f ca="1">IFERROR(__xludf.DUMMYFUNCTION(" VLOOKUP(A114, IMPORTRANGE(""https://docs.google.com/spreadsheets/d/1fj_Bhi2XPL3siwIh4sx4VRLAe31yD50oKdj5UlRYW0c/"", ""Сводка!A:AA""), 11, FALSE)"),"978-601-327-414-0")</f>
        <v>978-601-327-414-0</v>
      </c>
      <c r="E117" s="11" t="s">
        <v>560</v>
      </c>
      <c r="F117" s="11" t="s">
        <v>561</v>
      </c>
      <c r="G117" s="12">
        <f ca="1">IFERROR(__xludf.DUMMYFUNCTION(" VLOOKUP(A114, IMPORTRANGE(""https://docs.google.com/spreadsheets/d/1fj_Bhi2XPL3siwIh4sx4VRLAe31yD50oKdj5UlRYW0c/"", ""Сводка!A:AA""), 5, FALSE)"),152)</f>
        <v>152</v>
      </c>
      <c r="H117" s="12" t="s">
        <v>538</v>
      </c>
      <c r="I117" s="10">
        <f ca="1">IFERROR(__xludf.DUMMYFUNCTION(" VLOOKUP(A114, IMPORTRANGE(""https://docs.google.com/spreadsheets/d/1QNLbnkR_AongFt22vMfNzfpjZ0CjpI8QI-w0wBnYA1w/"", ""Инфа!A:AA""), 6, FALSE)"),2024)</f>
        <v>2024</v>
      </c>
      <c r="J117" s="5">
        <f ca="1">ROUND((5000+G117*60),-2)</f>
        <v>14100</v>
      </c>
      <c r="K117" s="12" t="s">
        <v>539</v>
      </c>
      <c r="L117" s="15" t="s">
        <v>562</v>
      </c>
    </row>
    <row r="118" spans="1:12" ht="315">
      <c r="A118" s="8" t="s">
        <v>563</v>
      </c>
      <c r="B118" s="9" t="s">
        <v>12</v>
      </c>
      <c r="C118" s="10" t="s">
        <v>151</v>
      </c>
      <c r="D118" s="10" t="str">
        <f ca="1">IFERROR(__xludf.DUMMYFUNCTION(" VLOOKUP(A115, IMPORTRANGE(""https://docs.google.com/spreadsheets/d/1fj_Bhi2XPL3siwIh4sx4VRLAe31yD50oKdj5UlRYW0c/"", ""Сводка!A:AA""), 11, FALSE)"),"978-601-233-464-7")</f>
        <v>978-601-233-464-7</v>
      </c>
      <c r="E118" s="11" t="s">
        <v>564</v>
      </c>
      <c r="F118" s="11" t="s">
        <v>565</v>
      </c>
      <c r="G118" s="12">
        <f ca="1">IFERROR(__xludf.DUMMYFUNCTION(" VLOOKUP(A115, IMPORTRANGE(""https://docs.google.com/spreadsheets/d/1fj_Bhi2XPL3siwIh4sx4VRLAe31yD50oKdj5UlRYW0c/"", ""Сводка!A:AA""), 5, FALSE)"),220)</f>
        <v>220</v>
      </c>
      <c r="H118" s="12" t="s">
        <v>106</v>
      </c>
      <c r="I118" s="10">
        <f ca="1">IFERROR(__xludf.DUMMYFUNCTION(" VLOOKUP(A115, IMPORTRANGE(""https://docs.google.com/spreadsheets/d/1QNLbnkR_AongFt22vMfNzfpjZ0CjpI8QI-w0wBnYA1w/"", ""Инфа!A:AA""), 6, FALSE)"),2024)</f>
        <v>2024</v>
      </c>
      <c r="J118" s="5">
        <f ca="1">ROUND((5000+G118*60),-2)</f>
        <v>18200</v>
      </c>
      <c r="K118" s="12" t="s">
        <v>160</v>
      </c>
      <c r="L118" s="15" t="s">
        <v>566</v>
      </c>
    </row>
    <row r="119" spans="1:12" ht="51">
      <c r="A119" s="8" t="s">
        <v>567</v>
      </c>
      <c r="B119" s="9" t="s">
        <v>12</v>
      </c>
      <c r="C119" s="10" t="s">
        <v>443</v>
      </c>
      <c r="D119" s="10" t="str">
        <f ca="1">IFERROR(__xludf.DUMMYFUNCTION(" VLOOKUP(A116, IMPORTRANGE(""https://docs.google.com/spreadsheets/d/1fj_Bhi2XPL3siwIh4sx4VRLAe31yD50oKdj5UlRYW0c/"", ""Сводка!A:AA""), 11, FALSE)"),"978-601-310-726-4")</f>
        <v>978-601-310-726-4</v>
      </c>
      <c r="E119" s="11" t="s">
        <v>568</v>
      </c>
      <c r="F119" s="11" t="s">
        <v>569</v>
      </c>
      <c r="G119" s="12">
        <f ca="1">IFERROR(__xludf.DUMMYFUNCTION(" VLOOKUP(A116, IMPORTRANGE(""https://docs.google.com/spreadsheets/d/1fj_Bhi2XPL3siwIh4sx4VRLAe31yD50oKdj5UlRYW0c/"", ""Сводка!A:AA""), 5, FALSE)"),152)</f>
        <v>152</v>
      </c>
      <c r="H119" s="12" t="s">
        <v>538</v>
      </c>
      <c r="I119" s="10">
        <f ca="1">IFERROR(__xludf.DUMMYFUNCTION(" VLOOKUP(A116, IMPORTRANGE(""https://docs.google.com/spreadsheets/d/1QNLbnkR_AongFt22vMfNzfpjZ0CjpI8QI-w0wBnYA1w/"", ""Инфа!A:AA""), 6, FALSE)"),2024)</f>
        <v>2024</v>
      </c>
      <c r="J119" s="5">
        <f t="shared" ref="J119:J124" ca="1" si="0">ROUND((5000+G119*30),-2)</f>
        <v>9600</v>
      </c>
      <c r="K119" s="12" t="s">
        <v>570</v>
      </c>
      <c r="L119" s="15" t="s">
        <v>571</v>
      </c>
    </row>
    <row r="120" spans="1:12" ht="25.5">
      <c r="A120" s="8" t="s">
        <v>572</v>
      </c>
      <c r="B120" s="9" t="s">
        <v>12</v>
      </c>
      <c r="C120" s="10" t="s">
        <v>443</v>
      </c>
      <c r="D120" s="10" t="str">
        <f ca="1">IFERROR(__xludf.DUMMYFUNCTION(" VLOOKUP(A117, IMPORTRANGE(""https://docs.google.com/spreadsheets/d/1fj_Bhi2XPL3siwIh4sx4VRLAe31yD50oKdj5UlRYW0c/"", ""Сводка!A:AA""), 11, FALSE)"),"978-601-240-137-0")</f>
        <v>978-601-240-137-0</v>
      </c>
      <c r="E120" s="11" t="s">
        <v>573</v>
      </c>
      <c r="F120" s="11" t="s">
        <v>574</v>
      </c>
      <c r="G120" s="12">
        <f ca="1">IFERROR(__xludf.DUMMYFUNCTION(" VLOOKUP(A117, IMPORTRANGE(""https://docs.google.com/spreadsheets/d/1fj_Bhi2XPL3siwIh4sx4VRLAe31yD50oKdj5UlRYW0c/"", ""Сводка!A:AA""), 5, FALSE)"),144)</f>
        <v>144</v>
      </c>
      <c r="H120" s="12" t="s">
        <v>538</v>
      </c>
      <c r="I120" s="10">
        <f ca="1">IFERROR(__xludf.DUMMYFUNCTION(" VLOOKUP(A117, IMPORTRANGE(""https://docs.google.com/spreadsheets/d/1QNLbnkR_AongFt22vMfNzfpjZ0CjpI8QI-w0wBnYA1w/"", ""Инфа!A:AA""), 6, FALSE)"),2024)</f>
        <v>2024</v>
      </c>
      <c r="J120" s="5">
        <f t="shared" ca="1" si="0"/>
        <v>9300</v>
      </c>
      <c r="K120" s="9" t="s">
        <v>575</v>
      </c>
      <c r="L120" s="15"/>
    </row>
    <row r="121" spans="1:12" ht="25.5">
      <c r="A121" s="8" t="s">
        <v>576</v>
      </c>
      <c r="B121" s="9" t="s">
        <v>12</v>
      </c>
      <c r="C121" s="10" t="s">
        <v>443</v>
      </c>
      <c r="D121" s="10" t="str">
        <f ca="1">IFERROR(__xludf.DUMMYFUNCTION(" VLOOKUP(A118, IMPORTRANGE(""https://docs.google.com/spreadsheets/d/1fj_Bhi2XPL3siwIh4sx4VRLAe31yD50oKdj5UlRYW0c/"", ""Сводка!A:AA""), 11, FALSE)"),"978-601-310-017-3")</f>
        <v>978-601-310-017-3</v>
      </c>
      <c r="E121" s="11" t="s">
        <v>573</v>
      </c>
      <c r="F121" s="11" t="s">
        <v>577</v>
      </c>
      <c r="G121" s="12">
        <f ca="1">IFERROR(__xludf.DUMMYFUNCTION(" VLOOKUP(A118, IMPORTRANGE(""https://docs.google.com/spreadsheets/d/1fj_Bhi2XPL3siwIh4sx4VRLAe31yD50oKdj5UlRYW0c/"", ""Сводка!A:AA""), 5, FALSE)"),106)</f>
        <v>106</v>
      </c>
      <c r="H121" s="12" t="s">
        <v>538</v>
      </c>
      <c r="I121" s="10">
        <f ca="1">IFERROR(__xludf.DUMMYFUNCTION(" VLOOKUP(A118, IMPORTRANGE(""https://docs.google.com/spreadsheets/d/1QNLbnkR_AongFt22vMfNzfpjZ0CjpI8QI-w0wBnYA1w/"", ""Инфа!A:AA""), 6, FALSE)"),2024)</f>
        <v>2024</v>
      </c>
      <c r="J121" s="5">
        <f t="shared" ca="1" si="0"/>
        <v>8200</v>
      </c>
      <c r="K121" s="9" t="s">
        <v>575</v>
      </c>
      <c r="L121" s="15"/>
    </row>
    <row r="122" spans="1:12" ht="25.5">
      <c r="A122" s="8" t="s">
        <v>578</v>
      </c>
      <c r="B122" s="9" t="s">
        <v>12</v>
      </c>
      <c r="C122" s="10" t="s">
        <v>443</v>
      </c>
      <c r="D122" s="10" t="str">
        <f ca="1">IFERROR(__xludf.DUMMYFUNCTION(" VLOOKUP(A119, IMPORTRANGE(""https://docs.google.com/spreadsheets/d/1fj_Bhi2XPL3siwIh4sx4VRLAe31yD50oKdj5UlRYW0c/"", ""Сводка!A:AA""), 11, FALSE)"),"978-601-240-219-3")</f>
        <v>978-601-240-219-3</v>
      </c>
      <c r="E122" s="11" t="s">
        <v>573</v>
      </c>
      <c r="F122" s="11" t="s">
        <v>579</v>
      </c>
      <c r="G122" s="12">
        <f ca="1">IFERROR(__xludf.DUMMYFUNCTION(" VLOOKUP(A119, IMPORTRANGE(""https://docs.google.com/spreadsheets/d/1fj_Bhi2XPL3siwIh4sx4VRLAe31yD50oKdj5UlRYW0c/"", ""Сводка!A:AA""), 5, FALSE)"),130)</f>
        <v>130</v>
      </c>
      <c r="H122" s="12" t="s">
        <v>538</v>
      </c>
      <c r="I122" s="10">
        <f ca="1">IFERROR(__xludf.DUMMYFUNCTION(" VLOOKUP(A119, IMPORTRANGE(""https://docs.google.com/spreadsheets/d/1QNLbnkR_AongFt22vMfNzfpjZ0CjpI8QI-w0wBnYA1w/"", ""Инфа!A:AA""), 6, FALSE)"),2024)</f>
        <v>2024</v>
      </c>
      <c r="J122" s="5">
        <f t="shared" ca="1" si="0"/>
        <v>8900</v>
      </c>
      <c r="K122" s="9" t="s">
        <v>575</v>
      </c>
      <c r="L122" s="15"/>
    </row>
    <row r="123" spans="1:12" ht="25.5">
      <c r="A123" s="8" t="s">
        <v>580</v>
      </c>
      <c r="B123" s="9" t="s">
        <v>12</v>
      </c>
      <c r="C123" s="10" t="s">
        <v>443</v>
      </c>
      <c r="D123" s="10" t="str">
        <f ca="1">IFERROR(__xludf.DUMMYFUNCTION(" VLOOKUP(A120, IMPORTRANGE(""https://docs.google.com/spreadsheets/d/1fj_Bhi2XPL3siwIh4sx4VRLAe31yD50oKdj5UlRYW0c/"", ""Сводка!A:AA""), 11, FALSE)"),"978-601-310-641-0")</f>
        <v>978-601-310-641-0</v>
      </c>
      <c r="E123" s="19" t="s">
        <v>581</v>
      </c>
      <c r="F123" s="19" t="s">
        <v>582</v>
      </c>
      <c r="G123" s="12">
        <v>120</v>
      </c>
      <c r="H123" s="9" t="s">
        <v>538</v>
      </c>
      <c r="I123" s="10">
        <f ca="1">IFERROR(__xludf.DUMMYFUNCTION(" VLOOKUP(A120, IMPORTRANGE(""https://docs.google.com/spreadsheets/d/1QNLbnkR_AongFt22vMfNzfpjZ0CjpI8QI-w0wBnYA1w/"", ""Инфа!A:AA""), 6, FALSE)"),2024)</f>
        <v>2024</v>
      </c>
      <c r="J123" s="5">
        <f t="shared" si="0"/>
        <v>8600</v>
      </c>
      <c r="K123" s="9" t="s">
        <v>575</v>
      </c>
      <c r="L123" s="15"/>
    </row>
    <row r="124" spans="1:12" ht="25.5">
      <c r="A124" s="8" t="s">
        <v>583</v>
      </c>
      <c r="B124" s="9" t="s">
        <v>12</v>
      </c>
      <c r="C124" s="10" t="s">
        <v>443</v>
      </c>
      <c r="D124" s="10" t="str">
        <f ca="1">IFERROR(__xludf.DUMMYFUNCTION(" VLOOKUP(A121, IMPORTRANGE(""https://docs.google.com/spreadsheets/d/1fj_Bhi2XPL3siwIh4sx4VRLAe31yD50oKdj5UlRYW0c/"", ""Сводка!A:AA""), 11, FALSE)"),"978-601-310-640-3")</f>
        <v>978-601-310-640-3</v>
      </c>
      <c r="E124" s="19" t="s">
        <v>581</v>
      </c>
      <c r="F124" s="19" t="s">
        <v>584</v>
      </c>
      <c r="G124" s="12">
        <f ca="1">IFERROR(__xludf.DUMMYFUNCTION(" VLOOKUP(A121, IMPORTRANGE(""https://docs.google.com/spreadsheets/d/1fj_Bhi2XPL3siwIh4sx4VRLAe31yD50oKdj5UlRYW0c/"", ""Сводка!A:AA""), 5, FALSE)"),120)</f>
        <v>120</v>
      </c>
      <c r="H124" s="9" t="s">
        <v>538</v>
      </c>
      <c r="I124" s="10">
        <f ca="1">IFERROR(__xludf.DUMMYFUNCTION(" VLOOKUP(A121, IMPORTRANGE(""https://docs.google.com/spreadsheets/d/1QNLbnkR_AongFt22vMfNzfpjZ0CjpI8QI-w0wBnYA1w/"", ""Инфа!A:AA""), 6, FALSE)"),2024)</f>
        <v>2024</v>
      </c>
      <c r="J124" s="5">
        <f t="shared" ca="1" si="0"/>
        <v>8600</v>
      </c>
      <c r="K124" s="9" t="s">
        <v>575</v>
      </c>
      <c r="L124" s="15"/>
    </row>
    <row r="125" spans="1:12" ht="90">
      <c r="A125" s="8" t="s">
        <v>585</v>
      </c>
      <c r="B125" s="9" t="s">
        <v>12</v>
      </c>
      <c r="C125" s="10" t="s">
        <v>443</v>
      </c>
      <c r="D125" s="10" t="str">
        <f ca="1">IFERROR(__xludf.DUMMYFUNCTION(" VLOOKUP(A122, IMPORTRANGE(""https://docs.google.com/spreadsheets/d/1fj_Bhi2XPL3siwIh4sx4VRLAe31yD50oKdj5UlRYW0c/"", ""Сводка!A:AA""), 11, FALSE)"),"978-601-240-358-1")</f>
        <v>978-601-240-358-1</v>
      </c>
      <c r="E125" s="11" t="s">
        <v>586</v>
      </c>
      <c r="F125" s="11" t="s">
        <v>587</v>
      </c>
      <c r="G125" s="12">
        <f ca="1">IFERROR(__xludf.DUMMYFUNCTION(" VLOOKUP(A122, IMPORTRANGE(""https://docs.google.com/spreadsheets/d/1fj_Bhi2XPL3siwIh4sx4VRLAe31yD50oKdj5UlRYW0c/"", ""Сводка!A:AA""), 5, FALSE)"),132)</f>
        <v>132</v>
      </c>
      <c r="H125" s="12" t="s">
        <v>538</v>
      </c>
      <c r="I125" s="10">
        <f ca="1">IFERROR(__xludf.DUMMYFUNCTION(" VLOOKUP(A122, IMPORTRANGE(""https://docs.google.com/spreadsheets/d/1QNLbnkR_AongFt22vMfNzfpjZ0CjpI8QI-w0wBnYA1w/"", ""Инфа!A:AA""), 6, FALSE)"),2024)</f>
        <v>2024</v>
      </c>
      <c r="J125" s="5">
        <f ca="1">ROUND((5000+G125*60),-2)</f>
        <v>12900</v>
      </c>
      <c r="K125" s="9" t="s">
        <v>539</v>
      </c>
      <c r="L125" s="15" t="s">
        <v>588</v>
      </c>
    </row>
    <row r="126" spans="1:12" ht="38.25">
      <c r="A126" s="8" t="s">
        <v>589</v>
      </c>
      <c r="B126" s="9" t="s">
        <v>12</v>
      </c>
      <c r="C126" s="13" t="s">
        <v>151</v>
      </c>
      <c r="D126" s="10" t="str">
        <f ca="1">IFERROR(__xludf.DUMMYFUNCTION(" VLOOKUP(A123, IMPORTRANGE(""https://docs.google.com/spreadsheets/d/1fj_Bhi2XPL3siwIh4sx4VRLAe31yD50oKdj5UlRYW0c/"", ""Сводка!A:AA""), 11, FALSE)"),"978-601-310-642-7")</f>
        <v>978-601-310-642-7</v>
      </c>
      <c r="E126" s="19" t="s">
        <v>590</v>
      </c>
      <c r="F126" s="19" t="s">
        <v>591</v>
      </c>
      <c r="G126" s="12">
        <f ca="1">IFERROR(__xludf.DUMMYFUNCTION(" VLOOKUP(A123, IMPORTRANGE(""https://docs.google.com/spreadsheets/d/1fj_Bhi2XPL3siwIh4sx4VRLAe31yD50oKdj5UlRYW0c/"", ""Сводка!A:AA""), 5, FALSE)"),256)</f>
        <v>256</v>
      </c>
      <c r="H126" s="9" t="s">
        <v>47</v>
      </c>
      <c r="I126" s="10">
        <f ca="1">IFERROR(__xludf.DUMMYFUNCTION(" VLOOKUP(A123, IMPORTRANGE(""https://docs.google.com/spreadsheets/d/1QNLbnkR_AongFt22vMfNzfpjZ0CjpI8QI-w0wBnYA1w/"", ""Инфа!A:AA""), 6, FALSE)"),2024)</f>
        <v>2024</v>
      </c>
      <c r="J126" s="5">
        <f ca="1">ROUND((5000+G126*30),-2)</f>
        <v>12700</v>
      </c>
      <c r="K126" s="9" t="s">
        <v>592</v>
      </c>
      <c r="L126" s="21"/>
    </row>
    <row r="127" spans="1:12" ht="51">
      <c r="A127" s="8" t="s">
        <v>593</v>
      </c>
      <c r="B127" s="9" t="s">
        <v>12</v>
      </c>
      <c r="C127" s="10" t="s">
        <v>151</v>
      </c>
      <c r="D127" s="10" t="str">
        <f ca="1">IFERROR(__xludf.DUMMYFUNCTION(" VLOOKUP(A124, IMPORTRANGE(""https://docs.google.com/spreadsheets/d/1fj_Bhi2XPL3siwIh4sx4VRLAe31yD50oKdj5UlRYW0c/"", ""Сводка!A:AA""), 11, FALSE)"),"978-601-342-181-0")</f>
        <v>978-601-342-181-0</v>
      </c>
      <c r="E127" s="11" t="s">
        <v>594</v>
      </c>
      <c r="F127" s="11" t="s">
        <v>595</v>
      </c>
      <c r="G127" s="12">
        <f ca="1">IFERROR(__xludf.DUMMYFUNCTION(" VLOOKUP(A124, IMPORTRANGE(""https://docs.google.com/spreadsheets/d/1fj_Bhi2XPL3siwIh4sx4VRLAe31yD50oKdj5UlRYW0c/"", ""Сводка!A:AA""), 5, FALSE)"),108)</f>
        <v>108</v>
      </c>
      <c r="H127" s="12" t="s">
        <v>282</v>
      </c>
      <c r="I127" s="10">
        <f ca="1">IFERROR(__xludf.DUMMYFUNCTION(" VLOOKUP(A124, IMPORTRANGE(""https://docs.google.com/spreadsheets/d/1QNLbnkR_AongFt22vMfNzfpjZ0CjpI8QI-w0wBnYA1w/"", ""Инфа!A:AA""), 6, FALSE)"),2024)</f>
        <v>2024</v>
      </c>
      <c r="J127" s="5">
        <f ca="1">ROUND((5000+G127*30),-2)</f>
        <v>8200</v>
      </c>
      <c r="K127" s="12" t="s">
        <v>596</v>
      </c>
      <c r="L127" s="15" t="s">
        <v>597</v>
      </c>
    </row>
    <row r="128" spans="1:12" ht="63.75">
      <c r="A128" s="8" t="s">
        <v>598</v>
      </c>
      <c r="B128" s="9" t="s">
        <v>12</v>
      </c>
      <c r="C128" s="10" t="s">
        <v>151</v>
      </c>
      <c r="D128" s="10" t="str">
        <f ca="1">IFERROR(__xludf.DUMMYFUNCTION(" VLOOKUP(A125, IMPORTRANGE(""https://docs.google.com/spreadsheets/d/1fj_Bhi2XPL3siwIh4sx4VRLAe31yD50oKdj5UlRYW0c/"", ""Сводка!A:AA""), 11, FALSE)"),"978-601-342-368-5")</f>
        <v>978-601-342-368-5</v>
      </c>
      <c r="E128" s="11" t="s">
        <v>594</v>
      </c>
      <c r="F128" s="11" t="s">
        <v>599</v>
      </c>
      <c r="G128" s="12">
        <f ca="1">IFERROR(__xludf.DUMMYFUNCTION(" VLOOKUP(A125, IMPORTRANGE(""https://docs.google.com/spreadsheets/d/1fj_Bhi2XPL3siwIh4sx4VRLAe31yD50oKdj5UlRYW0c/"", ""Сводка!A:AA""), 5, FALSE)"),44)</f>
        <v>44</v>
      </c>
      <c r="H128" s="12" t="s">
        <v>282</v>
      </c>
      <c r="I128" s="10">
        <f ca="1">IFERROR(__xludf.DUMMYFUNCTION(" VLOOKUP(A125, IMPORTRANGE(""https://docs.google.com/spreadsheets/d/1QNLbnkR_AongFt22vMfNzfpjZ0CjpI8QI-w0wBnYA1w/"", ""Инфа!A:AA""), 6, FALSE)"),2024)</f>
        <v>2024</v>
      </c>
      <c r="J128" s="5">
        <f ca="1">ROUND((5000+G128*30),-2)</f>
        <v>6300</v>
      </c>
      <c r="K128" s="12" t="s">
        <v>160</v>
      </c>
      <c r="L128" s="15" t="s">
        <v>600</v>
      </c>
    </row>
    <row r="129" spans="1:12" ht="78.75">
      <c r="A129" s="8" t="s">
        <v>601</v>
      </c>
      <c r="B129" s="9" t="s">
        <v>12</v>
      </c>
      <c r="C129" s="10" t="s">
        <v>151</v>
      </c>
      <c r="D129" s="10" t="str">
        <f ca="1">IFERROR(__xludf.DUMMYFUNCTION(" VLOOKUP(A126, IMPORTRANGE(""https://docs.google.com/spreadsheets/d/1fj_Bhi2XPL3siwIh4sx4VRLAe31yD50oKdj5UlRYW0c/"", ""Сводка!A:AA""), 11, FALSE)"),"978-601-342-180-3")</f>
        <v>978-601-342-180-3</v>
      </c>
      <c r="E129" s="11" t="s">
        <v>594</v>
      </c>
      <c r="F129" s="11" t="s">
        <v>602</v>
      </c>
      <c r="G129" s="12">
        <f ca="1">IFERROR(__xludf.DUMMYFUNCTION(" VLOOKUP(A126, IMPORTRANGE(""https://docs.google.com/spreadsheets/d/1fj_Bhi2XPL3siwIh4sx4VRLAe31yD50oKdj5UlRYW0c/"", ""Сводка!A:AA""), 5, FALSE)"),96)</f>
        <v>96</v>
      </c>
      <c r="H129" s="12" t="s">
        <v>282</v>
      </c>
      <c r="I129" s="10">
        <f ca="1">IFERROR(__xludf.DUMMYFUNCTION(" VLOOKUP(A126, IMPORTRANGE(""https://docs.google.com/spreadsheets/d/1QNLbnkR_AongFt22vMfNzfpjZ0CjpI8QI-w0wBnYA1w/"", ""Инфа!A:AA""), 6, FALSE)"),2024)</f>
        <v>2024</v>
      </c>
      <c r="J129" s="5">
        <f ca="1">ROUND((5000+G129*30),-2)</f>
        <v>7900</v>
      </c>
      <c r="K129" s="12" t="s">
        <v>25</v>
      </c>
      <c r="L129" s="15" t="s">
        <v>603</v>
      </c>
    </row>
    <row r="130" spans="1:12" ht="38.25">
      <c r="A130" s="8" t="s">
        <v>604</v>
      </c>
      <c r="B130" s="9" t="s">
        <v>12</v>
      </c>
      <c r="C130" s="10" t="s">
        <v>443</v>
      </c>
      <c r="D130" s="10" t="str">
        <f ca="1">IFERROR(__xludf.DUMMYFUNCTION(" VLOOKUP(A127, IMPORTRANGE(""https://docs.google.com/spreadsheets/d/1fj_Bhi2XPL3siwIh4sx4VRLAe31yD50oKdj5UlRYW0c/"", ""Сводка!A:AA""), 11, FALSE)"),"978-601-240-987-1")</f>
        <v>978-601-240-987-1</v>
      </c>
      <c r="E130" s="11" t="s">
        <v>605</v>
      </c>
      <c r="F130" s="11" t="s">
        <v>606</v>
      </c>
      <c r="G130" s="12">
        <f ca="1">IFERROR(__xludf.DUMMYFUNCTION(" VLOOKUP(A127, IMPORTRANGE(""https://docs.google.com/spreadsheets/d/1fj_Bhi2XPL3siwIh4sx4VRLAe31yD50oKdj5UlRYW0c/"", ""Сводка!A:AA""), 5, FALSE)"),324)</f>
        <v>324</v>
      </c>
      <c r="H130" s="12" t="s">
        <v>538</v>
      </c>
      <c r="I130" s="10">
        <f ca="1">IFERROR(__xludf.DUMMYFUNCTION(" VLOOKUP(A127, IMPORTRANGE(""https://docs.google.com/spreadsheets/d/1QNLbnkR_AongFt22vMfNzfpjZ0CjpI8QI-w0wBnYA1w/"", ""Инфа!A:AA""), 6, FALSE)"),2024)</f>
        <v>2024</v>
      </c>
      <c r="J130" s="5">
        <f ca="1">ROUND(((5000+G130*30)*1.3),-2)</f>
        <v>19100</v>
      </c>
      <c r="K130" s="9" t="s">
        <v>271</v>
      </c>
      <c r="L130" s="15"/>
    </row>
    <row r="131" spans="1:12" ht="51">
      <c r="A131" s="8" t="s">
        <v>607</v>
      </c>
      <c r="B131" s="9" t="s">
        <v>12</v>
      </c>
      <c r="C131" s="10" t="s">
        <v>151</v>
      </c>
      <c r="D131" s="10" t="str">
        <f ca="1">IFERROR(__xludf.DUMMYFUNCTION(" VLOOKUP(A128, IMPORTRANGE(""https://docs.google.com/spreadsheets/d/1fj_Bhi2XPL3siwIh4sx4VRLAe31yD50oKdj5UlRYW0c/"", ""Сводка!A:AA""), 11, FALSE)"),"978-601-310-457-7")</f>
        <v>978-601-310-457-7</v>
      </c>
      <c r="E131" s="11" t="s">
        <v>605</v>
      </c>
      <c r="F131" s="11" t="s">
        <v>608</v>
      </c>
      <c r="G131" s="12">
        <f ca="1">IFERROR(__xludf.DUMMYFUNCTION(" VLOOKUP(A128, IMPORTRANGE(""https://docs.google.com/spreadsheets/d/1fj_Bhi2XPL3siwIh4sx4VRLAe31yD50oKdj5UlRYW0c/"", ""Сводка!A:AA""), 5, FALSE)"),256)</f>
        <v>256</v>
      </c>
      <c r="H131" s="12" t="s">
        <v>47</v>
      </c>
      <c r="I131" s="10">
        <f ca="1">IFERROR(__xludf.DUMMYFUNCTION(" VLOOKUP(A128, IMPORTRANGE(""https://docs.google.com/spreadsheets/d/1QNLbnkR_AongFt22vMfNzfpjZ0CjpI8QI-w0wBnYA1w/"", ""Инфа!A:AA""), 6, FALSE)"),2024)</f>
        <v>2024</v>
      </c>
      <c r="J131" s="5">
        <f ca="1">ROUND((5000+G131*30),-2)</f>
        <v>12700</v>
      </c>
      <c r="K131" s="9" t="s">
        <v>271</v>
      </c>
      <c r="L131" s="15"/>
    </row>
    <row r="132" spans="1:12" ht="168.75">
      <c r="A132" s="8" t="s">
        <v>609</v>
      </c>
      <c r="B132" s="9" t="s">
        <v>12</v>
      </c>
      <c r="C132" s="10" t="s">
        <v>151</v>
      </c>
      <c r="D132" s="10" t="str">
        <f ca="1">IFERROR(__xludf.DUMMYFUNCTION(" VLOOKUP(A129, IMPORTRANGE(""https://docs.google.com/spreadsheets/d/1fj_Bhi2XPL3siwIh4sx4VRLAe31yD50oKdj5UlRYW0c/"", ""Сводка!A:AA""), 11, FALSE)"),"978-601-342-569-6")</f>
        <v>978-601-342-569-6</v>
      </c>
      <c r="E132" s="11" t="s">
        <v>610</v>
      </c>
      <c r="F132" s="11" t="s">
        <v>611</v>
      </c>
      <c r="G132" s="12">
        <f ca="1">IFERROR(__xludf.DUMMYFUNCTION(" VLOOKUP(A129, IMPORTRANGE(""https://docs.google.com/spreadsheets/d/1fj_Bhi2XPL3siwIh4sx4VRLAe31yD50oKdj5UlRYW0c/"", ""Сводка!A:AA""), 5, FALSE)"),300)</f>
        <v>300</v>
      </c>
      <c r="H132" s="12" t="s">
        <v>106</v>
      </c>
      <c r="I132" s="10">
        <f ca="1">IFERROR(__xludf.DUMMYFUNCTION(" VLOOKUP(A129, IMPORTRANGE(""https://docs.google.com/spreadsheets/d/1QNLbnkR_AongFt22vMfNzfpjZ0CjpI8QI-w0wBnYA1w/"", ""Инфа!A:AA""), 6, FALSE)"),2024)</f>
        <v>2024</v>
      </c>
      <c r="J132" s="5">
        <f ca="1">ROUND((5000+G132*60),-2)</f>
        <v>23000</v>
      </c>
      <c r="K132" s="12" t="s">
        <v>257</v>
      </c>
      <c r="L132" s="15" t="s">
        <v>612</v>
      </c>
    </row>
    <row r="133" spans="1:12" ht="76.5">
      <c r="A133" s="8" t="s">
        <v>613</v>
      </c>
      <c r="B133" s="9" t="s">
        <v>12</v>
      </c>
      <c r="C133" s="10" t="s">
        <v>443</v>
      </c>
      <c r="D133" s="10" t="str">
        <f ca="1">IFERROR(__xludf.DUMMYFUNCTION(" VLOOKUP(A130, IMPORTRANGE(""https://docs.google.com/spreadsheets/d/1fj_Bhi2XPL3siwIh4sx4VRLAe31yD50oKdj5UlRYW0c/"", ""Сводка!A:AA""), 11, FALSE)"),"978-601-352-179-4")</f>
        <v>978-601-352-179-4</v>
      </c>
      <c r="E133" s="11" t="s">
        <v>614</v>
      </c>
      <c r="F133" s="11" t="s">
        <v>615</v>
      </c>
      <c r="G133" s="12">
        <f ca="1">IFERROR(__xludf.DUMMYFUNCTION(" VLOOKUP(A130, IMPORTRANGE(""https://docs.google.com/spreadsheets/d/1fj_Bhi2XPL3siwIh4sx4VRLAe31yD50oKdj5UlRYW0c/"", ""Сводка!A:AA""), 5, FALSE)"),260)</f>
        <v>260</v>
      </c>
      <c r="H133" s="12" t="s">
        <v>538</v>
      </c>
      <c r="I133" s="10">
        <f ca="1">IFERROR(__xludf.DUMMYFUNCTION(" VLOOKUP(A130, IMPORTRANGE(""https://docs.google.com/spreadsheets/d/1QNLbnkR_AongFt22vMfNzfpjZ0CjpI8QI-w0wBnYA1w/"", ""Инфа!A:AA""), 6, FALSE)"),2024)</f>
        <v>2024</v>
      </c>
      <c r="J133" s="5">
        <f ca="1">ROUND(((5000+G133*60)*1.3),-2)</f>
        <v>26800</v>
      </c>
      <c r="K133" s="9" t="s">
        <v>616</v>
      </c>
      <c r="L133" s="15"/>
    </row>
    <row r="134" spans="1:12" ht="38.25">
      <c r="A134" s="8" t="s">
        <v>617</v>
      </c>
      <c r="B134" s="9" t="s">
        <v>12</v>
      </c>
      <c r="C134" s="10" t="s">
        <v>443</v>
      </c>
      <c r="D134" s="10" t="str">
        <f ca="1">IFERROR(__xludf.DUMMYFUNCTION(" VLOOKUP(A131, IMPORTRANGE(""https://docs.google.com/spreadsheets/d/1fj_Bhi2XPL3siwIh4sx4VRLAe31yD50oKdj5UlRYW0c/"", ""Сводка!A:AA""), 11, FALSE)"),"978-601-342-669-3")</f>
        <v>978-601-342-669-3</v>
      </c>
      <c r="E134" s="11" t="s">
        <v>614</v>
      </c>
      <c r="F134" s="11" t="s">
        <v>618</v>
      </c>
      <c r="G134" s="12">
        <f ca="1">IFERROR(__xludf.DUMMYFUNCTION(" VLOOKUP(A131, IMPORTRANGE(""https://docs.google.com/spreadsheets/d/1fj_Bhi2XPL3siwIh4sx4VRLAe31yD50oKdj5UlRYW0c/"", ""Сводка!A:AA""), 5, FALSE)"),224)</f>
        <v>224</v>
      </c>
      <c r="H134" s="12" t="s">
        <v>538</v>
      </c>
      <c r="I134" s="10">
        <f ca="1">IFERROR(__xludf.DUMMYFUNCTION(" VLOOKUP(A131, IMPORTRANGE(""https://docs.google.com/spreadsheets/d/1QNLbnkR_AongFt22vMfNzfpjZ0CjpI8QI-w0wBnYA1w/"", ""Инфа!A:AA""), 6, FALSE)"),2024)</f>
        <v>2024</v>
      </c>
      <c r="J134" s="5">
        <f ca="1">ROUND(((5000+G134*60)*1.3),-2)</f>
        <v>24000</v>
      </c>
      <c r="K134" s="9" t="s">
        <v>619</v>
      </c>
      <c r="L134" s="15"/>
    </row>
    <row r="135" spans="1:12" ht="38.25">
      <c r="A135" s="8" t="s">
        <v>620</v>
      </c>
      <c r="B135" s="9" t="s">
        <v>12</v>
      </c>
      <c r="C135" s="10" t="s">
        <v>443</v>
      </c>
      <c r="D135" s="10" t="str">
        <f ca="1">IFERROR(__xludf.DUMMYFUNCTION(" VLOOKUP(A132, IMPORTRANGE(""https://docs.google.com/spreadsheets/d/1fj_Bhi2XPL3siwIh4sx4VRLAe31yD50oKdj5UlRYW0c/"", ""Сводка!A:AA""), 11, FALSE)"),"978-601-310-657-1")</f>
        <v>978-601-310-657-1</v>
      </c>
      <c r="E135" s="11" t="s">
        <v>614</v>
      </c>
      <c r="F135" s="11" t="s">
        <v>621</v>
      </c>
      <c r="G135" s="12">
        <f ca="1">IFERROR(__xludf.DUMMYFUNCTION(" VLOOKUP(A132, IMPORTRANGE(""https://docs.google.com/spreadsheets/d/1fj_Bhi2XPL3siwIh4sx4VRLAe31yD50oKdj5UlRYW0c/"", ""Сводка!A:AA""), 5, FALSE)"),292)</f>
        <v>292</v>
      </c>
      <c r="H135" s="12" t="s">
        <v>538</v>
      </c>
      <c r="I135" s="10">
        <f ca="1">IFERROR(__xludf.DUMMYFUNCTION(" VLOOKUP(A132, IMPORTRANGE(""https://docs.google.com/spreadsheets/d/1QNLbnkR_AongFt22vMfNzfpjZ0CjpI8QI-w0wBnYA1w/"", ""Инфа!A:AA""), 6, FALSE)"),2024)</f>
        <v>2024</v>
      </c>
      <c r="J135" s="5">
        <f ca="1">ROUND(((5000+G135*60)*1.3),-2)</f>
        <v>29300</v>
      </c>
      <c r="K135" s="9" t="s">
        <v>619</v>
      </c>
      <c r="L135" s="15"/>
    </row>
    <row r="136" spans="1:12" ht="76.5">
      <c r="A136" s="8" t="s">
        <v>622</v>
      </c>
      <c r="B136" s="9" t="s">
        <v>12</v>
      </c>
      <c r="C136" s="10" t="s">
        <v>151</v>
      </c>
      <c r="D136" s="10" t="str">
        <f ca="1">IFERROR(__xludf.DUMMYFUNCTION(" VLOOKUP(A133, IMPORTRANGE(""https://docs.google.com/spreadsheets/d/1fj_Bhi2XPL3siwIh4sx4VRLAe31yD50oKdj5UlRYW0c/"", ""Сводка!A:AA""), 11, FALSE)"),"978-601-310-643-4")</f>
        <v>978-601-310-643-4</v>
      </c>
      <c r="E136" s="11" t="s">
        <v>623</v>
      </c>
      <c r="F136" s="11" t="s">
        <v>624</v>
      </c>
      <c r="G136" s="12">
        <f ca="1">IFERROR(__xludf.DUMMYFUNCTION(" VLOOKUP(A133, IMPORTRANGE(""https://docs.google.com/spreadsheets/d/1fj_Bhi2XPL3siwIh4sx4VRLAe31yD50oKdj5UlRYW0c/"", ""Сводка!A:AA""), 5, FALSE)"),164)</f>
        <v>164</v>
      </c>
      <c r="H136" s="12" t="s">
        <v>498</v>
      </c>
      <c r="I136" s="10">
        <f ca="1">IFERROR(__xludf.DUMMYFUNCTION(" VLOOKUP(A133, IMPORTRANGE(""https://docs.google.com/spreadsheets/d/1QNLbnkR_AongFt22vMfNzfpjZ0CjpI8QI-w0wBnYA1w/"", ""Инфа!A:AA""), 6, FALSE)"),2024)</f>
        <v>2024</v>
      </c>
      <c r="J136" s="5">
        <f ca="1">ROUND((5000+G136*30),-2)</f>
        <v>9900</v>
      </c>
      <c r="K136" s="9" t="s">
        <v>625</v>
      </c>
      <c r="L136" s="15"/>
    </row>
    <row r="137" spans="1:12" ht="303.75">
      <c r="A137" s="8" t="s">
        <v>626</v>
      </c>
      <c r="B137" s="9" t="s">
        <v>12</v>
      </c>
      <c r="C137" s="10" t="s">
        <v>151</v>
      </c>
      <c r="D137" s="10" t="str">
        <f ca="1">IFERROR(__xludf.DUMMYFUNCTION(" VLOOKUP(A134, IMPORTRANGE(""https://docs.google.com/spreadsheets/d/1fj_Bhi2XPL3siwIh4sx4VRLAe31yD50oKdj5UlRYW0c/"", ""Сводка!A:AA""), 11, FALSE)"),"978-601-310-357-0")</f>
        <v>978-601-310-357-0</v>
      </c>
      <c r="E137" s="11" t="s">
        <v>623</v>
      </c>
      <c r="F137" s="11" t="s">
        <v>627</v>
      </c>
      <c r="G137" s="12">
        <f ca="1">IFERROR(__xludf.DUMMYFUNCTION(" VLOOKUP(A134, IMPORTRANGE(""https://docs.google.com/spreadsheets/d/1fj_Bhi2XPL3siwIh4sx4VRLAe31yD50oKdj5UlRYW0c/"", ""Сводка!A:AA""), 5, FALSE)"),188)</f>
        <v>188</v>
      </c>
      <c r="H137" s="12" t="s">
        <v>498</v>
      </c>
      <c r="I137" s="10">
        <f ca="1">IFERROR(__xludf.DUMMYFUNCTION(" VLOOKUP(A134, IMPORTRANGE(""https://docs.google.com/spreadsheets/d/1QNLbnkR_AongFt22vMfNzfpjZ0CjpI8QI-w0wBnYA1w/"", ""Инфа!A:AA""), 6, FALSE)"),2024)</f>
        <v>2024</v>
      </c>
      <c r="J137" s="5">
        <f ca="1">ROUND((5000+G137*60),-2)</f>
        <v>16300</v>
      </c>
      <c r="K137" s="9" t="s">
        <v>625</v>
      </c>
      <c r="L137" s="15" t="s">
        <v>628</v>
      </c>
    </row>
    <row r="138" spans="1:12" ht="90">
      <c r="A138" s="8" t="s">
        <v>629</v>
      </c>
      <c r="B138" s="9" t="s">
        <v>12</v>
      </c>
      <c r="C138" s="10" t="s">
        <v>151</v>
      </c>
      <c r="D138" s="10" t="str">
        <f ca="1">IFERROR(__xludf.DUMMYFUNCTION(" VLOOKUP(A135, IMPORTRANGE(""https://docs.google.com/spreadsheets/d/1fj_Bhi2XPL3siwIh4sx4VRLAe31yD50oKdj5UlRYW0c/"", ""Сводка!A:AA""), 11, FALSE)"),"978-601-342-641-9")</f>
        <v>978-601-342-641-9</v>
      </c>
      <c r="E138" s="11" t="s">
        <v>630</v>
      </c>
      <c r="F138" s="11" t="s">
        <v>631</v>
      </c>
      <c r="G138" s="12">
        <f ca="1">IFERROR(__xludf.DUMMYFUNCTION(" VLOOKUP(A135, IMPORTRANGE(""https://docs.google.com/spreadsheets/d/1fj_Bhi2XPL3siwIh4sx4VRLAe31yD50oKdj5UlRYW0c/"", ""Сводка!A:AA""), 5, FALSE)"),128)</f>
        <v>128</v>
      </c>
      <c r="H138" s="12" t="s">
        <v>165</v>
      </c>
      <c r="I138" s="10">
        <f ca="1">IFERROR(__xludf.DUMMYFUNCTION(" VLOOKUP(A135, IMPORTRANGE(""https://docs.google.com/spreadsheets/d/1QNLbnkR_AongFt22vMfNzfpjZ0CjpI8QI-w0wBnYA1w/"", ""Инфа!A:AA""), 6, FALSE)"),2024)</f>
        <v>2024</v>
      </c>
      <c r="J138" s="5">
        <f ca="1">ROUND((5000+G138*60),-2)</f>
        <v>12700</v>
      </c>
      <c r="K138" s="12" t="s">
        <v>63</v>
      </c>
      <c r="L138" s="15" t="s">
        <v>632</v>
      </c>
    </row>
    <row r="139" spans="1:12" ht="146.25">
      <c r="A139" s="8" t="s">
        <v>633</v>
      </c>
      <c r="B139" s="9" t="s">
        <v>12</v>
      </c>
      <c r="C139" s="10" t="s">
        <v>443</v>
      </c>
      <c r="D139" s="10" t="str">
        <f ca="1">IFERROR(__xludf.DUMMYFUNCTION(" VLOOKUP(A136, IMPORTRANGE(""https://docs.google.com/spreadsheets/d/1fj_Bhi2XPL3siwIh4sx4VRLAe31yD50oKdj5UlRYW0c/"", ""Сводка!A:AA""), 11, FALSE)"),"9965-696-46-2")</f>
        <v>9965-696-46-2</v>
      </c>
      <c r="E139" s="11" t="s">
        <v>634</v>
      </c>
      <c r="F139" s="11" t="s">
        <v>635</v>
      </c>
      <c r="G139" s="12">
        <f ca="1">IFERROR(__xludf.DUMMYFUNCTION(" VLOOKUP(A136, IMPORTRANGE(""https://docs.google.com/spreadsheets/d/1fj_Bhi2XPL3siwIh4sx4VRLAe31yD50oKdj5UlRYW0c/"", ""Сводка!A:AA""), 5, FALSE)"),174)</f>
        <v>174</v>
      </c>
      <c r="H139" s="12" t="s">
        <v>636</v>
      </c>
      <c r="I139" s="10">
        <f ca="1">IFERROR(__xludf.DUMMYFUNCTION(" VLOOKUP(A136, IMPORTRANGE(""https://docs.google.com/spreadsheets/d/1QNLbnkR_AongFt22vMfNzfpjZ0CjpI8QI-w0wBnYA1w/"", ""Инфа!A:AA""), 6, FALSE)"),2024)</f>
        <v>2024</v>
      </c>
      <c r="J139" s="5">
        <f ca="1">ROUND((5000+G139*30),-2)</f>
        <v>10200</v>
      </c>
      <c r="K139" s="12" t="s">
        <v>160</v>
      </c>
      <c r="L139" s="15" t="s">
        <v>637</v>
      </c>
    </row>
    <row r="140" spans="1:12" ht="180">
      <c r="A140" s="8" t="s">
        <v>638</v>
      </c>
      <c r="B140" s="9" t="s">
        <v>12</v>
      </c>
      <c r="C140" s="10" t="s">
        <v>443</v>
      </c>
      <c r="D140" s="10" t="str">
        <f ca="1">IFERROR(__xludf.DUMMYFUNCTION(" VLOOKUP(A137, IMPORTRANGE(""https://docs.google.com/spreadsheets/d/1fj_Bhi2XPL3siwIh4sx4VRLAe31yD50oKdj5UlRYW0c/"", ""Сводка!A:AA""), 11, FALSE)"),"978-601-342-481-1")</f>
        <v>978-601-342-481-1</v>
      </c>
      <c r="E140" s="11" t="s">
        <v>639</v>
      </c>
      <c r="F140" s="11" t="s">
        <v>640</v>
      </c>
      <c r="G140" s="12">
        <f ca="1">IFERROR(__xludf.DUMMYFUNCTION(" VLOOKUP(A137, IMPORTRANGE(""https://docs.google.com/spreadsheets/d/1fj_Bhi2XPL3siwIh4sx4VRLAe31yD50oKdj5UlRYW0c/"", ""Сводка!A:AA""), 5, FALSE)"),232)</f>
        <v>232</v>
      </c>
      <c r="H140" s="12" t="s">
        <v>538</v>
      </c>
      <c r="I140" s="10">
        <f ca="1">IFERROR(__xludf.DUMMYFUNCTION(" VLOOKUP(A137, IMPORTRANGE(""https://docs.google.com/spreadsheets/d/1QNLbnkR_AongFt22vMfNzfpjZ0CjpI8QI-w0wBnYA1w/"", ""Инфа!A:AA""), 6, FALSE)"),2024)</f>
        <v>2024</v>
      </c>
      <c r="J140" s="5">
        <f ca="1">ROUND((5000+G140*30),-2)</f>
        <v>12000</v>
      </c>
      <c r="K140" s="12" t="s">
        <v>257</v>
      </c>
      <c r="L140" s="15" t="s">
        <v>641</v>
      </c>
    </row>
    <row r="141" spans="1:12" ht="67.5">
      <c r="A141" s="8" t="s">
        <v>642</v>
      </c>
      <c r="B141" s="9" t="s">
        <v>12</v>
      </c>
      <c r="C141" s="10" t="s">
        <v>443</v>
      </c>
      <c r="D141" s="10" t="str">
        <f ca="1">IFERROR(__xludf.DUMMYFUNCTION(" VLOOKUP(A138, IMPORTRANGE(""https://docs.google.com/spreadsheets/d/1fj_Bhi2XPL3siwIh4sx4VRLAe31yD50oKdj5UlRYW0c/"", ""Сводка!A:AA""), 11, FALSE)"),"978-601-327-729-5")</f>
        <v>978-601-327-729-5</v>
      </c>
      <c r="E141" s="11" t="s">
        <v>643</v>
      </c>
      <c r="F141" s="11" t="s">
        <v>644</v>
      </c>
      <c r="G141" s="12">
        <f ca="1">IFERROR(__xludf.DUMMYFUNCTION(" VLOOKUP(A138, IMPORTRANGE(""https://docs.google.com/spreadsheets/d/1fj_Bhi2XPL3siwIh4sx4VRLAe31yD50oKdj5UlRYW0c/"", ""Сводка!A:AA""), 5, FALSE)"),204)</f>
        <v>204</v>
      </c>
      <c r="H141" s="12" t="s">
        <v>446</v>
      </c>
      <c r="I141" s="10">
        <f ca="1">IFERROR(__xludf.DUMMYFUNCTION(" VLOOKUP(A138, IMPORTRANGE(""https://docs.google.com/spreadsheets/d/1QNLbnkR_AongFt22vMfNzfpjZ0CjpI8QI-w0wBnYA1w/"", ""Инфа!A:AA""), 6, FALSE)"),2024)</f>
        <v>2024</v>
      </c>
      <c r="J141" s="5">
        <f ca="1">ROUND((5000+G141*30),-2)</f>
        <v>11100</v>
      </c>
      <c r="K141" s="12" t="s">
        <v>160</v>
      </c>
      <c r="L141" s="15" t="s">
        <v>645</v>
      </c>
    </row>
    <row r="142" spans="1:12" ht="78.75">
      <c r="A142" s="8" t="s">
        <v>646</v>
      </c>
      <c r="B142" s="9" t="s">
        <v>12</v>
      </c>
      <c r="C142" s="10" t="s">
        <v>443</v>
      </c>
      <c r="D142" s="10" t="str">
        <f ca="1">IFERROR(__xludf.DUMMYFUNCTION(" VLOOKUP(A139, IMPORTRANGE(""https://docs.google.com/spreadsheets/d/1fj_Bhi2XPL3siwIh4sx4VRLAe31yD50oKdj5UlRYW0c/"", ""Сводка!A:AA""), 11, FALSE)"),"978-601-240-662-7")</f>
        <v>978-601-240-662-7</v>
      </c>
      <c r="E142" s="11" t="s">
        <v>647</v>
      </c>
      <c r="F142" s="11" t="s">
        <v>648</v>
      </c>
      <c r="G142" s="12">
        <f ca="1">IFERROR(__xludf.DUMMYFUNCTION(" VLOOKUP(A139, IMPORTRANGE(""https://docs.google.com/spreadsheets/d/1fj_Bhi2XPL3siwIh4sx4VRLAe31yD50oKdj5UlRYW0c/"", ""Сводка!A:AA""), 5, FALSE)"),270)</f>
        <v>270</v>
      </c>
      <c r="H142" s="12" t="s">
        <v>511</v>
      </c>
      <c r="I142" s="10">
        <f ca="1">IFERROR(__xludf.DUMMYFUNCTION(" VLOOKUP(A139, IMPORTRANGE(""https://docs.google.com/spreadsheets/d/1QNLbnkR_AongFt22vMfNzfpjZ0CjpI8QI-w0wBnYA1w/"", ""Инфа!A:AA""), 6, FALSE)"),2024)</f>
        <v>2024</v>
      </c>
      <c r="J142" s="5">
        <f ca="1">ROUND((5000+G142*30),-2)</f>
        <v>13100</v>
      </c>
      <c r="K142" s="9" t="s">
        <v>243</v>
      </c>
      <c r="L142" s="15" t="s">
        <v>649</v>
      </c>
    </row>
    <row r="143" spans="1:12" ht="191.25">
      <c r="A143" s="8" t="s">
        <v>650</v>
      </c>
      <c r="B143" s="9" t="s">
        <v>12</v>
      </c>
      <c r="C143" s="10" t="s">
        <v>443</v>
      </c>
      <c r="D143" s="10" t="str">
        <f ca="1">IFERROR(__xludf.DUMMYFUNCTION(" VLOOKUP(A140, IMPORTRANGE(""https://docs.google.com/spreadsheets/d/1fj_Bhi2XPL3siwIh4sx4VRLAe31yD50oKdj5UlRYW0c/"", ""Сводка!A:AA""), 11, FALSE)"),"978-601-327-989-3")</f>
        <v>978-601-327-989-3</v>
      </c>
      <c r="E143" s="11" t="s">
        <v>651</v>
      </c>
      <c r="F143" s="11" t="s">
        <v>652</v>
      </c>
      <c r="G143" s="12">
        <f ca="1">IFERROR(__xludf.DUMMYFUNCTION(" VLOOKUP(A140, IMPORTRANGE(""https://docs.google.com/spreadsheets/d/1fj_Bhi2XPL3siwIh4sx4VRLAe31yD50oKdj5UlRYW0c/"", ""Сводка!A:AA""), 5, FALSE)"),260)</f>
        <v>260</v>
      </c>
      <c r="H143" s="12" t="s">
        <v>446</v>
      </c>
      <c r="I143" s="10">
        <f ca="1">IFERROR(__xludf.DUMMYFUNCTION(" VLOOKUP(A140, IMPORTRANGE(""https://docs.google.com/spreadsheets/d/1QNLbnkR_AongFt22vMfNzfpjZ0CjpI8QI-w0wBnYA1w/"", ""Инфа!A:AA""), 6, FALSE)"),2024)</f>
        <v>2024</v>
      </c>
      <c r="J143" s="5">
        <f ca="1">ROUND((5000+G143*60),-2)</f>
        <v>20600</v>
      </c>
      <c r="K143" s="12" t="s">
        <v>653</v>
      </c>
      <c r="L143" s="15" t="s">
        <v>654</v>
      </c>
    </row>
    <row r="144" spans="1:12" ht="270">
      <c r="A144" s="8" t="s">
        <v>655</v>
      </c>
      <c r="B144" s="9" t="s">
        <v>12</v>
      </c>
      <c r="C144" s="10" t="s">
        <v>443</v>
      </c>
      <c r="D144" s="10" t="str">
        <f ca="1">IFERROR(__xludf.DUMMYFUNCTION(" VLOOKUP(A141, IMPORTRANGE(""https://docs.google.com/spreadsheets/d/1fj_Bhi2XPL3siwIh4sx4VRLAe31yD50oKdj5UlRYW0c/"", ""Сводка!A:AA""), 11, FALSE)"),"978-601-327-954-1")</f>
        <v>978-601-327-954-1</v>
      </c>
      <c r="E144" s="11" t="s">
        <v>656</v>
      </c>
      <c r="F144" s="11" t="s">
        <v>657</v>
      </c>
      <c r="G144" s="12">
        <f ca="1">IFERROR(__xludf.DUMMYFUNCTION(" VLOOKUP(A141, IMPORTRANGE(""https://docs.google.com/spreadsheets/d/1fj_Bhi2XPL3siwIh4sx4VRLAe31yD50oKdj5UlRYW0c/"", ""Сводка!A:AA""), 5, FALSE)"),268)</f>
        <v>268</v>
      </c>
      <c r="H144" s="12" t="s">
        <v>511</v>
      </c>
      <c r="I144" s="10">
        <f ca="1">IFERROR(__xludf.DUMMYFUNCTION(" VLOOKUP(A141, IMPORTRANGE(""https://docs.google.com/spreadsheets/d/1QNLbnkR_AongFt22vMfNzfpjZ0CjpI8QI-w0wBnYA1w/"", ""Инфа!A:AA""), 6, FALSE)"),2024)</f>
        <v>2024</v>
      </c>
      <c r="J144" s="5">
        <f ca="1">ROUND((5000+G144*30),-2)</f>
        <v>13000</v>
      </c>
      <c r="K144" s="12" t="s">
        <v>653</v>
      </c>
      <c r="L144" s="15" t="s">
        <v>658</v>
      </c>
    </row>
    <row r="145" spans="1:12" ht="270">
      <c r="A145" s="8" t="s">
        <v>659</v>
      </c>
      <c r="B145" s="9" t="s">
        <v>12</v>
      </c>
      <c r="C145" s="10" t="s">
        <v>443</v>
      </c>
      <c r="D145" s="10" t="str">
        <f ca="1">IFERROR(__xludf.DUMMYFUNCTION(" VLOOKUP(A142, IMPORTRANGE(""https://docs.google.com/spreadsheets/d/1fj_Bhi2XPL3siwIh4sx4VRLAe31yD50oKdj5UlRYW0c/"", ""Сводка!A:AA""), 11, FALSE)"),"978-601-327-954-1")</f>
        <v>978-601-327-954-1</v>
      </c>
      <c r="E145" s="11" t="s">
        <v>656</v>
      </c>
      <c r="F145" s="11" t="s">
        <v>660</v>
      </c>
      <c r="G145" s="12">
        <f ca="1">IFERROR(__xludf.DUMMYFUNCTION(" VLOOKUP(A142, IMPORTRANGE(""https://docs.google.com/spreadsheets/d/1fj_Bhi2XPL3siwIh4sx4VRLAe31yD50oKdj5UlRYW0c/"", ""Сводка!A:AA""), 5, FALSE)"),268)</f>
        <v>268</v>
      </c>
      <c r="H145" s="12" t="s">
        <v>511</v>
      </c>
      <c r="I145" s="10">
        <f ca="1">IFERROR(__xludf.DUMMYFUNCTION(" VLOOKUP(A142, IMPORTRANGE(""https://docs.google.com/spreadsheets/d/1QNLbnkR_AongFt22vMfNzfpjZ0CjpI8QI-w0wBnYA1w/"", ""Инфа!A:AA""), 6, FALSE)"),2024)</f>
        <v>2024</v>
      </c>
      <c r="J145" s="5">
        <f ca="1">ROUND((5000+G145*60),-2)</f>
        <v>21100</v>
      </c>
      <c r="K145" s="12" t="s">
        <v>653</v>
      </c>
      <c r="L145" s="15" t="s">
        <v>658</v>
      </c>
    </row>
    <row r="146" spans="1:12" ht="25.5">
      <c r="A146" s="8" t="s">
        <v>661</v>
      </c>
      <c r="B146" s="9" t="s">
        <v>12</v>
      </c>
      <c r="C146" s="10" t="s">
        <v>443</v>
      </c>
      <c r="D146" s="10" t="str">
        <f ca="1">IFERROR(__xludf.DUMMYFUNCTION(" VLOOKUP(A143, IMPORTRANGE(""https://docs.google.com/spreadsheets/d/1fj_Bhi2XPL3siwIh4sx4VRLAe31yD50oKdj5UlRYW0c/"", ""Сводка!A:AA""), 11, FALSE)"),"789-601-310-639-7")</f>
        <v>789-601-310-639-7</v>
      </c>
      <c r="E146" s="11" t="s">
        <v>662</v>
      </c>
      <c r="F146" s="11" t="s">
        <v>663</v>
      </c>
      <c r="G146" s="12">
        <f ca="1">IFERROR(__xludf.DUMMYFUNCTION(" VLOOKUP(A143, IMPORTRANGE(""https://docs.google.com/spreadsheets/d/1fj_Bhi2XPL3siwIh4sx4VRLAe31yD50oKdj5UlRYW0c/"", ""Сводка!A:AA""), 5, FALSE)"),192)</f>
        <v>192</v>
      </c>
      <c r="H146" s="12" t="s">
        <v>538</v>
      </c>
      <c r="I146" s="10">
        <f ca="1">IFERROR(__xludf.DUMMYFUNCTION(" VLOOKUP(A143, IMPORTRANGE(""https://docs.google.com/spreadsheets/d/1QNLbnkR_AongFt22vMfNzfpjZ0CjpI8QI-w0wBnYA1w/"", ""Инфа!A:AA""), 6, FALSE)"),2024)</f>
        <v>2024</v>
      </c>
      <c r="J146" s="5">
        <f ca="1">ROUND((5000+G146*60),-2)</f>
        <v>16500</v>
      </c>
      <c r="K146" s="9" t="s">
        <v>257</v>
      </c>
      <c r="L146" s="15"/>
    </row>
    <row r="147" spans="1:12" ht="51">
      <c r="A147" s="8" t="s">
        <v>664</v>
      </c>
      <c r="B147" s="9" t="s">
        <v>12</v>
      </c>
      <c r="C147" s="10" t="s">
        <v>151</v>
      </c>
      <c r="D147" s="10" t="str">
        <f ca="1">IFERROR(__xludf.DUMMYFUNCTION(" VLOOKUP(A144, IMPORTRANGE(""https://docs.google.com/spreadsheets/d/1fj_Bhi2XPL3siwIh4sx4VRLAe31yD50oKdj5UlRYW0c/"", ""Сводка!A:AA""), 11, FALSE)"),"978-601-240-217-9")</f>
        <v>978-601-240-217-9</v>
      </c>
      <c r="E147" s="11" t="s">
        <v>665</v>
      </c>
      <c r="F147" s="11" t="s">
        <v>666</v>
      </c>
      <c r="G147" s="12">
        <f ca="1">IFERROR(__xludf.DUMMYFUNCTION(" VLOOKUP(A144, IMPORTRANGE(""https://docs.google.com/spreadsheets/d/1fj_Bhi2XPL3siwIh4sx4VRLAe31yD50oKdj5UlRYW0c/"", ""Сводка!A:AA""), 5, FALSE)"),228)</f>
        <v>228</v>
      </c>
      <c r="H147" s="12" t="s">
        <v>47</v>
      </c>
      <c r="I147" s="10">
        <f ca="1">IFERROR(__xludf.DUMMYFUNCTION(" VLOOKUP(A144, IMPORTRANGE(""https://docs.google.com/spreadsheets/d/1QNLbnkR_AongFt22vMfNzfpjZ0CjpI8QI-w0wBnYA1w/"", ""Инфа!A:AA""), 6, FALSE)"),2024)</f>
        <v>2024</v>
      </c>
      <c r="J147" s="5">
        <f ca="1">ROUND((5000+G147*60),-2)</f>
        <v>18700</v>
      </c>
      <c r="K147" s="9" t="s">
        <v>667</v>
      </c>
      <c r="L147" s="15"/>
    </row>
    <row r="148" spans="1:12" ht="303.75">
      <c r="A148" s="8" t="s">
        <v>668</v>
      </c>
      <c r="B148" s="9" t="s">
        <v>12</v>
      </c>
      <c r="C148" s="10" t="s">
        <v>443</v>
      </c>
      <c r="D148" s="10" t="str">
        <f ca="1">IFERROR(__xludf.DUMMYFUNCTION(" VLOOKUP(A145, IMPORTRANGE(""https://docs.google.com/spreadsheets/d/1fj_Bhi2XPL3siwIh4sx4VRLAe31yD50oKdj5UlRYW0c/"", ""Сводка!A:AA""), 11, FALSE)"),"978-601-327-282-5")</f>
        <v>978-601-327-282-5</v>
      </c>
      <c r="E148" s="11" t="s">
        <v>669</v>
      </c>
      <c r="F148" s="11" t="s">
        <v>670</v>
      </c>
      <c r="G148" s="12">
        <f ca="1">IFERROR(__xludf.DUMMYFUNCTION(" VLOOKUP(A145, IMPORTRANGE(""https://docs.google.com/spreadsheets/d/1fj_Bhi2XPL3siwIh4sx4VRLAe31yD50oKdj5UlRYW0c/"", ""Сводка!A:AA""), 5, FALSE)"),296)</f>
        <v>296</v>
      </c>
      <c r="H148" s="12" t="s">
        <v>671</v>
      </c>
      <c r="I148" s="10">
        <f ca="1">IFERROR(__xludf.DUMMYFUNCTION(" VLOOKUP(A145, IMPORTRANGE(""https://docs.google.com/spreadsheets/d/1QNLbnkR_AongFt22vMfNzfpjZ0CjpI8QI-w0wBnYA1w/"", ""Инфа!A:AA""), 6, FALSE)"),2024)</f>
        <v>2024</v>
      </c>
      <c r="J148" s="5">
        <f ca="1">ROUND((5000+G148*60),-2)</f>
        <v>22800</v>
      </c>
      <c r="K148" s="12" t="s">
        <v>171</v>
      </c>
      <c r="L148" s="15" t="s">
        <v>672</v>
      </c>
    </row>
    <row r="149" spans="1:12" ht="157.5">
      <c r="A149" s="8" t="s">
        <v>673</v>
      </c>
      <c r="B149" s="9" t="s">
        <v>12</v>
      </c>
      <c r="C149" s="10" t="s">
        <v>443</v>
      </c>
      <c r="D149" s="10" t="str">
        <f ca="1">IFERROR(__xludf.DUMMYFUNCTION(" VLOOKUP(A146, IMPORTRANGE(""https://docs.google.com/spreadsheets/d/1fj_Bhi2XPL3siwIh4sx4VRLAe31yD50oKdj5UlRYW0c/"", ""Сводка!A:AA""), 11, FALSE)"),"978-601-240-770-9")</f>
        <v>978-601-240-770-9</v>
      </c>
      <c r="E149" s="11" t="s">
        <v>674</v>
      </c>
      <c r="F149" s="11" t="s">
        <v>675</v>
      </c>
      <c r="G149" s="12">
        <f ca="1">IFERROR(__xludf.DUMMYFUNCTION(" VLOOKUP(A146, IMPORTRANGE(""https://docs.google.com/spreadsheets/d/1fj_Bhi2XPL3siwIh4sx4VRLAe31yD50oKdj5UlRYW0c/"", ""Сводка!A:AA""), 5, FALSE)"),204)</f>
        <v>204</v>
      </c>
      <c r="H149" s="12" t="s">
        <v>511</v>
      </c>
      <c r="I149" s="10">
        <f ca="1">IFERROR(__xludf.DUMMYFUNCTION(" VLOOKUP(A146, IMPORTRANGE(""https://docs.google.com/spreadsheets/d/1QNLbnkR_AongFt22vMfNzfpjZ0CjpI8QI-w0wBnYA1w/"", ""Инфа!A:AA""), 6, FALSE)"),2024)</f>
        <v>2024</v>
      </c>
      <c r="J149" s="5">
        <f ca="1">ROUND((5000+G149*60),-2)</f>
        <v>17200</v>
      </c>
      <c r="K149" s="9" t="s">
        <v>171</v>
      </c>
      <c r="L149" s="15" t="s">
        <v>676</v>
      </c>
    </row>
    <row r="150" spans="1:12" ht="202.5">
      <c r="A150" s="8" t="s">
        <v>677</v>
      </c>
      <c r="B150" s="9" t="s">
        <v>12</v>
      </c>
      <c r="C150" s="10" t="s">
        <v>443</v>
      </c>
      <c r="D150" s="10" t="str">
        <f ca="1">IFERROR(__xludf.DUMMYFUNCTION(" VLOOKUP(A147, IMPORTRANGE(""https://docs.google.com/spreadsheets/d/1fj_Bhi2XPL3siwIh4sx4VRLAe31yD50oKdj5UlRYW0c/"", ""Сводка!A:AA""), 11, FALSE)"),"978-601-240-770-9")</f>
        <v>978-601-240-770-9</v>
      </c>
      <c r="E150" s="11" t="s">
        <v>674</v>
      </c>
      <c r="F150" s="11" t="s">
        <v>678</v>
      </c>
      <c r="G150" s="12">
        <f ca="1">IFERROR(__xludf.DUMMYFUNCTION(" VLOOKUP(A147, IMPORTRANGE(""https://docs.google.com/spreadsheets/d/1fj_Bhi2XPL3siwIh4sx4VRLAe31yD50oKdj5UlRYW0c/"", ""Сводка!A:AA""), 5, FALSE)"),228)</f>
        <v>228</v>
      </c>
      <c r="H150" s="12" t="s">
        <v>511</v>
      </c>
      <c r="I150" s="10">
        <f ca="1">IFERROR(__xludf.DUMMYFUNCTION(" VLOOKUP(A147, IMPORTRANGE(""https://docs.google.com/spreadsheets/d/1QNLbnkR_AongFt22vMfNzfpjZ0CjpI8QI-w0wBnYA1w/"", ""Инфа!A:AA""), 6, FALSE)"),2024)</f>
        <v>2024</v>
      </c>
      <c r="J150" s="5">
        <f ca="1">ROUND((5000+G150*30),-2)</f>
        <v>11800</v>
      </c>
      <c r="K150" s="9" t="s">
        <v>171</v>
      </c>
      <c r="L150" s="15" t="s">
        <v>679</v>
      </c>
    </row>
    <row r="151" spans="1:12" ht="89.25">
      <c r="A151" s="8" t="s">
        <v>680</v>
      </c>
      <c r="B151" s="9" t="s">
        <v>12</v>
      </c>
      <c r="C151" s="10" t="s">
        <v>443</v>
      </c>
      <c r="D151" s="10" t="str">
        <f ca="1">IFERROR(__xludf.DUMMYFUNCTION(" VLOOKUP(A148, IMPORTRANGE(""https://docs.google.com/spreadsheets/d/1fj_Bhi2XPL3siwIh4sx4VRLAe31yD50oKdj5UlRYW0c/"", ""Сводка!A:AA""), 11, FALSE)"),"978-601-310-596-3")</f>
        <v>978-601-310-596-3</v>
      </c>
      <c r="E151" s="11" t="s">
        <v>681</v>
      </c>
      <c r="F151" s="11" t="s">
        <v>682</v>
      </c>
      <c r="G151" s="12">
        <f ca="1">IFERROR(__xludf.DUMMYFUNCTION(" VLOOKUP(A148, IMPORTRANGE(""https://docs.google.com/spreadsheets/d/1fj_Bhi2XPL3siwIh4sx4VRLAe31yD50oKdj5UlRYW0c/"", ""Сводка!A:AA""), 5, FALSE)"),116)</f>
        <v>116</v>
      </c>
      <c r="H151" s="12" t="s">
        <v>556</v>
      </c>
      <c r="I151" s="10">
        <f ca="1">IFERROR(__xludf.DUMMYFUNCTION(" VLOOKUP(A148, IMPORTRANGE(""https://docs.google.com/spreadsheets/d/1QNLbnkR_AongFt22vMfNzfpjZ0CjpI8QI-w0wBnYA1w/"", ""Инфа!A:AA""), 6, FALSE)"),2024)</f>
        <v>2024</v>
      </c>
      <c r="J151" s="5">
        <f ca="1">ROUND((5000+G151*60),-2)</f>
        <v>12000</v>
      </c>
      <c r="K151" s="9" t="s">
        <v>243</v>
      </c>
      <c r="L151" s="15"/>
    </row>
    <row r="152" spans="1:12" ht="168.75">
      <c r="A152" s="8" t="s">
        <v>683</v>
      </c>
      <c r="B152" s="9" t="s">
        <v>12</v>
      </c>
      <c r="C152" s="10" t="s">
        <v>443</v>
      </c>
      <c r="D152" s="10" t="str">
        <f ca="1">IFERROR(__xludf.DUMMYFUNCTION(" VLOOKUP(A149, IMPORTRANGE(""https://docs.google.com/spreadsheets/d/1fj_Bhi2XPL3siwIh4sx4VRLAe31yD50oKdj5UlRYW0c/"", ""Сводка!A:AA""), 11, FALSE)"),"978-601-310-596-3")</f>
        <v>978-601-310-596-3</v>
      </c>
      <c r="E152" s="11" t="s">
        <v>684</v>
      </c>
      <c r="F152" s="11" t="s">
        <v>685</v>
      </c>
      <c r="G152" s="12">
        <f ca="1">IFERROR(__xludf.DUMMYFUNCTION(" VLOOKUP(A149, IMPORTRANGE(""https://docs.google.com/spreadsheets/d/1fj_Bhi2XPL3siwIh4sx4VRLAe31yD50oKdj5UlRYW0c/"", ""Сводка!A:AA""), 5, FALSE)"),108)</f>
        <v>108</v>
      </c>
      <c r="H152" s="12" t="s">
        <v>686</v>
      </c>
      <c r="I152" s="10">
        <f ca="1">IFERROR(__xludf.DUMMYFUNCTION(" VLOOKUP(A149, IMPORTRANGE(""https://docs.google.com/spreadsheets/d/1QNLbnkR_AongFt22vMfNzfpjZ0CjpI8QI-w0wBnYA1w/"", ""Инфа!A:AA""), 6, FALSE)"),2024)</f>
        <v>2024</v>
      </c>
      <c r="J152" s="5">
        <f t="shared" ref="J152:J158" ca="1" si="1">ROUND((5000+G152*30),-2)</f>
        <v>8200</v>
      </c>
      <c r="K152" s="9" t="s">
        <v>78</v>
      </c>
      <c r="L152" s="15" t="s">
        <v>687</v>
      </c>
    </row>
    <row r="153" spans="1:12" ht="123.75">
      <c r="A153" s="8" t="s">
        <v>688</v>
      </c>
      <c r="B153" s="9" t="s">
        <v>12</v>
      </c>
      <c r="C153" s="10" t="s">
        <v>443</v>
      </c>
      <c r="D153" s="10" t="str">
        <f ca="1">IFERROR(__xludf.DUMMYFUNCTION(" VLOOKUP(A150, IMPORTRANGE(""https://docs.google.com/spreadsheets/d/1fj_Bhi2XPL3siwIh4sx4VRLAe31yD50oKdj5UlRYW0c/"", ""Сводка!A:AA""), 11, FALSE)"),"9965-778-57-X")</f>
        <v>9965-778-57-X</v>
      </c>
      <c r="E153" s="11" t="s">
        <v>689</v>
      </c>
      <c r="F153" s="11" t="s">
        <v>690</v>
      </c>
      <c r="G153" s="12">
        <f ca="1">IFERROR(__xludf.DUMMYFUNCTION(" VLOOKUP(A150, IMPORTRANGE(""https://docs.google.com/spreadsheets/d/1fj_Bhi2XPL3siwIh4sx4VRLAe31yD50oKdj5UlRYW0c/"", ""Сводка!A:AA""), 5, FALSE)"),96)</f>
        <v>96</v>
      </c>
      <c r="H153" s="12" t="s">
        <v>538</v>
      </c>
      <c r="I153" s="10">
        <f ca="1">IFERROR(__xludf.DUMMYFUNCTION(" VLOOKUP(A150, IMPORTRANGE(""https://docs.google.com/spreadsheets/d/1QNLbnkR_AongFt22vMfNzfpjZ0CjpI8QI-w0wBnYA1w/"", ""Инфа!A:AA""), 6, FALSE)"),2024)</f>
        <v>2024</v>
      </c>
      <c r="J153" s="5">
        <f t="shared" ca="1" si="1"/>
        <v>7900</v>
      </c>
      <c r="K153" s="30" t="s">
        <v>691</v>
      </c>
      <c r="L153" s="15" t="s">
        <v>692</v>
      </c>
    </row>
    <row r="154" spans="1:12" ht="236.25">
      <c r="A154" s="8" t="s">
        <v>693</v>
      </c>
      <c r="B154" s="9" t="s">
        <v>12</v>
      </c>
      <c r="C154" s="10" t="s">
        <v>151</v>
      </c>
      <c r="D154" s="10" t="str">
        <f ca="1">IFERROR(__xludf.DUMMYFUNCTION(" VLOOKUP(A151, IMPORTRANGE(""https://docs.google.com/spreadsheets/d/1fj_Bhi2XPL3siwIh4sx4VRLAe31yD50oKdj5UlRYW0c/"", ""Сводка!A:AA""), 11, FALSE)"),"9965-778-57-X")</f>
        <v>9965-778-57-X</v>
      </c>
      <c r="E154" s="11" t="s">
        <v>694</v>
      </c>
      <c r="F154" s="11" t="s">
        <v>695</v>
      </c>
      <c r="G154" s="12">
        <f ca="1">IFERROR(__xludf.DUMMYFUNCTION(" VLOOKUP(A151, IMPORTRANGE(""https://docs.google.com/spreadsheets/d/1fj_Bhi2XPL3siwIh4sx4VRLAe31yD50oKdj5UlRYW0c/"", ""Сводка!A:AA""), 5, FALSE)"),92)</f>
        <v>92</v>
      </c>
      <c r="H154" s="12" t="s">
        <v>47</v>
      </c>
      <c r="I154" s="10">
        <f ca="1">IFERROR(__xludf.DUMMYFUNCTION(" VLOOKUP(A151, IMPORTRANGE(""https://docs.google.com/spreadsheets/d/1QNLbnkR_AongFt22vMfNzfpjZ0CjpI8QI-w0wBnYA1w/"", ""Инфа!A:AA""), 6, FALSE)"),2024)</f>
        <v>2024</v>
      </c>
      <c r="J154" s="5">
        <f t="shared" ca="1" si="1"/>
        <v>7800</v>
      </c>
      <c r="K154" s="30" t="s">
        <v>691</v>
      </c>
      <c r="L154" s="15" t="s">
        <v>696</v>
      </c>
    </row>
    <row r="155" spans="1:12" ht="146.25">
      <c r="A155" s="8" t="s">
        <v>697</v>
      </c>
      <c r="B155" s="9" t="s">
        <v>12</v>
      </c>
      <c r="C155" s="10" t="s">
        <v>443</v>
      </c>
      <c r="D155" s="10" t="str">
        <f ca="1">IFERROR(__xludf.DUMMYFUNCTION(" VLOOKUP(A152, IMPORTRANGE(""https://docs.google.com/spreadsheets/d/1fj_Bhi2XPL3siwIh4sx4VRLAe31yD50oKdj5UlRYW0c/"", ""Сводка!A:AA""), 11, FALSE)"),"978-601-310-793-6")</f>
        <v>978-601-310-793-6</v>
      </c>
      <c r="E155" s="11" t="s">
        <v>698</v>
      </c>
      <c r="F155" s="11" t="s">
        <v>699</v>
      </c>
      <c r="G155" s="12">
        <f ca="1">IFERROR(__xludf.DUMMYFUNCTION(" VLOOKUP(A152, IMPORTRANGE(""https://docs.google.com/spreadsheets/d/1fj_Bhi2XPL3siwIh4sx4VRLAe31yD50oKdj5UlRYW0c/"", ""Сводка!A:AA""), 5, FALSE)"),228)</f>
        <v>228</v>
      </c>
      <c r="H155" s="12" t="s">
        <v>511</v>
      </c>
      <c r="I155" s="10">
        <f ca="1">IFERROR(__xludf.DUMMYFUNCTION(" VLOOKUP(A152, IMPORTRANGE(""https://docs.google.com/spreadsheets/d/1QNLbnkR_AongFt22vMfNzfpjZ0CjpI8QI-w0wBnYA1w/"", ""Инфа!A:AA""), 6, FALSE)"),2024)</f>
        <v>2024</v>
      </c>
      <c r="J155" s="5">
        <f t="shared" ca="1" si="1"/>
        <v>11800</v>
      </c>
      <c r="K155" s="9" t="s">
        <v>26</v>
      </c>
      <c r="L155" s="15" t="s">
        <v>700</v>
      </c>
    </row>
    <row r="156" spans="1:12" ht="90">
      <c r="A156" s="8" t="s">
        <v>701</v>
      </c>
      <c r="B156" s="9" t="s">
        <v>12</v>
      </c>
      <c r="C156" s="10" t="s">
        <v>21</v>
      </c>
      <c r="D156" s="10" t="str">
        <f ca="1">IFERROR(__xludf.DUMMYFUNCTION(" VLOOKUP(A153, IMPORTRANGE(""https://docs.google.com/spreadsheets/d/1fj_Bhi2XPL3siwIh4sx4VRLAe31yD50oKdj5UlRYW0c/"", ""Сводка!A:AA""), 11, FALSE)"),"978-601-310-968-8")</f>
        <v>978-601-310-968-8</v>
      </c>
      <c r="E156" s="11" t="s">
        <v>702</v>
      </c>
      <c r="F156" s="11" t="s">
        <v>703</v>
      </c>
      <c r="G156" s="12">
        <f ca="1">IFERROR(__xludf.DUMMYFUNCTION(" VLOOKUP(A153, IMPORTRANGE(""https://docs.google.com/spreadsheets/d/1fj_Bhi2XPL3siwIh4sx4VRLAe31yD50oKdj5UlRYW0c/"", ""Сводка!A:AA""), 5, FALSE)"),176)</f>
        <v>176</v>
      </c>
      <c r="H156" s="12" t="s">
        <v>165</v>
      </c>
      <c r="I156" s="10">
        <f ca="1">IFERROR(__xludf.DUMMYFUNCTION(" VLOOKUP(A153, IMPORTRANGE(""https://docs.google.com/spreadsheets/d/1QNLbnkR_AongFt22vMfNzfpjZ0CjpI8QI-w0wBnYA1w/"", ""Инфа!A:AA""), 6, FALSE)"),2024)</f>
        <v>2024</v>
      </c>
      <c r="J156" s="5">
        <f t="shared" ca="1" si="1"/>
        <v>10300</v>
      </c>
      <c r="K156" s="9" t="s">
        <v>408</v>
      </c>
      <c r="L156" s="15" t="s">
        <v>704</v>
      </c>
    </row>
    <row r="157" spans="1:12" ht="67.5">
      <c r="A157" s="8" t="s">
        <v>705</v>
      </c>
      <c r="B157" s="9" t="s">
        <v>12</v>
      </c>
      <c r="C157" s="10" t="s">
        <v>443</v>
      </c>
      <c r="D157" s="10" t="s">
        <v>706</v>
      </c>
      <c r="E157" s="11" t="s">
        <v>707</v>
      </c>
      <c r="F157" s="11" t="s">
        <v>708</v>
      </c>
      <c r="G157" s="12">
        <f ca="1">IFERROR(__xludf.DUMMYFUNCTION(" VLOOKUP(A154, IMPORTRANGE(""https://docs.google.com/spreadsheets/d/1fj_Bhi2XPL3siwIh4sx4VRLAe31yD50oKdj5UlRYW0c/"", ""Сводка!A:AA""), 5, FALSE)"),184)</f>
        <v>184</v>
      </c>
      <c r="H157" s="12" t="s">
        <v>538</v>
      </c>
      <c r="I157" s="10">
        <f ca="1">IFERROR(__xludf.DUMMYFUNCTION(" VLOOKUP(A154, IMPORTRANGE(""https://docs.google.com/spreadsheets/d/1QNLbnkR_AongFt22vMfNzfpjZ0CjpI8QI-w0wBnYA1w/"", ""Инфа!A:AA""), 6, FALSE)"),2024)</f>
        <v>2024</v>
      </c>
      <c r="J157" s="5">
        <f t="shared" ca="1" si="1"/>
        <v>10500</v>
      </c>
      <c r="K157" s="12" t="s">
        <v>539</v>
      </c>
      <c r="L157" s="15" t="s">
        <v>709</v>
      </c>
    </row>
    <row r="158" spans="1:12" ht="213.75">
      <c r="A158" s="8" t="s">
        <v>710</v>
      </c>
      <c r="B158" s="9" t="s">
        <v>12</v>
      </c>
      <c r="C158" s="10" t="s">
        <v>443</v>
      </c>
      <c r="D158" s="10" t="str">
        <f ca="1">IFERROR(__xludf.DUMMYFUNCTION(" VLOOKUP(A155, IMPORTRANGE(""https://docs.google.com/spreadsheets/d/1fj_Bhi2XPL3siwIh4sx4VRLAe31yD50oKdj5UlRYW0c/"", ""Сводка!A:AA""), 11, FALSE)"),"978-601-310-482-9")</f>
        <v>978-601-310-482-9</v>
      </c>
      <c r="E158" s="11" t="s">
        <v>711</v>
      </c>
      <c r="F158" s="11" t="s">
        <v>712</v>
      </c>
      <c r="G158" s="12">
        <f ca="1">IFERROR(__xludf.DUMMYFUNCTION(" VLOOKUP(A155, IMPORTRANGE(""https://docs.google.com/spreadsheets/d/1fj_Bhi2XPL3siwIh4sx4VRLAe31yD50oKdj5UlRYW0c/"", ""Сводка!A:AA""), 5, FALSE)"),152)</f>
        <v>152</v>
      </c>
      <c r="H158" s="12" t="s">
        <v>538</v>
      </c>
      <c r="I158" s="10">
        <f ca="1">IFERROR(__xludf.DUMMYFUNCTION(" VLOOKUP(A155, IMPORTRANGE(""https://docs.google.com/spreadsheets/d/1QNLbnkR_AongFt22vMfNzfpjZ0CjpI8QI-w0wBnYA1w/"", ""Инфа!A:AA""), 6, FALSE)"),2024)</f>
        <v>2024</v>
      </c>
      <c r="J158" s="5">
        <f t="shared" ca="1" si="1"/>
        <v>9600</v>
      </c>
      <c r="K158" s="9" t="s">
        <v>539</v>
      </c>
      <c r="L158" s="15" t="s">
        <v>713</v>
      </c>
    </row>
    <row r="159" spans="1:12" ht="247.5">
      <c r="A159" s="8" t="s">
        <v>714</v>
      </c>
      <c r="B159" s="9" t="s">
        <v>12</v>
      </c>
      <c r="C159" s="10" t="s">
        <v>443</v>
      </c>
      <c r="D159" s="10" t="str">
        <f ca="1">IFERROR(__xludf.DUMMYFUNCTION(" VLOOKUP(A156, IMPORTRANGE(""https://docs.google.com/spreadsheets/d/1fj_Bhi2XPL3siwIh4sx4VRLAe31yD50oKdj5UlRYW0c/"", ""Сводка!A:AA""), 11, FALSE)"),"978-601-327-219-1")</f>
        <v>978-601-327-219-1</v>
      </c>
      <c r="E159" s="11" t="s">
        <v>715</v>
      </c>
      <c r="F159" s="11" t="s">
        <v>716</v>
      </c>
      <c r="G159" s="12">
        <f ca="1">IFERROR(__xludf.DUMMYFUNCTION(" VLOOKUP(A156, IMPORTRANGE(""https://docs.google.com/spreadsheets/d/1fj_Bhi2XPL3siwIh4sx4VRLAe31yD50oKdj5UlRYW0c/"", ""Сводка!A:AA""), 5, FALSE)"),240)</f>
        <v>240</v>
      </c>
      <c r="H159" s="12" t="s">
        <v>671</v>
      </c>
      <c r="I159" s="10">
        <f ca="1">IFERROR(__xludf.DUMMYFUNCTION(" VLOOKUP(A156, IMPORTRANGE(""https://docs.google.com/spreadsheets/d/1QNLbnkR_AongFt22vMfNzfpjZ0CjpI8QI-w0wBnYA1w/"", ""Инфа!A:AA""), 6, FALSE)"),2024)</f>
        <v>2024</v>
      </c>
      <c r="J159" s="5">
        <f ca="1">ROUND((5000+G159*60),-2)</f>
        <v>19400</v>
      </c>
      <c r="K159" s="12" t="s">
        <v>78</v>
      </c>
      <c r="L159" s="24" t="s">
        <v>717</v>
      </c>
    </row>
    <row r="160" spans="1:12" ht="236.25">
      <c r="A160" s="8" t="s">
        <v>718</v>
      </c>
      <c r="B160" s="9" t="s">
        <v>12</v>
      </c>
      <c r="C160" s="10" t="s">
        <v>151</v>
      </c>
      <c r="D160" s="10" t="str">
        <f ca="1">IFERROR(__xludf.DUMMYFUNCTION(" VLOOKUP(A157, IMPORTRANGE(""https://docs.google.com/spreadsheets/d/1fj_Bhi2XPL3siwIh4sx4VRLAe31yD50oKdj5UlRYW0c/"", ""Сводка!A:AA""), 11, FALSE)"),"978-601-310-579-6")</f>
        <v>978-601-310-579-6</v>
      </c>
      <c r="E160" s="11" t="s">
        <v>719</v>
      </c>
      <c r="F160" s="11" t="s">
        <v>720</v>
      </c>
      <c r="G160" s="12">
        <f ca="1">IFERROR(__xludf.DUMMYFUNCTION(" VLOOKUP(A157, IMPORTRANGE(""https://docs.google.com/spreadsheets/d/1fj_Bhi2XPL3siwIh4sx4VRLAe31yD50oKdj5UlRYW0c/"", ""Сводка!A:AA""), 5, FALSE)"),240)</f>
        <v>240</v>
      </c>
      <c r="H160" s="12" t="s">
        <v>47</v>
      </c>
      <c r="I160" s="10">
        <f ca="1">IFERROR(__xludf.DUMMYFUNCTION(" VLOOKUP(A157, IMPORTRANGE(""https://docs.google.com/spreadsheets/d/1QNLbnkR_AongFt22vMfNzfpjZ0CjpI8QI-w0wBnYA1w/"", ""Инфа!A:AA""), 6, FALSE)"),2024)</f>
        <v>2024</v>
      </c>
      <c r="J160" s="5">
        <f ca="1">ROUND((5000+G160*60),-2)</f>
        <v>19400</v>
      </c>
      <c r="K160" s="9" t="s">
        <v>243</v>
      </c>
      <c r="L160" s="15" t="s">
        <v>721</v>
      </c>
    </row>
    <row r="161" spans="1:12" ht="56.25">
      <c r="A161" s="8" t="s">
        <v>722</v>
      </c>
      <c r="B161" s="9" t="s">
        <v>12</v>
      </c>
      <c r="C161" s="10" t="s">
        <v>151</v>
      </c>
      <c r="D161" s="10" t="str">
        <f ca="1">IFERROR(__xludf.DUMMYFUNCTION(" VLOOKUP(A158, IMPORTRANGE(""https://docs.google.com/spreadsheets/d/1fj_Bhi2XPL3siwIh4sx4VRLAe31yD50oKdj5UlRYW0c/"", ""Сводка!A:AA""), 11, FALSE)"),"978-0601-310-548-2")</f>
        <v>978-0601-310-548-2</v>
      </c>
      <c r="E161" s="11" t="s">
        <v>719</v>
      </c>
      <c r="F161" s="11" t="s">
        <v>723</v>
      </c>
      <c r="G161" s="12">
        <f ca="1">IFERROR(__xludf.DUMMYFUNCTION(" VLOOKUP(A158, IMPORTRANGE(""https://docs.google.com/spreadsheets/d/1fj_Bhi2XPL3siwIh4sx4VRLAe31yD50oKdj5UlRYW0c/"", ""Сводка!A:AA""), 5, FALSE)"),140)</f>
        <v>140</v>
      </c>
      <c r="H161" s="12" t="s">
        <v>47</v>
      </c>
      <c r="I161" s="10">
        <f ca="1">IFERROR(__xludf.DUMMYFUNCTION(" VLOOKUP(A158, IMPORTRANGE(""https://docs.google.com/spreadsheets/d/1QNLbnkR_AongFt22vMfNzfpjZ0CjpI8QI-w0wBnYA1w/"", ""Инфа!A:AA""), 6, FALSE)"),2024)</f>
        <v>2024</v>
      </c>
      <c r="J161" s="5">
        <f ca="1">ROUND((5000+G161*60),-2)</f>
        <v>13400</v>
      </c>
      <c r="K161" s="9" t="s">
        <v>69</v>
      </c>
      <c r="L161" s="15" t="s">
        <v>724</v>
      </c>
    </row>
    <row r="162" spans="1:12" ht="180">
      <c r="A162" s="8" t="s">
        <v>725</v>
      </c>
      <c r="B162" s="9" t="s">
        <v>12</v>
      </c>
      <c r="C162" s="10" t="s">
        <v>151</v>
      </c>
      <c r="D162" s="10" t="str">
        <f ca="1">IFERROR(__xludf.DUMMYFUNCTION(" VLOOKUP(A159, IMPORTRANGE(""https://docs.google.com/spreadsheets/d/1fj_Bhi2XPL3siwIh4sx4VRLAe31yD50oKdj5UlRYW0c/"", ""Сводка!A:AA""), 11, FALSE)"),"978-601-310-580-2")</f>
        <v>978-601-310-580-2</v>
      </c>
      <c r="E162" s="11" t="s">
        <v>726</v>
      </c>
      <c r="F162" s="11" t="s">
        <v>727</v>
      </c>
      <c r="G162" s="12">
        <f ca="1">IFERROR(__xludf.DUMMYFUNCTION(" VLOOKUP(A159, IMPORTRANGE(""https://docs.google.com/spreadsheets/d/1fj_Bhi2XPL3siwIh4sx4VRLAe31yD50oKdj5UlRYW0c/"", ""Сводка!A:AA""), 5, FALSE)"),152)</f>
        <v>152</v>
      </c>
      <c r="H162" s="12" t="s">
        <v>47</v>
      </c>
      <c r="I162" s="10">
        <f ca="1">IFERROR(__xludf.DUMMYFUNCTION(" VLOOKUP(A159, IMPORTRANGE(""https://docs.google.com/spreadsheets/d/1QNLbnkR_AongFt22vMfNzfpjZ0CjpI8QI-w0wBnYA1w/"", ""Инфа!A:AA""), 6, FALSE)"),2024)</f>
        <v>2024</v>
      </c>
      <c r="J162" s="5">
        <f ca="1">ROUND((5000+G162*30),-2)</f>
        <v>9600</v>
      </c>
      <c r="K162" s="9" t="s">
        <v>243</v>
      </c>
      <c r="L162" s="15" t="s">
        <v>728</v>
      </c>
    </row>
    <row r="163" spans="1:12" ht="25.5">
      <c r="A163" s="8" t="s">
        <v>729</v>
      </c>
      <c r="B163" s="9" t="s">
        <v>12</v>
      </c>
      <c r="C163" s="10" t="s">
        <v>443</v>
      </c>
      <c r="D163" s="10" t="str">
        <f ca="1">IFERROR(__xludf.DUMMYFUNCTION(" VLOOKUP(A160, IMPORTRANGE(""https://docs.google.com/spreadsheets/d/1fj_Bhi2XPL3siwIh4sx4VRLAe31yD50oKdj5UlRYW0c/"", ""Сводка!A:AA""), 11, FALSE)"),"9965-680-22-1")</f>
        <v>9965-680-22-1</v>
      </c>
      <c r="E163" s="11" t="s">
        <v>730</v>
      </c>
      <c r="F163" s="11" t="s">
        <v>731</v>
      </c>
      <c r="G163" s="12">
        <f ca="1">IFERROR(__xludf.DUMMYFUNCTION(" VLOOKUP(A160, IMPORTRANGE(""https://docs.google.com/spreadsheets/d/1fj_Bhi2XPL3siwIh4sx4VRLAe31yD50oKdj5UlRYW0c/"", ""Сводка!A:AA""), 5, FALSE)"),284)</f>
        <v>284</v>
      </c>
      <c r="H163" s="12" t="s">
        <v>511</v>
      </c>
      <c r="I163" s="10">
        <f ca="1">IFERROR(__xludf.DUMMYFUNCTION(" VLOOKUP(A160, IMPORTRANGE(""https://docs.google.com/spreadsheets/d/1QNLbnkR_AongFt22vMfNzfpjZ0CjpI8QI-w0wBnYA1w/"", ""Инфа!A:AA""), 6, FALSE)"),2024)</f>
        <v>2024</v>
      </c>
      <c r="J163" s="5">
        <f ca="1">ROUND((5000+G163*30),-2)</f>
        <v>13500</v>
      </c>
      <c r="K163" s="9" t="s">
        <v>101</v>
      </c>
      <c r="L163" s="15"/>
    </row>
    <row r="164" spans="1:12" ht="78.75">
      <c r="A164" s="8" t="s">
        <v>732</v>
      </c>
      <c r="B164" s="9" t="s">
        <v>12</v>
      </c>
      <c r="C164" s="10" t="s">
        <v>13</v>
      </c>
      <c r="D164" s="10" t="str">
        <f ca="1">IFERROR(__xludf.DUMMYFUNCTION(" VLOOKUP(A161, IMPORTRANGE(""https://docs.google.com/spreadsheets/d/1fj_Bhi2XPL3siwIh4sx4VRLAe31yD50oKdj5UlRYW0c/"", ""Сводка!A:AA""), 11, FALSE)"),"978-601-310-719-6")</f>
        <v>978-601-310-719-6</v>
      </c>
      <c r="E164" s="11" t="s">
        <v>733</v>
      </c>
      <c r="F164" s="11" t="s">
        <v>734</v>
      </c>
      <c r="G164" s="12">
        <f ca="1">IFERROR(__xludf.DUMMYFUNCTION(" VLOOKUP(A161, IMPORTRANGE(""https://docs.google.com/spreadsheets/d/1fj_Bhi2XPL3siwIh4sx4VRLAe31yD50oKdj5UlRYW0c/"", ""Сводка!A:AA""), 5, FALSE)"),156)</f>
        <v>156</v>
      </c>
      <c r="H164" s="12" t="s">
        <v>735</v>
      </c>
      <c r="I164" s="10">
        <f ca="1">IFERROR(__xludf.DUMMYFUNCTION(" VLOOKUP(A161, IMPORTRANGE(""https://docs.google.com/spreadsheets/d/1QNLbnkR_AongFt22vMfNzfpjZ0CjpI8QI-w0wBnYA1w/"", ""Инфа!A:AA""), 6, FALSE)"),2024)</f>
        <v>2024</v>
      </c>
      <c r="J164" s="5">
        <f ca="1">ROUND((5000+G164*60),-2)</f>
        <v>14400</v>
      </c>
      <c r="K164" s="12" t="s">
        <v>171</v>
      </c>
      <c r="L164" s="15" t="s">
        <v>736</v>
      </c>
    </row>
    <row r="165" spans="1:12" ht="51">
      <c r="A165" s="8" t="s">
        <v>737</v>
      </c>
      <c r="B165" s="9" t="s">
        <v>12</v>
      </c>
      <c r="C165" s="10" t="s">
        <v>151</v>
      </c>
      <c r="D165" s="10" t="str">
        <f ca="1">IFERROR(__xludf.DUMMYFUNCTION(" VLOOKUP(A162, IMPORTRANGE(""https://docs.google.com/spreadsheets/d/1fj_Bhi2XPL3siwIh4sx4VRLAe31yD50oKdj5UlRYW0c/"", ""Сводка!A:AA""), 11, FALSE)"),"978-601-240-469-2")</f>
        <v>978-601-240-469-2</v>
      </c>
      <c r="E165" s="11" t="s">
        <v>738</v>
      </c>
      <c r="F165" s="11" t="s">
        <v>739</v>
      </c>
      <c r="G165" s="12">
        <f ca="1">IFERROR(__xludf.DUMMYFUNCTION(" VLOOKUP(A162, IMPORTRANGE(""https://docs.google.com/spreadsheets/d/1fj_Bhi2XPL3siwIh4sx4VRLAe31yD50oKdj5UlRYW0c/"", ""Сводка!A:AA""), 5, FALSE)"),240)</f>
        <v>240</v>
      </c>
      <c r="H165" s="12" t="s">
        <v>106</v>
      </c>
      <c r="I165" s="10">
        <f ca="1">IFERROR(__xludf.DUMMYFUNCTION(" VLOOKUP(A162, IMPORTRANGE(""https://docs.google.com/spreadsheets/d/1QNLbnkR_AongFt22vMfNzfpjZ0CjpI8QI-w0wBnYA1w/"", ""Инфа!A:AA""), 6, FALSE)"),2024)</f>
        <v>2024</v>
      </c>
      <c r="J165" s="5">
        <f ca="1">ROUND((5000+G165*30),-2)</f>
        <v>12200</v>
      </c>
      <c r="K165" s="12" t="s">
        <v>740</v>
      </c>
      <c r="L165" s="15"/>
    </row>
    <row r="166" spans="1:12" ht="25.5">
      <c r="A166" s="8" t="s">
        <v>741</v>
      </c>
      <c r="B166" s="9" t="s">
        <v>12</v>
      </c>
      <c r="C166" s="10" t="s">
        <v>151</v>
      </c>
      <c r="D166" s="10" t="str">
        <f ca="1">IFERROR(__xludf.DUMMYFUNCTION(" VLOOKUP(A163, IMPORTRANGE(""https://docs.google.com/spreadsheets/d/1fj_Bhi2XPL3siwIh4sx4VRLAe31yD50oKdj5UlRYW0c/"", ""Сводка!A:AA""), 11, FALSE)"),"978-601-240-468-5")</f>
        <v>978-601-240-468-5</v>
      </c>
      <c r="E166" s="11" t="s">
        <v>738</v>
      </c>
      <c r="F166" s="11" t="s">
        <v>742</v>
      </c>
      <c r="G166" s="12">
        <f ca="1">IFERROR(__xludf.DUMMYFUNCTION(" VLOOKUP(A163, IMPORTRANGE(""https://docs.google.com/spreadsheets/d/1fj_Bhi2XPL3siwIh4sx4VRLAe31yD50oKdj5UlRYW0c/"", ""Сводка!A:AA""), 5, FALSE)"),212)</f>
        <v>212</v>
      </c>
      <c r="H166" s="12" t="s">
        <v>47</v>
      </c>
      <c r="I166" s="10">
        <f ca="1">IFERROR(__xludf.DUMMYFUNCTION(" VLOOKUP(A163, IMPORTRANGE(""https://docs.google.com/spreadsheets/d/1QNLbnkR_AongFt22vMfNzfpjZ0CjpI8QI-w0wBnYA1w/"", ""Инфа!A:AA""), 6, FALSE)"),2024)</f>
        <v>2024</v>
      </c>
      <c r="J166" s="5">
        <f ca="1">ROUND((5000+G166*30),-2)</f>
        <v>11400</v>
      </c>
      <c r="K166" s="12" t="s">
        <v>740</v>
      </c>
      <c r="L166" s="15"/>
    </row>
    <row r="167" spans="1:12" ht="51">
      <c r="A167" s="8" t="s">
        <v>743</v>
      </c>
      <c r="B167" s="9" t="s">
        <v>12</v>
      </c>
      <c r="C167" s="10" t="s">
        <v>151</v>
      </c>
      <c r="D167" s="10" t="str">
        <f ca="1">IFERROR(__xludf.DUMMYFUNCTION(" VLOOKUP(A164, IMPORTRANGE(""https://docs.google.com/spreadsheets/d/1fj_Bhi2XPL3siwIh4sx4VRLAe31yD50oKdj5UlRYW0c/"", ""Сводка!A:AA""), 11, FALSE)"),"978-601-310-644-1")</f>
        <v>978-601-310-644-1</v>
      </c>
      <c r="E167" s="11" t="s">
        <v>744</v>
      </c>
      <c r="F167" s="11" t="s">
        <v>745</v>
      </c>
      <c r="G167" s="12">
        <f ca="1">IFERROR(__xludf.DUMMYFUNCTION(" VLOOKUP(A164, IMPORTRANGE(""https://docs.google.com/spreadsheets/d/1fj_Bhi2XPL3siwIh4sx4VRLAe31yD50oKdj5UlRYW0c/"", ""Сводка!A:AA""), 5, FALSE)"),320)</f>
        <v>320</v>
      </c>
      <c r="H167" s="12" t="s">
        <v>47</v>
      </c>
      <c r="I167" s="10">
        <f ca="1">IFERROR(__xludf.DUMMYFUNCTION(" VLOOKUP(A164, IMPORTRANGE(""https://docs.google.com/spreadsheets/d/1QNLbnkR_AongFt22vMfNzfpjZ0CjpI8QI-w0wBnYA1w/"", ""Инфа!A:AA""), 6, FALSE)"),2024)</f>
        <v>2024</v>
      </c>
      <c r="J167" s="5">
        <f ca="1">ROUND((5000+G167*30),-2)</f>
        <v>14600</v>
      </c>
      <c r="K167" s="12" t="s">
        <v>26</v>
      </c>
      <c r="L167" s="15"/>
    </row>
    <row r="168" spans="1:12" ht="25.5">
      <c r="A168" s="8" t="s">
        <v>746</v>
      </c>
      <c r="B168" s="9" t="s">
        <v>12</v>
      </c>
      <c r="C168" s="10" t="s">
        <v>443</v>
      </c>
      <c r="D168" s="10" t="str">
        <f ca="1">IFERROR(__xludf.DUMMYFUNCTION(" VLOOKUP(A165, IMPORTRANGE(""https://docs.google.com/spreadsheets/d/1fj_Bhi2XPL3siwIh4sx4VRLAe31yD50oKdj5UlRYW0c/"", ""Сводка!A:AA""), 11, FALSE)"),"978-601-310-637-3")</f>
        <v>978-601-310-637-3</v>
      </c>
      <c r="E168" s="11" t="s">
        <v>747</v>
      </c>
      <c r="F168" s="11" t="s">
        <v>748</v>
      </c>
      <c r="G168" s="12">
        <f ca="1">IFERROR(__xludf.DUMMYFUNCTION(" VLOOKUP(A165, IMPORTRANGE(""https://docs.google.com/spreadsheets/d/1fj_Bhi2XPL3siwIh4sx4VRLAe31yD50oKdj5UlRYW0c/"", ""Сводка!A:AA""), 5, FALSE)"),284)</f>
        <v>284</v>
      </c>
      <c r="H168" s="12" t="s">
        <v>511</v>
      </c>
      <c r="I168" s="10">
        <f ca="1">IFERROR(__xludf.DUMMYFUNCTION(" VLOOKUP(A165, IMPORTRANGE(""https://docs.google.com/spreadsheets/d/1QNLbnkR_AongFt22vMfNzfpjZ0CjpI8QI-w0wBnYA1w/"", ""Инфа!A:AA""), 6, FALSE)"),2024)</f>
        <v>2024</v>
      </c>
      <c r="J168" s="5">
        <f ca="1">ROUND((5000+G168*60),-2)</f>
        <v>22000</v>
      </c>
      <c r="K168" s="12" t="s">
        <v>171</v>
      </c>
      <c r="L168" s="15"/>
    </row>
    <row r="169" spans="1:12" ht="38.25">
      <c r="A169" s="8" t="s">
        <v>749</v>
      </c>
      <c r="B169" s="9" t="s">
        <v>12</v>
      </c>
      <c r="C169" s="10" t="s">
        <v>443</v>
      </c>
      <c r="D169" s="10" t="str">
        <f ca="1">IFERROR(__xludf.DUMMYFUNCTION(" VLOOKUP(A166, IMPORTRANGE(""https://docs.google.com/spreadsheets/d/1fj_Bhi2XPL3siwIh4sx4VRLAe31yD50oKdj5UlRYW0c/"", ""Сводка!A:AA""), 11, FALSE)"),"978-601-240-468-5")</f>
        <v>978-601-240-468-5</v>
      </c>
      <c r="E169" s="11" t="s">
        <v>747</v>
      </c>
      <c r="F169" s="11" t="s">
        <v>750</v>
      </c>
      <c r="G169" s="12">
        <f ca="1">IFERROR(__xludf.DUMMYFUNCTION(" VLOOKUP(A166, IMPORTRANGE(""https://docs.google.com/spreadsheets/d/1fj_Bhi2XPL3siwIh4sx4VRLAe31yD50oKdj5UlRYW0c/"", ""Сводка!A:AA""), 5, FALSE)"),188)</f>
        <v>188</v>
      </c>
      <c r="H169" s="12" t="s">
        <v>538</v>
      </c>
      <c r="I169" s="10">
        <f ca="1">IFERROR(__xludf.DUMMYFUNCTION(" VLOOKUP(A166, IMPORTRANGE(""https://docs.google.com/spreadsheets/d/1QNLbnkR_AongFt22vMfNzfpjZ0CjpI8QI-w0wBnYA1w/"", ""Инфа!A:AA""), 6, FALSE)"),2024)</f>
        <v>2024</v>
      </c>
      <c r="J169" s="5">
        <f ca="1">ROUND((5000+G169*30),-2)</f>
        <v>10600</v>
      </c>
      <c r="K169" s="9" t="s">
        <v>69</v>
      </c>
      <c r="L169" s="15"/>
    </row>
    <row r="170" spans="1:12" ht="258.75">
      <c r="A170" s="8" t="s">
        <v>751</v>
      </c>
      <c r="B170" s="9" t="s">
        <v>12</v>
      </c>
      <c r="C170" s="10" t="s">
        <v>151</v>
      </c>
      <c r="D170" s="10" t="str">
        <f ca="1">IFERROR(__xludf.DUMMYFUNCTION(" VLOOKUP(A167, IMPORTRANGE(""https://docs.google.com/spreadsheets/d/1fj_Bhi2XPL3siwIh4sx4VRLAe31yD50oKdj5UlRYW0c/"", ""Сводка!A:AA""), 11, FALSE)"),"978-601-240-478-2")</f>
        <v>978-601-240-478-2</v>
      </c>
      <c r="E170" s="11" t="s">
        <v>752</v>
      </c>
      <c r="F170" s="11" t="s">
        <v>753</v>
      </c>
      <c r="G170" s="12">
        <f ca="1">IFERROR(__xludf.DUMMYFUNCTION(" VLOOKUP(A167, IMPORTRANGE(""https://docs.google.com/spreadsheets/d/1fj_Bhi2XPL3siwIh4sx4VRLAe31yD50oKdj5UlRYW0c/"", ""Сводка!A:AA""), 5, FALSE)"),76)</f>
        <v>76</v>
      </c>
      <c r="H170" s="12" t="s">
        <v>106</v>
      </c>
      <c r="I170" s="10">
        <f ca="1">IFERROR(__xludf.DUMMYFUNCTION(" VLOOKUP(A167, IMPORTRANGE(""https://docs.google.com/spreadsheets/d/1QNLbnkR_AongFt22vMfNzfpjZ0CjpI8QI-w0wBnYA1w/"", ""Инфа!A:AA""), 6, FALSE)"),2024)</f>
        <v>2024</v>
      </c>
      <c r="J170" s="5">
        <f ca="1">ROUND((5000+G170*30),-2)</f>
        <v>7300</v>
      </c>
      <c r="K170" s="12" t="s">
        <v>69</v>
      </c>
      <c r="L170" s="15" t="s">
        <v>754</v>
      </c>
    </row>
    <row r="171" spans="1:12" ht="38.25">
      <c r="A171" s="8" t="s">
        <v>755</v>
      </c>
      <c r="B171" s="9" t="s">
        <v>12</v>
      </c>
      <c r="C171" s="10" t="s">
        <v>443</v>
      </c>
      <c r="D171" s="10" t="str">
        <f ca="1">IFERROR(__xludf.DUMMYFUNCTION(" VLOOKUP(A168, IMPORTRANGE(""https://docs.google.com/spreadsheets/d/1fj_Bhi2XPL3siwIh4sx4VRLAe31yD50oKdj5UlRYW0c/"", ""Сводка!A:AA""), 11, FALSE)"),"9965-779-13-9")</f>
        <v>9965-779-13-9</v>
      </c>
      <c r="E171" s="11" t="s">
        <v>756</v>
      </c>
      <c r="F171" s="11" t="s">
        <v>757</v>
      </c>
      <c r="G171" s="12">
        <f ca="1">IFERROR(__xludf.DUMMYFUNCTION(" VLOOKUP(A168, IMPORTRANGE(""https://docs.google.com/spreadsheets/d/1fj_Bhi2XPL3siwIh4sx4VRLAe31yD50oKdj5UlRYW0c/"", ""Сводка!A:AA""), 5, FALSE)"),120)</f>
        <v>120</v>
      </c>
      <c r="H171" s="12" t="s">
        <v>538</v>
      </c>
      <c r="I171" s="10">
        <f ca="1">IFERROR(__xludf.DUMMYFUNCTION(" VLOOKUP(A168, IMPORTRANGE(""https://docs.google.com/spreadsheets/d/1QNLbnkR_AongFt22vMfNzfpjZ0CjpI8QI-w0wBnYA1w/"", ""Инфа!A:AA""), 6, FALSE)"),2024)</f>
        <v>2024</v>
      </c>
      <c r="J171" s="5">
        <f ca="1">ROUND((5000+G171*30),-2)</f>
        <v>8600</v>
      </c>
      <c r="K171" s="9" t="s">
        <v>758</v>
      </c>
      <c r="L171" s="15"/>
    </row>
    <row r="172" spans="1:12" ht="76.5">
      <c r="A172" s="8" t="s">
        <v>759</v>
      </c>
      <c r="B172" s="9" t="s">
        <v>12</v>
      </c>
      <c r="C172" s="10" t="s">
        <v>443</v>
      </c>
      <c r="D172" s="10" t="str">
        <f ca="1">IFERROR(__xludf.DUMMYFUNCTION(" VLOOKUP(A169, IMPORTRANGE(""https://docs.google.com/spreadsheets/d/1fj_Bhi2XPL3siwIh4sx4VRLAe31yD50oKdj5UlRYW0c/"", ""Сводка!A:AA""), 11, FALSE)"),"978-601-310-598-7")</f>
        <v>978-601-310-598-7</v>
      </c>
      <c r="E172" s="11" t="s">
        <v>760</v>
      </c>
      <c r="F172" s="11" t="s">
        <v>761</v>
      </c>
      <c r="G172" s="12">
        <f ca="1">IFERROR(__xludf.DUMMYFUNCTION(" VLOOKUP(A169, IMPORTRANGE(""https://docs.google.com/spreadsheets/d/1fj_Bhi2XPL3siwIh4sx4VRLAe31yD50oKdj5UlRYW0c/"", ""Сводка!A:AA""), 5, FALSE)"),124)</f>
        <v>124</v>
      </c>
      <c r="H172" s="12" t="s">
        <v>556</v>
      </c>
      <c r="I172" s="10">
        <f ca="1">IFERROR(__xludf.DUMMYFUNCTION(" VLOOKUP(A169, IMPORTRANGE(""https://docs.google.com/spreadsheets/d/1QNLbnkR_AongFt22vMfNzfpjZ0CjpI8QI-w0wBnYA1w/"", ""Инфа!A:AA""), 6, FALSE)"),2024)</f>
        <v>2024</v>
      </c>
      <c r="J172" s="5">
        <f ca="1">ROUND((5000+G172*30),-2)</f>
        <v>8700</v>
      </c>
      <c r="K172" s="12" t="s">
        <v>78</v>
      </c>
      <c r="L172" s="15"/>
    </row>
    <row r="173" spans="1:12" ht="236.25">
      <c r="A173" s="8" t="s">
        <v>762</v>
      </c>
      <c r="B173" s="9" t="s">
        <v>12</v>
      </c>
      <c r="C173" s="10" t="s">
        <v>443</v>
      </c>
      <c r="D173" s="10" t="str">
        <f ca="1">IFERROR(__xludf.DUMMYFUNCTION(" VLOOKUP(A170, IMPORTRANGE(""https://docs.google.com/spreadsheets/d/1fj_Bhi2XPL3siwIh4sx4VRLAe31yD50oKdj5UlRYW0c/"", ""Сводка!A:AA""), 11, FALSE)"),"978-601-342-606-8")</f>
        <v>978-601-342-606-8</v>
      </c>
      <c r="E173" s="11" t="s">
        <v>763</v>
      </c>
      <c r="F173" s="11" t="s">
        <v>764</v>
      </c>
      <c r="G173" s="12">
        <f ca="1">IFERROR(__xludf.DUMMYFUNCTION(" VLOOKUP(A170, IMPORTRANGE(""https://docs.google.com/spreadsheets/d/1fj_Bhi2XPL3siwIh4sx4VRLAe31yD50oKdj5UlRYW0c/"", ""Сводка!A:AA""), 5, FALSE)"),104)</f>
        <v>104</v>
      </c>
      <c r="H173" s="12" t="s">
        <v>106</v>
      </c>
      <c r="I173" s="10">
        <f ca="1">IFERROR(__xludf.DUMMYFUNCTION(" VLOOKUP(A170, IMPORTRANGE(""https://docs.google.com/spreadsheets/d/1QNLbnkR_AongFt22vMfNzfpjZ0CjpI8QI-w0wBnYA1w/"", ""Инфа!A:AA""), 6, FALSE)"),2024)</f>
        <v>2024</v>
      </c>
      <c r="J173" s="5">
        <f ca="1">ROUND((5000+G173*60),-2)</f>
        <v>11200</v>
      </c>
      <c r="K173" s="12" t="s">
        <v>765</v>
      </c>
      <c r="L173" s="15" t="s">
        <v>766</v>
      </c>
    </row>
    <row r="174" spans="1:12" ht="236.25">
      <c r="A174" s="8" t="s">
        <v>767</v>
      </c>
      <c r="B174" s="9" t="s">
        <v>12</v>
      </c>
      <c r="C174" s="10" t="s">
        <v>151</v>
      </c>
      <c r="D174" s="10" t="str">
        <f ca="1">IFERROR(__xludf.DUMMYFUNCTION(" VLOOKUP(A171, IMPORTRANGE(""https://docs.google.com/spreadsheets/d/1fj_Bhi2XPL3siwIh4sx4VRLAe31yD50oKdj5UlRYW0c/"", ""Сводка!A:AA""), 11, FALSE)"),"978-601-342-605-1")</f>
        <v>978-601-342-605-1</v>
      </c>
      <c r="E174" s="11" t="s">
        <v>763</v>
      </c>
      <c r="F174" s="11" t="s">
        <v>768</v>
      </c>
      <c r="G174" s="12">
        <f ca="1">IFERROR(__xludf.DUMMYFUNCTION(" VLOOKUP(A171, IMPORTRANGE(""https://docs.google.com/spreadsheets/d/1fj_Bhi2XPL3siwIh4sx4VRLAe31yD50oKdj5UlRYW0c/"", ""Сводка!A:AA""), 5, FALSE)"),108)</f>
        <v>108</v>
      </c>
      <c r="H174" s="12" t="s">
        <v>106</v>
      </c>
      <c r="I174" s="10">
        <f ca="1">IFERROR(__xludf.DUMMYFUNCTION(" VLOOKUP(A171, IMPORTRANGE(""https://docs.google.com/spreadsheets/d/1QNLbnkR_AongFt22vMfNzfpjZ0CjpI8QI-w0wBnYA1w/"", ""Инфа!A:AA""), 6, FALSE)"),2024)</f>
        <v>2024</v>
      </c>
      <c r="J174" s="5">
        <f ca="1">ROUND((5000+G174*60),-2)</f>
        <v>11500</v>
      </c>
      <c r="K174" s="12" t="s">
        <v>765</v>
      </c>
      <c r="L174" s="15" t="s">
        <v>769</v>
      </c>
    </row>
    <row r="175" spans="1:12" ht="135">
      <c r="A175" s="8" t="s">
        <v>770</v>
      </c>
      <c r="B175" s="9" t="s">
        <v>12</v>
      </c>
      <c r="C175" s="10" t="s">
        <v>151</v>
      </c>
      <c r="D175" s="10" t="str">
        <f ca="1">IFERROR(__xludf.DUMMYFUNCTION(" VLOOKUP(A172, IMPORTRANGE(""https://docs.google.com/spreadsheets/d/1fj_Bhi2XPL3siwIh4sx4VRLAe31yD50oKdj5UlRYW0c/"", ""Сводка!A:AA""), 11, FALSE)"),"978-601-244-110-1")</f>
        <v>978-601-244-110-1</v>
      </c>
      <c r="E175" s="11" t="s">
        <v>771</v>
      </c>
      <c r="F175" s="11" t="s">
        <v>772</v>
      </c>
      <c r="G175" s="12">
        <f ca="1">IFERROR(__xludf.DUMMYFUNCTION(" VLOOKUP(A172, IMPORTRANGE(""https://docs.google.com/spreadsheets/d/1fj_Bhi2XPL3siwIh4sx4VRLAe31yD50oKdj5UlRYW0c/"", ""Сводка!A:AA""), 5, FALSE)"),176)</f>
        <v>176</v>
      </c>
      <c r="H175" s="12" t="s">
        <v>47</v>
      </c>
      <c r="I175" s="10">
        <f ca="1">IFERROR(__xludf.DUMMYFUNCTION(" VLOOKUP(A172, IMPORTRANGE(""https://docs.google.com/spreadsheets/d/1QNLbnkR_AongFt22vMfNzfpjZ0CjpI8QI-w0wBnYA1w/"", ""Инфа!A:AA""), 6, FALSE)"),2024)</f>
        <v>2024</v>
      </c>
      <c r="J175" s="5">
        <f t="shared" ref="J175:J185" ca="1" si="2">ROUND((5000+G175*30),-2)</f>
        <v>10300</v>
      </c>
      <c r="K175" s="12" t="s">
        <v>271</v>
      </c>
      <c r="L175" s="15" t="s">
        <v>773</v>
      </c>
    </row>
    <row r="176" spans="1:12" ht="102">
      <c r="A176" s="8" t="s">
        <v>774</v>
      </c>
      <c r="B176" s="9" t="s">
        <v>12</v>
      </c>
      <c r="C176" s="10" t="s">
        <v>443</v>
      </c>
      <c r="D176" s="10" t="str">
        <f ca="1">IFERROR(__xludf.DUMMYFUNCTION(" VLOOKUP(A173, IMPORTRANGE(""https://docs.google.com/spreadsheets/d/1fj_Bhi2XPL3siwIh4sx4VRLAe31yD50oKdj5UlRYW0c/"", ""Сводка!A:AA""), 11, FALSE)"),"978-601-7816-74-3")</f>
        <v>978-601-7816-74-3</v>
      </c>
      <c r="E176" s="11" t="s">
        <v>775</v>
      </c>
      <c r="F176" s="11" t="s">
        <v>776</v>
      </c>
      <c r="G176" s="12">
        <f ca="1">IFERROR(__xludf.DUMMYFUNCTION(" VLOOKUP(A173, IMPORTRANGE(""https://docs.google.com/spreadsheets/d/1fj_Bhi2XPL3siwIh4sx4VRLAe31yD50oKdj5UlRYW0c/"", ""Сводка!A:AA""), 5, FALSE)"),100)</f>
        <v>100</v>
      </c>
      <c r="H176" s="12" t="s">
        <v>777</v>
      </c>
      <c r="I176" s="10">
        <f ca="1">IFERROR(__xludf.DUMMYFUNCTION(" VLOOKUP(A173, IMPORTRANGE(""https://docs.google.com/spreadsheets/d/1QNLbnkR_AongFt22vMfNzfpjZ0CjpI8QI-w0wBnYA1w/"", ""Инфа!A:AA""), 6, FALSE)"),2024)</f>
        <v>2024</v>
      </c>
      <c r="J176" s="5">
        <f t="shared" ca="1" si="2"/>
        <v>8000</v>
      </c>
      <c r="K176" s="12" t="s">
        <v>778</v>
      </c>
      <c r="L176" s="15" t="s">
        <v>779</v>
      </c>
    </row>
    <row r="177" spans="1:12" ht="101.25">
      <c r="A177" s="8" t="s">
        <v>780</v>
      </c>
      <c r="B177" s="9" t="s">
        <v>12</v>
      </c>
      <c r="C177" s="10" t="s">
        <v>151</v>
      </c>
      <c r="D177" s="10" t="str">
        <f ca="1">IFERROR(__xludf.DUMMYFUNCTION(" VLOOKUP(A174, IMPORTRANGE(""https://docs.google.com/spreadsheets/d/1fj_Bhi2XPL3siwIh4sx4VRLAe31yD50oKdj5UlRYW0c/"", ""Сводка!A:AA""), 11, FALSE)"),"978-601-342-355-5")</f>
        <v>978-601-342-355-5</v>
      </c>
      <c r="E177" s="11" t="s">
        <v>781</v>
      </c>
      <c r="F177" s="11" t="s">
        <v>782</v>
      </c>
      <c r="G177" s="12">
        <f ca="1">IFERROR(__xludf.DUMMYFUNCTION(" VLOOKUP(A174, IMPORTRANGE(""https://docs.google.com/spreadsheets/d/1fj_Bhi2XPL3siwIh4sx4VRLAe31yD50oKdj5UlRYW0c/"", ""Сводка!A:AA""), 5, FALSE)"),120)</f>
        <v>120</v>
      </c>
      <c r="H177" s="12" t="s">
        <v>556</v>
      </c>
      <c r="I177" s="10">
        <f ca="1">IFERROR(__xludf.DUMMYFUNCTION(" VLOOKUP(A174, IMPORTRANGE(""https://docs.google.com/spreadsheets/d/1QNLbnkR_AongFt22vMfNzfpjZ0CjpI8QI-w0wBnYA1w/"", ""Инфа!A:AA""), 6, FALSE)"),2024)</f>
        <v>2024</v>
      </c>
      <c r="J177" s="5">
        <f t="shared" ca="1" si="2"/>
        <v>8600</v>
      </c>
      <c r="K177" s="12" t="s">
        <v>160</v>
      </c>
      <c r="L177" s="15" t="s">
        <v>783</v>
      </c>
    </row>
    <row r="178" spans="1:12" ht="90">
      <c r="A178" s="8" t="s">
        <v>784</v>
      </c>
      <c r="B178" s="9" t="s">
        <v>12</v>
      </c>
      <c r="C178" s="10" t="s">
        <v>151</v>
      </c>
      <c r="D178" s="10" t="str">
        <f ca="1">IFERROR(__xludf.DUMMYFUNCTION(" VLOOKUP(A175, IMPORTRANGE(""https://docs.google.com/spreadsheets/d/1fj_Bhi2XPL3siwIh4sx4VRLAe31yD50oKdj5UlRYW0c/"", ""Сводка!A:AA""), 11, FALSE)"),"978-601-342-357-9")</f>
        <v>978-601-342-357-9</v>
      </c>
      <c r="E178" s="11" t="s">
        <v>785</v>
      </c>
      <c r="F178" s="11" t="s">
        <v>786</v>
      </c>
      <c r="G178" s="12">
        <f ca="1">IFERROR(__xludf.DUMMYFUNCTION(" VLOOKUP(A175, IMPORTRANGE(""https://docs.google.com/spreadsheets/d/1fj_Bhi2XPL3siwIh4sx4VRLAe31yD50oKdj5UlRYW0c/"", ""Сводка!A:AA""), 5, FALSE)"),192)</f>
        <v>192</v>
      </c>
      <c r="H178" s="12" t="s">
        <v>47</v>
      </c>
      <c r="I178" s="10">
        <f ca="1">IFERROR(__xludf.DUMMYFUNCTION(" VLOOKUP(A175, IMPORTRANGE(""https://docs.google.com/spreadsheets/d/1QNLbnkR_AongFt22vMfNzfpjZ0CjpI8QI-w0wBnYA1w/"", ""Инфа!A:AA""), 6, FALSE)"),2024)</f>
        <v>2024</v>
      </c>
      <c r="J178" s="5">
        <f t="shared" ca="1" si="2"/>
        <v>10800</v>
      </c>
      <c r="K178" s="12" t="s">
        <v>160</v>
      </c>
      <c r="L178" s="15" t="s">
        <v>787</v>
      </c>
    </row>
    <row r="179" spans="1:12" ht="135">
      <c r="A179" s="8" t="s">
        <v>788</v>
      </c>
      <c r="B179" s="9" t="s">
        <v>12</v>
      </c>
      <c r="C179" s="10" t="s">
        <v>151</v>
      </c>
      <c r="D179" s="10" t="str">
        <f ca="1">IFERROR(__xludf.DUMMYFUNCTION(" VLOOKUP(A176, IMPORTRANGE(""https://docs.google.com/spreadsheets/d/1fj_Bhi2XPL3siwIh4sx4VRLAe31yD50oKdj5UlRYW0c/"", ""Сводка!A:AA""), 11, FALSE)"),"978-601-342-356-2")</f>
        <v>978-601-342-356-2</v>
      </c>
      <c r="E179" s="11" t="s">
        <v>785</v>
      </c>
      <c r="F179" s="11" t="s">
        <v>789</v>
      </c>
      <c r="G179" s="12">
        <f ca="1">IFERROR(__xludf.DUMMYFUNCTION(" VLOOKUP(A176, IMPORTRANGE(""https://docs.google.com/spreadsheets/d/1fj_Bhi2XPL3siwIh4sx4VRLAe31yD50oKdj5UlRYW0c/"", ""Сводка!A:AA""), 5, FALSE)"),184)</f>
        <v>184</v>
      </c>
      <c r="H179" s="12" t="s">
        <v>47</v>
      </c>
      <c r="I179" s="10">
        <f ca="1">IFERROR(__xludf.DUMMYFUNCTION(" VLOOKUP(A176, IMPORTRANGE(""https://docs.google.com/spreadsheets/d/1QNLbnkR_AongFt22vMfNzfpjZ0CjpI8QI-w0wBnYA1w/"", ""Инфа!A:AA""), 6, FALSE)"),2024)</f>
        <v>2024</v>
      </c>
      <c r="J179" s="5">
        <f t="shared" ca="1" si="2"/>
        <v>10500</v>
      </c>
      <c r="K179" s="12" t="s">
        <v>160</v>
      </c>
      <c r="L179" s="15" t="s">
        <v>790</v>
      </c>
    </row>
    <row r="180" spans="1:12" ht="135">
      <c r="A180" s="8" t="s">
        <v>791</v>
      </c>
      <c r="B180" s="9" t="s">
        <v>12</v>
      </c>
      <c r="C180" s="10" t="s">
        <v>151</v>
      </c>
      <c r="D180" s="10" t="str">
        <f ca="1">IFERROR(__xludf.DUMMYFUNCTION(" VLOOKUP(A177, IMPORTRANGE(""https://docs.google.com/spreadsheets/d/1fj_Bhi2XPL3siwIh4sx4VRLAe31yD50oKdj5UlRYW0c/"", ""Сводка!A:AA""), 11, FALSE)"),"978-601-342-354-8")</f>
        <v>978-601-342-354-8</v>
      </c>
      <c r="E180" s="11" t="s">
        <v>785</v>
      </c>
      <c r="F180" s="11" t="s">
        <v>792</v>
      </c>
      <c r="G180" s="12">
        <f ca="1">IFERROR(__xludf.DUMMYFUNCTION(" VLOOKUP(A177, IMPORTRANGE(""https://docs.google.com/spreadsheets/d/1fj_Bhi2XPL3siwIh4sx4VRLAe31yD50oKdj5UlRYW0c/"", ""Сводка!A:AA""), 5, FALSE)"),152)</f>
        <v>152</v>
      </c>
      <c r="H180" s="12" t="s">
        <v>556</v>
      </c>
      <c r="I180" s="10">
        <f ca="1">IFERROR(__xludf.DUMMYFUNCTION(" VLOOKUP(A177, IMPORTRANGE(""https://docs.google.com/spreadsheets/d/1QNLbnkR_AongFt22vMfNzfpjZ0CjpI8QI-w0wBnYA1w/"", ""Инфа!A:AA""), 6, FALSE)"),2024)</f>
        <v>2024</v>
      </c>
      <c r="J180" s="5">
        <f t="shared" ca="1" si="2"/>
        <v>9600</v>
      </c>
      <c r="K180" s="12" t="s">
        <v>160</v>
      </c>
      <c r="L180" s="15" t="s">
        <v>793</v>
      </c>
    </row>
    <row r="181" spans="1:12" ht="157.5">
      <c r="A181" s="8" t="s">
        <v>794</v>
      </c>
      <c r="B181" s="9" t="s">
        <v>12</v>
      </c>
      <c r="C181" s="10" t="s">
        <v>151</v>
      </c>
      <c r="D181" s="10" t="str">
        <f ca="1">IFERROR(__xludf.DUMMYFUNCTION(" VLOOKUP(A178, IMPORTRANGE(""https://docs.google.com/spreadsheets/d/1fj_Bhi2XPL3siwIh4sx4VRLAe31yD50oKdj5UlRYW0c/"", ""Сводка!A:AA""), 11, FALSE)"),"978-601-342-525-2")</f>
        <v>978-601-342-525-2</v>
      </c>
      <c r="E181" s="11" t="s">
        <v>795</v>
      </c>
      <c r="F181" s="11" t="s">
        <v>796</v>
      </c>
      <c r="G181" s="12">
        <f ca="1">IFERROR(__xludf.DUMMYFUNCTION(" VLOOKUP(A178, IMPORTRANGE(""https://docs.google.com/spreadsheets/d/1fj_Bhi2XPL3siwIh4sx4VRLAe31yD50oKdj5UlRYW0c/"", ""Сводка!A:AA""), 5, FALSE)"),112)</f>
        <v>112</v>
      </c>
      <c r="H181" s="12" t="s">
        <v>47</v>
      </c>
      <c r="I181" s="10">
        <f ca="1">IFERROR(__xludf.DUMMYFUNCTION(" VLOOKUP(A178, IMPORTRANGE(""https://docs.google.com/spreadsheets/d/1QNLbnkR_AongFt22vMfNzfpjZ0CjpI8QI-w0wBnYA1w/"", ""Инфа!A:AA""), 6, FALSE)"),2024)</f>
        <v>2024</v>
      </c>
      <c r="J181" s="5">
        <f t="shared" ca="1" si="2"/>
        <v>8400</v>
      </c>
      <c r="K181" s="12" t="s">
        <v>84</v>
      </c>
      <c r="L181" s="15" t="s">
        <v>797</v>
      </c>
    </row>
    <row r="182" spans="1:12" ht="168.75">
      <c r="A182" s="8" t="s">
        <v>798</v>
      </c>
      <c r="B182" s="9" t="s">
        <v>12</v>
      </c>
      <c r="C182" s="10" t="s">
        <v>151</v>
      </c>
      <c r="D182" s="10" t="str">
        <f ca="1">IFERROR(__xludf.DUMMYFUNCTION(" VLOOKUP(A179, IMPORTRANGE(""https://docs.google.com/spreadsheets/d/1fj_Bhi2XPL3siwIh4sx4VRLAe31yD50oKdj5UlRYW0c/"", ""Сводка!A:AA""), 11, FALSE)"),"978-601-342-524-5")</f>
        <v>978-601-342-524-5</v>
      </c>
      <c r="E182" s="11" t="s">
        <v>795</v>
      </c>
      <c r="F182" s="11" t="s">
        <v>799</v>
      </c>
      <c r="G182" s="12">
        <f ca="1">IFERROR(__xludf.DUMMYFUNCTION(" VLOOKUP(A179, IMPORTRANGE(""https://docs.google.com/spreadsheets/d/1fj_Bhi2XPL3siwIh4sx4VRLAe31yD50oKdj5UlRYW0c/"", ""Сводка!A:AA""), 5, FALSE)"),180)</f>
        <v>180</v>
      </c>
      <c r="H182" s="12" t="s">
        <v>47</v>
      </c>
      <c r="I182" s="10">
        <f ca="1">IFERROR(__xludf.DUMMYFUNCTION(" VLOOKUP(A179, IMPORTRANGE(""https://docs.google.com/spreadsheets/d/1QNLbnkR_AongFt22vMfNzfpjZ0CjpI8QI-w0wBnYA1w/"", ""Инфа!A:AA""), 6, FALSE)"),2024)</f>
        <v>2024</v>
      </c>
      <c r="J182" s="5">
        <f t="shared" ca="1" si="2"/>
        <v>10400</v>
      </c>
      <c r="K182" s="12" t="s">
        <v>84</v>
      </c>
      <c r="L182" s="15" t="s">
        <v>800</v>
      </c>
    </row>
    <row r="183" spans="1:12" ht="25.5">
      <c r="A183" s="8" t="s">
        <v>801</v>
      </c>
      <c r="B183" s="9" t="s">
        <v>12</v>
      </c>
      <c r="C183" s="10" t="s">
        <v>443</v>
      </c>
      <c r="D183" s="10" t="str">
        <f ca="1">IFERROR(__xludf.DUMMYFUNCTION(" VLOOKUP(A180, IMPORTRANGE(""https://docs.google.com/spreadsheets/d/1fj_Bhi2XPL3siwIh4sx4VRLAe31yD50oKdj5UlRYW0c/"", ""Сводка!A:AA""), 11, FALSE)"),"978-601-310-121-7")</f>
        <v>978-601-310-121-7</v>
      </c>
      <c r="E183" s="11" t="s">
        <v>802</v>
      </c>
      <c r="F183" s="11" t="s">
        <v>803</v>
      </c>
      <c r="G183" s="12">
        <f ca="1">IFERROR(__xludf.DUMMYFUNCTION(" VLOOKUP(A180, IMPORTRANGE(""https://docs.google.com/spreadsheets/d/1fj_Bhi2XPL3siwIh4sx4VRLAe31yD50oKdj5UlRYW0c/"", ""Сводка!A:AA""), 5, FALSE)"),224)</f>
        <v>224</v>
      </c>
      <c r="H183" s="12" t="s">
        <v>538</v>
      </c>
      <c r="I183" s="10">
        <f ca="1">IFERROR(__xludf.DUMMYFUNCTION(" VLOOKUP(A180, IMPORTRANGE(""https://docs.google.com/spreadsheets/d/1QNLbnkR_AongFt22vMfNzfpjZ0CjpI8QI-w0wBnYA1w/"", ""Инфа!A:AA""), 6, FALSE)"),2024)</f>
        <v>2024</v>
      </c>
      <c r="J183" s="5">
        <f t="shared" ca="1" si="2"/>
        <v>11700</v>
      </c>
      <c r="K183" s="12" t="s">
        <v>257</v>
      </c>
      <c r="L183" s="15"/>
    </row>
    <row r="184" spans="1:12" ht="78.75">
      <c r="A184" s="8" t="s">
        <v>804</v>
      </c>
      <c r="B184" s="9" t="s">
        <v>12</v>
      </c>
      <c r="C184" s="10" t="s">
        <v>443</v>
      </c>
      <c r="D184" s="10" t="str">
        <f ca="1">IFERROR(__xludf.DUMMYFUNCTION(" VLOOKUP(A181, IMPORTRANGE(""https://docs.google.com/spreadsheets/d/1fj_Bhi2XPL3siwIh4sx4VRLAe31yD50oKdj5UlRYW0c/"", ""Сводка!A:AA""), 11, FALSE)"),"9965-557-53-5")</f>
        <v>9965-557-53-5</v>
      </c>
      <c r="E184" s="11" t="s">
        <v>802</v>
      </c>
      <c r="F184" s="11" t="s">
        <v>805</v>
      </c>
      <c r="G184" s="12">
        <f ca="1">IFERROR(__xludf.DUMMYFUNCTION(" VLOOKUP(A181, IMPORTRANGE(""https://docs.google.com/spreadsheets/d/1fj_Bhi2XPL3siwIh4sx4VRLAe31yD50oKdj5UlRYW0c/"", ""Сводка!A:AA""), 5, FALSE)"),220)</f>
        <v>220</v>
      </c>
      <c r="H184" s="12" t="s">
        <v>538</v>
      </c>
      <c r="I184" s="10">
        <f ca="1">IFERROR(__xludf.DUMMYFUNCTION(" VLOOKUP(A181, IMPORTRANGE(""https://docs.google.com/spreadsheets/d/1QNLbnkR_AongFt22vMfNzfpjZ0CjpI8QI-w0wBnYA1w/"", ""Инфа!A:AA""), 6, FALSE)"),2024)</f>
        <v>2024</v>
      </c>
      <c r="J184" s="5">
        <f t="shared" ca="1" si="2"/>
        <v>11600</v>
      </c>
      <c r="K184" s="9" t="s">
        <v>257</v>
      </c>
      <c r="L184" s="15" t="s">
        <v>806</v>
      </c>
    </row>
    <row r="185" spans="1:12" ht="25.5">
      <c r="A185" s="8" t="s">
        <v>807</v>
      </c>
      <c r="B185" s="9" t="s">
        <v>12</v>
      </c>
      <c r="C185" s="10" t="s">
        <v>443</v>
      </c>
      <c r="D185" s="10" t="str">
        <f ca="1">IFERROR(__xludf.DUMMYFUNCTION(" VLOOKUP(A182, IMPORTRANGE(""https://docs.google.com/spreadsheets/d/1fj_Bhi2XPL3siwIh4sx4VRLAe31yD50oKdj5UlRYW0c/"", ""Сводка!A:AA""), 11, FALSE)"),"9965-19-534-Х")</f>
        <v>9965-19-534-Х</v>
      </c>
      <c r="E185" s="11" t="s">
        <v>802</v>
      </c>
      <c r="F185" s="11" t="s">
        <v>808</v>
      </c>
      <c r="G185" s="12">
        <f ca="1">IFERROR(__xludf.DUMMYFUNCTION(" VLOOKUP(A182, IMPORTRANGE(""https://docs.google.com/spreadsheets/d/1fj_Bhi2XPL3siwIh4sx4VRLAe31yD50oKdj5UlRYW0c/"", ""Сводка!A:AA""), 5, FALSE)"),124)</f>
        <v>124</v>
      </c>
      <c r="H185" s="12" t="s">
        <v>538</v>
      </c>
      <c r="I185" s="10">
        <f ca="1">IFERROR(__xludf.DUMMYFUNCTION(" VLOOKUP(A182, IMPORTRANGE(""https://docs.google.com/spreadsheets/d/1QNLbnkR_AongFt22vMfNzfpjZ0CjpI8QI-w0wBnYA1w/"", ""Инфа!A:AA""), 6, FALSE)"),2024)</f>
        <v>2024</v>
      </c>
      <c r="J185" s="5">
        <f t="shared" ca="1" si="2"/>
        <v>8700</v>
      </c>
      <c r="K185" s="12" t="s">
        <v>257</v>
      </c>
      <c r="L185" s="15"/>
    </row>
    <row r="186" spans="1:12" ht="337.5">
      <c r="A186" s="8" t="s">
        <v>809</v>
      </c>
      <c r="B186" s="9" t="s">
        <v>12</v>
      </c>
      <c r="C186" s="10" t="s">
        <v>443</v>
      </c>
      <c r="D186" s="10" t="str">
        <f ca="1">IFERROR(__xludf.DUMMYFUNCTION(" VLOOKUP(A183, IMPORTRANGE(""https://docs.google.com/spreadsheets/d/1fj_Bhi2XPL3siwIh4sx4VRLAe31yD50oKdj5UlRYW0c/"", ""Сводка!A:AA""), 11, FALSE)"),"978-601-240-902-4")</f>
        <v>978-601-240-902-4</v>
      </c>
      <c r="E186" s="11" t="s">
        <v>810</v>
      </c>
      <c r="F186" s="11" t="s">
        <v>811</v>
      </c>
      <c r="G186" s="12">
        <f ca="1">IFERROR(__xludf.DUMMYFUNCTION(" VLOOKUP(A183, IMPORTRANGE(""https://docs.google.com/spreadsheets/d/1fj_Bhi2XPL3siwIh4sx4VRLAe31yD50oKdj5UlRYW0c/"", ""Сводка!A:AA""), 5, FALSE)"),100)</f>
        <v>100</v>
      </c>
      <c r="H186" s="12" t="s">
        <v>538</v>
      </c>
      <c r="I186" s="10">
        <f ca="1">IFERROR(__xludf.DUMMYFUNCTION(" VLOOKUP(A183, IMPORTRANGE(""https://docs.google.com/spreadsheets/d/1QNLbnkR_AongFt22vMfNzfpjZ0CjpI8QI-w0wBnYA1w/"", ""Инфа!A:AA""), 6, FALSE)"),2024)</f>
        <v>2024</v>
      </c>
      <c r="J186" s="5">
        <f ca="1">ROUND(((5000+G186*60)*1.3),-2)</f>
        <v>14300</v>
      </c>
      <c r="K186" s="9" t="s">
        <v>447</v>
      </c>
      <c r="L186" s="15" t="s">
        <v>812</v>
      </c>
    </row>
    <row r="187" spans="1:12" ht="123.75">
      <c r="A187" s="8" t="s">
        <v>813</v>
      </c>
      <c r="B187" s="9" t="s">
        <v>12</v>
      </c>
      <c r="C187" s="10" t="s">
        <v>151</v>
      </c>
      <c r="D187" s="10" t="str">
        <f ca="1">IFERROR(__xludf.DUMMYFUNCTION(" VLOOKUP(A184, IMPORTRANGE(""https://docs.google.com/spreadsheets/d/1fj_Bhi2XPL3siwIh4sx4VRLAe31yD50oKdj5UlRYW0c/"", ""Сводка!A:AA""), 11, FALSE)"),"978-601-342-155-1")</f>
        <v>978-601-342-155-1</v>
      </c>
      <c r="E187" s="11" t="s">
        <v>814</v>
      </c>
      <c r="F187" s="11" t="s">
        <v>815</v>
      </c>
      <c r="G187" s="12">
        <f ca="1">IFERROR(__xludf.DUMMYFUNCTION(" VLOOKUP(A184, IMPORTRANGE(""https://docs.google.com/spreadsheets/d/1fj_Bhi2XPL3siwIh4sx4VRLAe31yD50oKdj5UlRYW0c/"", ""Сводка!A:AA""), 5, FALSE)"),128)</f>
        <v>128</v>
      </c>
      <c r="H187" s="12" t="s">
        <v>47</v>
      </c>
      <c r="I187" s="10">
        <f ca="1">IFERROR(__xludf.DUMMYFUNCTION(" VLOOKUP(A184, IMPORTRANGE(""https://docs.google.com/spreadsheets/d/1QNLbnkR_AongFt22vMfNzfpjZ0CjpI8QI-w0wBnYA1w/"", ""Инфа!A:AA""), 6, FALSE)"),2024)</f>
        <v>2024</v>
      </c>
      <c r="J187" s="5">
        <f ca="1">ROUND((5000+G187*60),-2)</f>
        <v>12700</v>
      </c>
      <c r="K187" s="12" t="s">
        <v>447</v>
      </c>
      <c r="L187" s="15" t="s">
        <v>816</v>
      </c>
    </row>
    <row r="188" spans="1:12" ht="146.25">
      <c r="A188" s="8" t="s">
        <v>817</v>
      </c>
      <c r="B188" s="9" t="s">
        <v>12</v>
      </c>
      <c r="C188" s="10" t="s">
        <v>443</v>
      </c>
      <c r="D188" s="10" t="str">
        <f ca="1">IFERROR(__xludf.DUMMYFUNCTION(" VLOOKUP(A185, IMPORTRANGE(""https://docs.google.com/spreadsheets/d/1fj_Bhi2XPL3siwIh4sx4VRLAe31yD50oKdj5UlRYW0c/"", ""Сводка!A:AA""), 11, FALSE)"),"9965 - 720 - 89 - 4")</f>
        <v>9965 - 720 - 89 - 4</v>
      </c>
      <c r="E188" s="11" t="s">
        <v>818</v>
      </c>
      <c r="F188" s="11" t="s">
        <v>819</v>
      </c>
      <c r="G188" s="12">
        <f ca="1">IFERROR(__xludf.DUMMYFUNCTION(" VLOOKUP(A185, IMPORTRANGE(""https://docs.google.com/spreadsheets/d/1fj_Bhi2XPL3siwIh4sx4VRLAe31yD50oKdj5UlRYW0c/"", ""Сводка!A:AA""), 5, FALSE)"),156)</f>
        <v>156</v>
      </c>
      <c r="H188" s="12" t="s">
        <v>446</v>
      </c>
      <c r="I188" s="10">
        <f ca="1">IFERROR(__xludf.DUMMYFUNCTION(" VLOOKUP(A185, IMPORTRANGE(""https://docs.google.com/spreadsheets/d/1QNLbnkR_AongFt22vMfNzfpjZ0CjpI8QI-w0wBnYA1w/"", ""Инфа!A:AA""), 6, FALSE)"),2024)</f>
        <v>2024</v>
      </c>
      <c r="J188" s="5">
        <f ca="1">ROUND((5000+G188*30),-2)</f>
        <v>9700</v>
      </c>
      <c r="K188" s="12" t="s">
        <v>548</v>
      </c>
      <c r="L188" s="15" t="s">
        <v>820</v>
      </c>
    </row>
    <row r="189" spans="1:12" ht="168.75">
      <c r="A189" s="8" t="s">
        <v>821</v>
      </c>
      <c r="B189" s="9" t="s">
        <v>12</v>
      </c>
      <c r="C189" s="10" t="s">
        <v>443</v>
      </c>
      <c r="D189" s="10" t="str">
        <f ca="1">IFERROR(__xludf.DUMMYFUNCTION(" VLOOKUP(A186, IMPORTRANGE(""https://docs.google.com/spreadsheets/d/1fj_Bhi2XPL3siwIh4sx4VRLAe31yD50oKdj5UlRYW0c/"", ""Сводка!A:AA""), 11, FALSE)"),"9965 - 720 - 89 - 4")</f>
        <v>9965 - 720 - 89 - 4</v>
      </c>
      <c r="E189" s="11" t="s">
        <v>822</v>
      </c>
      <c r="F189" s="11" t="s">
        <v>823</v>
      </c>
      <c r="G189" s="12">
        <f ca="1">IFERROR(__xludf.DUMMYFUNCTION(" VLOOKUP(A186, IMPORTRANGE(""https://docs.google.com/spreadsheets/d/1fj_Bhi2XPL3siwIh4sx4VRLAe31yD50oKdj5UlRYW0c/"", ""Сводка!A:AA""), 5, FALSE)"),216)</f>
        <v>216</v>
      </c>
      <c r="H189" s="12" t="s">
        <v>446</v>
      </c>
      <c r="I189" s="10">
        <f ca="1">IFERROR(__xludf.DUMMYFUNCTION(" VLOOKUP(A186, IMPORTRANGE(""https://docs.google.com/spreadsheets/d/1QNLbnkR_AongFt22vMfNzfpjZ0CjpI8QI-w0wBnYA1w/"", ""Инфа!A:AA""), 6, FALSE)"),2024)</f>
        <v>2024</v>
      </c>
      <c r="J189" s="5">
        <f ca="1">ROUND((5000+G189*30),-2)</f>
        <v>11500</v>
      </c>
      <c r="K189" s="12" t="s">
        <v>548</v>
      </c>
      <c r="L189" s="15" t="s">
        <v>824</v>
      </c>
    </row>
    <row r="190" spans="1:12" ht="191.25">
      <c r="A190" s="8" t="s">
        <v>825</v>
      </c>
      <c r="B190" s="9" t="s">
        <v>12</v>
      </c>
      <c r="C190" s="10" t="s">
        <v>151</v>
      </c>
      <c r="D190" s="10" t="str">
        <f ca="1">IFERROR(__xludf.DUMMYFUNCTION(" VLOOKUP(A187, IMPORTRANGE(""https://docs.google.com/spreadsheets/d/1fj_Bhi2XPL3siwIh4sx4VRLAe31yD50oKdj5UlRYW0c/"", ""Сводка!A:AA""), 11, FALSE)"),"978-601-310-306-8")</f>
        <v>978-601-310-306-8</v>
      </c>
      <c r="E190" s="11" t="s">
        <v>826</v>
      </c>
      <c r="F190" s="11" t="s">
        <v>827</v>
      </c>
      <c r="G190" s="12">
        <f ca="1">IFERROR(__xludf.DUMMYFUNCTION(" VLOOKUP(A187, IMPORTRANGE(""https://docs.google.com/spreadsheets/d/1fj_Bhi2XPL3siwIh4sx4VRLAe31yD50oKdj5UlRYW0c/"", ""Сводка!A:AA""), 5, FALSE)"),128)</f>
        <v>128</v>
      </c>
      <c r="H190" s="12" t="s">
        <v>47</v>
      </c>
      <c r="I190" s="10">
        <f ca="1">IFERROR(__xludf.DUMMYFUNCTION(" VLOOKUP(A187, IMPORTRANGE(""https://docs.google.com/spreadsheets/d/1QNLbnkR_AongFt22vMfNzfpjZ0CjpI8QI-w0wBnYA1w/"", ""Инфа!A:AA""), 6, FALSE)"),2024)</f>
        <v>2024</v>
      </c>
      <c r="J190" s="5">
        <f ca="1">ROUND((5000+G190*30),-2)</f>
        <v>8800</v>
      </c>
      <c r="K190" s="9" t="s">
        <v>625</v>
      </c>
      <c r="L190" s="15" t="s">
        <v>828</v>
      </c>
    </row>
    <row r="191" spans="1:12" ht="112.5">
      <c r="A191" s="8" t="s">
        <v>829</v>
      </c>
      <c r="B191" s="9" t="s">
        <v>12</v>
      </c>
      <c r="C191" s="10" t="s">
        <v>151</v>
      </c>
      <c r="D191" s="10" t="str">
        <f ca="1">IFERROR(__xludf.DUMMYFUNCTION(" VLOOKUP(A188, IMPORTRANGE(""https://docs.google.com/spreadsheets/d/1fj_Bhi2XPL3siwIh4sx4VRLAe31yD50oKdj5UlRYW0c/"", ""Сводка!A:AA""), 11, FALSE)"),"978-601-327-949-7")</f>
        <v>978-601-327-949-7</v>
      </c>
      <c r="E191" s="11" t="s">
        <v>830</v>
      </c>
      <c r="F191" s="11" t="s">
        <v>831</v>
      </c>
      <c r="G191" s="12">
        <f ca="1">IFERROR(__xludf.DUMMYFUNCTION(" VLOOKUP(A188, IMPORTRANGE(""https://docs.google.com/spreadsheets/d/1fj_Bhi2XPL3siwIh4sx4VRLAe31yD50oKdj5UlRYW0c/"", ""Сводка!A:AA""), 5, FALSE)"),88)</f>
        <v>88</v>
      </c>
      <c r="H191" s="12" t="s">
        <v>47</v>
      </c>
      <c r="I191" s="10">
        <f ca="1">IFERROR(__xludf.DUMMYFUNCTION(" VLOOKUP(A188, IMPORTRANGE(""https://docs.google.com/spreadsheets/d/1QNLbnkR_AongFt22vMfNzfpjZ0CjpI8QI-w0wBnYA1w/"", ""Инфа!A:AA""), 6, FALSE)"),2024)</f>
        <v>2024</v>
      </c>
      <c r="J191" s="5">
        <v>7700</v>
      </c>
      <c r="K191" s="12" t="s">
        <v>277</v>
      </c>
      <c r="L191" s="15" t="s">
        <v>832</v>
      </c>
    </row>
    <row r="192" spans="1:12" ht="90">
      <c r="A192" s="8" t="s">
        <v>833</v>
      </c>
      <c r="B192" s="9" t="s">
        <v>12</v>
      </c>
      <c r="C192" s="10" t="s">
        <v>443</v>
      </c>
      <c r="D192" s="10" t="str">
        <f ca="1">IFERROR(__xludf.DUMMYFUNCTION(" VLOOKUP(A189, IMPORTRANGE(""https://docs.google.com/spreadsheets/d/1fj_Bhi2XPL3siwIh4sx4VRLAe31yD50oKdj5UlRYW0c/"", ""Сводка!A:AA""), 11, FALSE)"),"978-601-04-0174-7")</f>
        <v>978-601-04-0174-7</v>
      </c>
      <c r="E192" s="11" t="s">
        <v>830</v>
      </c>
      <c r="F192" s="11" t="s">
        <v>834</v>
      </c>
      <c r="G192" s="12">
        <f ca="1">IFERROR(__xludf.DUMMYFUNCTION(" VLOOKUP(A189, IMPORTRANGE(""https://docs.google.com/spreadsheets/d/1fj_Bhi2XPL3siwIh4sx4VRLAe31yD50oKdj5UlRYW0c/"", ""Сводка!A:AA""), 5, FALSE)"),340)</f>
        <v>340</v>
      </c>
      <c r="H192" s="12" t="s">
        <v>47</v>
      </c>
      <c r="I192" s="10">
        <f ca="1">IFERROR(__xludf.DUMMYFUNCTION(" VLOOKUP(A189, IMPORTRANGE(""https://docs.google.com/spreadsheets/d/1QNLbnkR_AongFt22vMfNzfpjZ0CjpI8QI-w0wBnYA1w/"", ""Инфа!A:AA""), 6, FALSE)"),2024)</f>
        <v>2024</v>
      </c>
      <c r="J192" s="5">
        <f ca="1">ROUND((5000+G192*30),-2)</f>
        <v>15200</v>
      </c>
      <c r="K192" s="12" t="s">
        <v>277</v>
      </c>
      <c r="L192" s="15" t="s">
        <v>835</v>
      </c>
    </row>
    <row r="193" spans="1:12" ht="90">
      <c r="A193" s="8" t="s">
        <v>836</v>
      </c>
      <c r="B193" s="9" t="s">
        <v>12</v>
      </c>
      <c r="C193" s="10" t="s">
        <v>443</v>
      </c>
      <c r="D193" s="10" t="str">
        <f ca="1">IFERROR(__xludf.DUMMYFUNCTION(" VLOOKUP(A190, IMPORTRANGE(""https://docs.google.com/spreadsheets/d/1fj_Bhi2XPL3siwIh4sx4VRLAe31yD50oKdj5UlRYW0c/"", ""Сводка!A:AA""), 11, FALSE)"),"978-601-04-0175-7")</f>
        <v>978-601-04-0175-7</v>
      </c>
      <c r="E193" s="11" t="s">
        <v>830</v>
      </c>
      <c r="F193" s="11" t="s">
        <v>837</v>
      </c>
      <c r="G193" s="12">
        <f ca="1">IFERROR(__xludf.DUMMYFUNCTION(" VLOOKUP(A190, IMPORTRANGE(""https://docs.google.com/spreadsheets/d/1fj_Bhi2XPL3siwIh4sx4VRLAe31yD50oKdj5UlRYW0c/"", ""Сводка!A:AA""), 5, FALSE)"),248)</f>
        <v>248</v>
      </c>
      <c r="H193" s="12" t="s">
        <v>47</v>
      </c>
      <c r="I193" s="10">
        <f ca="1">IFERROR(__xludf.DUMMYFUNCTION(" VLOOKUP(A190, IMPORTRANGE(""https://docs.google.com/spreadsheets/d/1QNLbnkR_AongFt22vMfNzfpjZ0CjpI8QI-w0wBnYA1w/"", ""Инфа!A:AA""), 6, FALSE)"),2024)</f>
        <v>2024</v>
      </c>
      <c r="J193" s="5">
        <f ca="1">ROUND((5000+G193*30),-2)</f>
        <v>12400</v>
      </c>
      <c r="K193" s="12" t="s">
        <v>277</v>
      </c>
      <c r="L193" s="15" t="s">
        <v>835</v>
      </c>
    </row>
    <row r="194" spans="1:12" ht="90">
      <c r="A194" s="8" t="s">
        <v>838</v>
      </c>
      <c r="B194" s="9" t="s">
        <v>12</v>
      </c>
      <c r="C194" s="10" t="s">
        <v>443</v>
      </c>
      <c r="D194" s="10" t="str">
        <f ca="1">IFERROR(__xludf.DUMMYFUNCTION(" VLOOKUP(A191, IMPORTRANGE(""https://docs.google.com/spreadsheets/d/1fj_Bhi2XPL3siwIh4sx4VRLAe31yD50oKdj5UlRYW0c/"", ""Сводка!A:AA""), 11, FALSE)"),"978-601-327-944-2")</f>
        <v>978-601-327-944-2</v>
      </c>
      <c r="E194" s="11" t="s">
        <v>830</v>
      </c>
      <c r="F194" s="11" t="s">
        <v>839</v>
      </c>
      <c r="G194" s="12">
        <f ca="1">IFERROR(__xludf.DUMMYFUNCTION(" VLOOKUP(A191, IMPORTRANGE(""https://docs.google.com/spreadsheets/d/1fj_Bhi2XPL3siwIh4sx4VRLAe31yD50oKdj5UlRYW0c/"", ""Сводка!A:AA""), 5, FALSE)"),180)</f>
        <v>180</v>
      </c>
      <c r="H194" s="12" t="s">
        <v>47</v>
      </c>
      <c r="I194" s="10">
        <f ca="1">IFERROR(__xludf.DUMMYFUNCTION(" VLOOKUP(A191, IMPORTRANGE(""https://docs.google.com/spreadsheets/d/1QNLbnkR_AongFt22vMfNzfpjZ0CjpI8QI-w0wBnYA1w/"", ""Инфа!A:AA""), 6, FALSE)"),2024)</f>
        <v>2024</v>
      </c>
      <c r="J194" s="5">
        <f ca="1">ROUND((5000+G194*30),-2)</f>
        <v>10400</v>
      </c>
      <c r="K194" s="12" t="s">
        <v>277</v>
      </c>
      <c r="L194" s="15" t="s">
        <v>840</v>
      </c>
    </row>
    <row r="195" spans="1:12" ht="168.75">
      <c r="A195" s="8" t="s">
        <v>841</v>
      </c>
      <c r="B195" s="9" t="s">
        <v>12</v>
      </c>
      <c r="C195" s="10" t="s">
        <v>443</v>
      </c>
      <c r="D195" s="10" t="str">
        <f ca="1">IFERROR(__xludf.DUMMYFUNCTION(" VLOOKUP(A192, IMPORTRANGE(""https://docs.google.com/spreadsheets/d/1fj_Bhi2XPL3siwIh4sx4VRLAe31yD50oKdj5UlRYW0c/"", ""Сводка!A:AA""), 11, FALSE)"),"978-601-327-952-7")</f>
        <v>978-601-327-952-7</v>
      </c>
      <c r="E195" s="11" t="s">
        <v>842</v>
      </c>
      <c r="F195" s="11" t="s">
        <v>843</v>
      </c>
      <c r="G195" s="12">
        <f ca="1">IFERROR(__xludf.DUMMYFUNCTION(" VLOOKUP(A192, IMPORTRANGE(""https://docs.google.com/spreadsheets/d/1fj_Bhi2XPL3siwIh4sx4VRLAe31yD50oKdj5UlRYW0c/"", ""Сводка!A:AA""), 5, FALSE)"),160)</f>
        <v>160</v>
      </c>
      <c r="H195" s="12" t="s">
        <v>47</v>
      </c>
      <c r="I195" s="10">
        <f ca="1">IFERROR(__xludf.DUMMYFUNCTION(" VLOOKUP(A192, IMPORTRANGE(""https://docs.google.com/spreadsheets/d/1QNLbnkR_AongFt22vMfNzfpjZ0CjpI8QI-w0wBnYA1w/"", ""Инфа!A:AA""), 6, FALSE)"),2024)</f>
        <v>2024</v>
      </c>
      <c r="J195" s="5">
        <f ca="1">ROUND((5000+G195*30),-2)</f>
        <v>9800</v>
      </c>
      <c r="K195" s="12" t="s">
        <v>277</v>
      </c>
      <c r="L195" s="15" t="s">
        <v>844</v>
      </c>
    </row>
    <row r="196" spans="1:12" ht="247.5">
      <c r="A196" s="8" t="s">
        <v>845</v>
      </c>
      <c r="B196" s="9" t="s">
        <v>12</v>
      </c>
      <c r="C196" s="10" t="s">
        <v>443</v>
      </c>
      <c r="D196" s="10" t="str">
        <f ca="1">IFERROR(__xludf.DUMMYFUNCTION(" VLOOKUP(A193, IMPORTRANGE(""https://docs.google.com/spreadsheets/d/1fj_Bhi2XPL3siwIh4sx4VRLAe31yD50oKdj5UlRYW0c/"", ""Сводка!A:AA""), 11, FALSE)"),"978-601-327-721-9")</f>
        <v>978-601-327-721-9</v>
      </c>
      <c r="E196" s="11" t="s">
        <v>846</v>
      </c>
      <c r="F196" s="11" t="s">
        <v>847</v>
      </c>
      <c r="G196" s="12">
        <f ca="1">IFERROR(__xludf.DUMMYFUNCTION(" VLOOKUP(A193, IMPORTRANGE(""https://docs.google.com/spreadsheets/d/1fj_Bhi2XPL3siwIh4sx4VRLAe31yD50oKdj5UlRYW0c/"", ""Сводка!A:AA""), 5, FALSE)"),244)</f>
        <v>244</v>
      </c>
      <c r="H196" s="12" t="s">
        <v>538</v>
      </c>
      <c r="I196" s="10">
        <f ca="1">IFERROR(__xludf.DUMMYFUNCTION(" VLOOKUP(A193, IMPORTRANGE(""https://docs.google.com/spreadsheets/d/1QNLbnkR_AongFt22vMfNzfpjZ0CjpI8QI-w0wBnYA1w/"", ""Инфа!A:AA""), 6, FALSE)"),2024)</f>
        <v>2024</v>
      </c>
      <c r="J196" s="5">
        <f ca="1">ROUND((5000+G196*60),-2)</f>
        <v>19600</v>
      </c>
      <c r="K196" s="12" t="s">
        <v>740</v>
      </c>
      <c r="L196" s="15" t="s">
        <v>848</v>
      </c>
    </row>
    <row r="197" spans="1:12" ht="202.5">
      <c r="A197" s="8" t="s">
        <v>849</v>
      </c>
      <c r="B197" s="9" t="s">
        <v>12</v>
      </c>
      <c r="C197" s="10" t="s">
        <v>443</v>
      </c>
      <c r="D197" s="10" t="str">
        <f ca="1">IFERROR(__xludf.DUMMYFUNCTION(" VLOOKUP(A194, IMPORTRANGE(""https://docs.google.com/spreadsheets/d/1fj_Bhi2XPL3siwIh4sx4VRLAe31yD50oKdj5UlRYW0c/"", ""Сводка!A:AA""), 11, FALSE)"),"978-601-240-642-8")</f>
        <v>978-601-240-642-8</v>
      </c>
      <c r="E197" s="11" t="s">
        <v>850</v>
      </c>
      <c r="F197" s="11" t="s">
        <v>851</v>
      </c>
      <c r="G197" s="12">
        <f ca="1">IFERROR(__xludf.DUMMYFUNCTION(" VLOOKUP(A194, IMPORTRANGE(""https://docs.google.com/spreadsheets/d/1fj_Bhi2XPL3siwIh4sx4VRLAe31yD50oKdj5UlRYW0c/"", ""Сводка!A:AA""), 5, FALSE)"),152)</f>
        <v>152</v>
      </c>
      <c r="H197" s="12" t="s">
        <v>47</v>
      </c>
      <c r="I197" s="10">
        <f ca="1">IFERROR(__xludf.DUMMYFUNCTION(" VLOOKUP(A194, IMPORTRANGE(""https://docs.google.com/spreadsheets/d/1QNLbnkR_AongFt22vMfNzfpjZ0CjpI8QI-w0wBnYA1w/"", ""Инфа!A:AA""), 6, FALSE)"),2024)</f>
        <v>2024</v>
      </c>
      <c r="J197" s="5">
        <f ca="1">ROUND((5000+G197*60),-2)</f>
        <v>14100</v>
      </c>
      <c r="K197" s="12" t="s">
        <v>447</v>
      </c>
      <c r="L197" s="15" t="s">
        <v>852</v>
      </c>
    </row>
    <row r="198" spans="1:12" ht="213.75">
      <c r="A198" s="8" t="s">
        <v>853</v>
      </c>
      <c r="B198" s="9" t="s">
        <v>12</v>
      </c>
      <c r="C198" s="10" t="s">
        <v>443</v>
      </c>
      <c r="D198" s="10" t="str">
        <f ca="1">IFERROR(__xludf.DUMMYFUNCTION(" VLOOKUP(A195, IMPORTRANGE(""https://docs.google.com/spreadsheets/d/1fj_Bhi2XPL3siwIh4sx4VRLAe31yD50oKdj5UlRYW0c/"", ""Сводка!A:AA""), 11, FALSE)"),"978-601-310-590-1")</f>
        <v>978-601-310-590-1</v>
      </c>
      <c r="E198" s="11" t="s">
        <v>850</v>
      </c>
      <c r="F198" s="11" t="s">
        <v>854</v>
      </c>
      <c r="G198" s="12">
        <f ca="1">IFERROR(__xludf.DUMMYFUNCTION(" VLOOKUP(A195, IMPORTRANGE(""https://docs.google.com/spreadsheets/d/1fj_Bhi2XPL3siwIh4sx4VRLAe31yD50oKdj5UlRYW0c/"", ""Сводка!A:AA""), 5, FALSE)"),128)</f>
        <v>128</v>
      </c>
      <c r="H198" s="12" t="s">
        <v>511</v>
      </c>
      <c r="I198" s="10">
        <f ca="1">IFERROR(__xludf.DUMMYFUNCTION(" VLOOKUP(A195, IMPORTRANGE(""https://docs.google.com/spreadsheets/d/1QNLbnkR_AongFt22vMfNzfpjZ0CjpI8QI-w0wBnYA1w/"", ""Инфа!A:AA""), 6, FALSE)"),2024)</f>
        <v>2024</v>
      </c>
      <c r="J198" s="5">
        <f ca="1">ROUND((5000+G198*60),-2)</f>
        <v>12700</v>
      </c>
      <c r="K198" s="12" t="s">
        <v>447</v>
      </c>
      <c r="L198" s="15" t="s">
        <v>855</v>
      </c>
    </row>
    <row r="199" spans="1:12" ht="101.25">
      <c r="A199" s="8" t="s">
        <v>856</v>
      </c>
      <c r="B199" s="9" t="s">
        <v>12</v>
      </c>
      <c r="C199" s="13" t="s">
        <v>443</v>
      </c>
      <c r="D199" s="10" t="str">
        <f ca="1">IFERROR(__xludf.DUMMYFUNCTION(" VLOOKUP(A196, IMPORTRANGE(""https://docs.google.com/spreadsheets/d/1fj_Bhi2XPL3siwIh4sx4VRLAe31yD50oKdj5UlRYW0c/"", ""Сводка!A:AA""), 11, FALSE)"),"978-601-342-170-4")</f>
        <v>978-601-342-170-4</v>
      </c>
      <c r="E199" s="11" t="s">
        <v>857</v>
      </c>
      <c r="F199" s="22" t="s">
        <v>858</v>
      </c>
      <c r="G199" s="12">
        <f ca="1">IFERROR(__xludf.DUMMYFUNCTION(" VLOOKUP(A196, IMPORTRANGE(""https://docs.google.com/spreadsheets/d/1fj_Bhi2XPL3siwIh4sx4VRLAe31yD50oKdj5UlRYW0c/"", ""Сводка!A:AA""), 5, FALSE)"),152)</f>
        <v>152</v>
      </c>
      <c r="H199" s="9" t="s">
        <v>859</v>
      </c>
      <c r="I199" s="10">
        <f ca="1">IFERROR(__xludf.DUMMYFUNCTION(" VLOOKUP(A196, IMPORTRANGE(""https://docs.google.com/spreadsheets/d/1QNLbnkR_AongFt22vMfNzfpjZ0CjpI8QI-w0wBnYA1w/"", ""Инфа!A:AA""), 6, FALSE)"),2024)</f>
        <v>2024</v>
      </c>
      <c r="J199" s="5">
        <f ca="1">ROUND((5000+G199*30),-2)</f>
        <v>9600</v>
      </c>
      <c r="K199" s="12" t="s">
        <v>860</v>
      </c>
      <c r="L199" s="15" t="s">
        <v>861</v>
      </c>
    </row>
    <row r="200" spans="1:12" ht="157.5">
      <c r="A200" s="8" t="s">
        <v>862</v>
      </c>
      <c r="B200" s="9" t="s">
        <v>12</v>
      </c>
      <c r="C200" s="13" t="s">
        <v>443</v>
      </c>
      <c r="D200" s="10" t="str">
        <f ca="1">IFERROR(__xludf.DUMMYFUNCTION(" VLOOKUP(A197, IMPORTRANGE(""https://docs.google.com/spreadsheets/d/1fj_Bhi2XPL3siwIh4sx4VRLAe31yD50oKdj5UlRYW0c/"", ""Сводка!A:AA""), 11, FALSE)"),"978-601-342-084-4")</f>
        <v>978-601-342-084-4</v>
      </c>
      <c r="E200" s="11" t="s">
        <v>863</v>
      </c>
      <c r="F200" s="22" t="s">
        <v>864</v>
      </c>
      <c r="G200" s="12">
        <f ca="1">IFERROR(__xludf.DUMMYFUNCTION(" VLOOKUP(A197, IMPORTRANGE(""https://docs.google.com/spreadsheets/d/1fj_Bhi2XPL3siwIh4sx4VRLAe31yD50oKdj5UlRYW0c/"", ""Сводка!A:AA""), 5, FALSE)"),88)</f>
        <v>88</v>
      </c>
      <c r="H200" s="10" t="s">
        <v>777</v>
      </c>
      <c r="I200" s="10">
        <f ca="1">IFERROR(__xludf.DUMMYFUNCTION(" VLOOKUP(A197, IMPORTRANGE(""https://docs.google.com/spreadsheets/d/1QNLbnkR_AongFt22vMfNzfpjZ0CjpI8QI-w0wBnYA1w/"", ""Инфа!A:AA""), 6, FALSE)"),2024)</f>
        <v>2024</v>
      </c>
      <c r="J200" s="5">
        <f ca="1">ROUND((5000+G200*60),-2)</f>
        <v>10300</v>
      </c>
      <c r="K200" s="12" t="s">
        <v>860</v>
      </c>
      <c r="L200" s="31" t="s">
        <v>866</v>
      </c>
    </row>
    <row r="201" spans="1:12" ht="123.75">
      <c r="A201" s="8" t="s">
        <v>867</v>
      </c>
      <c r="B201" s="9" t="s">
        <v>12</v>
      </c>
      <c r="C201" s="13" t="s">
        <v>443</v>
      </c>
      <c r="D201" s="10" t="str">
        <f ca="1">IFERROR(__xludf.DUMMYFUNCTION(" VLOOKUP(A198, IMPORTRANGE(""https://docs.google.com/spreadsheets/d/1fj_Bhi2XPL3siwIh4sx4VRLAe31yD50oKdj5UlRYW0c/"", ""Сводка!A:AA""), 11, FALSE)"),"978-601-342-083-7")</f>
        <v>978-601-342-083-7</v>
      </c>
      <c r="E201" s="22" t="s">
        <v>868</v>
      </c>
      <c r="F201" s="22" t="s">
        <v>869</v>
      </c>
      <c r="G201" s="12">
        <f ca="1">IFERROR(__xludf.DUMMYFUNCTION(" VLOOKUP(A198, IMPORTRANGE(""https://docs.google.com/spreadsheets/d/1fj_Bhi2XPL3siwIh4sx4VRLAe31yD50oKdj5UlRYW0c/"", ""Сводка!A:AA""), 5, FALSE)"),104)</f>
        <v>104</v>
      </c>
      <c r="H201" s="10" t="s">
        <v>777</v>
      </c>
      <c r="I201" s="10">
        <f ca="1">IFERROR(__xludf.DUMMYFUNCTION(" VLOOKUP(A198, IMPORTRANGE(""https://docs.google.com/spreadsheets/d/1QNLbnkR_AongFt22vMfNzfpjZ0CjpI8QI-w0wBnYA1w/"", ""Инфа!A:AA""), 6, FALSE)"),2024)</f>
        <v>2024</v>
      </c>
      <c r="J201" s="5">
        <f ca="1">ROUND((5000+G201*60),-2)</f>
        <v>11200</v>
      </c>
      <c r="K201" s="12" t="s">
        <v>860</v>
      </c>
      <c r="L201" s="15" t="s">
        <v>870</v>
      </c>
    </row>
    <row r="202" spans="1:12" ht="180">
      <c r="A202" s="8" t="s">
        <v>871</v>
      </c>
      <c r="B202" s="9" t="s">
        <v>12</v>
      </c>
      <c r="C202" s="10" t="s">
        <v>443</v>
      </c>
      <c r="D202" s="10" t="str">
        <f ca="1">IFERROR(__xludf.DUMMYFUNCTION(" VLOOKUP(A199, IMPORTRANGE(""https://docs.google.com/spreadsheets/d/1fj_Bhi2XPL3siwIh4sx4VRLAe31yD50oKdj5UlRYW0c/"", ""Сводка!A:AA""), 11, FALSE)"),"978-601-216-264-6")</f>
        <v>978-601-216-264-6</v>
      </c>
      <c r="E202" s="11" t="s">
        <v>872</v>
      </c>
      <c r="F202" s="22" t="s">
        <v>873</v>
      </c>
      <c r="G202" s="12">
        <f ca="1">IFERROR(__xludf.DUMMYFUNCTION(" VLOOKUP(A199, IMPORTRANGE(""https://docs.google.com/spreadsheets/d/1fj_Bhi2XPL3siwIh4sx4VRLAe31yD50oKdj5UlRYW0c/"", ""Сводка!A:AA""), 5, FALSE)"),172)</f>
        <v>172</v>
      </c>
      <c r="H202" s="12" t="s">
        <v>671</v>
      </c>
      <c r="I202" s="10">
        <f ca="1">IFERROR(__xludf.DUMMYFUNCTION(" VLOOKUP(A199, IMPORTRANGE(""https://docs.google.com/spreadsheets/d/1QNLbnkR_AongFt22vMfNzfpjZ0CjpI8QI-w0wBnYA1w/"", ""Инфа!A:AA""), 6, FALSE)"),2024)</f>
        <v>2024</v>
      </c>
      <c r="J202" s="5">
        <f ca="1">ROUND((5000+G202*60),-2)</f>
        <v>15300</v>
      </c>
      <c r="K202" s="12" t="s">
        <v>447</v>
      </c>
      <c r="L202" s="15" t="s">
        <v>874</v>
      </c>
    </row>
    <row r="203" spans="1:12" ht="168.75">
      <c r="A203" s="8" t="s">
        <v>875</v>
      </c>
      <c r="B203" s="9" t="s">
        <v>12</v>
      </c>
      <c r="C203" s="10" t="s">
        <v>443</v>
      </c>
      <c r="D203" s="10" t="str">
        <f ca="1">IFERROR(__xludf.DUMMYFUNCTION(" VLOOKUP(A200, IMPORTRANGE(""https://docs.google.com/spreadsheets/d/1fj_Bhi2XPL3siwIh4sx4VRLAe31yD50oKdj5UlRYW0c/"", ""Сводка!A:AA""), 11, FALSE)"),"978-601-232-255-2")</f>
        <v>978-601-232-255-2</v>
      </c>
      <c r="E203" s="11" t="s">
        <v>872</v>
      </c>
      <c r="F203" s="22" t="s">
        <v>876</v>
      </c>
      <c r="G203" s="12">
        <f ca="1">IFERROR(__xludf.DUMMYFUNCTION(" VLOOKUP(A200, IMPORTRANGE(""https://docs.google.com/spreadsheets/d/1fj_Bhi2XPL3siwIh4sx4VRLAe31yD50oKdj5UlRYW0c/"", ""Сводка!A:AA""), 5, FALSE)"),136)</f>
        <v>136</v>
      </c>
      <c r="H203" s="12" t="s">
        <v>671</v>
      </c>
      <c r="I203" s="10">
        <f ca="1">IFERROR(__xludf.DUMMYFUNCTION(" VLOOKUP(A200, IMPORTRANGE(""https://docs.google.com/spreadsheets/d/1QNLbnkR_AongFt22vMfNzfpjZ0CjpI8QI-w0wBnYA1w/"", ""Инфа!A:AA""), 6, FALSE)"),2024)</f>
        <v>2024</v>
      </c>
      <c r="J203" s="5">
        <f ca="1">ROUND((5000+G203*30),-2)</f>
        <v>9100</v>
      </c>
      <c r="K203" s="12" t="s">
        <v>447</v>
      </c>
      <c r="L203" s="15" t="s">
        <v>877</v>
      </c>
    </row>
    <row r="204" spans="1:12" ht="146.25">
      <c r="A204" s="8" t="s">
        <v>878</v>
      </c>
      <c r="B204" s="9" t="s">
        <v>12</v>
      </c>
      <c r="C204" s="10" t="s">
        <v>443</v>
      </c>
      <c r="D204" s="10" t="str">
        <f ca="1">IFERROR(__xludf.DUMMYFUNCTION(" VLOOKUP(A201, IMPORTRANGE(""https://docs.google.com/spreadsheets/d/1fj_Bhi2XPL3siwIh4sx4VRLAe31yD50oKdj5UlRYW0c/"", ""Сводка!A:AA""), 11, FALSE)"),"978-601-232-257-7")</f>
        <v>978-601-232-257-7</v>
      </c>
      <c r="E204" s="11" t="s">
        <v>872</v>
      </c>
      <c r="F204" s="22" t="s">
        <v>879</v>
      </c>
      <c r="G204" s="12">
        <f ca="1">IFERROR(__xludf.DUMMYFUNCTION(" VLOOKUP(A201, IMPORTRANGE(""https://docs.google.com/spreadsheets/d/1fj_Bhi2XPL3siwIh4sx4VRLAe31yD50oKdj5UlRYW0c/"", ""Сводка!A:AA""), 5, FALSE)"),100)</f>
        <v>100</v>
      </c>
      <c r="H204" s="12" t="s">
        <v>671</v>
      </c>
      <c r="I204" s="10">
        <f ca="1">IFERROR(__xludf.DUMMYFUNCTION(" VLOOKUP(A201, IMPORTRANGE(""https://docs.google.com/spreadsheets/d/1QNLbnkR_AongFt22vMfNzfpjZ0CjpI8QI-w0wBnYA1w/"", ""Инфа!A:AA""), 6, FALSE)"),2024)</f>
        <v>2024</v>
      </c>
      <c r="J204" s="5">
        <f ca="1">ROUND((5000+G204*30),-2)</f>
        <v>8000</v>
      </c>
      <c r="K204" s="12" t="s">
        <v>447</v>
      </c>
      <c r="L204" s="15" t="s">
        <v>880</v>
      </c>
    </row>
    <row r="205" spans="1:12" ht="112.5">
      <c r="A205" s="8" t="s">
        <v>881</v>
      </c>
      <c r="B205" s="9" t="s">
        <v>12</v>
      </c>
      <c r="C205" s="10" t="s">
        <v>443</v>
      </c>
      <c r="D205" s="10" t="str">
        <f ca="1">IFERROR(__xludf.DUMMYFUNCTION(" VLOOKUP(A202, IMPORTRANGE(""https://docs.google.com/spreadsheets/d/1fj_Bhi2XPL3siwIh4sx4VRLAe31yD50oKdj5UlRYW0c/"", ""Сводка!A:AA""), 11, FALSE)"),"978-601-232-255-2")</f>
        <v>978-601-232-255-2</v>
      </c>
      <c r="E205" s="11" t="s">
        <v>872</v>
      </c>
      <c r="F205" s="22" t="s">
        <v>882</v>
      </c>
      <c r="G205" s="12">
        <f ca="1">IFERROR(__xludf.DUMMYFUNCTION(" VLOOKUP(A202, IMPORTRANGE(""https://docs.google.com/spreadsheets/d/1fj_Bhi2XPL3siwIh4sx4VRLAe31yD50oKdj5UlRYW0c/"", ""Сводка!A:AA""), 5, FALSE)"),188)</f>
        <v>188</v>
      </c>
      <c r="H205" s="12" t="s">
        <v>671</v>
      </c>
      <c r="I205" s="10">
        <f ca="1">IFERROR(__xludf.DUMMYFUNCTION(" VLOOKUP(A202, IMPORTRANGE(""https://docs.google.com/spreadsheets/d/1QNLbnkR_AongFt22vMfNzfpjZ0CjpI8QI-w0wBnYA1w/"", ""Инфа!A:AA""), 6, FALSE)"),2024)</f>
        <v>2024</v>
      </c>
      <c r="J205" s="5">
        <f ca="1">ROUND((5000+G205*30),-2)</f>
        <v>10600</v>
      </c>
      <c r="K205" s="12" t="s">
        <v>447</v>
      </c>
      <c r="L205" s="15" t="s">
        <v>883</v>
      </c>
    </row>
    <row r="206" spans="1:12" ht="112.5">
      <c r="A206" s="8" t="s">
        <v>884</v>
      </c>
      <c r="B206" s="9" t="s">
        <v>12</v>
      </c>
      <c r="C206" s="10" t="s">
        <v>885</v>
      </c>
      <c r="D206" s="10" t="str">
        <f ca="1">IFERROR(__xludf.DUMMYFUNCTION(" VLOOKUP(A203, IMPORTRANGE(""https://docs.google.com/spreadsheets/d/1fj_Bhi2XPL3siwIh4sx4VRLAe31yD50oKdj5UlRYW0c/"", ""Сводка!A:AA""), 11, FALSE)"),"978-601-216-264-6")</f>
        <v>978-601-216-264-6</v>
      </c>
      <c r="E206" s="11" t="s">
        <v>872</v>
      </c>
      <c r="F206" s="22" t="s">
        <v>886</v>
      </c>
      <c r="G206" s="12">
        <f ca="1">IFERROR(__xludf.DUMMYFUNCTION(" VLOOKUP(A203, IMPORTRANGE(""https://docs.google.com/spreadsheets/d/1fj_Bhi2XPL3siwIh4sx4VRLAe31yD50oKdj5UlRYW0c/"", ""Сводка!A:AA""), 5, FALSE)"),160)</f>
        <v>160</v>
      </c>
      <c r="H206" s="12" t="s">
        <v>671</v>
      </c>
      <c r="I206" s="10">
        <f ca="1">IFERROR(__xludf.DUMMYFUNCTION(" VLOOKUP(A203, IMPORTRANGE(""https://docs.google.com/spreadsheets/d/1QNLbnkR_AongFt22vMfNzfpjZ0CjpI8QI-w0wBnYA1w/"", ""Инфа!A:AA""), 6, FALSE)"),2024)</f>
        <v>2024</v>
      </c>
      <c r="J206" s="5">
        <f ca="1">ROUND((5000+G206*30),-2)</f>
        <v>9800</v>
      </c>
      <c r="K206" s="12" t="s">
        <v>447</v>
      </c>
      <c r="L206" s="15" t="s">
        <v>887</v>
      </c>
    </row>
    <row r="207" spans="1:12" ht="202.5">
      <c r="A207" s="8" t="s">
        <v>888</v>
      </c>
      <c r="B207" s="9" t="s">
        <v>12</v>
      </c>
      <c r="C207" s="10" t="s">
        <v>885</v>
      </c>
      <c r="D207" s="10" t="str">
        <f ca="1">IFERROR(__xludf.DUMMYFUNCTION(" VLOOKUP(A204, IMPORTRANGE(""https://docs.google.com/spreadsheets/d/1fj_Bhi2XPL3siwIh4sx4VRLAe31yD50oKdj5UlRYW0c/"", ""Сводка!A:AA""), 11, FALSE)"),"978-601-327-909-1")</f>
        <v>978-601-327-909-1</v>
      </c>
      <c r="E207" s="11" t="s">
        <v>872</v>
      </c>
      <c r="F207" s="22" t="s">
        <v>889</v>
      </c>
      <c r="G207" s="12">
        <f ca="1">IFERROR(__xludf.DUMMYFUNCTION(" VLOOKUP(A204, IMPORTRANGE(""https://docs.google.com/spreadsheets/d/1fj_Bhi2XPL3siwIh4sx4VRLAe31yD50oKdj5UlRYW0c/"", ""Сводка!A:AA""), 5, FALSE)"),152)</f>
        <v>152</v>
      </c>
      <c r="H207" s="12" t="s">
        <v>671</v>
      </c>
      <c r="I207" s="10">
        <f ca="1">IFERROR(__xludf.DUMMYFUNCTION(" VLOOKUP(A204, IMPORTRANGE(""https://docs.google.com/spreadsheets/d/1QNLbnkR_AongFt22vMfNzfpjZ0CjpI8QI-w0wBnYA1w/"", ""Инфа!A:AA""), 6, FALSE)"),2024)</f>
        <v>2024</v>
      </c>
      <c r="J207" s="5">
        <f ca="1">ROUND((5000+G207*60),-2)</f>
        <v>14100</v>
      </c>
      <c r="K207" s="12" t="s">
        <v>447</v>
      </c>
      <c r="L207" s="15" t="s">
        <v>890</v>
      </c>
    </row>
    <row r="208" spans="1:12" ht="168.75">
      <c r="A208" s="8" t="s">
        <v>891</v>
      </c>
      <c r="B208" s="9" t="s">
        <v>12</v>
      </c>
      <c r="C208" s="10" t="s">
        <v>885</v>
      </c>
      <c r="D208" s="10" t="str">
        <f ca="1">IFERROR(__xludf.DUMMYFUNCTION(" VLOOKUP(A205, IMPORTRANGE(""https://docs.google.com/spreadsheets/d/1fj_Bhi2XPL3siwIh4sx4VRLAe31yD50oKdj5UlRYW0c/"", ""Сводка!A:AA""), 11, FALSE)"),"978-601-327-908-4")</f>
        <v>978-601-327-908-4</v>
      </c>
      <c r="E208" s="11" t="s">
        <v>872</v>
      </c>
      <c r="F208" s="22" t="s">
        <v>892</v>
      </c>
      <c r="G208" s="12">
        <f ca="1">IFERROR(__xludf.DUMMYFUNCTION(" VLOOKUP(A205, IMPORTRANGE(""https://docs.google.com/spreadsheets/d/1fj_Bhi2XPL3siwIh4sx4VRLAe31yD50oKdj5UlRYW0c/"", ""Сводка!A:AA""), 5, FALSE)"),116)</f>
        <v>116</v>
      </c>
      <c r="H208" s="12" t="s">
        <v>538</v>
      </c>
      <c r="I208" s="10">
        <f ca="1">IFERROR(__xludf.DUMMYFUNCTION(" VLOOKUP(A205, IMPORTRANGE(""https://docs.google.com/spreadsheets/d/1QNLbnkR_AongFt22vMfNzfpjZ0CjpI8QI-w0wBnYA1w/"", ""Инфа!A:AA""), 6, FALSE)"),2024)</f>
        <v>2024</v>
      </c>
      <c r="J208" s="5">
        <f ca="1">ROUND((5000+G208*30),-2)</f>
        <v>8500</v>
      </c>
      <c r="K208" s="12" t="s">
        <v>447</v>
      </c>
      <c r="L208" s="15" t="s">
        <v>893</v>
      </c>
    </row>
    <row r="209" spans="1:12" ht="157.5">
      <c r="A209" s="8" t="s">
        <v>894</v>
      </c>
      <c r="B209" s="9" t="s">
        <v>12</v>
      </c>
      <c r="C209" s="13" t="s">
        <v>885</v>
      </c>
      <c r="D209" s="10" t="str">
        <f ca="1">IFERROR(__xludf.DUMMYFUNCTION(" VLOOKUP(A206, IMPORTRANGE(""https://docs.google.com/spreadsheets/d/1fj_Bhi2XPL3siwIh4sx4VRLAe31yD50oKdj5UlRYW0c/"", ""Сводка!A:AA""), 11, FALSE)"),"978-601-232-258-5")</f>
        <v>978-601-232-258-5</v>
      </c>
      <c r="E209" s="11" t="s">
        <v>872</v>
      </c>
      <c r="F209" s="32" t="s">
        <v>895</v>
      </c>
      <c r="G209" s="12">
        <f ca="1">IFERROR(__xludf.DUMMYFUNCTION(" VLOOKUP(A206, IMPORTRANGE(""https://docs.google.com/spreadsheets/d/1fj_Bhi2XPL3siwIh4sx4VRLAe31yD50oKdj5UlRYW0c/"", ""Сводка!A:AA""), 5, FALSE)"),132)</f>
        <v>132</v>
      </c>
      <c r="H209" s="12" t="s">
        <v>538</v>
      </c>
      <c r="I209" s="10">
        <f ca="1">IFERROR(__xludf.DUMMYFUNCTION(" VLOOKUP(A206, IMPORTRANGE(""https://docs.google.com/spreadsheets/d/1QNLbnkR_AongFt22vMfNzfpjZ0CjpI8QI-w0wBnYA1w/"", ""Инфа!A:AA""), 6, FALSE)"),2024)</f>
        <v>2024</v>
      </c>
      <c r="J209" s="5">
        <f ca="1">ROUND((5000+G209*30),-2)</f>
        <v>9000</v>
      </c>
      <c r="K209" s="12" t="s">
        <v>860</v>
      </c>
      <c r="L209" s="21" t="s">
        <v>896</v>
      </c>
    </row>
    <row r="210" spans="1:12" ht="146.25">
      <c r="A210" s="8" t="s">
        <v>897</v>
      </c>
      <c r="B210" s="9" t="s">
        <v>12</v>
      </c>
      <c r="C210" s="13" t="s">
        <v>443</v>
      </c>
      <c r="D210" s="10" t="str">
        <f ca="1">IFERROR(__xludf.DUMMYFUNCTION(" VLOOKUP(A207, IMPORTRANGE(""https://docs.google.com/spreadsheets/d/1fj_Bhi2XPL3siwIh4sx4VRLAe31yD50oKdj5UlRYW0c/"", ""Сводка!A:AA""), 11, FALSE)"),"978-601-342-085-1")</f>
        <v>978-601-342-085-1</v>
      </c>
      <c r="E210" s="22" t="s">
        <v>898</v>
      </c>
      <c r="F210" s="22" t="s">
        <v>899</v>
      </c>
      <c r="G210" s="12">
        <f ca="1">IFERROR(__xludf.DUMMYFUNCTION(" VLOOKUP(A207, IMPORTRANGE(""https://docs.google.com/spreadsheets/d/1fj_Bhi2XPL3siwIh4sx4VRLAe31yD50oKdj5UlRYW0c/"", ""Сводка!A:AA""), 5, FALSE)"),88)</f>
        <v>88</v>
      </c>
      <c r="H210" s="10" t="s">
        <v>777</v>
      </c>
      <c r="I210" s="10">
        <f ca="1">IFERROR(__xludf.DUMMYFUNCTION(" VLOOKUP(A207, IMPORTRANGE(""https://docs.google.com/spreadsheets/d/1QNLbnkR_AongFt22vMfNzfpjZ0CjpI8QI-w0wBnYA1w/"", ""Инфа!A:AA""), 6, FALSE)"),2024)</f>
        <v>2024</v>
      </c>
      <c r="J210" s="5">
        <f t="shared" ref="J210:J215" ca="1" si="3">ROUND((5000+G210*60),-2)</f>
        <v>10300</v>
      </c>
      <c r="K210" s="12" t="s">
        <v>447</v>
      </c>
      <c r="L210" s="31" t="s">
        <v>900</v>
      </c>
    </row>
    <row r="211" spans="1:12" ht="281.25">
      <c r="A211" s="8" t="s">
        <v>901</v>
      </c>
      <c r="B211" s="9" t="s">
        <v>12</v>
      </c>
      <c r="C211" s="10" t="s">
        <v>443</v>
      </c>
      <c r="D211" s="10" t="str">
        <f ca="1">IFERROR(__xludf.DUMMYFUNCTION(" VLOOKUP(A208, IMPORTRANGE(""https://docs.google.com/spreadsheets/d/1fj_Bhi2XPL3siwIh4sx4VRLAe31yD50oKdj5UlRYW0c/"", ""Сводка!A:AA""), 11, FALSE)"),"978-601-342-208-4")</f>
        <v>978-601-342-208-4</v>
      </c>
      <c r="E211" s="11" t="s">
        <v>902</v>
      </c>
      <c r="F211" s="22" t="s">
        <v>903</v>
      </c>
      <c r="G211" s="12">
        <f ca="1">IFERROR(__xludf.DUMMYFUNCTION(" VLOOKUP(A208, IMPORTRANGE(""https://docs.google.com/spreadsheets/d/1fj_Bhi2XPL3siwIh4sx4VRLAe31yD50oKdj5UlRYW0c/"", ""Сводка!A:AA""), 5, FALSE)"),236)</f>
        <v>236</v>
      </c>
      <c r="H211" s="12" t="s">
        <v>24</v>
      </c>
      <c r="I211" s="10">
        <f ca="1">IFERROR(__xludf.DUMMYFUNCTION(" VLOOKUP(A208, IMPORTRANGE(""https://docs.google.com/spreadsheets/d/1QNLbnkR_AongFt22vMfNzfpjZ0CjpI8QI-w0wBnYA1w/"", ""Инфа!A:AA""), 6, FALSE)"),2024)</f>
        <v>2024</v>
      </c>
      <c r="J211" s="5">
        <f t="shared" ca="1" si="3"/>
        <v>19200</v>
      </c>
      <c r="K211" s="12" t="s">
        <v>447</v>
      </c>
      <c r="L211" s="15" t="s">
        <v>904</v>
      </c>
    </row>
    <row r="212" spans="1:12" ht="281.25">
      <c r="A212" s="8" t="s">
        <v>905</v>
      </c>
      <c r="B212" s="9" t="s">
        <v>12</v>
      </c>
      <c r="C212" s="10" t="s">
        <v>443</v>
      </c>
      <c r="D212" s="10" t="str">
        <f ca="1">IFERROR(__xludf.DUMMYFUNCTION(" VLOOKUP(A209, IMPORTRANGE(""https://docs.google.com/spreadsheets/d/1fj_Bhi2XPL3siwIh4sx4VRLAe31yD50oKdj5UlRYW0c/"", ""Сводка!A:AA""), 11, FALSE)"),"978-601-342-208-4")</f>
        <v>978-601-342-208-4</v>
      </c>
      <c r="E212" s="11" t="s">
        <v>902</v>
      </c>
      <c r="F212" s="22" t="s">
        <v>906</v>
      </c>
      <c r="G212" s="12">
        <f ca="1">IFERROR(__xludf.DUMMYFUNCTION(" VLOOKUP(A209, IMPORTRANGE(""https://docs.google.com/spreadsheets/d/1fj_Bhi2XPL3siwIh4sx4VRLAe31yD50oKdj5UlRYW0c/"", ""Сводка!A:AA""), 5, FALSE)"),248)</f>
        <v>248</v>
      </c>
      <c r="H212" s="12" t="s">
        <v>24</v>
      </c>
      <c r="I212" s="10">
        <f ca="1">IFERROR(__xludf.DUMMYFUNCTION(" VLOOKUP(A209, IMPORTRANGE(""https://docs.google.com/spreadsheets/d/1QNLbnkR_AongFt22vMfNzfpjZ0CjpI8QI-w0wBnYA1w/"", ""Инфа!A:AA""), 6, FALSE)"),2024)</f>
        <v>2024</v>
      </c>
      <c r="J212" s="5">
        <f t="shared" ca="1" si="3"/>
        <v>19900</v>
      </c>
      <c r="K212" s="12" t="s">
        <v>447</v>
      </c>
      <c r="L212" s="15" t="s">
        <v>904</v>
      </c>
    </row>
    <row r="213" spans="1:12" ht="101.25">
      <c r="A213" s="8" t="s">
        <v>907</v>
      </c>
      <c r="B213" s="9" t="s">
        <v>12</v>
      </c>
      <c r="C213" s="13" t="s">
        <v>443</v>
      </c>
      <c r="D213" s="10" t="str">
        <f ca="1">IFERROR(__xludf.DUMMYFUNCTION(" VLOOKUP(A210, IMPORTRANGE(""https://docs.google.com/spreadsheets/d/1fj_Bhi2XPL3siwIh4sx4VRLAe31yD50oKdj5UlRYW0c/"", ""Сводка!A:AA""), 11, FALSE)"),"9965-13-872-9")</f>
        <v>9965-13-872-9</v>
      </c>
      <c r="E213" s="19" t="s">
        <v>872</v>
      </c>
      <c r="F213" s="32" t="s">
        <v>908</v>
      </c>
      <c r="G213" s="12">
        <f ca="1">IFERROR(__xludf.DUMMYFUNCTION(" VLOOKUP(A210, IMPORTRANGE(""https://docs.google.com/spreadsheets/d/1fj_Bhi2XPL3siwIh4sx4VRLAe31yD50oKdj5UlRYW0c/"", ""Сводка!A:AA""), 5, FALSE)"),224)</f>
        <v>224</v>
      </c>
      <c r="H213" s="9" t="s">
        <v>859</v>
      </c>
      <c r="I213" s="10">
        <f ca="1">IFERROR(__xludf.DUMMYFUNCTION(" VLOOKUP(A210, IMPORTRANGE(""https://docs.google.com/spreadsheets/d/1QNLbnkR_AongFt22vMfNzfpjZ0CjpI8QI-w0wBnYA1w/"", ""Инфа!A:AA""), 6, FALSE)"),2024)</f>
        <v>2024</v>
      </c>
      <c r="J213" s="5">
        <f t="shared" ca="1" si="3"/>
        <v>18400</v>
      </c>
      <c r="K213" s="12" t="s">
        <v>447</v>
      </c>
      <c r="L213" s="21" t="s">
        <v>909</v>
      </c>
    </row>
    <row r="214" spans="1:12" ht="90">
      <c r="A214" s="8" t="s">
        <v>910</v>
      </c>
      <c r="B214" s="9" t="s">
        <v>12</v>
      </c>
      <c r="C214" s="10" t="s">
        <v>443</v>
      </c>
      <c r="D214" s="10" t="str">
        <f ca="1">IFERROR(__xludf.DUMMYFUNCTION(" VLOOKUP(A211, IMPORTRANGE(""https://docs.google.com/spreadsheets/d/1fj_Bhi2XPL3siwIh4sx4VRLAe31yD50oKdj5UlRYW0c/"", ""Сводка!A:AA""), 11, FALSE)"),"978-601-7365-39-4")</f>
        <v>978-601-7365-39-4</v>
      </c>
      <c r="E214" s="11" t="s">
        <v>911</v>
      </c>
      <c r="F214" s="22" t="s">
        <v>912</v>
      </c>
      <c r="G214" s="12">
        <f ca="1">IFERROR(__xludf.DUMMYFUNCTION(" VLOOKUP(A211, IMPORTRANGE(""https://docs.google.com/spreadsheets/d/1fj_Bhi2XPL3siwIh4sx4VRLAe31yD50oKdj5UlRYW0c/"", ""Сводка!A:AA""), 5, FALSE)"),144)</f>
        <v>144</v>
      </c>
      <c r="H214" s="12" t="s">
        <v>859</v>
      </c>
      <c r="I214" s="10">
        <f ca="1">IFERROR(__xludf.DUMMYFUNCTION(" VLOOKUP(A211, IMPORTRANGE(""https://docs.google.com/spreadsheets/d/1QNLbnkR_AongFt22vMfNzfpjZ0CjpI8QI-w0wBnYA1w/"", ""Инфа!A:AA""), 6, FALSE)"),2024)</f>
        <v>2024</v>
      </c>
      <c r="J214" s="5">
        <f t="shared" ca="1" si="3"/>
        <v>13600</v>
      </c>
      <c r="K214" s="12" t="s">
        <v>447</v>
      </c>
      <c r="L214" s="15" t="s">
        <v>913</v>
      </c>
    </row>
    <row r="215" spans="1:12" ht="78.75">
      <c r="A215" s="8" t="s">
        <v>914</v>
      </c>
      <c r="B215" s="9" t="s">
        <v>12</v>
      </c>
      <c r="C215" s="10" t="s">
        <v>443</v>
      </c>
      <c r="D215" s="10" t="str">
        <f ca="1">IFERROR(__xludf.DUMMYFUNCTION(" VLOOKUP(A212, IMPORTRANGE(""https://docs.google.com/spreadsheets/d/1fj_Bhi2XPL3siwIh4sx4VRLAe31yD50oKdj5UlRYW0c/"", ""Сводка!A:AA""), 11, FALSE)"),"9965-14-736-1")</f>
        <v>9965-14-736-1</v>
      </c>
      <c r="E215" s="11" t="s">
        <v>911</v>
      </c>
      <c r="F215" s="22" t="s">
        <v>915</v>
      </c>
      <c r="G215" s="12">
        <f ca="1">IFERROR(__xludf.DUMMYFUNCTION(" VLOOKUP(A212, IMPORTRANGE(""https://docs.google.com/spreadsheets/d/1fj_Bhi2XPL3siwIh4sx4VRLAe31yD50oKdj5UlRYW0c/"", ""Сводка!A:AA""), 5, FALSE)"),84)</f>
        <v>84</v>
      </c>
      <c r="H215" s="12" t="s">
        <v>859</v>
      </c>
      <c r="I215" s="10">
        <f ca="1">IFERROR(__xludf.DUMMYFUNCTION(" VLOOKUP(A212, IMPORTRANGE(""https://docs.google.com/spreadsheets/d/1QNLbnkR_AongFt22vMfNzfpjZ0CjpI8QI-w0wBnYA1w/"", ""Инфа!A:AA""), 6, FALSE)"),2024)</f>
        <v>2024</v>
      </c>
      <c r="J215" s="5">
        <f t="shared" ca="1" si="3"/>
        <v>10000</v>
      </c>
      <c r="K215" s="12" t="s">
        <v>447</v>
      </c>
      <c r="L215" s="15" t="s">
        <v>916</v>
      </c>
    </row>
    <row r="216" spans="1:12" ht="157.5">
      <c r="A216" s="8" t="s">
        <v>917</v>
      </c>
      <c r="B216" s="9" t="s">
        <v>12</v>
      </c>
      <c r="C216" s="10" t="s">
        <v>443</v>
      </c>
      <c r="D216" s="10" t="str">
        <f ca="1">IFERROR(__xludf.DUMMYFUNCTION(" VLOOKUP(A213, IMPORTRANGE(""https://docs.google.com/spreadsheets/d/1fj_Bhi2XPL3siwIh4sx4VRLAe31yD50oKdj5UlRYW0c/"", ""Сводка!A:AA""), 11, FALSE)"),"9965-01-042-0")</f>
        <v>9965-01-042-0</v>
      </c>
      <c r="E216" s="11" t="s">
        <v>911</v>
      </c>
      <c r="F216" s="22" t="s">
        <v>918</v>
      </c>
      <c r="G216" s="12">
        <f ca="1">IFERROR(__xludf.DUMMYFUNCTION(" VLOOKUP(A213, IMPORTRANGE(""https://docs.google.com/spreadsheets/d/1fj_Bhi2XPL3siwIh4sx4VRLAe31yD50oKdj5UlRYW0c/"", ""Сводка!A:AA""), 5, FALSE)"),120)</f>
        <v>120</v>
      </c>
      <c r="H216" s="12" t="s">
        <v>859</v>
      </c>
      <c r="I216" s="10">
        <f ca="1">IFERROR(__xludf.DUMMYFUNCTION(" VLOOKUP(A213, IMPORTRANGE(""https://docs.google.com/spreadsheets/d/1QNLbnkR_AongFt22vMfNzfpjZ0CjpI8QI-w0wBnYA1w/"", ""Инфа!A:AA""), 6, FALSE)"),2024)</f>
        <v>2024</v>
      </c>
      <c r="J216" s="5">
        <f ca="1">ROUND((5000+G216*30),-2)</f>
        <v>8600</v>
      </c>
      <c r="K216" s="12" t="s">
        <v>447</v>
      </c>
      <c r="L216" s="15" t="s">
        <v>920</v>
      </c>
    </row>
    <row r="217" spans="1:12" ht="157.5">
      <c r="A217" s="8" t="s">
        <v>921</v>
      </c>
      <c r="B217" s="9" t="s">
        <v>12</v>
      </c>
      <c r="C217" s="10" t="s">
        <v>443</v>
      </c>
      <c r="D217" s="10" t="str">
        <f ca="1">IFERROR(__xludf.DUMMYFUNCTION(" VLOOKUP(A214, IMPORTRANGE(""https://docs.google.com/spreadsheets/d/1fj_Bhi2XPL3siwIh4sx4VRLAe31yD50oKdj5UlRYW0c/"", ""Сводка!A:AA""), 11, FALSE)"),"996-14-736-1")</f>
        <v>996-14-736-1</v>
      </c>
      <c r="E217" s="11" t="s">
        <v>911</v>
      </c>
      <c r="F217" s="22" t="s">
        <v>922</v>
      </c>
      <c r="G217" s="12">
        <f ca="1">IFERROR(__xludf.DUMMYFUNCTION(" VLOOKUP(A214, IMPORTRANGE(""https://docs.google.com/spreadsheets/d/1fj_Bhi2XPL3siwIh4sx4VRLAe31yD50oKdj5UlRYW0c/"", ""Сводка!A:AA""), 5, FALSE)"),80)</f>
        <v>80</v>
      </c>
      <c r="H217" s="12" t="s">
        <v>538</v>
      </c>
      <c r="I217" s="10">
        <f ca="1">IFERROR(__xludf.DUMMYFUNCTION(" VLOOKUP(A214, IMPORTRANGE(""https://docs.google.com/spreadsheets/d/1QNLbnkR_AongFt22vMfNzfpjZ0CjpI8QI-w0wBnYA1w/"", ""Инфа!A:AA""), 6, FALSE)"),2024)</f>
        <v>2024</v>
      </c>
      <c r="J217" s="5">
        <f ca="1">ROUND((5000+G217*60),-2)</f>
        <v>9800</v>
      </c>
      <c r="K217" s="12" t="s">
        <v>447</v>
      </c>
      <c r="L217" s="15" t="s">
        <v>923</v>
      </c>
    </row>
    <row r="218" spans="1:12" ht="112.5">
      <c r="A218" s="8" t="s">
        <v>924</v>
      </c>
      <c r="B218" s="9" t="s">
        <v>12</v>
      </c>
      <c r="C218" s="10" t="s">
        <v>443</v>
      </c>
      <c r="D218" s="10" t="str">
        <f ca="1">IFERROR(__xludf.DUMMYFUNCTION(" VLOOKUP(A215, IMPORTRANGE(""https://docs.google.com/spreadsheets/d/1fj_Bhi2XPL3siwIh4sx4VRLAe31yD50oKdj5UlRYW0c/"", ""Сводка!A:AA""), 11, FALSE)"),"978-601-232-817-2")</f>
        <v>978-601-232-817-2</v>
      </c>
      <c r="E218" s="11" t="s">
        <v>911</v>
      </c>
      <c r="F218" s="22" t="s">
        <v>925</v>
      </c>
      <c r="G218" s="12">
        <f ca="1">IFERROR(__xludf.DUMMYFUNCTION(" VLOOKUP(A215, IMPORTRANGE(""https://docs.google.com/spreadsheets/d/1fj_Bhi2XPL3siwIh4sx4VRLAe31yD50oKdj5UlRYW0c/"", ""Сводка!A:AA""), 5, FALSE)"),84)</f>
        <v>84</v>
      </c>
      <c r="H218" s="12" t="s">
        <v>859</v>
      </c>
      <c r="I218" s="10">
        <f ca="1">IFERROR(__xludf.DUMMYFUNCTION(" VLOOKUP(A215, IMPORTRANGE(""https://docs.google.com/spreadsheets/d/1QNLbnkR_AongFt22vMfNzfpjZ0CjpI8QI-w0wBnYA1w/"", ""Инфа!A:AA""), 6, FALSE)"),2024)</f>
        <v>2024</v>
      </c>
      <c r="J218" s="5">
        <f ca="1">ROUND((5000+G218*30),-2)</f>
        <v>7500</v>
      </c>
      <c r="K218" s="12" t="s">
        <v>447</v>
      </c>
      <c r="L218" s="15" t="s">
        <v>926</v>
      </c>
    </row>
    <row r="219" spans="1:12" ht="135">
      <c r="A219" s="8" t="s">
        <v>927</v>
      </c>
      <c r="B219" s="9" t="s">
        <v>12</v>
      </c>
      <c r="C219" s="10" t="s">
        <v>443</v>
      </c>
      <c r="D219" s="10" t="str">
        <f ca="1">IFERROR(__xludf.DUMMYFUNCTION(" VLOOKUP(A216, IMPORTRANGE(""https://docs.google.com/spreadsheets/d/1fj_Bhi2XPL3siwIh4sx4VRLAe31yD50oKdj5UlRYW0c/"", ""Сводка!A:AA""), 11, FALSE)"),"978-601-240-948-2")</f>
        <v>978-601-240-948-2</v>
      </c>
      <c r="E219" s="19" t="s">
        <v>928</v>
      </c>
      <c r="F219" s="11" t="s">
        <v>929</v>
      </c>
      <c r="G219" s="12">
        <f ca="1">IFERROR(__xludf.DUMMYFUNCTION(" VLOOKUP(A216, IMPORTRANGE(""https://docs.google.com/spreadsheets/d/1fj_Bhi2XPL3siwIh4sx4VRLAe31yD50oKdj5UlRYW0c/"", ""Сводка!A:AA""), 5, FALSE)"),132)</f>
        <v>132</v>
      </c>
      <c r="H219" s="12" t="s">
        <v>538</v>
      </c>
      <c r="I219" s="10">
        <f ca="1">IFERROR(__xludf.DUMMYFUNCTION(" VLOOKUP(A216, IMPORTRANGE(""https://docs.google.com/spreadsheets/d/1QNLbnkR_AongFt22vMfNzfpjZ0CjpI8QI-w0wBnYA1w/"", ""Инфа!A:AA""), 6, FALSE)"),2024)</f>
        <v>2024</v>
      </c>
      <c r="J219" s="5">
        <f ca="1">ROUND((5000+G219*60),-2)</f>
        <v>12900</v>
      </c>
      <c r="K219" s="9" t="s">
        <v>758</v>
      </c>
      <c r="L219" s="15" t="s">
        <v>930</v>
      </c>
    </row>
    <row r="220" spans="1:12" ht="247.5">
      <c r="A220" s="8" t="s">
        <v>931</v>
      </c>
      <c r="B220" s="9" t="s">
        <v>12</v>
      </c>
      <c r="C220" s="10" t="s">
        <v>443</v>
      </c>
      <c r="D220" s="10" t="str">
        <f ca="1">IFERROR(__xludf.DUMMYFUNCTION(" VLOOKUP(A217, IMPORTRANGE(""https://docs.google.com/spreadsheets/d/1fj_Bhi2XPL3siwIh4sx4VRLAe31yD50oKdj5UlRYW0c/"", ""Сводка!A:AA""), 11, FALSE)"),"978-601-310-043-2")</f>
        <v>978-601-310-043-2</v>
      </c>
      <c r="E220" s="11" t="s">
        <v>932</v>
      </c>
      <c r="F220" s="11" t="s">
        <v>933</v>
      </c>
      <c r="G220" s="12">
        <f ca="1">IFERROR(__xludf.DUMMYFUNCTION(" VLOOKUP(A217, IMPORTRANGE(""https://docs.google.com/spreadsheets/d/1fj_Bhi2XPL3siwIh4sx4VRLAe31yD50oKdj5UlRYW0c/"", ""Сводка!A:AA""), 5, FALSE)"),252)</f>
        <v>252</v>
      </c>
      <c r="H220" s="12" t="s">
        <v>106</v>
      </c>
      <c r="I220" s="10">
        <f ca="1">IFERROR(__xludf.DUMMYFUNCTION(" VLOOKUP(A217, IMPORTRANGE(""https://docs.google.com/spreadsheets/d/1QNLbnkR_AongFt22vMfNzfpjZ0CjpI8QI-w0wBnYA1w/"", ""Инфа!A:AA""), 6, FALSE)"),2024)</f>
        <v>2024</v>
      </c>
      <c r="J220" s="5">
        <f ca="1">ROUND((5000+G220*30),-2)</f>
        <v>12600</v>
      </c>
      <c r="K220" s="9" t="s">
        <v>539</v>
      </c>
      <c r="L220" s="15" t="s">
        <v>934</v>
      </c>
    </row>
    <row r="221" spans="1:12" ht="38.25">
      <c r="A221" s="8" t="s">
        <v>935</v>
      </c>
      <c r="B221" s="9" t="s">
        <v>12</v>
      </c>
      <c r="C221" s="10" t="s">
        <v>443</v>
      </c>
      <c r="D221" s="10" t="str">
        <f ca="1">IFERROR(__xludf.DUMMYFUNCTION(" VLOOKUP(A218, IMPORTRANGE(""https://docs.google.com/spreadsheets/d/1fj_Bhi2XPL3siwIh4sx4VRLAe31yD50oKdj5UlRYW0c/"", ""Сводка!A:AA""), 11, FALSE)"),"978-601-310-043-2")</f>
        <v>978-601-310-043-2</v>
      </c>
      <c r="E221" s="19" t="s">
        <v>932</v>
      </c>
      <c r="F221" s="19" t="s">
        <v>936</v>
      </c>
      <c r="G221" s="12">
        <f ca="1">IFERROR(__xludf.DUMMYFUNCTION(" VLOOKUP(A218, IMPORTRANGE(""https://docs.google.com/spreadsheets/d/1fj_Bhi2XPL3siwIh4sx4VRLAe31yD50oKdj5UlRYW0c/"", ""Сводка!A:AA""), 5, FALSE)"),128)</f>
        <v>128</v>
      </c>
      <c r="H221" s="12" t="s">
        <v>538</v>
      </c>
      <c r="I221" s="10">
        <f ca="1">IFERROR(__xludf.DUMMYFUNCTION(" VLOOKUP(A218, IMPORTRANGE(""https://docs.google.com/spreadsheets/d/1QNLbnkR_AongFt22vMfNzfpjZ0CjpI8QI-w0wBnYA1w/"", ""Инфа!A:AA""), 6, FALSE)"),2024)</f>
        <v>2024</v>
      </c>
      <c r="J221" s="5">
        <f ca="1">ROUND((5000+G221*30),-2)</f>
        <v>8800</v>
      </c>
      <c r="K221" s="9" t="s">
        <v>539</v>
      </c>
      <c r="L221" s="15"/>
    </row>
    <row r="222" spans="1:12" ht="112.5">
      <c r="A222" s="8" t="s">
        <v>937</v>
      </c>
      <c r="B222" s="9" t="s">
        <v>12</v>
      </c>
      <c r="C222" s="10" t="s">
        <v>151</v>
      </c>
      <c r="D222" s="10" t="str">
        <f ca="1">IFERROR(__xludf.DUMMYFUNCTION(" VLOOKUP(A219, IMPORTRANGE(""https://docs.google.com/spreadsheets/d/1fj_Bhi2XPL3siwIh4sx4VRLAe31yD50oKdj5UlRYW0c/"", ""Сводка!A:AA""), 11, FALSE)"),"978-601-327-193-4")</f>
        <v>978-601-327-193-4</v>
      </c>
      <c r="E222" s="11" t="s">
        <v>938</v>
      </c>
      <c r="F222" s="11" t="s">
        <v>939</v>
      </c>
      <c r="G222" s="12">
        <f ca="1">IFERROR(__xludf.DUMMYFUNCTION(" VLOOKUP(A219, IMPORTRANGE(""https://docs.google.com/spreadsheets/d/1fj_Bhi2XPL3siwIh4sx4VRLAe31yD50oKdj5UlRYW0c/"", ""Сводка!A:AA""), 5, FALSE)"),136)</f>
        <v>136</v>
      </c>
      <c r="H222" s="12" t="s">
        <v>165</v>
      </c>
      <c r="I222" s="10">
        <f ca="1">IFERROR(__xludf.DUMMYFUNCTION(" VLOOKUP(A219, IMPORTRANGE(""https://docs.google.com/spreadsheets/d/1QNLbnkR_AongFt22vMfNzfpjZ0CjpI8QI-w0wBnYA1w/"", ""Инфа!A:AA""), 6, FALSE)"),2024)</f>
        <v>2024</v>
      </c>
      <c r="J222" s="5">
        <f ca="1">ROUND((5000+G222*60),-2)</f>
        <v>13200</v>
      </c>
      <c r="K222" s="12" t="s">
        <v>69</v>
      </c>
      <c r="L222" s="15" t="s">
        <v>940</v>
      </c>
    </row>
    <row r="223" spans="1:12" ht="180">
      <c r="A223" s="8" t="s">
        <v>941</v>
      </c>
      <c r="B223" s="9" t="s">
        <v>12</v>
      </c>
      <c r="C223" s="13" t="s">
        <v>151</v>
      </c>
      <c r="D223" s="10" t="str">
        <f ca="1">IFERROR(__xludf.DUMMYFUNCTION(" VLOOKUP(A220, IMPORTRANGE(""https://docs.google.com/spreadsheets/d/1fj_Bhi2XPL3siwIh4sx4VRLAe31yD50oKdj5UlRYW0c/"", ""Сводка!A:AA""), 11, FALSE)"),"978-601-310-426-3")</f>
        <v>978-601-310-426-3</v>
      </c>
      <c r="E223" s="32" t="s">
        <v>942</v>
      </c>
      <c r="F223" s="32" t="s">
        <v>943</v>
      </c>
      <c r="G223" s="12">
        <f ca="1">IFERROR(__xludf.DUMMYFUNCTION(" VLOOKUP(A220, IMPORTRANGE(""https://docs.google.com/spreadsheets/d/1fj_Bhi2XPL3siwIh4sx4VRLAe31yD50oKdj5UlRYW0c/"", ""Сводка!A:AA""), 5, FALSE)"),220)</f>
        <v>220</v>
      </c>
      <c r="H223" s="13" t="s">
        <v>556</v>
      </c>
      <c r="I223" s="10">
        <f ca="1">IFERROR(__xludf.DUMMYFUNCTION(" VLOOKUP(A220, IMPORTRANGE(""https://docs.google.com/spreadsheets/d/1QNLbnkR_AongFt22vMfNzfpjZ0CjpI8QI-w0wBnYA1w/"", ""Инфа!A:AA""), 6, FALSE)"),2024)</f>
        <v>2024</v>
      </c>
      <c r="J223" s="5">
        <f ca="1">ROUND((5000+G223*30),-2)</f>
        <v>11600</v>
      </c>
      <c r="K223" s="13" t="s">
        <v>213</v>
      </c>
      <c r="L223" s="31" t="s">
        <v>944</v>
      </c>
    </row>
    <row r="224" spans="1:12" ht="101.25">
      <c r="A224" s="8" t="s">
        <v>945</v>
      </c>
      <c r="B224" s="9" t="s">
        <v>12</v>
      </c>
      <c r="C224" s="10" t="s">
        <v>151</v>
      </c>
      <c r="D224" s="10" t="str">
        <f ca="1">IFERROR(__xludf.DUMMYFUNCTION(" VLOOKUP(A221, IMPORTRANGE(""https://docs.google.com/spreadsheets/d/1fj_Bhi2XPL3siwIh4sx4VRLAe31yD50oKdj5UlRYW0c/"", ""Сводка!A:AA""), 11, FALSE)"),"978-601-310-426-3")</f>
        <v>978-601-310-426-3</v>
      </c>
      <c r="E224" s="11" t="s">
        <v>946</v>
      </c>
      <c r="F224" s="11" t="s">
        <v>947</v>
      </c>
      <c r="G224" s="12">
        <f ca="1">IFERROR(__xludf.DUMMYFUNCTION(" VLOOKUP(A221, IMPORTRANGE(""https://docs.google.com/spreadsheets/d/1fj_Bhi2XPL3siwIh4sx4VRLAe31yD50oKdj5UlRYW0c/"", ""Сводка!A:AA""), 5, FALSE)"),220)</f>
        <v>220</v>
      </c>
      <c r="H224" s="12" t="s">
        <v>47</v>
      </c>
      <c r="I224" s="10">
        <f ca="1">IFERROR(__xludf.DUMMYFUNCTION(" VLOOKUP(A221, IMPORTRANGE(""https://docs.google.com/spreadsheets/d/1QNLbnkR_AongFt22vMfNzfpjZ0CjpI8QI-w0wBnYA1w/"", ""Инфа!A:AA""), 6, FALSE)"),2024)</f>
        <v>2024</v>
      </c>
      <c r="J224" s="5">
        <f ca="1">ROUND((5000+G224*30),-2)</f>
        <v>11600</v>
      </c>
      <c r="K224" s="12" t="s">
        <v>213</v>
      </c>
      <c r="L224" s="15" t="s">
        <v>948</v>
      </c>
    </row>
    <row r="225" spans="1:12" ht="225">
      <c r="A225" s="8" t="s">
        <v>949</v>
      </c>
      <c r="B225" s="9" t="s">
        <v>12</v>
      </c>
      <c r="C225" s="10" t="s">
        <v>443</v>
      </c>
      <c r="D225" s="10" t="str">
        <f ca="1">IFERROR(__xludf.DUMMYFUNCTION(" VLOOKUP(A222, IMPORTRANGE(""https://docs.google.com/spreadsheets/d/1fj_Bhi2XPL3siwIh4sx4VRLAe31yD50oKdj5UlRYW0c/"", ""Сводка!A:AA""), 11, FALSE)"),"978-601-327-288-7")</f>
        <v>978-601-327-288-7</v>
      </c>
      <c r="E225" s="11" t="s">
        <v>950</v>
      </c>
      <c r="F225" s="11" t="s">
        <v>951</v>
      </c>
      <c r="G225" s="12">
        <f ca="1">IFERROR(__xludf.DUMMYFUNCTION(" VLOOKUP(A222, IMPORTRANGE(""https://docs.google.com/spreadsheets/d/1fj_Bhi2XPL3siwIh4sx4VRLAe31yD50oKdj5UlRYW0c/"", ""Сводка!A:AA""), 5, FALSE)"),164)</f>
        <v>164</v>
      </c>
      <c r="H225" s="12" t="s">
        <v>952</v>
      </c>
      <c r="I225" s="10">
        <f ca="1">IFERROR(__xludf.DUMMYFUNCTION(" VLOOKUP(A222, IMPORTRANGE(""https://docs.google.com/spreadsheets/d/1QNLbnkR_AongFt22vMfNzfpjZ0CjpI8QI-w0wBnYA1w/"", ""Инфа!A:AA""), 6, FALSE)"),2024)</f>
        <v>2024</v>
      </c>
      <c r="J225" s="5">
        <f ca="1">ROUND((5000+G225*30),-2)</f>
        <v>9900</v>
      </c>
      <c r="K225" s="12" t="s">
        <v>171</v>
      </c>
      <c r="L225" s="15" t="s">
        <v>953</v>
      </c>
    </row>
    <row r="226" spans="1:12" ht="292.5">
      <c r="A226" s="8" t="s">
        <v>954</v>
      </c>
      <c r="B226" s="9" t="s">
        <v>12</v>
      </c>
      <c r="C226" s="10" t="s">
        <v>151</v>
      </c>
      <c r="D226" s="10" t="str">
        <f ca="1">IFERROR(__xludf.DUMMYFUNCTION(" VLOOKUP(A223, IMPORTRANGE(""https://docs.google.com/spreadsheets/d/1fj_Bhi2XPL3siwIh4sx4VRLAe31yD50oKdj5UlRYW0c/"", ""Сводка!A:AA""), 11, FALSE)"),"978-601-327-247-4")</f>
        <v>978-601-327-247-4</v>
      </c>
      <c r="E226" s="11" t="s">
        <v>955</v>
      </c>
      <c r="F226" s="11" t="s">
        <v>956</v>
      </c>
      <c r="G226" s="12">
        <f ca="1">IFERROR(__xludf.DUMMYFUNCTION(" VLOOKUP(A223, IMPORTRANGE(""https://docs.google.com/spreadsheets/d/1fj_Bhi2XPL3siwIh4sx4VRLAe31yD50oKdj5UlRYW0c/"", ""Сводка!A:AA""), 5, FALSE)"),268)</f>
        <v>268</v>
      </c>
      <c r="H226" s="12" t="s">
        <v>56</v>
      </c>
      <c r="I226" s="10">
        <f ca="1">IFERROR(__xludf.DUMMYFUNCTION(" VLOOKUP(A223, IMPORTRANGE(""https://docs.google.com/spreadsheets/d/1QNLbnkR_AongFt22vMfNzfpjZ0CjpI8QI-w0wBnYA1w/"", ""Инфа!A:AA""), 6, FALSE)"),2024)</f>
        <v>2024</v>
      </c>
      <c r="J226" s="5">
        <f ca="1">ROUND((5000+G226*60),-2)</f>
        <v>21100</v>
      </c>
      <c r="K226" s="12" t="s">
        <v>166</v>
      </c>
      <c r="L226" s="15" t="s">
        <v>957</v>
      </c>
    </row>
    <row r="227" spans="1:12" ht="25.5">
      <c r="A227" s="8" t="s">
        <v>958</v>
      </c>
      <c r="B227" s="9" t="s">
        <v>12</v>
      </c>
      <c r="C227" s="10" t="s">
        <v>443</v>
      </c>
      <c r="D227" s="10" t="str">
        <f ca="1">IFERROR(__xludf.DUMMYFUNCTION(" VLOOKUP(A224, IMPORTRANGE(""https://docs.google.com/spreadsheets/d/1fj_Bhi2XPL3siwIh4sx4VRLAe31yD50oKdj5UlRYW0c/"", ""Сводка!A:AA""), 11, FALSE)"),"978-601-352-664-5")</f>
        <v>978-601-352-664-5</v>
      </c>
      <c r="E227" s="11" t="s">
        <v>959</v>
      </c>
      <c r="F227" s="11" t="s">
        <v>960</v>
      </c>
      <c r="G227" s="12">
        <f ca="1">IFERROR(__xludf.DUMMYFUNCTION(" VLOOKUP(A224, IMPORTRANGE(""https://docs.google.com/spreadsheets/d/1fj_Bhi2XPL3siwIh4sx4VRLAe31yD50oKdj5UlRYW0c/"", ""Сводка!A:AA""), 5, FALSE)"),112)</f>
        <v>112</v>
      </c>
      <c r="H227" s="12" t="s">
        <v>538</v>
      </c>
      <c r="I227" s="10">
        <f ca="1">IFERROR(__xludf.DUMMYFUNCTION(" VLOOKUP(A224, IMPORTRANGE(""https://docs.google.com/spreadsheets/d/1QNLbnkR_AongFt22vMfNzfpjZ0CjpI8QI-w0wBnYA1w/"", ""Инфа!A:AA""), 6, FALSE)"),2024)</f>
        <v>2024</v>
      </c>
      <c r="J227" s="5">
        <f ca="1">ROUND((5000+G227*30),-2)</f>
        <v>8400</v>
      </c>
      <c r="K227" s="12" t="s">
        <v>961</v>
      </c>
      <c r="L227" s="15"/>
    </row>
    <row r="228" spans="1:12" ht="90">
      <c r="A228" s="8" t="s">
        <v>962</v>
      </c>
      <c r="B228" s="9" t="s">
        <v>12</v>
      </c>
      <c r="C228" s="10" t="s">
        <v>443</v>
      </c>
      <c r="D228" s="10" t="str">
        <f ca="1">IFERROR(__xludf.DUMMYFUNCTION(" VLOOKUP(A225, IMPORTRANGE(""https://docs.google.com/spreadsheets/d/1fj_Bhi2XPL3siwIh4sx4VRLAe31yD50oKdj5UlRYW0c/"", ""Сводка!A:AA""), 11, FALSE)"),"978-601-7108-27-4")</f>
        <v>978-601-7108-27-4</v>
      </c>
      <c r="E228" s="22" t="s">
        <v>963</v>
      </c>
      <c r="F228" s="22" t="s">
        <v>964</v>
      </c>
      <c r="G228" s="12">
        <f ca="1">IFERROR(__xludf.DUMMYFUNCTION(" VLOOKUP(A225, IMPORTRANGE(""https://docs.google.com/spreadsheets/d/1fj_Bhi2XPL3siwIh4sx4VRLAe31yD50oKdj5UlRYW0c/"", ""Сводка!A:AA""), 5, FALSE)"),128)</f>
        <v>128</v>
      </c>
      <c r="H228" s="10" t="s">
        <v>511</v>
      </c>
      <c r="I228" s="10">
        <f ca="1">IFERROR(__xludf.DUMMYFUNCTION(" VLOOKUP(A225, IMPORTRANGE(""https://docs.google.com/spreadsheets/d/1QNLbnkR_AongFt22vMfNzfpjZ0CjpI8QI-w0wBnYA1w/"", ""Инфа!A:AA""), 6, FALSE)"),2024)</f>
        <v>2024</v>
      </c>
      <c r="J228" s="5">
        <f ca="1">ROUND((5000+G228*60),-2)</f>
        <v>12700</v>
      </c>
      <c r="K228" s="10" t="s">
        <v>488</v>
      </c>
      <c r="L228" s="23" t="s">
        <v>965</v>
      </c>
    </row>
    <row r="229" spans="1:12" ht="123.75">
      <c r="A229" s="8" t="s">
        <v>966</v>
      </c>
      <c r="B229" s="9" t="s">
        <v>12</v>
      </c>
      <c r="C229" s="10" t="s">
        <v>443</v>
      </c>
      <c r="D229" s="10" t="str">
        <f ca="1">IFERROR(__xludf.DUMMYFUNCTION(" VLOOKUP(A226, IMPORTRANGE(""https://docs.google.com/spreadsheets/d/1fj_Bhi2XPL3siwIh4sx4VRLAe31yD50oKdj5UlRYW0c/"", ""Сводка!A:AA""), 11, FALSE)"),"9965-15-573-9")</f>
        <v>9965-15-573-9</v>
      </c>
      <c r="E229" s="11" t="s">
        <v>967</v>
      </c>
      <c r="F229" s="11" t="s">
        <v>968</v>
      </c>
      <c r="G229" s="12">
        <f ca="1">IFERROR(__xludf.DUMMYFUNCTION(" VLOOKUP(A226, IMPORTRANGE(""https://docs.google.com/spreadsheets/d/1fj_Bhi2XPL3siwIh4sx4VRLAe31yD50oKdj5UlRYW0c/"", ""Сводка!A:AA""), 5, FALSE)"),108)</f>
        <v>108</v>
      </c>
      <c r="H229" s="12" t="s">
        <v>538</v>
      </c>
      <c r="I229" s="10">
        <f ca="1">IFERROR(__xludf.DUMMYFUNCTION(" VLOOKUP(A226, IMPORTRANGE(""https://docs.google.com/spreadsheets/d/1QNLbnkR_AongFt22vMfNzfpjZ0CjpI8QI-w0wBnYA1w/"", ""Инфа!A:AA""), 6, FALSE)"),2024)</f>
        <v>2024</v>
      </c>
      <c r="J229" s="5">
        <f ca="1">ROUND((5000+G229*30),-2)</f>
        <v>8200</v>
      </c>
      <c r="K229" s="9" t="s">
        <v>539</v>
      </c>
      <c r="L229" s="15" t="s">
        <v>969</v>
      </c>
    </row>
    <row r="230" spans="1:12" ht="123.75">
      <c r="A230" s="8" t="s">
        <v>970</v>
      </c>
      <c r="B230" s="9" t="s">
        <v>12</v>
      </c>
      <c r="C230" s="10" t="s">
        <v>443</v>
      </c>
      <c r="D230" s="10" t="str">
        <f ca="1">IFERROR(__xludf.DUMMYFUNCTION(" VLOOKUP(A227, IMPORTRANGE(""https://docs.google.com/spreadsheets/d/1fj_Bhi2XPL3siwIh4sx4VRLAe31yD50oKdj5UlRYW0c/"", ""Сводка!A:AA""), 11, FALSE)"),"978-601-327-935-0")</f>
        <v>978-601-327-935-0</v>
      </c>
      <c r="E230" s="11" t="s">
        <v>971</v>
      </c>
      <c r="F230" s="11" t="s">
        <v>972</v>
      </c>
      <c r="G230" s="12">
        <f ca="1">IFERROR(__xludf.DUMMYFUNCTION(" VLOOKUP(A227, IMPORTRANGE(""https://docs.google.com/spreadsheets/d/1fj_Bhi2XPL3siwIh4sx4VRLAe31yD50oKdj5UlRYW0c/"", ""Сводка!A:AA""), 5, FALSE)"),248)</f>
        <v>248</v>
      </c>
      <c r="H230" s="12" t="s">
        <v>538</v>
      </c>
      <c r="I230" s="10">
        <f ca="1">IFERROR(__xludf.DUMMYFUNCTION(" VLOOKUP(A227, IMPORTRANGE(""https://docs.google.com/spreadsheets/d/1QNLbnkR_AongFt22vMfNzfpjZ0CjpI8QI-w0wBnYA1w/"", ""Инфа!A:AA""), 6, FALSE)"),2024)</f>
        <v>2024</v>
      </c>
      <c r="J230" s="5">
        <f ca="1">ROUND((5000+G230*30),-2)</f>
        <v>12400</v>
      </c>
      <c r="K230" s="12" t="s">
        <v>160</v>
      </c>
      <c r="L230" s="15" t="s">
        <v>973</v>
      </c>
    </row>
    <row r="231" spans="1:12" ht="225">
      <c r="A231" s="8" t="s">
        <v>974</v>
      </c>
      <c r="B231" s="9" t="s">
        <v>12</v>
      </c>
      <c r="C231" s="10" t="s">
        <v>151</v>
      </c>
      <c r="D231" s="10" t="str">
        <f ca="1">IFERROR(__xludf.DUMMYFUNCTION(" VLOOKUP(A228, IMPORTRANGE(""https://docs.google.com/spreadsheets/d/1fj_Bhi2XPL3siwIh4sx4VRLAe31yD50oKdj5UlRYW0c/"", ""Сводка!A:AA""), 11, FALSE)"),"978-601-310-357-0")</f>
        <v>978-601-310-357-0</v>
      </c>
      <c r="E231" s="11" t="s">
        <v>975</v>
      </c>
      <c r="F231" s="11" t="s">
        <v>976</v>
      </c>
      <c r="G231" s="12">
        <f ca="1">IFERROR(__xludf.DUMMYFUNCTION(" VLOOKUP(A228, IMPORTRANGE(""https://docs.google.com/spreadsheets/d/1fj_Bhi2XPL3siwIh4sx4VRLAe31yD50oKdj5UlRYW0c/"", ""Сводка!A:AA""), 5, FALSE)"),280)</f>
        <v>280</v>
      </c>
      <c r="H231" s="12" t="s">
        <v>47</v>
      </c>
      <c r="I231" s="10">
        <f ca="1">IFERROR(__xludf.DUMMYFUNCTION(" VLOOKUP(A228, IMPORTRANGE(""https://docs.google.com/spreadsheets/d/1QNLbnkR_AongFt22vMfNzfpjZ0CjpI8QI-w0wBnYA1w/"", ""Инфа!A:AA""), 6, FALSE)"),2024)</f>
        <v>2024</v>
      </c>
      <c r="J231" s="5">
        <f ca="1">ROUND((5000+G231*30),-2)</f>
        <v>13400</v>
      </c>
      <c r="K231" s="12" t="s">
        <v>160</v>
      </c>
      <c r="L231" s="15" t="s">
        <v>977</v>
      </c>
    </row>
    <row r="232" spans="1:12" ht="168.75">
      <c r="A232" s="8" t="s">
        <v>978</v>
      </c>
      <c r="B232" s="9" t="s">
        <v>12</v>
      </c>
      <c r="C232" s="10" t="s">
        <v>151</v>
      </c>
      <c r="D232" s="10" t="str">
        <f ca="1">IFERROR(__xludf.DUMMYFUNCTION(" VLOOKUP(A229, IMPORTRANGE(""https://docs.google.com/spreadsheets/d/1fj_Bhi2XPL3siwIh4sx4VRLAe31yD50oKdj5UlRYW0c/"", ""Сводка!A:AA""), 11, FALSE)"),"978-601-342-238-1")</f>
        <v>978-601-342-238-1</v>
      </c>
      <c r="E232" s="11" t="s">
        <v>979</v>
      </c>
      <c r="F232" s="11" t="s">
        <v>980</v>
      </c>
      <c r="G232" s="12">
        <f ca="1">IFERROR(__xludf.DUMMYFUNCTION(" VLOOKUP(A229, IMPORTRANGE(""https://docs.google.com/spreadsheets/d/1fj_Bhi2XPL3siwIh4sx4VRLAe31yD50oKdj5UlRYW0c/"", ""Сводка!A:AA""), 5, FALSE)"),228)</f>
        <v>228</v>
      </c>
      <c r="H232" s="12" t="s">
        <v>47</v>
      </c>
      <c r="I232" s="10">
        <f ca="1">IFERROR(__xludf.DUMMYFUNCTION(" VLOOKUP(A229, IMPORTRANGE(""https://docs.google.com/spreadsheets/d/1QNLbnkR_AongFt22vMfNzfpjZ0CjpI8QI-w0wBnYA1w/"", ""Инфа!A:AA""), 6, FALSE)"),2024)</f>
        <v>2024</v>
      </c>
      <c r="J232" s="5">
        <f ca="1">ROUND((5000+G232*30),-2)</f>
        <v>11800</v>
      </c>
      <c r="K232" s="12" t="s">
        <v>160</v>
      </c>
      <c r="L232" s="15" t="s">
        <v>981</v>
      </c>
    </row>
    <row r="233" spans="1:12" ht="25.5">
      <c r="A233" s="8" t="s">
        <v>982</v>
      </c>
      <c r="B233" s="9" t="s">
        <v>12</v>
      </c>
      <c r="C233" s="10" t="s">
        <v>443</v>
      </c>
      <c r="D233" s="10" t="str">
        <f ca="1">IFERROR(__xludf.DUMMYFUNCTION(" VLOOKUP(A230, IMPORTRANGE(""https://docs.google.com/spreadsheets/d/1fj_Bhi2XPL3siwIh4sx4VRLAe31yD50oKdj5UlRYW0c/"", ""Сводка!A:AA""), 11, FALSE)"),"978-601-240-184-4")</f>
        <v>978-601-240-184-4</v>
      </c>
      <c r="E233" s="11" t="s">
        <v>983</v>
      </c>
      <c r="F233" s="11" t="s">
        <v>984</v>
      </c>
      <c r="G233" s="12">
        <f ca="1">IFERROR(__xludf.DUMMYFUNCTION(" VLOOKUP(A230, IMPORTRANGE(""https://docs.google.com/spreadsheets/d/1fj_Bhi2XPL3siwIh4sx4VRLAe31yD50oKdj5UlRYW0c/"", ""Сводка!A:AA""), 5, FALSE)"),100)</f>
        <v>100</v>
      </c>
      <c r="H233" s="12" t="s">
        <v>538</v>
      </c>
      <c r="I233" s="10">
        <f ca="1">IFERROR(__xludf.DUMMYFUNCTION(" VLOOKUP(A230, IMPORTRANGE(""https://docs.google.com/spreadsheets/d/1QNLbnkR_AongFt22vMfNzfpjZ0CjpI8QI-w0wBnYA1w/"", ""Инфа!A:AA""), 6, FALSE)"),2024)</f>
        <v>2024</v>
      </c>
      <c r="J233" s="5">
        <f ca="1">ROUND((5000+G233*30),-2)</f>
        <v>8000</v>
      </c>
      <c r="K233" s="9" t="s">
        <v>616</v>
      </c>
      <c r="L233" s="15"/>
    </row>
    <row r="234" spans="1:12" ht="292.5">
      <c r="A234" s="8" t="s">
        <v>985</v>
      </c>
      <c r="B234" s="9" t="s">
        <v>12</v>
      </c>
      <c r="C234" s="10" t="s">
        <v>443</v>
      </c>
      <c r="D234" s="10" t="str">
        <f ca="1">IFERROR(__xludf.DUMMYFUNCTION(" VLOOKUP(A231, IMPORTRANGE(""https://docs.google.com/spreadsheets/d/1fj_Bhi2XPL3siwIh4sx4VRLAe31yD50oKdj5UlRYW0c/"", ""Сводка!A:AA""), 11, FALSE)"),"9965-580-01-04")</f>
        <v>9965-580-01-04</v>
      </c>
      <c r="E234" s="19" t="s">
        <v>986</v>
      </c>
      <c r="F234" s="19" t="s">
        <v>987</v>
      </c>
      <c r="G234" s="12">
        <f ca="1">IFERROR(__xludf.DUMMYFUNCTION(" VLOOKUP(A231, IMPORTRANGE(""https://docs.google.com/spreadsheets/d/1fj_Bhi2XPL3siwIh4sx4VRLAe31yD50oKdj5UlRYW0c/"", ""Сводка!A:AA""), 5, FALSE)"),240)</f>
        <v>240</v>
      </c>
      <c r="H234" s="9" t="s">
        <v>106</v>
      </c>
      <c r="I234" s="10">
        <f ca="1">IFERROR(__xludf.DUMMYFUNCTION(" VLOOKUP(A231, IMPORTRANGE(""https://docs.google.com/spreadsheets/d/1QNLbnkR_AongFt22vMfNzfpjZ0CjpI8QI-w0wBnYA1w/"", ""Инфа!A:AA""), 6, FALSE)"),2024)</f>
        <v>2024</v>
      </c>
      <c r="J234" s="5">
        <f ca="1">ROUND(((5000+G234*60)*1.3),-2)</f>
        <v>25200</v>
      </c>
      <c r="K234" s="12" t="s">
        <v>988</v>
      </c>
      <c r="L234" s="15" t="s">
        <v>989</v>
      </c>
    </row>
    <row r="235" spans="1:12" ht="38.25">
      <c r="A235" s="8" t="s">
        <v>990</v>
      </c>
      <c r="B235" s="9" t="s">
        <v>12</v>
      </c>
      <c r="C235" s="10" t="s">
        <v>443</v>
      </c>
      <c r="D235" s="10" t="str">
        <f ca="1">IFERROR(__xludf.DUMMYFUNCTION(" VLOOKUP(A232, IMPORTRANGE(""https://docs.google.com/spreadsheets/d/1fj_Bhi2XPL3siwIh4sx4VRLAe31yD50oKdj5UlRYW0c/"", ""Сводка!A:AA""), 11, FALSE)"),"978-601-310-645-8")</f>
        <v>978-601-310-645-8</v>
      </c>
      <c r="E235" s="25" t="s">
        <v>991</v>
      </c>
      <c r="F235" s="25" t="s">
        <v>992</v>
      </c>
      <c r="G235" s="12">
        <f ca="1">IFERROR(__xludf.DUMMYFUNCTION(" VLOOKUP(A232, IMPORTRANGE(""https://docs.google.com/spreadsheets/d/1fj_Bhi2XPL3siwIh4sx4VRLAe31yD50oKdj5UlRYW0c/"", ""Сводка!A:AA""), 5, FALSE)"),96)</f>
        <v>96</v>
      </c>
      <c r="H235" s="26" t="s">
        <v>538</v>
      </c>
      <c r="I235" s="10">
        <f ca="1">IFERROR(__xludf.DUMMYFUNCTION(" VLOOKUP(A232, IMPORTRANGE(""https://docs.google.com/spreadsheets/d/1QNLbnkR_AongFt22vMfNzfpjZ0CjpI8QI-w0wBnYA1w/"", ""Инфа!A:AA""), 6, FALSE)"),2024)</f>
        <v>2024</v>
      </c>
      <c r="J235" s="5">
        <f ca="1">ROUND((5000+G235*30),-2)</f>
        <v>7900</v>
      </c>
      <c r="K235" s="12" t="s">
        <v>988</v>
      </c>
      <c r="L235" s="15"/>
    </row>
    <row r="236" spans="1:12" ht="38.25">
      <c r="A236" s="8" t="s">
        <v>993</v>
      </c>
      <c r="B236" s="9" t="s">
        <v>12</v>
      </c>
      <c r="C236" s="10" t="s">
        <v>443</v>
      </c>
      <c r="D236" s="10" t="str">
        <f ca="1">IFERROR(__xludf.DUMMYFUNCTION(" VLOOKUP(A233, IMPORTRANGE(""https://docs.google.com/spreadsheets/d/1fj_Bhi2XPL3siwIh4sx4VRLAe31yD50oKdj5UlRYW0c/"", ""Сводка!A:AA""), 11, FALSE)"),"978-601-240-400-5")</f>
        <v>978-601-240-400-5</v>
      </c>
      <c r="E236" s="11" t="s">
        <v>994</v>
      </c>
      <c r="F236" s="11" t="s">
        <v>995</v>
      </c>
      <c r="G236" s="12">
        <f ca="1">IFERROR(__xludf.DUMMYFUNCTION(" VLOOKUP(A233, IMPORTRANGE(""https://docs.google.com/spreadsheets/d/1fj_Bhi2XPL3siwIh4sx4VRLAe31yD50oKdj5UlRYW0c/"", ""Сводка!A:AA""), 5, FALSE)"),128)</f>
        <v>128</v>
      </c>
      <c r="H236" s="12" t="s">
        <v>511</v>
      </c>
      <c r="I236" s="10">
        <f ca="1">IFERROR(__xludf.DUMMYFUNCTION(" VLOOKUP(A233, IMPORTRANGE(""https://docs.google.com/spreadsheets/d/1QNLbnkR_AongFt22vMfNzfpjZ0CjpI8QI-w0wBnYA1w/"", ""Инфа!A:AA""), 6, FALSE)"),2024)</f>
        <v>2024</v>
      </c>
      <c r="J236" s="5">
        <f ca="1">ROUND(((5000+G236*60)*1.3),-2)</f>
        <v>16500</v>
      </c>
      <c r="K236" s="12" t="s">
        <v>996</v>
      </c>
      <c r="L236" s="15"/>
    </row>
    <row r="237" spans="1:12" ht="146.25">
      <c r="A237" s="8" t="s">
        <v>997</v>
      </c>
      <c r="B237" s="9" t="s">
        <v>12</v>
      </c>
      <c r="C237" s="10" t="s">
        <v>443</v>
      </c>
      <c r="D237" s="10" t="str">
        <f ca="1">IFERROR(__xludf.DUMMYFUNCTION(" VLOOKUP(A234, IMPORTRANGE(""https://docs.google.com/spreadsheets/d/1fj_Bhi2XPL3siwIh4sx4VRLAe31yD50oKdj5UlRYW0c/"", ""Сводка!A:AA""), 11, FALSE)"),"978-601-327-466-9")</f>
        <v>978-601-327-466-9</v>
      </c>
      <c r="E237" s="11" t="s">
        <v>998</v>
      </c>
      <c r="F237" s="11" t="s">
        <v>999</v>
      </c>
      <c r="G237" s="12">
        <f ca="1">IFERROR(__xludf.DUMMYFUNCTION(" VLOOKUP(A234, IMPORTRANGE(""https://docs.google.com/spreadsheets/d/1fj_Bhi2XPL3siwIh4sx4VRLAe31yD50oKdj5UlRYW0c/"", ""Сводка!A:AA""), 5, FALSE)"),104)</f>
        <v>104</v>
      </c>
      <c r="H237" s="12" t="s">
        <v>446</v>
      </c>
      <c r="I237" s="10">
        <f ca="1">IFERROR(__xludf.DUMMYFUNCTION(" VLOOKUP(A234, IMPORTRANGE(""https://docs.google.com/spreadsheets/d/1QNLbnkR_AongFt22vMfNzfpjZ0CjpI8QI-w0wBnYA1w/"", ""Инфа!A:AA""), 6, FALSE)"),2024)</f>
        <v>2024</v>
      </c>
      <c r="J237" s="5">
        <f ca="1">ROUND((5000+G237*60),-2)</f>
        <v>11200</v>
      </c>
      <c r="K237" s="12" t="s">
        <v>302</v>
      </c>
      <c r="L237" s="15" t="s">
        <v>1000</v>
      </c>
    </row>
    <row r="238" spans="1:12" ht="78.75">
      <c r="A238" s="8" t="s">
        <v>1001</v>
      </c>
      <c r="B238" s="9" t="s">
        <v>12</v>
      </c>
      <c r="C238" s="10" t="s">
        <v>443</v>
      </c>
      <c r="D238" s="10" t="str">
        <f ca="1">IFERROR(__xludf.DUMMYFUNCTION(" VLOOKUP(A235, IMPORTRANGE(""https://docs.google.com/spreadsheets/d/1fj_Bhi2XPL3siwIh4sx4VRLAe31yD50oKdj5UlRYW0c/"", ""Сводка!A:AA""), 11, FALSE)"),"978-601-327-467-6")</f>
        <v>978-601-327-467-6</v>
      </c>
      <c r="E238" s="11" t="s">
        <v>998</v>
      </c>
      <c r="F238" s="11" t="s">
        <v>1002</v>
      </c>
      <c r="G238" s="12">
        <f ca="1">IFERROR(__xludf.DUMMYFUNCTION(" VLOOKUP(A235, IMPORTRANGE(""https://docs.google.com/spreadsheets/d/1fj_Bhi2XPL3siwIh4sx4VRLAe31yD50oKdj5UlRYW0c/"", ""Сводка!A:AA""), 5, FALSE)"),108)</f>
        <v>108</v>
      </c>
      <c r="H238" s="12" t="s">
        <v>446</v>
      </c>
      <c r="I238" s="10">
        <f ca="1">IFERROR(__xludf.DUMMYFUNCTION(" VLOOKUP(A235, IMPORTRANGE(""https://docs.google.com/spreadsheets/d/1QNLbnkR_AongFt22vMfNzfpjZ0CjpI8QI-w0wBnYA1w/"", ""Инфа!A:AA""), 6, FALSE)"),2024)</f>
        <v>2024</v>
      </c>
      <c r="J238" s="5">
        <f t="shared" ref="J238:J245" ca="1" si="4">ROUND((5000+G238*30),-2)</f>
        <v>8200</v>
      </c>
      <c r="K238" s="9" t="s">
        <v>1003</v>
      </c>
      <c r="L238" s="15" t="s">
        <v>1004</v>
      </c>
    </row>
    <row r="239" spans="1:12" ht="168.75">
      <c r="A239" s="8" t="s">
        <v>1005</v>
      </c>
      <c r="B239" s="9" t="s">
        <v>12</v>
      </c>
      <c r="C239" s="10" t="s">
        <v>443</v>
      </c>
      <c r="D239" s="10" t="str">
        <f ca="1">IFERROR(__xludf.DUMMYFUNCTION(" VLOOKUP(A236, IMPORTRANGE(""https://docs.google.com/spreadsheets/d/1fj_Bhi2XPL3siwIh4sx4VRLAe31yD50oKdj5UlRYW0c/"", ""Сводка!A:AA""), 11, FALSE)"),"978-601-327-263-4")</f>
        <v>978-601-327-263-4</v>
      </c>
      <c r="E239" s="11" t="s">
        <v>1006</v>
      </c>
      <c r="F239" s="11" t="s">
        <v>1007</v>
      </c>
      <c r="G239" s="12">
        <f ca="1">IFERROR(__xludf.DUMMYFUNCTION(" VLOOKUP(A236, IMPORTRANGE(""https://docs.google.com/spreadsheets/d/1fj_Bhi2XPL3siwIh4sx4VRLAe31yD50oKdj5UlRYW0c/"", ""Сводка!A:AA""), 5, FALSE)"),96)</f>
        <v>96</v>
      </c>
      <c r="H239" s="12" t="s">
        <v>446</v>
      </c>
      <c r="I239" s="10">
        <f ca="1">IFERROR(__xludf.DUMMYFUNCTION(" VLOOKUP(A236, IMPORTRANGE(""https://docs.google.com/spreadsheets/d/1QNLbnkR_AongFt22vMfNzfpjZ0CjpI8QI-w0wBnYA1w/"", ""Инфа!A:AA""), 6, FALSE)"),2024)</f>
        <v>2024</v>
      </c>
      <c r="J239" s="5">
        <f t="shared" ca="1" si="4"/>
        <v>7900</v>
      </c>
      <c r="K239" s="12" t="s">
        <v>1008</v>
      </c>
      <c r="L239" s="15" t="s">
        <v>1009</v>
      </c>
    </row>
    <row r="240" spans="1:12" ht="202.5">
      <c r="A240" s="8" t="s">
        <v>1010</v>
      </c>
      <c r="B240" s="9" t="s">
        <v>12</v>
      </c>
      <c r="C240" s="10" t="s">
        <v>151</v>
      </c>
      <c r="D240" s="10" t="str">
        <f ca="1">IFERROR(__xludf.DUMMYFUNCTION(" VLOOKUP(A237, IMPORTRANGE(""https://docs.google.com/spreadsheets/d/1fj_Bhi2XPL3siwIh4sx4VRLAe31yD50oKdj5UlRYW0c/"", ""Сводка!A:AA""), 11, FALSE)"),"978-610-327-264-1")</f>
        <v>978-610-327-264-1</v>
      </c>
      <c r="E240" s="11" t="s">
        <v>1006</v>
      </c>
      <c r="F240" s="11" t="s">
        <v>1011</v>
      </c>
      <c r="G240" s="12">
        <f ca="1">IFERROR(__xludf.DUMMYFUNCTION(" VLOOKUP(A237, IMPORTRANGE(""https://docs.google.com/spreadsheets/d/1fj_Bhi2XPL3siwIh4sx4VRLAe31yD50oKdj5UlRYW0c/"", ""Сводка!A:AA""), 5, FALSE)"),108)</f>
        <v>108</v>
      </c>
      <c r="H240" s="12" t="s">
        <v>47</v>
      </c>
      <c r="I240" s="10">
        <f ca="1">IFERROR(__xludf.DUMMYFUNCTION(" VLOOKUP(A237, IMPORTRANGE(""https://docs.google.com/spreadsheets/d/1QNLbnkR_AongFt22vMfNzfpjZ0CjpI8QI-w0wBnYA1w/"", ""Инфа!A:AA""), 6, FALSE)"),2024)</f>
        <v>2024</v>
      </c>
      <c r="J240" s="5">
        <f t="shared" ca="1" si="4"/>
        <v>8200</v>
      </c>
      <c r="K240" s="12" t="s">
        <v>1008</v>
      </c>
      <c r="L240" s="15" t="s">
        <v>1012</v>
      </c>
    </row>
    <row r="241" spans="1:12" ht="168.75">
      <c r="A241" s="8" t="s">
        <v>1013</v>
      </c>
      <c r="B241" s="9" t="s">
        <v>12</v>
      </c>
      <c r="C241" s="10" t="s">
        <v>443</v>
      </c>
      <c r="D241" s="10" t="str">
        <f ca="1">IFERROR(__xludf.DUMMYFUNCTION(" VLOOKUP(A238, IMPORTRANGE(""https://docs.google.com/spreadsheets/d/1fj_Bhi2XPL3siwIh4sx4VRLAe31yD50oKdj5UlRYW0c/"", ""Сводка!A:AA""), 11, FALSE)"),"978-601-327-261-0")</f>
        <v>978-601-327-261-0</v>
      </c>
      <c r="E241" s="11" t="s">
        <v>1014</v>
      </c>
      <c r="F241" s="11" t="s">
        <v>1015</v>
      </c>
      <c r="G241" s="12">
        <f ca="1">IFERROR(__xludf.DUMMYFUNCTION(" VLOOKUP(A238, IMPORTRANGE(""https://docs.google.com/spreadsheets/d/1fj_Bhi2XPL3siwIh4sx4VRLAe31yD50oKdj5UlRYW0c/"", ""Сводка!A:AA""), 5, FALSE)"),100)</f>
        <v>100</v>
      </c>
      <c r="H241" s="12" t="s">
        <v>1016</v>
      </c>
      <c r="I241" s="10">
        <f ca="1">IFERROR(__xludf.DUMMYFUNCTION(" VLOOKUP(A238, IMPORTRANGE(""https://docs.google.com/spreadsheets/d/1QNLbnkR_AongFt22vMfNzfpjZ0CjpI8QI-w0wBnYA1w/"", ""Инфа!A:AA""), 6, FALSE)"),2024)</f>
        <v>2024</v>
      </c>
      <c r="J241" s="5">
        <f t="shared" ca="1" si="4"/>
        <v>8000</v>
      </c>
      <c r="K241" s="12" t="s">
        <v>1008</v>
      </c>
      <c r="L241" s="15" t="s">
        <v>1017</v>
      </c>
    </row>
    <row r="242" spans="1:12" ht="236.25">
      <c r="A242" s="8" t="s">
        <v>1018</v>
      </c>
      <c r="B242" s="9" t="s">
        <v>12</v>
      </c>
      <c r="C242" s="10" t="s">
        <v>151</v>
      </c>
      <c r="D242" s="10" t="str">
        <f ca="1">IFERROR(__xludf.DUMMYFUNCTION(" VLOOKUP(A239, IMPORTRANGE(""https://docs.google.com/spreadsheets/d/1fj_Bhi2XPL3siwIh4sx4VRLAe31yD50oKdj5UlRYW0c/"", ""Сводка!A:AA""), 11, FALSE)"),"978-601-327-260-3")</f>
        <v>978-601-327-260-3</v>
      </c>
      <c r="E242" s="11" t="s">
        <v>1014</v>
      </c>
      <c r="F242" s="11" t="s">
        <v>1019</v>
      </c>
      <c r="G242" s="12">
        <f ca="1">IFERROR(__xludf.DUMMYFUNCTION(" VLOOKUP(A239, IMPORTRANGE(""https://docs.google.com/spreadsheets/d/1fj_Bhi2XPL3siwIh4sx4VRLAe31yD50oKdj5UlRYW0c/"", ""Сводка!A:AA""), 5, FALSE)"),100)</f>
        <v>100</v>
      </c>
      <c r="H242" s="12" t="s">
        <v>1020</v>
      </c>
      <c r="I242" s="10">
        <f ca="1">IFERROR(__xludf.DUMMYFUNCTION(" VLOOKUP(A239, IMPORTRANGE(""https://docs.google.com/spreadsheets/d/1QNLbnkR_AongFt22vMfNzfpjZ0CjpI8QI-w0wBnYA1w/"", ""Инфа!A:AA""), 6, FALSE)"),2024)</f>
        <v>2024</v>
      </c>
      <c r="J242" s="5">
        <f t="shared" ca="1" si="4"/>
        <v>8000</v>
      </c>
      <c r="K242" s="12" t="s">
        <v>1008</v>
      </c>
      <c r="L242" s="15" t="s">
        <v>1021</v>
      </c>
    </row>
    <row r="243" spans="1:12" ht="191.25">
      <c r="A243" s="8" t="s">
        <v>1022</v>
      </c>
      <c r="B243" s="9" t="s">
        <v>12</v>
      </c>
      <c r="C243" s="10" t="s">
        <v>443</v>
      </c>
      <c r="D243" s="10" t="str">
        <f ca="1">IFERROR(__xludf.DUMMYFUNCTION(" VLOOKUP(A240, IMPORTRANGE(""https://docs.google.com/spreadsheets/d/1fj_Bhi2XPL3siwIh4sx4VRLAe31yD50oKdj5UlRYW0c/"", ""Сводка!A:AA""), 11, FALSE)"),"978-601-327-262-7")</f>
        <v>978-601-327-262-7</v>
      </c>
      <c r="E243" s="11" t="s">
        <v>1014</v>
      </c>
      <c r="F243" s="11" t="s">
        <v>1023</v>
      </c>
      <c r="G243" s="12">
        <f ca="1">IFERROR(__xludf.DUMMYFUNCTION(" VLOOKUP(A240, IMPORTRANGE(""https://docs.google.com/spreadsheets/d/1fj_Bhi2XPL3siwIh4sx4VRLAe31yD50oKdj5UlRYW0c/"", ""Сводка!A:AA""), 5, FALSE)"),100)</f>
        <v>100</v>
      </c>
      <c r="H243" s="12" t="s">
        <v>1024</v>
      </c>
      <c r="I243" s="10">
        <f ca="1">IFERROR(__xludf.DUMMYFUNCTION(" VLOOKUP(A240, IMPORTRANGE(""https://docs.google.com/spreadsheets/d/1QNLbnkR_AongFt22vMfNzfpjZ0CjpI8QI-w0wBnYA1w/"", ""Инфа!A:AA""), 6, FALSE)"),2024)</f>
        <v>2024</v>
      </c>
      <c r="J243" s="5">
        <f t="shared" ca="1" si="4"/>
        <v>8000</v>
      </c>
      <c r="K243" s="12" t="s">
        <v>1008</v>
      </c>
      <c r="L243" s="15" t="s">
        <v>1025</v>
      </c>
    </row>
    <row r="244" spans="1:12" ht="25.5">
      <c r="A244" s="8" t="s">
        <v>1026</v>
      </c>
      <c r="B244" s="9" t="s">
        <v>12</v>
      </c>
      <c r="C244" s="10" t="s">
        <v>443</v>
      </c>
      <c r="D244" s="10" t="str">
        <f ca="1">IFERROR(__xludf.DUMMYFUNCTION(" VLOOKUP(A241, IMPORTRANGE(""https://docs.google.com/spreadsheets/d/1fj_Bhi2XPL3siwIh4sx4VRLAe31yD50oKdj5UlRYW0c/"", ""Сводка!A:AA""), 11, FALSE)"),"978-601-240-613-9")</f>
        <v>978-601-240-613-9</v>
      </c>
      <c r="E244" s="11" t="s">
        <v>1027</v>
      </c>
      <c r="F244" s="11" t="s">
        <v>1028</v>
      </c>
      <c r="G244" s="12">
        <f ca="1">IFERROR(__xludf.DUMMYFUNCTION(" VLOOKUP(A241, IMPORTRANGE(""https://docs.google.com/spreadsheets/d/1fj_Bhi2XPL3siwIh4sx4VRLAe31yD50oKdj5UlRYW0c/"", ""Сводка!A:AA""), 5, FALSE)"),316)</f>
        <v>316</v>
      </c>
      <c r="H244" s="12" t="s">
        <v>538</v>
      </c>
      <c r="I244" s="10">
        <f ca="1">IFERROR(__xludf.DUMMYFUNCTION(" VLOOKUP(A241, IMPORTRANGE(""https://docs.google.com/spreadsheets/d/1QNLbnkR_AongFt22vMfNzfpjZ0CjpI8QI-w0wBnYA1w/"", ""Инфа!A:AA""), 6, FALSE)"),2024)</f>
        <v>2024</v>
      </c>
      <c r="J244" s="5">
        <f t="shared" ca="1" si="4"/>
        <v>14500</v>
      </c>
      <c r="K244" s="9" t="s">
        <v>575</v>
      </c>
      <c r="L244" s="15"/>
    </row>
    <row r="245" spans="1:12" ht="303.75">
      <c r="A245" s="8" t="s">
        <v>1029</v>
      </c>
      <c r="B245" s="9" t="s">
        <v>12</v>
      </c>
      <c r="C245" s="10" t="s">
        <v>151</v>
      </c>
      <c r="D245" s="10" t="str">
        <f ca="1">IFERROR(__xludf.DUMMYFUNCTION(" VLOOKUP(A242, IMPORTRANGE(""https://docs.google.com/spreadsheets/d/1fj_Bhi2XPL3siwIh4sx4VRLAe31yD50oKdj5UlRYW0c/"", ""Сводка!A:AA""), 11, FALSE)"),"978-601-327-585-7")</f>
        <v>978-601-327-585-7</v>
      </c>
      <c r="E245" s="22" t="s">
        <v>1030</v>
      </c>
      <c r="F245" s="22" t="s">
        <v>1031</v>
      </c>
      <c r="G245" s="12">
        <f ca="1">IFERROR(__xludf.DUMMYFUNCTION(" VLOOKUP(A242, IMPORTRANGE(""https://docs.google.com/spreadsheets/d/1fj_Bhi2XPL3siwIh4sx4VRLAe31yD50oKdj5UlRYW0c/"", ""Сводка!A:AA""), 5, FALSE)"),288)</f>
        <v>288</v>
      </c>
      <c r="H245" s="10" t="s">
        <v>106</v>
      </c>
      <c r="I245" s="10">
        <f ca="1">IFERROR(__xludf.DUMMYFUNCTION(" VLOOKUP(A242, IMPORTRANGE(""https://docs.google.com/spreadsheets/d/1QNLbnkR_AongFt22vMfNzfpjZ0CjpI8QI-w0wBnYA1w/"", ""Инфа!A:AA""), 6, FALSE)"),2024)</f>
        <v>2024</v>
      </c>
      <c r="J245" s="5">
        <f t="shared" ca="1" si="4"/>
        <v>13600</v>
      </c>
      <c r="K245" s="12" t="s">
        <v>160</v>
      </c>
      <c r="L245" s="23" t="s">
        <v>1032</v>
      </c>
    </row>
    <row r="246" spans="1:12" ht="303.75">
      <c r="A246" s="8" t="s">
        <v>1033</v>
      </c>
      <c r="B246" s="9" t="s">
        <v>12</v>
      </c>
      <c r="C246" s="10" t="s">
        <v>151</v>
      </c>
      <c r="D246" s="10" t="str">
        <f ca="1">IFERROR(__xludf.DUMMYFUNCTION(" VLOOKUP(A243, IMPORTRANGE(""https://docs.google.com/spreadsheets/d/1fj_Bhi2XPL3siwIh4sx4VRLAe31yD50oKdj5UlRYW0c/"", ""Сводка!A:AA""), 11, FALSE)"),"978-601-327-585-7")</f>
        <v>978-601-327-585-7</v>
      </c>
      <c r="E246" s="22" t="s">
        <v>1034</v>
      </c>
      <c r="F246" s="22" t="s">
        <v>1035</v>
      </c>
      <c r="G246" s="12">
        <f ca="1">IFERROR(__xludf.DUMMYFUNCTION(" VLOOKUP(A243, IMPORTRANGE(""https://docs.google.com/spreadsheets/d/1fj_Bhi2XPL3siwIh4sx4VRLAe31yD50oKdj5UlRYW0c/"", ""Сводка!A:AA""), 5, FALSE)"),316)</f>
        <v>316</v>
      </c>
      <c r="H246" s="10" t="s">
        <v>106</v>
      </c>
      <c r="I246" s="10">
        <f ca="1">IFERROR(__xludf.DUMMYFUNCTION(" VLOOKUP(A243, IMPORTRANGE(""https://docs.google.com/spreadsheets/d/1QNLbnkR_AongFt22vMfNzfpjZ0CjpI8QI-w0wBnYA1w/"", ""Инфа!A:AA""), 6, FALSE)"),2024)</f>
        <v>2024</v>
      </c>
      <c r="J246" s="5">
        <f ca="1">ROUND((5000+G246*60),-2)</f>
        <v>24000</v>
      </c>
      <c r="K246" s="12" t="s">
        <v>160</v>
      </c>
      <c r="L246" s="23" t="s">
        <v>1036</v>
      </c>
    </row>
    <row r="247" spans="1:12" ht="123.75">
      <c r="A247" s="8" t="s">
        <v>1037</v>
      </c>
      <c r="B247" s="9" t="s">
        <v>12</v>
      </c>
      <c r="C247" s="10" t="s">
        <v>443</v>
      </c>
      <c r="D247" s="10" t="str">
        <f ca="1">IFERROR(__xludf.DUMMYFUNCTION(" VLOOKUP(A244, IMPORTRANGE(""https://docs.google.com/spreadsheets/d/1fj_Bhi2XPL3siwIh4sx4VRLAe31yD50oKdj5UlRYW0c/"", ""Сводка!A:AA""), 11, FALSE)"),"978-601-310-767-7")</f>
        <v>978-601-310-767-7</v>
      </c>
      <c r="E247" s="11" t="s">
        <v>1038</v>
      </c>
      <c r="F247" s="11" t="s">
        <v>1039</v>
      </c>
      <c r="G247" s="12">
        <f ca="1">IFERROR(__xludf.DUMMYFUNCTION(" VLOOKUP(A244, IMPORTRANGE(""https://docs.google.com/spreadsheets/d/1fj_Bhi2XPL3siwIh4sx4VRLAe31yD50oKdj5UlRYW0c/"", ""Сводка!A:AA""), 5, FALSE)"),128)</f>
        <v>128</v>
      </c>
      <c r="H247" s="12" t="s">
        <v>446</v>
      </c>
      <c r="I247" s="10">
        <f ca="1">IFERROR(__xludf.DUMMYFUNCTION(" VLOOKUP(A244, IMPORTRANGE(""https://docs.google.com/spreadsheets/d/1QNLbnkR_AongFt22vMfNzfpjZ0CjpI8QI-w0wBnYA1w/"", ""Инфа!A:AA""), 6, FALSE)"),2024)</f>
        <v>2024</v>
      </c>
      <c r="J247" s="5">
        <f ca="1">ROUND((5000+G247*30),-2)</f>
        <v>8800</v>
      </c>
      <c r="K247" s="12" t="s">
        <v>271</v>
      </c>
      <c r="L247" s="15" t="s">
        <v>1040</v>
      </c>
    </row>
    <row r="248" spans="1:12" ht="112.5">
      <c r="A248" s="8" t="s">
        <v>1041</v>
      </c>
      <c r="B248" s="9" t="s">
        <v>12</v>
      </c>
      <c r="C248" s="10" t="s">
        <v>443</v>
      </c>
      <c r="D248" s="10" t="str">
        <f ca="1">IFERROR(__xludf.DUMMYFUNCTION(" VLOOKUP(A245, IMPORTRANGE(""https://docs.google.com/spreadsheets/d/1fj_Bhi2XPL3siwIh4sx4VRLAe31yD50oKdj5UlRYW0c/"", ""Сводка!A:AA""), 11, FALSE)"),"978-601-240-241-4")</f>
        <v>978-601-240-241-4</v>
      </c>
      <c r="E248" s="11" t="s">
        <v>1042</v>
      </c>
      <c r="F248" s="11" t="s">
        <v>1043</v>
      </c>
      <c r="G248" s="12">
        <f ca="1">IFERROR(__xludf.DUMMYFUNCTION(" VLOOKUP(A245, IMPORTRANGE(""https://docs.google.com/spreadsheets/d/1fj_Bhi2XPL3siwIh4sx4VRLAe31yD50oKdj5UlRYW0c/"", ""Сводка!A:AA""), 5, FALSE)"),236)</f>
        <v>236</v>
      </c>
      <c r="H248" s="12" t="s">
        <v>538</v>
      </c>
      <c r="I248" s="10">
        <f ca="1">IFERROR(__xludf.DUMMYFUNCTION(" VLOOKUP(A245, IMPORTRANGE(""https://docs.google.com/spreadsheets/d/1QNLbnkR_AongFt22vMfNzfpjZ0CjpI8QI-w0wBnYA1w/"", ""Инфа!A:AA""), 6, FALSE)"),2024)</f>
        <v>2024</v>
      </c>
      <c r="J248" s="5">
        <f ca="1">ROUND((5000+G248*30),-2)</f>
        <v>12100</v>
      </c>
      <c r="K248" s="9" t="s">
        <v>539</v>
      </c>
      <c r="L248" s="15" t="s">
        <v>1044</v>
      </c>
    </row>
    <row r="249" spans="1:12" ht="90">
      <c r="A249" s="8" t="s">
        <v>1045</v>
      </c>
      <c r="B249" s="9" t="s">
        <v>12</v>
      </c>
      <c r="C249" s="10" t="s">
        <v>443</v>
      </c>
      <c r="D249" s="10" t="str">
        <f ca="1">IFERROR(__xludf.DUMMYFUNCTION(" VLOOKUP(A246, IMPORTRANGE(""https://docs.google.com/spreadsheets/d/1fj_Bhi2XPL3siwIh4sx4VRLAe31yD50oKdj5UlRYW0c/"", ""Сводка!A:AA""), 11, FALSE)"),"978-601-240-060-1")</f>
        <v>978-601-240-060-1</v>
      </c>
      <c r="E249" s="11" t="s">
        <v>1046</v>
      </c>
      <c r="F249" s="11" t="s">
        <v>1047</v>
      </c>
      <c r="G249" s="12">
        <f ca="1">IFERROR(__xludf.DUMMYFUNCTION(" VLOOKUP(A246, IMPORTRANGE(""https://docs.google.com/spreadsheets/d/1fj_Bhi2XPL3siwIh4sx4VRLAe31yD50oKdj5UlRYW0c/"", ""Сводка!A:AA""), 5, FALSE)"),268)</f>
        <v>268</v>
      </c>
      <c r="H249" s="12" t="s">
        <v>538</v>
      </c>
      <c r="I249" s="10">
        <f ca="1">IFERROR(__xludf.DUMMYFUNCTION(" VLOOKUP(A246, IMPORTRANGE(""https://docs.google.com/spreadsheets/d/1QNLbnkR_AongFt22vMfNzfpjZ0CjpI8QI-w0wBnYA1w/"", ""Инфа!A:AA""), 6, FALSE)"),2024)</f>
        <v>2024</v>
      </c>
      <c r="J249" s="5">
        <f ca="1">ROUND((5000+G249*30),-2)</f>
        <v>13000</v>
      </c>
      <c r="K249" s="9" t="s">
        <v>539</v>
      </c>
      <c r="L249" s="15" t="s">
        <v>1048</v>
      </c>
    </row>
    <row r="250" spans="1:12" ht="180">
      <c r="A250" s="8" t="s">
        <v>1049</v>
      </c>
      <c r="B250" s="9" t="s">
        <v>12</v>
      </c>
      <c r="C250" s="10" t="s">
        <v>13</v>
      </c>
      <c r="D250" s="10" t="str">
        <f ca="1">IFERROR(__xludf.DUMMYFUNCTION(" VLOOKUP(A247, IMPORTRANGE(""https://docs.google.com/spreadsheets/d/1fj_Bhi2XPL3siwIh4sx4VRLAe31yD50oKdj5UlRYW0c/"", ""Сводка!A:AA""), 11, FALSE)"),"978-601-327-692-2")</f>
        <v>978-601-327-692-2</v>
      </c>
      <c r="E250" s="11" t="s">
        <v>1050</v>
      </c>
      <c r="F250" s="11" t="s">
        <v>1051</v>
      </c>
      <c r="G250" s="12">
        <f ca="1">IFERROR(__xludf.DUMMYFUNCTION(" VLOOKUP(A247, IMPORTRANGE(""https://docs.google.com/spreadsheets/d/1fj_Bhi2XPL3siwIh4sx4VRLAe31yD50oKdj5UlRYW0c/"", ""Сводка!A:AA""), 5, FALSE)"),212)</f>
        <v>212</v>
      </c>
      <c r="H250" s="12" t="s">
        <v>106</v>
      </c>
      <c r="I250" s="10">
        <f ca="1">IFERROR(__xludf.DUMMYFUNCTION(" VLOOKUP(A247, IMPORTRANGE(""https://docs.google.com/spreadsheets/d/1QNLbnkR_AongFt22vMfNzfpjZ0CjpI8QI-w0wBnYA1w/"", ""Инфа!A:AA""), 6, FALSE)"),2024)</f>
        <v>2024</v>
      </c>
      <c r="J250" s="5">
        <f ca="1">ROUND((5000+G250*60),-2)</f>
        <v>17700</v>
      </c>
      <c r="K250" s="12" t="s">
        <v>160</v>
      </c>
      <c r="L250" s="15" t="s">
        <v>1052</v>
      </c>
    </row>
    <row r="251" spans="1:12" ht="292.5">
      <c r="A251" s="8" t="s">
        <v>1053</v>
      </c>
      <c r="B251" s="9" t="s">
        <v>12</v>
      </c>
      <c r="C251" s="10" t="s">
        <v>13</v>
      </c>
      <c r="D251" s="10" t="str">
        <f ca="1">IFERROR(__xludf.DUMMYFUNCTION(" VLOOKUP(A248, IMPORTRANGE(""https://docs.google.com/spreadsheets/d/1fj_Bhi2XPL3siwIh4sx4VRLAe31yD50oKdj5UlRYW0c/"", ""Сводка!A:AA""), 11, FALSE)"),"996-539-212-9")</f>
        <v>996-539-212-9</v>
      </c>
      <c r="E251" s="11" t="s">
        <v>1050</v>
      </c>
      <c r="F251" s="11" t="s">
        <v>1054</v>
      </c>
      <c r="G251" s="12">
        <f ca="1">IFERROR(__xludf.DUMMYFUNCTION(" VLOOKUP(A248, IMPORTRANGE(""https://docs.google.com/spreadsheets/d/1fj_Bhi2XPL3siwIh4sx4VRLAe31yD50oKdj5UlRYW0c/"", ""Сводка!A:AA""), 5, FALSE)"),108)</f>
        <v>108</v>
      </c>
      <c r="H251" s="12" t="s">
        <v>1055</v>
      </c>
      <c r="I251" s="10">
        <f ca="1">IFERROR(__xludf.DUMMYFUNCTION(" VLOOKUP(A248, IMPORTRANGE(""https://docs.google.com/spreadsheets/d/1QNLbnkR_AongFt22vMfNzfpjZ0CjpI8QI-w0wBnYA1w/"", ""Инфа!A:AA""), 6, FALSE)"),2024)</f>
        <v>2024</v>
      </c>
      <c r="J251" s="5">
        <f t="shared" ref="J251:J257" ca="1" si="5">ROUND((5000+G251*30),-2)</f>
        <v>8200</v>
      </c>
      <c r="K251" s="12" t="s">
        <v>160</v>
      </c>
      <c r="L251" s="15" t="s">
        <v>1056</v>
      </c>
    </row>
    <row r="252" spans="1:12" ht="168.75">
      <c r="A252" s="8" t="s">
        <v>1057</v>
      </c>
      <c r="B252" s="9" t="s">
        <v>12</v>
      </c>
      <c r="C252" s="10" t="s">
        <v>443</v>
      </c>
      <c r="D252" s="10" t="str">
        <f ca="1">IFERROR(__xludf.DUMMYFUNCTION(" VLOOKUP(A249, IMPORTRANGE(""https://docs.google.com/spreadsheets/d/1fj_Bhi2XPL3siwIh4sx4VRLAe31yD50oKdj5UlRYW0c/"", ""Сводка!A:AA""), 11, FALSE)"),"978-601-327-389-1")</f>
        <v>978-601-327-389-1</v>
      </c>
      <c r="E252" s="11" t="s">
        <v>1058</v>
      </c>
      <c r="F252" s="11" t="s">
        <v>1059</v>
      </c>
      <c r="G252" s="12">
        <f ca="1">IFERROR(__xludf.DUMMYFUNCTION(" VLOOKUP(A249, IMPORTRANGE(""https://docs.google.com/spreadsheets/d/1fj_Bhi2XPL3siwIh4sx4VRLAe31yD50oKdj5UlRYW0c/"", ""Сводка!A:AA""), 5, FALSE)"),276)</f>
        <v>276</v>
      </c>
      <c r="H252" s="12" t="s">
        <v>47</v>
      </c>
      <c r="I252" s="10">
        <f ca="1">IFERROR(__xludf.DUMMYFUNCTION(" VLOOKUP(A249, IMPORTRANGE(""https://docs.google.com/spreadsheets/d/1QNLbnkR_AongFt22vMfNzfpjZ0CjpI8QI-w0wBnYA1w/"", ""Инфа!A:AA""), 6, FALSE)"),2024)</f>
        <v>2024</v>
      </c>
      <c r="J252" s="5">
        <f t="shared" ca="1" si="5"/>
        <v>13300</v>
      </c>
      <c r="K252" s="12" t="s">
        <v>160</v>
      </c>
      <c r="L252" s="15" t="s">
        <v>1060</v>
      </c>
    </row>
    <row r="253" spans="1:12" ht="168.75">
      <c r="A253" s="8" t="s">
        <v>1061</v>
      </c>
      <c r="B253" s="9" t="s">
        <v>12</v>
      </c>
      <c r="C253" s="10" t="s">
        <v>443</v>
      </c>
      <c r="D253" s="10" t="str">
        <f ca="1">IFERROR(__xludf.DUMMYFUNCTION(" VLOOKUP(A250, IMPORTRANGE(""https://docs.google.com/spreadsheets/d/1fj_Bhi2XPL3siwIh4sx4VRLAe31yD50oKdj5UlRYW0c/"", ""Сводка!A:AA""), 11, FALSE)"),"978-601-327-389-1")</f>
        <v>978-601-327-389-1</v>
      </c>
      <c r="E253" s="11" t="s">
        <v>1058</v>
      </c>
      <c r="F253" s="11" t="s">
        <v>1062</v>
      </c>
      <c r="G253" s="12">
        <f ca="1">IFERROR(__xludf.DUMMYFUNCTION(" VLOOKUP(A250, IMPORTRANGE(""https://docs.google.com/spreadsheets/d/1fj_Bhi2XPL3siwIh4sx4VRLAe31yD50oKdj5UlRYW0c/"", ""Сводка!A:AA""), 5, FALSE)"),332)</f>
        <v>332</v>
      </c>
      <c r="H253" s="12" t="s">
        <v>47</v>
      </c>
      <c r="I253" s="10">
        <f ca="1">IFERROR(__xludf.DUMMYFUNCTION(" VLOOKUP(A250, IMPORTRANGE(""https://docs.google.com/spreadsheets/d/1QNLbnkR_AongFt22vMfNzfpjZ0CjpI8QI-w0wBnYA1w/"", ""Инфа!A:AA""), 6, FALSE)"),2024)</f>
        <v>2024</v>
      </c>
      <c r="J253" s="5">
        <f t="shared" ca="1" si="5"/>
        <v>15000</v>
      </c>
      <c r="K253" s="12" t="s">
        <v>160</v>
      </c>
      <c r="L253" s="15" t="s">
        <v>1060</v>
      </c>
    </row>
    <row r="254" spans="1:12" ht="168.75">
      <c r="A254" s="8" t="s">
        <v>1063</v>
      </c>
      <c r="B254" s="9" t="s">
        <v>12</v>
      </c>
      <c r="C254" s="10" t="s">
        <v>443</v>
      </c>
      <c r="D254" s="10" t="str">
        <f ca="1">IFERROR(__xludf.DUMMYFUNCTION(" VLOOKUP(A251, IMPORTRANGE(""https://docs.google.com/spreadsheets/d/1fj_Bhi2XPL3siwIh4sx4VRLAe31yD50oKdj5UlRYW0c/"", ""Сводка!A:AA""), 11, FALSE)"),"978-601-327-389-1")</f>
        <v>978-601-327-389-1</v>
      </c>
      <c r="E254" s="11" t="s">
        <v>1058</v>
      </c>
      <c r="F254" s="11" t="s">
        <v>1064</v>
      </c>
      <c r="G254" s="12">
        <f ca="1">IFERROR(__xludf.DUMMYFUNCTION(" VLOOKUP(A251, IMPORTRANGE(""https://docs.google.com/spreadsheets/d/1fj_Bhi2XPL3siwIh4sx4VRLAe31yD50oKdj5UlRYW0c/"", ""Сводка!A:AA""), 5, FALSE)"),196)</f>
        <v>196</v>
      </c>
      <c r="H254" s="12" t="s">
        <v>47</v>
      </c>
      <c r="I254" s="10">
        <f ca="1">IFERROR(__xludf.DUMMYFUNCTION(" VLOOKUP(A251, IMPORTRANGE(""https://docs.google.com/spreadsheets/d/1QNLbnkR_AongFt22vMfNzfpjZ0CjpI8QI-w0wBnYA1w/"", ""Инфа!A:AA""), 6, FALSE)"),2024)</f>
        <v>2024</v>
      </c>
      <c r="J254" s="5">
        <f t="shared" ca="1" si="5"/>
        <v>10900</v>
      </c>
      <c r="K254" s="12" t="s">
        <v>160</v>
      </c>
      <c r="L254" s="15" t="s">
        <v>1060</v>
      </c>
    </row>
    <row r="255" spans="1:12" ht="213.75">
      <c r="A255" s="8" t="s">
        <v>1065</v>
      </c>
      <c r="B255" s="9" t="s">
        <v>12</v>
      </c>
      <c r="C255" s="10" t="s">
        <v>151</v>
      </c>
      <c r="D255" s="10" t="str">
        <f ca="1">IFERROR(__xludf.DUMMYFUNCTION(" VLOOKUP(A252, IMPORTRANGE(""https://docs.google.com/spreadsheets/d/1fj_Bhi2XPL3siwIh4sx4VRLAe31yD50oKdj5UlRYW0c/"", ""Сводка!A:AA""), 11, FALSE)"),"978-601-327-377-8")</f>
        <v>978-601-327-377-8</v>
      </c>
      <c r="E255" s="11" t="s">
        <v>1058</v>
      </c>
      <c r="F255" s="11" t="s">
        <v>1066</v>
      </c>
      <c r="G255" s="12">
        <f ca="1">IFERROR(__xludf.DUMMYFUNCTION(" VLOOKUP(A252, IMPORTRANGE(""https://docs.google.com/spreadsheets/d/1fj_Bhi2XPL3siwIh4sx4VRLAe31yD50oKdj5UlRYW0c/"", ""Сводка!A:AA""), 5, FALSE)"),324)</f>
        <v>324</v>
      </c>
      <c r="H255" s="12" t="s">
        <v>498</v>
      </c>
      <c r="I255" s="10">
        <f ca="1">IFERROR(__xludf.DUMMYFUNCTION(" VLOOKUP(A252, IMPORTRANGE(""https://docs.google.com/spreadsheets/d/1QNLbnkR_AongFt22vMfNzfpjZ0CjpI8QI-w0wBnYA1w/"", ""Инфа!A:AA""), 6, FALSE)"),2024)</f>
        <v>2024</v>
      </c>
      <c r="J255" s="5">
        <f t="shared" ca="1" si="5"/>
        <v>14700</v>
      </c>
      <c r="K255" s="12" t="s">
        <v>160</v>
      </c>
      <c r="L255" s="15" t="s">
        <v>1067</v>
      </c>
    </row>
    <row r="256" spans="1:12" ht="213.75">
      <c r="A256" s="8" t="s">
        <v>1068</v>
      </c>
      <c r="B256" s="9" t="s">
        <v>12</v>
      </c>
      <c r="C256" s="10" t="s">
        <v>151</v>
      </c>
      <c r="D256" s="10" t="str">
        <f ca="1">IFERROR(__xludf.DUMMYFUNCTION(" VLOOKUP(A253, IMPORTRANGE(""https://docs.google.com/spreadsheets/d/1fj_Bhi2XPL3siwIh4sx4VRLAe31yD50oKdj5UlRYW0c/"", ""Сводка!A:AA""), 11, FALSE)"),"978-601-327-377-8")</f>
        <v>978-601-327-377-8</v>
      </c>
      <c r="E256" s="11" t="s">
        <v>1058</v>
      </c>
      <c r="F256" s="11" t="s">
        <v>1069</v>
      </c>
      <c r="G256" s="12">
        <f ca="1">IFERROR(__xludf.DUMMYFUNCTION(" VLOOKUP(A253, IMPORTRANGE(""https://docs.google.com/spreadsheets/d/1fj_Bhi2XPL3siwIh4sx4VRLAe31yD50oKdj5UlRYW0c/"", ""Сводка!A:AA""), 5, FALSE)"),336)</f>
        <v>336</v>
      </c>
      <c r="H256" s="12" t="s">
        <v>498</v>
      </c>
      <c r="I256" s="10">
        <f ca="1">IFERROR(__xludf.DUMMYFUNCTION(" VLOOKUP(A253, IMPORTRANGE(""https://docs.google.com/spreadsheets/d/1QNLbnkR_AongFt22vMfNzfpjZ0CjpI8QI-w0wBnYA1w/"", ""Инфа!A:AA""), 6, FALSE)"),2024)</f>
        <v>2024</v>
      </c>
      <c r="J256" s="5">
        <f t="shared" ca="1" si="5"/>
        <v>15100</v>
      </c>
      <c r="K256" s="12" t="s">
        <v>160</v>
      </c>
      <c r="L256" s="15" t="s">
        <v>1067</v>
      </c>
    </row>
    <row r="257" spans="1:12" ht="213.75">
      <c r="A257" s="8" t="s">
        <v>1070</v>
      </c>
      <c r="B257" s="9" t="s">
        <v>12</v>
      </c>
      <c r="C257" s="10" t="s">
        <v>151</v>
      </c>
      <c r="D257" s="10" t="str">
        <f ca="1">IFERROR(__xludf.DUMMYFUNCTION(" VLOOKUP(A254, IMPORTRANGE(""https://docs.google.com/spreadsheets/d/1fj_Bhi2XPL3siwIh4sx4VRLAe31yD50oKdj5UlRYW0c/"", ""Сводка!A:AA""), 11, FALSE)"),"978-601-327-377-8")</f>
        <v>978-601-327-377-8</v>
      </c>
      <c r="E257" s="11" t="s">
        <v>1058</v>
      </c>
      <c r="F257" s="11" t="s">
        <v>1071</v>
      </c>
      <c r="G257" s="12">
        <f ca="1">IFERROR(__xludf.DUMMYFUNCTION(" VLOOKUP(A254, IMPORTRANGE(""https://docs.google.com/spreadsheets/d/1fj_Bhi2XPL3siwIh4sx4VRLAe31yD50oKdj5UlRYW0c/"", ""Сводка!A:AA""), 5, FALSE)"),188)</f>
        <v>188</v>
      </c>
      <c r="H257" s="12" t="s">
        <v>498</v>
      </c>
      <c r="I257" s="10">
        <f ca="1">IFERROR(__xludf.DUMMYFUNCTION(" VLOOKUP(A254, IMPORTRANGE(""https://docs.google.com/spreadsheets/d/1QNLbnkR_AongFt22vMfNzfpjZ0CjpI8QI-w0wBnYA1w/"", ""Инфа!A:AA""), 6, FALSE)"),2024)</f>
        <v>2024</v>
      </c>
      <c r="J257" s="5">
        <f t="shared" ca="1" si="5"/>
        <v>10600</v>
      </c>
      <c r="K257" s="12" t="s">
        <v>160</v>
      </c>
      <c r="L257" s="15" t="s">
        <v>1067</v>
      </c>
    </row>
    <row r="258" spans="1:12" ht="101.25">
      <c r="A258" s="8" t="s">
        <v>1072</v>
      </c>
      <c r="B258" s="9" t="s">
        <v>12</v>
      </c>
      <c r="C258" s="10" t="s">
        <v>443</v>
      </c>
      <c r="D258" s="10" t="str">
        <f ca="1">IFERROR(__xludf.DUMMYFUNCTION(" VLOOKUP(A255, IMPORTRANGE(""https://docs.google.com/spreadsheets/d/1fj_Bhi2XPL3siwIh4sx4VRLAe31yD50oKdj5UlRYW0c/"", ""Сводка!A:AA""), 11, FALSE)"),"978-601-327-414-1")</f>
        <v>978-601-327-414-1</v>
      </c>
      <c r="E258" s="11" t="s">
        <v>1073</v>
      </c>
      <c r="F258" s="11" t="s">
        <v>1074</v>
      </c>
      <c r="G258" s="12">
        <f ca="1">IFERROR(__xludf.DUMMYFUNCTION(" VLOOKUP(A255, IMPORTRANGE(""https://docs.google.com/spreadsheets/d/1fj_Bhi2XPL3siwIh4sx4VRLAe31yD50oKdj5UlRYW0c/"", ""Сводка!A:AA""), 5, FALSE)"),108)</f>
        <v>108</v>
      </c>
      <c r="H258" s="12" t="s">
        <v>538</v>
      </c>
      <c r="I258" s="10">
        <f ca="1">IFERROR(__xludf.DUMMYFUNCTION(" VLOOKUP(A255, IMPORTRANGE(""https://docs.google.com/spreadsheets/d/1QNLbnkR_AongFt22vMfNzfpjZ0CjpI8QI-w0wBnYA1w/"", ""Инфа!A:AA""), 6, FALSE)"),2024)</f>
        <v>2024</v>
      </c>
      <c r="J258" s="5">
        <f ca="1">ROUND((5000+G258*60),-2)</f>
        <v>11500</v>
      </c>
      <c r="K258" s="12" t="s">
        <v>1075</v>
      </c>
      <c r="L258" s="15" t="s">
        <v>1076</v>
      </c>
    </row>
    <row r="259" spans="1:12" ht="157.5">
      <c r="A259" s="8" t="s">
        <v>1077</v>
      </c>
      <c r="B259" s="9" t="s">
        <v>12</v>
      </c>
      <c r="C259" s="10" t="s">
        <v>443</v>
      </c>
      <c r="D259" s="10" t="str">
        <f ca="1">IFERROR(__xludf.DUMMYFUNCTION(" VLOOKUP(A256, IMPORTRANGE(""https://docs.google.com/spreadsheets/d/1fj_Bhi2XPL3siwIh4sx4VRLAe31yD50oKdj5UlRYW0c/"", ""Сводка!A:AA""), 11, FALSE)"),"978-601-327-591-8")</f>
        <v>978-601-327-591-8</v>
      </c>
      <c r="E259" s="11" t="s">
        <v>1078</v>
      </c>
      <c r="F259" s="11" t="s">
        <v>1079</v>
      </c>
      <c r="G259" s="12">
        <f ca="1">IFERROR(__xludf.DUMMYFUNCTION(" VLOOKUP(A256, IMPORTRANGE(""https://docs.google.com/spreadsheets/d/1fj_Bhi2XPL3siwIh4sx4VRLAe31yD50oKdj5UlRYW0c/"", ""Сводка!A:AA""), 5, FALSE)"),168)</f>
        <v>168</v>
      </c>
      <c r="H259" s="12" t="s">
        <v>446</v>
      </c>
      <c r="I259" s="10">
        <f ca="1">IFERROR(__xludf.DUMMYFUNCTION(" VLOOKUP(A256, IMPORTRANGE(""https://docs.google.com/spreadsheets/d/1QNLbnkR_AongFt22vMfNzfpjZ0CjpI8QI-w0wBnYA1w/"", ""Инфа!A:AA""), 6, FALSE)"),2024)</f>
        <v>2024</v>
      </c>
      <c r="J259" s="5">
        <f ca="1">ROUND((5000+G259*30),-2)</f>
        <v>10000</v>
      </c>
      <c r="K259" s="9" t="s">
        <v>539</v>
      </c>
      <c r="L259" s="15" t="s">
        <v>1080</v>
      </c>
    </row>
    <row r="260" spans="1:12" ht="135">
      <c r="A260" s="8" t="s">
        <v>1081</v>
      </c>
      <c r="B260" s="9" t="s">
        <v>12</v>
      </c>
      <c r="C260" s="10" t="s">
        <v>443</v>
      </c>
      <c r="D260" s="10" t="str">
        <f ca="1">IFERROR(__xludf.DUMMYFUNCTION(" VLOOKUP(A257, IMPORTRANGE(""https://docs.google.com/spreadsheets/d/1fj_Bhi2XPL3siwIh4sx4VRLAe31yD50oKdj5UlRYW0c/"", ""Сводка!A:AA""), 11, FALSE)"),"978-601-327-414-0")</f>
        <v>978-601-327-414-0</v>
      </c>
      <c r="E260" s="11" t="s">
        <v>1082</v>
      </c>
      <c r="F260" s="11" t="s">
        <v>1083</v>
      </c>
      <c r="G260" s="12">
        <f ca="1">IFERROR(__xludf.DUMMYFUNCTION(" VLOOKUP(A257, IMPORTRANGE(""https://docs.google.com/spreadsheets/d/1fj_Bhi2XPL3siwIh4sx4VRLAe31yD50oKdj5UlRYW0c/"", ""Сводка!A:AA""), 5, FALSE)"),112)</f>
        <v>112</v>
      </c>
      <c r="H260" s="12" t="s">
        <v>1084</v>
      </c>
      <c r="I260" s="10">
        <f ca="1">IFERROR(__xludf.DUMMYFUNCTION(" VLOOKUP(A257, IMPORTRANGE(""https://docs.google.com/spreadsheets/d/1QNLbnkR_AongFt22vMfNzfpjZ0CjpI8QI-w0wBnYA1w/"", ""Инфа!A:AA""), 6, FALSE)"),2024)</f>
        <v>2024</v>
      </c>
      <c r="J260" s="5">
        <f ca="1">ROUND((5000+G260*60),-2)</f>
        <v>11700</v>
      </c>
      <c r="K260" s="9" t="s">
        <v>539</v>
      </c>
      <c r="L260" s="15" t="s">
        <v>1085</v>
      </c>
    </row>
    <row r="261" spans="1:12" ht="135">
      <c r="A261" s="8" t="s">
        <v>1086</v>
      </c>
      <c r="B261" s="9" t="s">
        <v>12</v>
      </c>
      <c r="C261" s="10" t="s">
        <v>443</v>
      </c>
      <c r="D261" s="10" t="str">
        <f ca="1">IFERROR(__xludf.DUMMYFUNCTION(" VLOOKUP(A258, IMPORTRANGE(""https://docs.google.com/spreadsheets/d/1fj_Bhi2XPL3siwIh4sx4VRLAe31yD50oKdj5UlRYW0c/"", ""Сводка!A:AA""), 11, FALSE)"),"978-601-327-302-0")</f>
        <v>978-601-327-302-0</v>
      </c>
      <c r="E261" s="11" t="s">
        <v>1082</v>
      </c>
      <c r="F261" s="11" t="s">
        <v>587</v>
      </c>
      <c r="G261" s="12">
        <f ca="1">IFERROR(__xludf.DUMMYFUNCTION(" VLOOKUP(A258, IMPORTRANGE(""https://docs.google.com/spreadsheets/d/1fj_Bhi2XPL3siwIh4sx4VRLAe31yD50oKdj5UlRYW0c/"", ""Сводка!A:AA""), 5, FALSE)"),188)</f>
        <v>188</v>
      </c>
      <c r="H261" s="12" t="s">
        <v>446</v>
      </c>
      <c r="I261" s="10">
        <f ca="1">IFERROR(__xludf.DUMMYFUNCTION(" VLOOKUP(A258, IMPORTRANGE(""https://docs.google.com/spreadsheets/d/1QNLbnkR_AongFt22vMfNzfpjZ0CjpI8QI-w0wBnYA1w/"", ""Инфа!A:AA""), 6, FALSE)"),2024)</f>
        <v>2024</v>
      </c>
      <c r="J261" s="5">
        <f ca="1">ROUND((5000+G261*60),-2)</f>
        <v>16300</v>
      </c>
      <c r="K261" s="9" t="s">
        <v>539</v>
      </c>
      <c r="L261" s="15" t="s">
        <v>1085</v>
      </c>
    </row>
    <row r="262" spans="1:12" ht="101.25">
      <c r="A262" s="8" t="s">
        <v>1087</v>
      </c>
      <c r="B262" s="9" t="s">
        <v>12</v>
      </c>
      <c r="C262" s="10" t="s">
        <v>151</v>
      </c>
      <c r="D262" s="10" t="str">
        <f ca="1">IFERROR(__xludf.DUMMYFUNCTION(" VLOOKUP(A259, IMPORTRANGE(""https://docs.google.com/spreadsheets/d/1fj_Bhi2XPL3siwIh4sx4VRLAe31yD50oKdj5UlRYW0c/"", ""Сводка!A:AA""), 11, FALSE)"),"978-601-342-162-9")</f>
        <v>978-601-342-162-9</v>
      </c>
      <c r="E262" s="11" t="s">
        <v>1088</v>
      </c>
      <c r="F262" s="11" t="s">
        <v>1089</v>
      </c>
      <c r="G262" s="12">
        <f ca="1">IFERROR(__xludf.DUMMYFUNCTION(" VLOOKUP(A259, IMPORTRANGE(""https://docs.google.com/spreadsheets/d/1fj_Bhi2XPL3siwIh4sx4VRLAe31yD50oKdj5UlRYW0c/"", ""Сводка!A:AA""), 5, FALSE)"),240)</f>
        <v>240</v>
      </c>
      <c r="H262" s="12" t="s">
        <v>56</v>
      </c>
      <c r="I262" s="10">
        <f ca="1">IFERROR(__xludf.DUMMYFUNCTION(" VLOOKUP(A259, IMPORTRANGE(""https://docs.google.com/spreadsheets/d/1QNLbnkR_AongFt22vMfNzfpjZ0CjpI8QI-w0wBnYA1w/"", ""Инфа!A:AA""), 6, FALSE)"),2024)</f>
        <v>2024</v>
      </c>
      <c r="J262" s="5">
        <f ca="1">ROUND((5000+G262*30),-2)</f>
        <v>12200</v>
      </c>
      <c r="K262" s="12" t="s">
        <v>160</v>
      </c>
      <c r="L262" s="15" t="s">
        <v>1090</v>
      </c>
    </row>
    <row r="263" spans="1:12" ht="67.5">
      <c r="A263" s="8" t="s">
        <v>1091</v>
      </c>
      <c r="B263" s="9" t="s">
        <v>12</v>
      </c>
      <c r="C263" s="10" t="s">
        <v>151</v>
      </c>
      <c r="D263" s="10" t="str">
        <f ca="1">IFERROR(__xludf.DUMMYFUNCTION(" VLOOKUP(A260, IMPORTRANGE(""https://docs.google.com/spreadsheets/d/1fj_Bhi2XPL3siwIh4sx4VRLAe31yD50oKdj5UlRYW0c/"", ""Сводка!A:AA""), 11, FALSE)"),"978-601-327-729-5")</f>
        <v>978-601-327-729-5</v>
      </c>
      <c r="E263" s="11" t="s">
        <v>1092</v>
      </c>
      <c r="F263" s="11" t="s">
        <v>1093</v>
      </c>
      <c r="G263" s="12">
        <f ca="1">IFERROR(__xludf.DUMMYFUNCTION(" VLOOKUP(A260, IMPORTRANGE(""https://docs.google.com/spreadsheets/d/1fj_Bhi2XPL3siwIh4sx4VRLAe31yD50oKdj5UlRYW0c/"", ""Сводка!A:AA""), 5, FALSE)"),204)</f>
        <v>204</v>
      </c>
      <c r="H263" s="12" t="s">
        <v>165</v>
      </c>
      <c r="I263" s="10">
        <f ca="1">IFERROR(__xludf.DUMMYFUNCTION(" VLOOKUP(A260, IMPORTRANGE(""https://docs.google.com/spreadsheets/d/1QNLbnkR_AongFt22vMfNzfpjZ0CjpI8QI-w0wBnYA1w/"", ""Инфа!A:AA""), 6, FALSE)"),2024)</f>
        <v>2024</v>
      </c>
      <c r="J263" s="5">
        <f ca="1">ROUND((5000+G263*30),-2)</f>
        <v>11100</v>
      </c>
      <c r="K263" s="12" t="s">
        <v>160</v>
      </c>
      <c r="L263" s="15" t="s">
        <v>1094</v>
      </c>
    </row>
    <row r="264" spans="1:12" ht="202.5">
      <c r="A264" s="8" t="s">
        <v>1095</v>
      </c>
      <c r="B264" s="9" t="s">
        <v>12</v>
      </c>
      <c r="C264" s="10" t="s">
        <v>443</v>
      </c>
      <c r="D264" s="10" t="str">
        <f ca="1">IFERROR(__xludf.DUMMYFUNCTION(" VLOOKUP(A261, IMPORTRANGE(""https://docs.google.com/spreadsheets/d/1fj_Bhi2XPL3siwIh4sx4VRLAe31yD50oKdj5UlRYW0c/"", ""Сводка!A:AA""), 11, FALSE)"),"978-601-310-502-4")</f>
        <v>978-601-310-502-4</v>
      </c>
      <c r="E264" s="11" t="s">
        <v>1096</v>
      </c>
      <c r="F264" s="11" t="s">
        <v>1097</v>
      </c>
      <c r="G264" s="12">
        <f ca="1">IFERROR(__xludf.DUMMYFUNCTION(" VLOOKUP(A261, IMPORTRANGE(""https://docs.google.com/spreadsheets/d/1fj_Bhi2XPL3siwIh4sx4VRLAe31yD50oKdj5UlRYW0c/"", ""Сводка!A:AA""), 5, FALSE)"),112)</f>
        <v>112</v>
      </c>
      <c r="H264" s="12" t="s">
        <v>538</v>
      </c>
      <c r="I264" s="10">
        <f ca="1">IFERROR(__xludf.DUMMYFUNCTION(" VLOOKUP(A261, IMPORTRANGE(""https://docs.google.com/spreadsheets/d/1QNLbnkR_AongFt22vMfNzfpjZ0CjpI8QI-w0wBnYA1w/"", ""Инфа!A:AA""), 6, FALSE)"),2024)</f>
        <v>2024</v>
      </c>
      <c r="J264" s="5">
        <f ca="1">ROUND((5000+G264*30),-2)</f>
        <v>8400</v>
      </c>
      <c r="K264" s="12" t="s">
        <v>69</v>
      </c>
      <c r="L264" s="15" t="s">
        <v>1098</v>
      </c>
    </row>
    <row r="265" spans="1:12" ht="38.25">
      <c r="A265" s="8" t="s">
        <v>1099</v>
      </c>
      <c r="B265" s="9" t="s">
        <v>12</v>
      </c>
      <c r="C265" s="10" t="s">
        <v>443</v>
      </c>
      <c r="D265" s="10" t="str">
        <f ca="1">IFERROR(__xludf.DUMMYFUNCTION(" VLOOKUP(A262, IMPORTRANGE(""https://docs.google.com/spreadsheets/d/1fj_Bhi2XPL3siwIh4sx4VRLAe31yD50oKdj5UlRYW0c/"", ""Сводка!A:AA""), 11, FALSE)"),"978-601-310-501-7")</f>
        <v>978-601-310-501-7</v>
      </c>
      <c r="E265" s="11" t="s">
        <v>1100</v>
      </c>
      <c r="F265" s="11" t="s">
        <v>1101</v>
      </c>
      <c r="G265" s="12">
        <f ca="1">IFERROR(__xludf.DUMMYFUNCTION(" VLOOKUP(A262, IMPORTRANGE(""https://docs.google.com/spreadsheets/d/1fj_Bhi2XPL3siwIh4sx4VRLAe31yD50oKdj5UlRYW0c/"", ""Сводка!A:AA""), 5, FALSE)"),76)</f>
        <v>76</v>
      </c>
      <c r="H265" s="12" t="s">
        <v>556</v>
      </c>
      <c r="I265" s="10">
        <f ca="1">IFERROR(__xludf.DUMMYFUNCTION(" VLOOKUP(A262, IMPORTRANGE(""https://docs.google.com/spreadsheets/d/1QNLbnkR_AongFt22vMfNzfpjZ0CjpI8QI-w0wBnYA1w/"", ""Инфа!A:AA""), 6, FALSE)"),2024)</f>
        <v>2024</v>
      </c>
      <c r="J265" s="5">
        <f ca="1">ROUND((5000+G265*30),-2)</f>
        <v>7300</v>
      </c>
      <c r="K265" s="9" t="s">
        <v>69</v>
      </c>
      <c r="L265" s="15"/>
    </row>
    <row r="266" spans="1:12" ht="180">
      <c r="A266" s="8" t="s">
        <v>1102</v>
      </c>
      <c r="B266" s="9" t="s">
        <v>12</v>
      </c>
      <c r="C266" s="10" t="s">
        <v>151</v>
      </c>
      <c r="D266" s="10" t="str">
        <f ca="1">IFERROR(__xludf.DUMMYFUNCTION(" VLOOKUP(A263, IMPORTRANGE(""https://docs.google.com/spreadsheets/d/1fj_Bhi2XPL3siwIh4sx4VRLAe31yD50oKdj5UlRYW0c/"", ""Сводка!A:AA""), 11, FALSE)"),"978-601-342-222-1")</f>
        <v>978-601-342-222-1</v>
      </c>
      <c r="E266" s="11" t="s">
        <v>1103</v>
      </c>
      <c r="F266" s="11" t="s">
        <v>1104</v>
      </c>
      <c r="G266" s="12">
        <f ca="1">IFERROR(__xludf.DUMMYFUNCTION(" VLOOKUP(A263, IMPORTRANGE(""https://docs.google.com/spreadsheets/d/1fj_Bhi2XPL3siwIh4sx4VRLAe31yD50oKdj5UlRYW0c/"", ""Сводка!A:AA""), 5, FALSE)"),216)</f>
        <v>216</v>
      </c>
      <c r="H266" s="12" t="s">
        <v>47</v>
      </c>
      <c r="I266" s="10">
        <f ca="1">IFERROR(__xludf.DUMMYFUNCTION(" VLOOKUP(A263, IMPORTRANGE(""https://docs.google.com/spreadsheets/d/1QNLbnkR_AongFt22vMfNzfpjZ0CjpI8QI-w0wBnYA1w/"", ""Инфа!A:AA""), 6, FALSE)"),2024)</f>
        <v>2024</v>
      </c>
      <c r="J266" s="5">
        <f ca="1">ROUND((5000+G266*60),-2)</f>
        <v>18000</v>
      </c>
      <c r="K266" s="12" t="s">
        <v>1105</v>
      </c>
      <c r="L266" s="15" t="s">
        <v>1106</v>
      </c>
    </row>
    <row r="267" spans="1:12" ht="180">
      <c r="A267" s="8" t="s">
        <v>1107</v>
      </c>
      <c r="B267" s="9" t="s">
        <v>12</v>
      </c>
      <c r="C267" s="10" t="s">
        <v>443</v>
      </c>
      <c r="D267" s="10" t="str">
        <f ca="1">IFERROR(__xludf.DUMMYFUNCTION(" VLOOKUP(A264, IMPORTRANGE(""https://docs.google.com/spreadsheets/d/1fj_Bhi2XPL3siwIh4sx4VRLAe31yD50oKdj5UlRYW0c/"", ""Сводка!A:AA""), 11, FALSE)"),"978-601-230-033-8")</f>
        <v>978-601-230-033-8</v>
      </c>
      <c r="E267" s="11" t="s">
        <v>1108</v>
      </c>
      <c r="F267" s="11" t="s">
        <v>1109</v>
      </c>
      <c r="G267" s="12">
        <f ca="1">IFERROR(__xludf.DUMMYFUNCTION(" VLOOKUP(A264, IMPORTRANGE(""https://docs.google.com/spreadsheets/d/1fj_Bhi2XPL3siwIh4sx4VRLAe31yD50oKdj5UlRYW0c/"", ""Сводка!A:AA""), 5, FALSE)"),272)</f>
        <v>272</v>
      </c>
      <c r="H267" s="12" t="s">
        <v>556</v>
      </c>
      <c r="I267" s="10">
        <f ca="1">IFERROR(__xludf.DUMMYFUNCTION(" VLOOKUP(A264, IMPORTRANGE(""https://docs.google.com/spreadsheets/d/1QNLbnkR_AongFt22vMfNzfpjZ0CjpI8QI-w0wBnYA1w/"", ""Инфа!A:AA""), 6, FALSE)"),2024)</f>
        <v>2024</v>
      </c>
      <c r="J267" s="5">
        <f ca="1">ROUND((5000+G267*60),-2)</f>
        <v>21300</v>
      </c>
      <c r="K267" s="9" t="s">
        <v>408</v>
      </c>
      <c r="L267" s="15" t="s">
        <v>1110</v>
      </c>
    </row>
    <row r="268" spans="1:12" ht="236.25">
      <c r="A268" s="8" t="s">
        <v>1111</v>
      </c>
      <c r="B268" s="9" t="s">
        <v>12</v>
      </c>
      <c r="C268" s="10" t="s">
        <v>151</v>
      </c>
      <c r="D268" s="10" t="str">
        <f ca="1">IFERROR(__xludf.DUMMYFUNCTION(" VLOOKUP(A265, IMPORTRANGE(""https://docs.google.com/spreadsheets/d/1fj_Bhi2XPL3siwIh4sx4VRLAe31yD50oKdj5UlRYW0c/"", ""Сводка!A:AA""), 11, FALSE)"),"978-601-240-906-2")</f>
        <v>978-601-240-906-2</v>
      </c>
      <c r="E268" s="11" t="s">
        <v>1112</v>
      </c>
      <c r="F268" s="11" t="s">
        <v>1113</v>
      </c>
      <c r="G268" s="12">
        <f ca="1">IFERROR(__xludf.DUMMYFUNCTION(" VLOOKUP(A265, IMPORTRANGE(""https://docs.google.com/spreadsheets/d/1fj_Bhi2XPL3siwIh4sx4VRLAe31yD50oKdj5UlRYW0c/"", ""Сводка!A:AA""), 5, FALSE)"),192)</f>
        <v>192</v>
      </c>
      <c r="H268" s="12" t="s">
        <v>47</v>
      </c>
      <c r="I268" s="10">
        <f ca="1">IFERROR(__xludf.DUMMYFUNCTION(" VLOOKUP(A265, IMPORTRANGE(""https://docs.google.com/spreadsheets/d/1QNLbnkR_AongFt22vMfNzfpjZ0CjpI8QI-w0wBnYA1w/"", ""Инфа!A:AA""), 6, FALSE)"),2024)</f>
        <v>2024</v>
      </c>
      <c r="J268" s="5">
        <f ca="1">ROUND(((5000+G268*60)*1.3),-2)</f>
        <v>21500</v>
      </c>
      <c r="K268" s="12" t="s">
        <v>302</v>
      </c>
      <c r="L268" s="15" t="s">
        <v>1114</v>
      </c>
    </row>
    <row r="269" spans="1:12" ht="315">
      <c r="A269" s="8" t="s">
        <v>1115</v>
      </c>
      <c r="B269" s="9" t="s">
        <v>12</v>
      </c>
      <c r="C269" s="10" t="s">
        <v>151</v>
      </c>
      <c r="D269" s="10" t="str">
        <f ca="1">IFERROR(__xludf.DUMMYFUNCTION(" VLOOKUP(A266, IMPORTRANGE(""https://docs.google.com/spreadsheets/d/1fj_Bhi2XPL3siwIh4sx4VRLAe31yD50oKdj5UlRYW0c/"", ""Сводка!A:AA""), 11, FALSE)"),"978-601-240-907-9")</f>
        <v>978-601-240-907-9</v>
      </c>
      <c r="E269" s="11" t="s">
        <v>1112</v>
      </c>
      <c r="F269" s="11" t="s">
        <v>1116</v>
      </c>
      <c r="G269" s="12">
        <f ca="1">IFERROR(__xludf.DUMMYFUNCTION(" VLOOKUP(A266, IMPORTRANGE(""https://docs.google.com/spreadsheets/d/1fj_Bhi2XPL3siwIh4sx4VRLAe31yD50oKdj5UlRYW0c/"", ""Сводка!A:AA""), 5, FALSE)"),136)</f>
        <v>136</v>
      </c>
      <c r="H269" s="12" t="s">
        <v>47</v>
      </c>
      <c r="I269" s="10">
        <f ca="1">IFERROR(__xludf.DUMMYFUNCTION(" VLOOKUP(A266, IMPORTRANGE(""https://docs.google.com/spreadsheets/d/1QNLbnkR_AongFt22vMfNzfpjZ0CjpI8QI-w0wBnYA1w/"", ""Инфа!A:AA""), 6, FALSE)"),2024)</f>
        <v>2024</v>
      </c>
      <c r="J269" s="5">
        <f ca="1">ROUND(((5000+G269*60)*1.3),-2)</f>
        <v>17100</v>
      </c>
      <c r="K269" s="12" t="s">
        <v>302</v>
      </c>
      <c r="L269" s="15" t="s">
        <v>1117</v>
      </c>
    </row>
    <row r="270" spans="1:12" ht="51">
      <c r="A270" s="8" t="s">
        <v>1118</v>
      </c>
      <c r="B270" s="9" t="s">
        <v>12</v>
      </c>
      <c r="C270" s="10" t="s">
        <v>151</v>
      </c>
      <c r="D270" s="10" t="str">
        <f ca="1">IFERROR(__xludf.DUMMYFUNCTION(" VLOOKUP(A267, IMPORTRANGE(""https://docs.google.com/spreadsheets/d/1fj_Bhi2XPL3siwIh4sx4VRLAe31yD50oKdj5UlRYW0c/"", ""Сводка!A:AA""), 11, FALSE)"),"978-601-310-068-5")</f>
        <v>978-601-310-068-5</v>
      </c>
      <c r="E270" s="11" t="s">
        <v>1119</v>
      </c>
      <c r="F270" s="11" t="s">
        <v>1120</v>
      </c>
      <c r="G270" s="12">
        <f ca="1">IFERROR(__xludf.DUMMYFUNCTION(" VLOOKUP(A267, IMPORTRANGE(""https://docs.google.com/spreadsheets/d/1fj_Bhi2XPL3siwIh4sx4VRLAe31yD50oKdj5UlRYW0c/"", ""Сводка!A:AA""), 5, FALSE)"),116)</f>
        <v>116</v>
      </c>
      <c r="H270" s="12" t="s">
        <v>282</v>
      </c>
      <c r="I270" s="10">
        <f ca="1">IFERROR(__xludf.DUMMYFUNCTION(" VLOOKUP(A267, IMPORTRANGE(""https://docs.google.com/spreadsheets/d/1QNLbnkR_AongFt22vMfNzfpjZ0CjpI8QI-w0wBnYA1w/"", ""Инфа!A:AA""), 6, FALSE)"),2024)</f>
        <v>2024</v>
      </c>
      <c r="J270" s="5">
        <f ca="1">ROUND(((5000+G270*60)*1.3),-2)</f>
        <v>15500</v>
      </c>
      <c r="K270" s="12" t="s">
        <v>302</v>
      </c>
      <c r="L270" s="15"/>
    </row>
    <row r="271" spans="1:12" ht="303.75">
      <c r="A271" s="8" t="s">
        <v>1121</v>
      </c>
      <c r="B271" s="9" t="s">
        <v>12</v>
      </c>
      <c r="C271" s="10" t="s">
        <v>443</v>
      </c>
      <c r="D271" s="10" t="str">
        <f ca="1">IFERROR(__xludf.DUMMYFUNCTION(" VLOOKUP(A268, IMPORTRANGE(""https://docs.google.com/spreadsheets/d/1fj_Bhi2XPL3siwIh4sx4VRLAe31yD50oKdj5UlRYW0c/"", ""Сводка!A:AA""), 11, FALSE)"),"978-601-240-627-6")</f>
        <v>978-601-240-627-6</v>
      </c>
      <c r="E271" s="11" t="s">
        <v>1119</v>
      </c>
      <c r="F271" s="11" t="s">
        <v>1122</v>
      </c>
      <c r="G271" s="12">
        <f ca="1">IFERROR(__xludf.DUMMYFUNCTION(" VLOOKUP(A268, IMPORTRANGE(""https://docs.google.com/spreadsheets/d/1fj_Bhi2XPL3siwIh4sx4VRLAe31yD50oKdj5UlRYW0c/"", ""Сводка!A:AA""), 5, FALSE)"),112)</f>
        <v>112</v>
      </c>
      <c r="H271" s="12" t="s">
        <v>777</v>
      </c>
      <c r="I271" s="10">
        <f ca="1">IFERROR(__xludf.DUMMYFUNCTION(" VLOOKUP(A268, IMPORTRANGE(""https://docs.google.com/spreadsheets/d/1QNLbnkR_AongFt22vMfNzfpjZ0CjpI8QI-w0wBnYA1w/"", ""Инфа!A:AA""), 6, FALSE)"),2024)</f>
        <v>2024</v>
      </c>
      <c r="J271" s="5">
        <f ca="1">ROUND(((5000+G271*60)*1.3),-2)</f>
        <v>15200</v>
      </c>
      <c r="K271" s="12" t="s">
        <v>302</v>
      </c>
      <c r="L271" s="15" t="s">
        <v>1123</v>
      </c>
    </row>
    <row r="272" spans="1:12" ht="157.5">
      <c r="A272" s="8" t="s">
        <v>1124</v>
      </c>
      <c r="B272" s="9" t="s">
        <v>12</v>
      </c>
      <c r="C272" s="10" t="s">
        <v>13</v>
      </c>
      <c r="D272" s="10" t="str">
        <f ca="1">IFERROR(__xludf.DUMMYFUNCTION(" VLOOKUP(A269, IMPORTRANGE(""https://docs.google.com/spreadsheets/d/1fj_Bhi2XPL3siwIh4sx4VRLAe31yD50oKdj5UlRYW0c/"", ""Сводка!A:AA""), 11, FALSE)"),"978-601-342-074-5")</f>
        <v>978-601-342-074-5</v>
      </c>
      <c r="E272" s="11" t="s">
        <v>1125</v>
      </c>
      <c r="F272" s="11" t="s">
        <v>1126</v>
      </c>
      <c r="G272" s="12">
        <f ca="1">IFERROR(__xludf.DUMMYFUNCTION(" VLOOKUP(A269, IMPORTRANGE(""https://docs.google.com/spreadsheets/d/1fj_Bhi2XPL3siwIh4sx4VRLAe31yD50oKdj5UlRYW0c/"", ""Сводка!A:AA""), 5, FALSE)"),304)</f>
        <v>304</v>
      </c>
      <c r="H272" s="12" t="s">
        <v>42</v>
      </c>
      <c r="I272" s="10">
        <f ca="1">IFERROR(__xludf.DUMMYFUNCTION(" VLOOKUP(A269, IMPORTRANGE(""https://docs.google.com/spreadsheets/d/1QNLbnkR_AongFt22vMfNzfpjZ0CjpI8QI-w0wBnYA1w/"", ""Инфа!A:AA""), 6, FALSE)"),2024)</f>
        <v>2024</v>
      </c>
      <c r="J272" s="5">
        <f ca="1">ROUND((5000+G272*30),-2)</f>
        <v>14100</v>
      </c>
      <c r="K272" s="12" t="s">
        <v>160</v>
      </c>
      <c r="L272" s="15" t="s">
        <v>1127</v>
      </c>
    </row>
    <row r="273" spans="1:12" ht="168.75">
      <c r="A273" s="8" t="s">
        <v>1128</v>
      </c>
      <c r="B273" s="9" t="s">
        <v>12</v>
      </c>
      <c r="C273" s="10" t="s">
        <v>13</v>
      </c>
      <c r="D273" s="10" t="str">
        <f ca="1">IFERROR(__xludf.DUMMYFUNCTION(" VLOOKUP(A270, IMPORTRANGE(""https://docs.google.com/spreadsheets/d/1fj_Bhi2XPL3siwIh4sx4VRLAe31yD50oKdj5UlRYW0c/"", ""Сводка!A:AA""), 11, FALSE)"),"978-601-342-073-8")</f>
        <v>978-601-342-073-8</v>
      </c>
      <c r="E273" s="11" t="s">
        <v>1125</v>
      </c>
      <c r="F273" s="11" t="s">
        <v>1129</v>
      </c>
      <c r="G273" s="12">
        <f ca="1">IFERROR(__xludf.DUMMYFUNCTION(" VLOOKUP(A270, IMPORTRANGE(""https://docs.google.com/spreadsheets/d/1fj_Bhi2XPL3siwIh4sx4VRLAe31yD50oKdj5UlRYW0c/"", ""Сводка!A:AA""), 5, FALSE)"),140)</f>
        <v>140</v>
      </c>
      <c r="H273" s="12" t="s">
        <v>1130</v>
      </c>
      <c r="I273" s="10">
        <f ca="1">IFERROR(__xludf.DUMMYFUNCTION(" VLOOKUP(A270, IMPORTRANGE(""https://docs.google.com/spreadsheets/d/1QNLbnkR_AongFt22vMfNzfpjZ0CjpI8QI-w0wBnYA1w/"", ""Инфа!A:AA""), 6, FALSE)"),2024)</f>
        <v>2024</v>
      </c>
      <c r="J273" s="5">
        <f ca="1">ROUND((5000+G273*30),-2)</f>
        <v>9200</v>
      </c>
      <c r="K273" s="12" t="s">
        <v>160</v>
      </c>
      <c r="L273" s="15" t="s">
        <v>1131</v>
      </c>
    </row>
    <row r="274" spans="1:12" ht="270">
      <c r="A274" s="8" t="s">
        <v>1132</v>
      </c>
      <c r="B274" s="9" t="s">
        <v>12</v>
      </c>
      <c r="C274" s="10" t="s">
        <v>151</v>
      </c>
      <c r="D274" s="10" t="str">
        <f ca="1">IFERROR(__xludf.DUMMYFUNCTION(" VLOOKUP(A271, IMPORTRANGE(""https://docs.google.com/spreadsheets/d/1fj_Bhi2XPL3siwIh4sx4VRLAe31yD50oKdj5UlRYW0c/"", ""Сводка!A:AA""), 11, FALSE)"),"978-601-327-280-1")</f>
        <v>978-601-327-280-1</v>
      </c>
      <c r="E274" s="11" t="s">
        <v>1133</v>
      </c>
      <c r="F274" s="11" t="s">
        <v>1134</v>
      </c>
      <c r="G274" s="12">
        <f ca="1">IFERROR(__xludf.DUMMYFUNCTION(" VLOOKUP(A271, IMPORTRANGE(""https://docs.google.com/spreadsheets/d/1fj_Bhi2XPL3siwIh4sx4VRLAe31yD50oKdj5UlRYW0c/"", ""Сводка!A:AA""), 5, FALSE)"),152)</f>
        <v>152</v>
      </c>
      <c r="H274" s="12" t="s">
        <v>47</v>
      </c>
      <c r="I274" s="10">
        <f ca="1">IFERROR(__xludf.DUMMYFUNCTION(" VLOOKUP(A271, IMPORTRANGE(""https://docs.google.com/spreadsheets/d/1QNLbnkR_AongFt22vMfNzfpjZ0CjpI8QI-w0wBnYA1w/"", ""Инфа!A:AA""), 6, FALSE)"),2024)</f>
        <v>2024</v>
      </c>
      <c r="J274" s="5">
        <f ca="1">ROUND((5000+G274*60),-2)</f>
        <v>14100</v>
      </c>
      <c r="K274" s="12" t="s">
        <v>302</v>
      </c>
      <c r="L274" s="15" t="s">
        <v>1135</v>
      </c>
    </row>
    <row r="275" spans="1:12" ht="191.25">
      <c r="A275" s="8" t="s">
        <v>1136</v>
      </c>
      <c r="B275" s="9" t="s">
        <v>12</v>
      </c>
      <c r="C275" s="10" t="s">
        <v>13</v>
      </c>
      <c r="D275" s="10" t="str">
        <f ca="1">IFERROR(__xludf.DUMMYFUNCTION(" VLOOKUP(A272, IMPORTRANGE(""https://docs.google.com/spreadsheets/d/1fj_Bhi2XPL3siwIh4sx4VRLAe31yD50oKdj5UlRYW0c/"", ""Сводка!A:AA""), 11, FALSE)"),"9965-37-069-9")</f>
        <v>9965-37-069-9</v>
      </c>
      <c r="E275" s="11" t="s">
        <v>1137</v>
      </c>
      <c r="F275" s="11" t="s">
        <v>1138</v>
      </c>
      <c r="G275" s="12">
        <f ca="1">IFERROR(__xludf.DUMMYFUNCTION(" VLOOKUP(A272, IMPORTRANGE(""https://docs.google.com/spreadsheets/d/1fj_Bhi2XPL3siwIh4sx4VRLAe31yD50oKdj5UlRYW0c/"", ""Сводка!A:AA""), 5, FALSE)"),152)</f>
        <v>152</v>
      </c>
      <c r="H275" s="12" t="s">
        <v>47</v>
      </c>
      <c r="I275" s="10">
        <f ca="1">IFERROR(__xludf.DUMMYFUNCTION(" VLOOKUP(A272, IMPORTRANGE(""https://docs.google.com/spreadsheets/d/1QNLbnkR_AongFt22vMfNzfpjZ0CjpI8QI-w0wBnYA1w/"", ""Инфа!A:AA""), 6, FALSE)"),2024)</f>
        <v>2024</v>
      </c>
      <c r="J275" s="5">
        <f ca="1">ROUND((5000+G275*30),-2)</f>
        <v>9600</v>
      </c>
      <c r="K275" s="12" t="s">
        <v>25</v>
      </c>
      <c r="L275" s="15" t="s">
        <v>1139</v>
      </c>
    </row>
    <row r="276" spans="1:12" ht="168.75">
      <c r="A276" s="8" t="s">
        <v>1140</v>
      </c>
      <c r="B276" s="9" t="s">
        <v>12</v>
      </c>
      <c r="C276" s="10" t="s">
        <v>13</v>
      </c>
      <c r="D276" s="10" t="str">
        <f ca="1">IFERROR(__xludf.DUMMYFUNCTION(" VLOOKUP(A273, IMPORTRANGE(""https://docs.google.com/spreadsheets/d/1fj_Bhi2XPL3siwIh4sx4VRLAe31yD50oKdj5UlRYW0c/"", ""Сводка!A:AA""), 11, FALSE)"),"978-601-240-513-2")</f>
        <v>978-601-240-513-2</v>
      </c>
      <c r="E276" s="11" t="s">
        <v>1141</v>
      </c>
      <c r="F276" s="11" t="s">
        <v>1142</v>
      </c>
      <c r="G276" s="12">
        <f ca="1">IFERROR(__xludf.DUMMYFUNCTION(" VLOOKUP(A273, IMPORTRANGE(""https://docs.google.com/spreadsheets/d/1fj_Bhi2XPL3siwIh4sx4VRLAe31yD50oKdj5UlRYW0c/"", ""Сводка!A:AA""), 5, FALSE)"),140)</f>
        <v>140</v>
      </c>
      <c r="H276" s="12" t="s">
        <v>47</v>
      </c>
      <c r="I276" s="10">
        <f ca="1">IFERROR(__xludf.DUMMYFUNCTION(" VLOOKUP(A273, IMPORTRANGE(""https://docs.google.com/spreadsheets/d/1QNLbnkR_AongFt22vMfNzfpjZ0CjpI8QI-w0wBnYA1w/"", ""Инфа!A:AA""), 6, FALSE)"),2024)</f>
        <v>2024</v>
      </c>
      <c r="J276" s="5">
        <f ca="1">ROUND((5000+G276*30),-2)</f>
        <v>9200</v>
      </c>
      <c r="K276" s="9" t="s">
        <v>26</v>
      </c>
      <c r="L276" s="15" t="s">
        <v>1143</v>
      </c>
    </row>
    <row r="277" spans="1:12" ht="51">
      <c r="A277" s="8" t="s">
        <v>1144</v>
      </c>
      <c r="B277" s="9" t="s">
        <v>12</v>
      </c>
      <c r="C277" s="10" t="s">
        <v>443</v>
      </c>
      <c r="D277" s="10" t="str">
        <f ca="1">IFERROR(__xludf.DUMMYFUNCTION(" VLOOKUP(A274, IMPORTRANGE(""https://docs.google.com/spreadsheets/d/1fj_Bhi2XPL3siwIh4sx4VRLAe31yD50oKdj5UlRYW0c/"", ""Сводка!A:AA""), 11, FALSE)"),"978-601-246-180-0")</f>
        <v>978-601-246-180-0</v>
      </c>
      <c r="E277" s="11" t="s">
        <v>1145</v>
      </c>
      <c r="F277" s="11" t="s">
        <v>1146</v>
      </c>
      <c r="G277" s="12">
        <f ca="1">IFERROR(__xludf.DUMMYFUNCTION(" VLOOKUP(A274, IMPORTRANGE(""https://docs.google.com/spreadsheets/d/1fj_Bhi2XPL3siwIh4sx4VRLAe31yD50oKdj5UlRYW0c/"", ""Сводка!A:AA""), 5, FALSE)"),152)</f>
        <v>152</v>
      </c>
      <c r="H277" s="12" t="s">
        <v>556</v>
      </c>
      <c r="I277" s="10">
        <f ca="1">IFERROR(__xludf.DUMMYFUNCTION(" VLOOKUP(A274, IMPORTRANGE(""https://docs.google.com/spreadsheets/d/1QNLbnkR_AongFt22vMfNzfpjZ0CjpI8QI-w0wBnYA1w/"", ""Инфа!A:AA""), 6, FALSE)"),2024)</f>
        <v>2024</v>
      </c>
      <c r="J277" s="5">
        <f ca="1">ROUND((5000+G277*30),-2)</f>
        <v>9600</v>
      </c>
      <c r="K277" s="12" t="s">
        <v>1147</v>
      </c>
      <c r="L277" s="15"/>
    </row>
    <row r="278" spans="1:12" ht="38.25">
      <c r="A278" s="8" t="s">
        <v>1148</v>
      </c>
      <c r="B278" s="9" t="s">
        <v>12</v>
      </c>
      <c r="C278" s="10" t="s">
        <v>443</v>
      </c>
      <c r="D278" s="10" t="str">
        <f ca="1">IFERROR(__xludf.DUMMYFUNCTION(" VLOOKUP(A275, IMPORTRANGE(""https://docs.google.com/spreadsheets/d/1fj_Bhi2XPL3siwIh4sx4VRLAe31yD50oKdj5UlRYW0c/"", ""Сводка!A:AA""), 11, FALSE)"),"978-601-310-309-9")</f>
        <v>978-601-310-309-9</v>
      </c>
      <c r="E278" s="11" t="s">
        <v>1149</v>
      </c>
      <c r="F278" s="11" t="s">
        <v>1150</v>
      </c>
      <c r="G278" s="12">
        <f ca="1">IFERROR(__xludf.DUMMYFUNCTION(" VLOOKUP(A275, IMPORTRANGE(""https://docs.google.com/spreadsheets/d/1fj_Bhi2XPL3siwIh4sx4VRLAe31yD50oKdj5UlRYW0c/"", ""Сводка!A:AA""), 5, FALSE)"),302)</f>
        <v>302</v>
      </c>
      <c r="H278" s="12" t="s">
        <v>538</v>
      </c>
      <c r="I278" s="10">
        <f ca="1">IFERROR(__xludf.DUMMYFUNCTION(" VLOOKUP(A275, IMPORTRANGE(""https://docs.google.com/spreadsheets/d/1QNLbnkR_AongFt22vMfNzfpjZ0CjpI8QI-w0wBnYA1w/"", ""Инфа!A:AA""), 6, FALSE)"),2024)</f>
        <v>2024</v>
      </c>
      <c r="J278" s="5">
        <f ca="1">ROUND((5000+G278*30),-2)</f>
        <v>14100</v>
      </c>
      <c r="K278" s="12" t="s">
        <v>1147</v>
      </c>
      <c r="L278" s="15"/>
    </row>
    <row r="279" spans="1:12" ht="25.5">
      <c r="A279" s="8" t="s">
        <v>1151</v>
      </c>
      <c r="B279" s="9" t="s">
        <v>12</v>
      </c>
      <c r="C279" s="10" t="s">
        <v>443</v>
      </c>
      <c r="D279" s="10" t="str">
        <f ca="1">IFERROR(__xludf.DUMMYFUNCTION(" VLOOKUP(A276, IMPORTRANGE(""https://docs.google.com/spreadsheets/d/1fj_Bhi2XPL3siwIh4sx4VRLAe31yD50oKdj5UlRYW0c/"", ""Сводка!A:AA""), 11, FALSE)"),"978-601-240-490-6")</f>
        <v>978-601-240-490-6</v>
      </c>
      <c r="E279" s="11" t="s">
        <v>1152</v>
      </c>
      <c r="F279" s="11" t="s">
        <v>1153</v>
      </c>
      <c r="G279" s="12">
        <f ca="1">IFERROR(__xludf.DUMMYFUNCTION(" VLOOKUP(A276, IMPORTRANGE(""https://docs.google.com/spreadsheets/d/1fj_Bhi2XPL3siwIh4sx4VRLAe31yD50oKdj5UlRYW0c/"", ""Сводка!A:AA""), 5, FALSE)"),200)</f>
        <v>200</v>
      </c>
      <c r="H279" s="12" t="s">
        <v>538</v>
      </c>
      <c r="I279" s="10">
        <f ca="1">IFERROR(__xludf.DUMMYFUNCTION(" VLOOKUP(A276, IMPORTRANGE(""https://docs.google.com/spreadsheets/d/1QNLbnkR_AongFt22vMfNzfpjZ0CjpI8QI-w0wBnYA1w/"", ""Инфа!A:AA""), 6, FALSE)"),2024)</f>
        <v>2024</v>
      </c>
      <c r="J279" s="5">
        <f ca="1">ROUND((5000+G279*60),-2)</f>
        <v>17000</v>
      </c>
      <c r="K279" s="9" t="s">
        <v>271</v>
      </c>
      <c r="L279" s="15"/>
    </row>
    <row r="280" spans="1:12" ht="146.25">
      <c r="A280" s="8" t="s">
        <v>1154</v>
      </c>
      <c r="B280" s="9" t="s">
        <v>12</v>
      </c>
      <c r="C280" s="10" t="s">
        <v>151</v>
      </c>
      <c r="D280" s="10" t="str">
        <f ca="1">IFERROR(__xludf.DUMMYFUNCTION(" VLOOKUP(A277, IMPORTRANGE(""https://docs.google.com/spreadsheets/d/1fj_Bhi2XPL3siwIh4sx4VRLAe31yD50oKdj5UlRYW0c/"", ""Сводка!A:AA""), 11, FALSE)"),"9965-31-415-2")</f>
        <v>9965-31-415-2</v>
      </c>
      <c r="E280" s="11" t="s">
        <v>1155</v>
      </c>
      <c r="F280" s="11" t="s">
        <v>1156</v>
      </c>
      <c r="G280" s="12">
        <f ca="1">IFERROR(__xludf.DUMMYFUNCTION(" VLOOKUP(A277, IMPORTRANGE(""https://docs.google.com/spreadsheets/d/1fj_Bhi2XPL3siwIh4sx4VRLAe31yD50oKdj5UlRYW0c/"", ""Сводка!A:AA""), 5, FALSE)"),192)</f>
        <v>192</v>
      </c>
      <c r="H280" s="12" t="s">
        <v>47</v>
      </c>
      <c r="I280" s="10">
        <f ca="1">IFERROR(__xludf.DUMMYFUNCTION(" VLOOKUP(A277, IMPORTRANGE(""https://docs.google.com/spreadsheets/d/1QNLbnkR_AongFt22vMfNzfpjZ0CjpI8QI-w0wBnYA1w/"", ""Инфа!A:AA""), 6, FALSE)"),2024)</f>
        <v>2024</v>
      </c>
      <c r="J280" s="5">
        <f ca="1">ROUND((5000+G280*30),-2)</f>
        <v>10800</v>
      </c>
      <c r="K280" s="9" t="s">
        <v>271</v>
      </c>
      <c r="L280" s="15" t="s">
        <v>1157</v>
      </c>
    </row>
    <row r="281" spans="1:12" ht="51">
      <c r="A281" s="8" t="s">
        <v>1158</v>
      </c>
      <c r="B281" s="9" t="s">
        <v>12</v>
      </c>
      <c r="C281" s="10" t="s">
        <v>443</v>
      </c>
      <c r="D281" s="10" t="str">
        <f ca="1">IFERROR(__xludf.DUMMYFUNCTION(" VLOOKUP(A278, IMPORTRANGE(""https://docs.google.com/spreadsheets/d/1fj_Bhi2XPL3siwIh4sx4VRLAe31yD50oKdj5UlRYW0c/"", ""Сводка!A:AA""), 11, FALSE)"),"978-601-327-415-7")</f>
        <v>978-601-327-415-7</v>
      </c>
      <c r="E281" s="11" t="s">
        <v>1159</v>
      </c>
      <c r="F281" s="11" t="s">
        <v>1160</v>
      </c>
      <c r="G281" s="12">
        <f ca="1">IFERROR(__xludf.DUMMYFUNCTION(" VLOOKUP(A278, IMPORTRANGE(""https://docs.google.com/spreadsheets/d/1fj_Bhi2XPL3siwIh4sx4VRLAe31yD50oKdj5UlRYW0c/"", ""Сводка!A:AA""), 5, FALSE)"),120)</f>
        <v>120</v>
      </c>
      <c r="H281" s="12" t="s">
        <v>538</v>
      </c>
      <c r="I281" s="10">
        <f ca="1">IFERROR(__xludf.DUMMYFUNCTION(" VLOOKUP(A278, IMPORTRANGE(""https://docs.google.com/spreadsheets/d/1QNLbnkR_AongFt22vMfNzfpjZ0CjpI8QI-w0wBnYA1w/"", ""Инфа!A:AA""), 6, FALSE)"),2024)</f>
        <v>2024</v>
      </c>
      <c r="J281" s="5">
        <f ca="1">ROUND(((5000+G281*60)*1.3),-2)</f>
        <v>15900</v>
      </c>
      <c r="K281" s="9" t="s">
        <v>539</v>
      </c>
      <c r="L281" s="15" t="s">
        <v>1161</v>
      </c>
    </row>
    <row r="282" spans="1:12" ht="168.75">
      <c r="A282" s="8" t="s">
        <v>1162</v>
      </c>
      <c r="B282" s="9" t="s">
        <v>12</v>
      </c>
      <c r="C282" s="13" t="s">
        <v>443</v>
      </c>
      <c r="D282" s="10" t="str">
        <f ca="1">IFERROR(__xludf.DUMMYFUNCTION(" VLOOKUP(A279, IMPORTRANGE(""https://docs.google.com/spreadsheets/d/1fj_Bhi2XPL3siwIh4sx4VRLAe31yD50oKdj5UlRYW0c/"", ""Сводка!A:AA""), 11, FALSE)"),"978-601-342-049-3")</f>
        <v>978-601-342-049-3</v>
      </c>
      <c r="E282" s="19" t="s">
        <v>1163</v>
      </c>
      <c r="F282" s="32" t="s">
        <v>1164</v>
      </c>
      <c r="G282" s="12">
        <f ca="1">IFERROR(__xludf.DUMMYFUNCTION(" VLOOKUP(A279, IMPORTRANGE(""https://docs.google.com/spreadsheets/d/1fj_Bhi2XPL3siwIh4sx4VRLAe31yD50oKdj5UlRYW0c/"", ""Сводка!A:AA""), 5, FALSE)"),188)</f>
        <v>188</v>
      </c>
      <c r="H282" s="9" t="s">
        <v>538</v>
      </c>
      <c r="I282" s="10">
        <f ca="1">IFERROR(__xludf.DUMMYFUNCTION(" VLOOKUP(A279, IMPORTRANGE(""https://docs.google.com/spreadsheets/d/1QNLbnkR_AongFt22vMfNzfpjZ0CjpI8QI-w0wBnYA1w/"", ""Инфа!A:AA""), 6, FALSE)"),2024)</f>
        <v>2024</v>
      </c>
      <c r="J282" s="5">
        <f t="shared" ref="J282:J290" ca="1" si="6">ROUND((5000+G282*60),-2)</f>
        <v>16300</v>
      </c>
      <c r="K282" s="9" t="s">
        <v>171</v>
      </c>
      <c r="L282" s="15" t="s">
        <v>1165</v>
      </c>
    </row>
    <row r="283" spans="1:12" ht="180">
      <c r="A283" s="8" t="s">
        <v>1166</v>
      </c>
      <c r="B283" s="9" t="s">
        <v>12</v>
      </c>
      <c r="C283" s="13" t="s">
        <v>443</v>
      </c>
      <c r="D283" s="10" t="str">
        <f ca="1">IFERROR(__xludf.DUMMYFUNCTION(" VLOOKUP(A280, IMPORTRANGE(""https://docs.google.com/spreadsheets/d/1fj_Bhi2XPL3siwIh4sx4VRLAe31yD50oKdj5UlRYW0c/"", ""Сводка!A:AA""), 11, FALSE)"),"978-601-342-048-6")</f>
        <v>978-601-342-048-6</v>
      </c>
      <c r="E283" s="19" t="s">
        <v>1163</v>
      </c>
      <c r="F283" s="32" t="s">
        <v>1167</v>
      </c>
      <c r="G283" s="12">
        <f ca="1">IFERROR(__xludf.DUMMYFUNCTION(" VLOOKUP(A280, IMPORTRANGE(""https://docs.google.com/spreadsheets/d/1fj_Bhi2XPL3siwIh4sx4VRLAe31yD50oKdj5UlRYW0c/"", ""Сводка!A:AA""), 5, FALSE)"),192)</f>
        <v>192</v>
      </c>
      <c r="H283" s="9" t="s">
        <v>538</v>
      </c>
      <c r="I283" s="10">
        <f ca="1">IFERROR(__xludf.DUMMYFUNCTION(" VLOOKUP(A280, IMPORTRANGE(""https://docs.google.com/spreadsheets/d/1QNLbnkR_AongFt22vMfNzfpjZ0CjpI8QI-w0wBnYA1w/"", ""Инфа!A:AA""), 6, FALSE)"),2024)</f>
        <v>2024</v>
      </c>
      <c r="J283" s="5">
        <f t="shared" ca="1" si="6"/>
        <v>16500</v>
      </c>
      <c r="K283" s="9" t="s">
        <v>69</v>
      </c>
      <c r="L283" s="21" t="s">
        <v>1168</v>
      </c>
    </row>
    <row r="284" spans="1:12" ht="270">
      <c r="A284" s="8" t="s">
        <v>1169</v>
      </c>
      <c r="B284" s="9" t="s">
        <v>12</v>
      </c>
      <c r="C284" s="10" t="s">
        <v>13</v>
      </c>
      <c r="D284" s="10" t="str">
        <f ca="1">IFERROR(__xludf.DUMMYFUNCTION(" VLOOKUP(A281, IMPORTRANGE(""https://docs.google.com/spreadsheets/d/1fj_Bhi2XPL3siwIh4sx4VRLAe31yD50oKdj5UlRYW0c/"", ""Сводка!A:AA""), 11, FALSE)"),"978-601-310-891-9")</f>
        <v>978-601-310-891-9</v>
      </c>
      <c r="E284" s="11" t="s">
        <v>1170</v>
      </c>
      <c r="F284" s="11" t="s">
        <v>1171</v>
      </c>
      <c r="G284" s="12">
        <f ca="1">IFERROR(__xludf.DUMMYFUNCTION(" VLOOKUP(A281, IMPORTRANGE(""https://docs.google.com/spreadsheets/d/1fj_Bhi2XPL3siwIh4sx4VRLAe31yD50oKdj5UlRYW0c/"", ""Сводка!A:AA""), 5, FALSE)"),268)</f>
        <v>268</v>
      </c>
      <c r="H284" s="12" t="s">
        <v>1172</v>
      </c>
      <c r="I284" s="10">
        <f ca="1">IFERROR(__xludf.DUMMYFUNCTION(" VLOOKUP(A281, IMPORTRANGE(""https://docs.google.com/spreadsheets/d/1QNLbnkR_AongFt22vMfNzfpjZ0CjpI8QI-w0wBnYA1w/"", ""Инфа!A:AA""), 6, FALSE)"),2024)</f>
        <v>2024</v>
      </c>
      <c r="J284" s="5">
        <f t="shared" ca="1" si="6"/>
        <v>21100</v>
      </c>
      <c r="K284" s="9" t="s">
        <v>408</v>
      </c>
      <c r="L284" s="15" t="s">
        <v>1173</v>
      </c>
    </row>
    <row r="285" spans="1:12" ht="281.25">
      <c r="A285" s="8" t="s">
        <v>1174</v>
      </c>
      <c r="B285" s="9" t="s">
        <v>12</v>
      </c>
      <c r="C285" s="10" t="s">
        <v>13</v>
      </c>
      <c r="D285" s="10" t="str">
        <f ca="1">IFERROR(__xludf.DUMMYFUNCTION(" VLOOKUP(A282, IMPORTRANGE(""https://docs.google.com/spreadsheets/d/1fj_Bhi2XPL3siwIh4sx4VRLAe31yD50oKdj5UlRYW0c/"", ""Сводка!A:AA""), 11, FALSE)"),"978-601-310-891-9")</f>
        <v>978-601-310-891-9</v>
      </c>
      <c r="E285" s="11" t="s">
        <v>1175</v>
      </c>
      <c r="F285" s="11" t="s">
        <v>1176</v>
      </c>
      <c r="G285" s="12">
        <f ca="1">IFERROR(__xludf.DUMMYFUNCTION(" VLOOKUP(A282, IMPORTRANGE(""https://docs.google.com/spreadsheets/d/1fj_Bhi2XPL3siwIh4sx4VRLAe31yD50oKdj5UlRYW0c/"", ""Сводка!A:AA""), 5, FALSE)"),328)</f>
        <v>328</v>
      </c>
      <c r="H285" s="12" t="s">
        <v>1172</v>
      </c>
      <c r="I285" s="10">
        <f ca="1">IFERROR(__xludf.DUMMYFUNCTION(" VLOOKUP(A282, IMPORTRANGE(""https://docs.google.com/spreadsheets/d/1QNLbnkR_AongFt22vMfNzfpjZ0CjpI8QI-w0wBnYA1w/"", ""Инфа!A:AA""), 6, FALSE)"),2024)</f>
        <v>2024</v>
      </c>
      <c r="J285" s="5">
        <f t="shared" ca="1" si="6"/>
        <v>24700</v>
      </c>
      <c r="K285" s="9" t="s">
        <v>408</v>
      </c>
      <c r="L285" s="15" t="s">
        <v>1177</v>
      </c>
    </row>
    <row r="286" spans="1:12" ht="315">
      <c r="A286" s="8" t="s">
        <v>1178</v>
      </c>
      <c r="B286" s="9" t="s">
        <v>12</v>
      </c>
      <c r="C286" s="10" t="s">
        <v>151</v>
      </c>
      <c r="D286" s="10" t="str">
        <f ca="1">IFERROR(__xludf.DUMMYFUNCTION(" VLOOKUP(A283, IMPORTRANGE(""https://docs.google.com/spreadsheets/d/1fj_Bhi2XPL3siwIh4sx4VRLAe31yD50oKdj5UlRYW0c/"", ""Сводка!A:AA""), 11, FALSE)"),"978-601-327-171-2")</f>
        <v>978-601-327-171-2</v>
      </c>
      <c r="E286" s="11" t="s">
        <v>1179</v>
      </c>
      <c r="F286" s="11" t="s">
        <v>1180</v>
      </c>
      <c r="G286" s="12">
        <f ca="1">IFERROR(__xludf.DUMMYFUNCTION(" VLOOKUP(A283, IMPORTRANGE(""https://docs.google.com/spreadsheets/d/1fj_Bhi2XPL3siwIh4sx4VRLAe31yD50oKdj5UlRYW0c/"", ""Сводка!A:AA""), 5, FALSE)"),324)</f>
        <v>324</v>
      </c>
      <c r="H286" s="12" t="s">
        <v>498</v>
      </c>
      <c r="I286" s="10">
        <f ca="1">IFERROR(__xludf.DUMMYFUNCTION(" VLOOKUP(A283, IMPORTRANGE(""https://docs.google.com/spreadsheets/d/1QNLbnkR_AongFt22vMfNzfpjZ0CjpI8QI-w0wBnYA1w/"", ""Инфа!A:AA""), 6, FALSE)"),2024)</f>
        <v>2024</v>
      </c>
      <c r="J286" s="5">
        <f t="shared" ca="1" si="6"/>
        <v>24400</v>
      </c>
      <c r="K286" s="9" t="s">
        <v>408</v>
      </c>
      <c r="L286" s="15" t="s">
        <v>1181</v>
      </c>
    </row>
    <row r="287" spans="1:12" ht="236.25">
      <c r="A287" s="8" t="s">
        <v>1182</v>
      </c>
      <c r="B287" s="9" t="s">
        <v>12</v>
      </c>
      <c r="C287" s="10" t="s">
        <v>443</v>
      </c>
      <c r="D287" s="10" t="str">
        <f ca="1">IFERROR(__xludf.DUMMYFUNCTION(" VLOOKUP(A284, IMPORTRANGE(""https://docs.google.com/spreadsheets/d/1fj_Bhi2XPL3siwIh4sx4VRLAe31yD50oKdj5UlRYW0c/"", ""Сводка!A:AA""), 11, FALSE)"),"978-601-310-090-6")</f>
        <v>978-601-310-090-6</v>
      </c>
      <c r="E287" s="11" t="s">
        <v>1183</v>
      </c>
      <c r="F287" s="11" t="s">
        <v>1184</v>
      </c>
      <c r="G287" s="12">
        <f ca="1">IFERROR(__xludf.DUMMYFUNCTION(" VLOOKUP(A284, IMPORTRANGE(""https://docs.google.com/spreadsheets/d/1fj_Bhi2XPL3siwIh4sx4VRLAe31yD50oKdj5UlRYW0c/"", ""Сводка!A:AA""), 5, FALSE)"),340)</f>
        <v>340</v>
      </c>
      <c r="H287" s="12" t="s">
        <v>511</v>
      </c>
      <c r="I287" s="10">
        <f ca="1">IFERROR(__xludf.DUMMYFUNCTION(" VLOOKUP(A284, IMPORTRANGE(""https://docs.google.com/spreadsheets/d/1QNLbnkR_AongFt22vMfNzfpjZ0CjpI8QI-w0wBnYA1w/"", ""Инфа!A:AA""), 6, FALSE)"),2024)</f>
        <v>2024</v>
      </c>
      <c r="J287" s="5">
        <f t="shared" ca="1" si="6"/>
        <v>25400</v>
      </c>
      <c r="K287" s="9" t="s">
        <v>758</v>
      </c>
      <c r="L287" s="15" t="s">
        <v>1185</v>
      </c>
    </row>
    <row r="288" spans="1:12" ht="38.25">
      <c r="A288" s="8" t="s">
        <v>1186</v>
      </c>
      <c r="B288" s="9" t="s">
        <v>12</v>
      </c>
      <c r="C288" s="10" t="s">
        <v>151</v>
      </c>
      <c r="D288" s="10" t="str">
        <f ca="1">IFERROR(__xludf.DUMMYFUNCTION(" VLOOKUP(A285, IMPORTRANGE(""https://docs.google.com/spreadsheets/d/1fj_Bhi2XPL3siwIh4sx4VRLAe31yD50oKdj5UlRYW0c/"", ""Сводка!A:AA""), 11, FALSE)"),"978-601-310-890-2")</f>
        <v>978-601-310-890-2</v>
      </c>
      <c r="E288" s="11" t="s">
        <v>1187</v>
      </c>
      <c r="F288" s="11" t="s">
        <v>1188</v>
      </c>
      <c r="G288" s="12">
        <f ca="1">IFERROR(__xludf.DUMMYFUNCTION(" VLOOKUP(A285, IMPORTRANGE(""https://docs.google.com/spreadsheets/d/1fj_Bhi2XPL3siwIh4sx4VRLAe31yD50oKdj5UlRYW0c/"", ""Сводка!A:AA""), 5, FALSE)"),332)</f>
        <v>332</v>
      </c>
      <c r="H288" s="12" t="s">
        <v>498</v>
      </c>
      <c r="I288" s="10">
        <f ca="1">IFERROR(__xludf.DUMMYFUNCTION(" VLOOKUP(A285, IMPORTRANGE(""https://docs.google.com/spreadsheets/d/1QNLbnkR_AongFt22vMfNzfpjZ0CjpI8QI-w0wBnYA1w/"", ""Инфа!A:AA""), 6, FALSE)"),2024)</f>
        <v>2024</v>
      </c>
      <c r="J288" s="5">
        <f t="shared" ca="1" si="6"/>
        <v>24900</v>
      </c>
      <c r="K288" s="9" t="s">
        <v>758</v>
      </c>
      <c r="L288" s="15"/>
    </row>
    <row r="289" spans="1:12" ht="236.25">
      <c r="A289" s="8" t="s">
        <v>1189</v>
      </c>
      <c r="B289" s="9" t="s">
        <v>12</v>
      </c>
      <c r="C289" s="10" t="s">
        <v>443</v>
      </c>
      <c r="D289" s="10" t="str">
        <f ca="1">IFERROR(__xludf.DUMMYFUNCTION(" VLOOKUP(A286, IMPORTRANGE(""https://docs.google.com/spreadsheets/d/1fj_Bhi2XPL3siwIh4sx4VRLAe31yD50oKdj5UlRYW0c/"", ""Сводка!A:AA""), 11, FALSE)"),"978-601-310-090-6")</f>
        <v>978-601-310-090-6</v>
      </c>
      <c r="E289" s="11" t="s">
        <v>1190</v>
      </c>
      <c r="F289" s="11" t="s">
        <v>1191</v>
      </c>
      <c r="G289" s="12">
        <f ca="1">IFERROR(__xludf.DUMMYFUNCTION(" VLOOKUP(A286, IMPORTRANGE(""https://docs.google.com/spreadsheets/d/1fj_Bhi2XPL3siwIh4sx4VRLAe31yD50oKdj5UlRYW0c/"", ""Сводка!A:AA""), 5, FALSE)"),240)</f>
        <v>240</v>
      </c>
      <c r="H289" s="12" t="s">
        <v>511</v>
      </c>
      <c r="I289" s="10">
        <f ca="1">IFERROR(__xludf.DUMMYFUNCTION(" VLOOKUP(A286, IMPORTRANGE(""https://docs.google.com/spreadsheets/d/1QNLbnkR_AongFt22vMfNzfpjZ0CjpI8QI-w0wBnYA1w/"", ""Инфа!A:AA""), 6, FALSE)"),2024)</f>
        <v>2024</v>
      </c>
      <c r="J289" s="5">
        <f t="shared" ca="1" si="6"/>
        <v>19400</v>
      </c>
      <c r="K289" s="9" t="s">
        <v>758</v>
      </c>
      <c r="L289" s="15" t="s">
        <v>1185</v>
      </c>
    </row>
    <row r="290" spans="1:12" ht="236.25">
      <c r="A290" s="8" t="s">
        <v>1192</v>
      </c>
      <c r="B290" s="9" t="s">
        <v>12</v>
      </c>
      <c r="C290" s="10" t="s">
        <v>443</v>
      </c>
      <c r="D290" s="10" t="str">
        <f ca="1">IFERROR(__xludf.DUMMYFUNCTION(" VLOOKUP(A287, IMPORTRANGE(""https://docs.google.com/spreadsheets/d/1fj_Bhi2XPL3siwIh4sx4VRLAe31yD50oKdj5UlRYW0c/"", ""Сводка!A:AA""), 11, FALSE)"),"978-601-310-090-6")</f>
        <v>978-601-310-090-6</v>
      </c>
      <c r="E290" s="11" t="s">
        <v>1190</v>
      </c>
      <c r="F290" s="11" t="s">
        <v>1193</v>
      </c>
      <c r="G290" s="12">
        <f ca="1">IFERROR(__xludf.DUMMYFUNCTION(" VLOOKUP(A287, IMPORTRANGE(""https://docs.google.com/spreadsheets/d/1fj_Bhi2XPL3siwIh4sx4VRLAe31yD50oKdj5UlRYW0c/"", ""Сводка!A:AA""), 5, FALSE)"),252)</f>
        <v>252</v>
      </c>
      <c r="H290" s="12" t="s">
        <v>511</v>
      </c>
      <c r="I290" s="10">
        <f ca="1">IFERROR(__xludf.DUMMYFUNCTION(" VLOOKUP(A287, IMPORTRANGE(""https://docs.google.com/spreadsheets/d/1QNLbnkR_AongFt22vMfNzfpjZ0CjpI8QI-w0wBnYA1w/"", ""Инфа!A:AA""), 6, FALSE)"),2023)</f>
        <v>2023</v>
      </c>
      <c r="J290" s="5">
        <f t="shared" ca="1" si="6"/>
        <v>20100</v>
      </c>
      <c r="K290" s="9" t="s">
        <v>758</v>
      </c>
      <c r="L290" s="15" t="s">
        <v>1185</v>
      </c>
    </row>
    <row r="291" spans="1:12" ht="51">
      <c r="A291" s="8" t="s">
        <v>1194</v>
      </c>
      <c r="B291" s="9" t="s">
        <v>12</v>
      </c>
      <c r="C291" s="10" t="s">
        <v>151</v>
      </c>
      <c r="D291" s="10" t="str">
        <f ca="1">IFERROR(__xludf.DUMMYFUNCTION(" VLOOKUP(A288, IMPORTRANGE(""https://docs.google.com/spreadsheets/d/1fj_Bhi2XPL3siwIh4sx4VRLAe31yD50oKdj5UlRYW0c/"", ""Сводка!A:AA""), 11, FALSE)"),"978-601-310-571-0")</f>
        <v>978-601-310-571-0</v>
      </c>
      <c r="E291" s="11" t="s">
        <v>1195</v>
      </c>
      <c r="F291" s="11" t="s">
        <v>1196</v>
      </c>
      <c r="G291" s="12">
        <f ca="1">IFERROR(__xludf.DUMMYFUNCTION(" VLOOKUP(A288, IMPORTRANGE(""https://docs.google.com/spreadsheets/d/1fj_Bhi2XPL3siwIh4sx4VRLAe31yD50oKdj5UlRYW0c/"", ""Сводка!A:AA""), 5, FALSE)"),88)</f>
        <v>88</v>
      </c>
      <c r="H291" s="12" t="s">
        <v>47</v>
      </c>
      <c r="I291" s="10">
        <f ca="1">IFERROR(__xludf.DUMMYFUNCTION(" VLOOKUP(A288, IMPORTRANGE(""https://docs.google.com/spreadsheets/d/1QNLbnkR_AongFt22vMfNzfpjZ0CjpI8QI-w0wBnYA1w/"", ""Инфа!A:AA""), 6, FALSE)"),2024)</f>
        <v>2024</v>
      </c>
      <c r="J291" s="5">
        <f ca="1">ROUND((5000+G291*30),-2)</f>
        <v>7600</v>
      </c>
      <c r="K291" s="12" t="s">
        <v>570</v>
      </c>
      <c r="L291" s="15"/>
    </row>
    <row r="292" spans="1:12" ht="191.25">
      <c r="A292" s="8" t="s">
        <v>1197</v>
      </c>
      <c r="B292" s="9" t="s">
        <v>12</v>
      </c>
      <c r="C292" s="10" t="s">
        <v>151</v>
      </c>
      <c r="D292" s="10" t="str">
        <f ca="1">IFERROR(__xludf.DUMMYFUNCTION(" VLOOKUP(A289, IMPORTRANGE(""https://docs.google.com/spreadsheets/d/1fj_Bhi2XPL3siwIh4sx4VRLAe31yD50oKdj5UlRYW0c/"", ""Сводка!A:AA""), 11, FALSE)"),"978-601-310-256-6")</f>
        <v>978-601-310-256-6</v>
      </c>
      <c r="E292" s="11" t="s">
        <v>1198</v>
      </c>
      <c r="F292" s="11" t="s">
        <v>1199</v>
      </c>
      <c r="G292" s="12">
        <f ca="1">IFERROR(__xludf.DUMMYFUNCTION(" VLOOKUP(A289, IMPORTRANGE(""https://docs.google.com/spreadsheets/d/1fj_Bhi2XPL3siwIh4sx4VRLAe31yD50oKdj5UlRYW0c/"", ""Сводка!A:AA""), 5, FALSE)"),148)</f>
        <v>148</v>
      </c>
      <c r="H292" s="12" t="s">
        <v>282</v>
      </c>
      <c r="I292" s="10">
        <f ca="1">IFERROR(__xludf.DUMMYFUNCTION(" VLOOKUP(A289, IMPORTRANGE(""https://docs.google.com/spreadsheets/d/1QNLbnkR_AongFt22vMfNzfpjZ0CjpI8QI-w0wBnYA1w/"", ""Инфа!A:AA""), 6, FALSE)"),2024)</f>
        <v>2024</v>
      </c>
      <c r="J292" s="5">
        <f ca="1">ROUND((5000+G292*30),-2)</f>
        <v>9400</v>
      </c>
      <c r="K292" s="12" t="s">
        <v>257</v>
      </c>
      <c r="L292" s="15" t="s">
        <v>1200</v>
      </c>
    </row>
    <row r="293" spans="1:12" ht="247.5">
      <c r="A293" s="8" t="s">
        <v>1201</v>
      </c>
      <c r="B293" s="9" t="s">
        <v>12</v>
      </c>
      <c r="C293" s="10" t="s">
        <v>13</v>
      </c>
      <c r="D293" s="10" t="str">
        <f ca="1">IFERROR(__xludf.DUMMYFUNCTION(" VLOOKUP(A290, IMPORTRANGE(""https://docs.google.com/spreadsheets/d/1fj_Bhi2XPL3siwIh4sx4VRLAe31yD50oKdj5UlRYW0c/"", ""Сводка!A:AA""), 11, FALSE)"),"978-601-310-227-6")</f>
        <v>978-601-310-227-6</v>
      </c>
      <c r="E293" s="11" t="s">
        <v>1202</v>
      </c>
      <c r="F293" s="11" t="s">
        <v>1203</v>
      </c>
      <c r="G293" s="12">
        <f ca="1">IFERROR(__xludf.DUMMYFUNCTION(" VLOOKUP(A290, IMPORTRANGE(""https://docs.google.com/spreadsheets/d/1fj_Bhi2XPL3siwIh4sx4VRLAe31yD50oKdj5UlRYW0c/"", ""Сводка!A:AA""), 5, FALSE)"),120)</f>
        <v>120</v>
      </c>
      <c r="H293" s="12" t="s">
        <v>47</v>
      </c>
      <c r="I293" s="10">
        <f ca="1">IFERROR(__xludf.DUMMYFUNCTION(" VLOOKUP(A290, IMPORTRANGE(""https://docs.google.com/spreadsheets/d/1QNLbnkR_AongFt22vMfNzfpjZ0CjpI8QI-w0wBnYA1w/"", ""Инфа!A:AA""), 6, FALSE)"),2024)</f>
        <v>2024</v>
      </c>
      <c r="J293" s="5">
        <f ca="1">ROUND((5000+G293*30),-2)</f>
        <v>8600</v>
      </c>
      <c r="K293" s="12" t="s">
        <v>961</v>
      </c>
      <c r="L293" s="15" t="s">
        <v>1204</v>
      </c>
    </row>
    <row r="294" spans="1:12" ht="51">
      <c r="A294" s="8" t="s">
        <v>1205</v>
      </c>
      <c r="B294" s="9" t="s">
        <v>12</v>
      </c>
      <c r="C294" s="10" t="s">
        <v>151</v>
      </c>
      <c r="D294" s="10" t="str">
        <f ca="1">IFERROR(__xludf.DUMMYFUNCTION(" VLOOKUP(A291, IMPORTRANGE(""https://docs.google.com/spreadsheets/d/1fj_Bhi2XPL3siwIh4sx4VRLAe31yD50oKdj5UlRYW0c/"", ""Сводка!A:AA""), 11, FALSE)"),"978-601-310-321-1")</f>
        <v>978-601-310-321-1</v>
      </c>
      <c r="E294" s="11" t="s">
        <v>1206</v>
      </c>
      <c r="F294" s="11" t="s">
        <v>1207</v>
      </c>
      <c r="G294" s="12">
        <f ca="1">IFERROR(__xludf.DUMMYFUNCTION(" VLOOKUP(A291, IMPORTRANGE(""https://docs.google.com/spreadsheets/d/1fj_Bhi2XPL3siwIh4sx4VRLAe31yD50oKdj5UlRYW0c/"", ""Сводка!A:AA""), 5, FALSE)"),112)</f>
        <v>112</v>
      </c>
      <c r="H294" s="12" t="s">
        <v>47</v>
      </c>
      <c r="I294" s="10">
        <f ca="1">IFERROR(__xludf.DUMMYFUNCTION(" VLOOKUP(A291, IMPORTRANGE(""https://docs.google.com/spreadsheets/d/1QNLbnkR_AongFt22vMfNzfpjZ0CjpI8QI-w0wBnYA1w/"", ""Инфа!A:AA""), 6, FALSE)"),2024)</f>
        <v>2024</v>
      </c>
      <c r="J294" s="5">
        <f ca="1">ROUND(((5000+G294*30)*1.3),-2)</f>
        <v>10900</v>
      </c>
      <c r="K294" s="12" t="s">
        <v>961</v>
      </c>
      <c r="L294" s="15"/>
    </row>
    <row r="295" spans="1:12" ht="78.75">
      <c r="A295" s="8" t="s">
        <v>1208</v>
      </c>
      <c r="B295" s="9" t="s">
        <v>12</v>
      </c>
      <c r="C295" s="10" t="s">
        <v>443</v>
      </c>
      <c r="D295" s="10" t="str">
        <f ca="1">IFERROR(__xludf.DUMMYFUNCTION(" VLOOKUP(A292, IMPORTRANGE(""https://docs.google.com/spreadsheets/d/1fj_Bhi2XPL3siwIh4sx4VRLAe31yD50oKdj5UlRYW0c/"", ""Сводка!A:AA""), 11, FALSE)"),"978-601-240-690-0")</f>
        <v>978-601-240-690-0</v>
      </c>
      <c r="E295" s="11" t="s">
        <v>1209</v>
      </c>
      <c r="F295" s="11" t="s">
        <v>1210</v>
      </c>
      <c r="G295" s="12">
        <f ca="1">IFERROR(__xludf.DUMMYFUNCTION(" VLOOKUP(A292, IMPORTRANGE(""https://docs.google.com/spreadsheets/d/1fj_Bhi2XPL3siwIh4sx4VRLAe31yD50oKdj5UlRYW0c/"", ""Сводка!A:AA""), 5, FALSE)"),284)</f>
        <v>284</v>
      </c>
      <c r="H295" s="12" t="s">
        <v>538</v>
      </c>
      <c r="I295" s="10">
        <f ca="1">IFERROR(__xludf.DUMMYFUNCTION(" VLOOKUP(A292, IMPORTRANGE(""https://docs.google.com/spreadsheets/d/1QNLbnkR_AongFt22vMfNzfpjZ0CjpI8QI-w0wBnYA1w/"", ""Инфа!A:AA""), 6, FALSE)"),2024)</f>
        <v>2024</v>
      </c>
      <c r="J295" s="5">
        <f ca="1">ROUND((5000+G295*30),-2)</f>
        <v>13500</v>
      </c>
      <c r="K295" s="12" t="s">
        <v>961</v>
      </c>
      <c r="L295" s="15" t="s">
        <v>1211</v>
      </c>
    </row>
    <row r="296" spans="1:12" ht="38.25">
      <c r="A296" s="8" t="s">
        <v>1212</v>
      </c>
      <c r="B296" s="9" t="s">
        <v>12</v>
      </c>
      <c r="C296" s="10" t="s">
        <v>151</v>
      </c>
      <c r="D296" s="10" t="str">
        <f ca="1">IFERROR(__xludf.DUMMYFUNCTION(" VLOOKUP(A293, IMPORTRANGE(""https://docs.google.com/spreadsheets/d/1fj_Bhi2XPL3siwIh4sx4VRLAe31yD50oKdj5UlRYW0c/"", ""Сводка!A:AA""), 11, FALSE)"),"9965-668-73-4")</f>
        <v>9965-668-73-4</v>
      </c>
      <c r="E296" s="11" t="s">
        <v>1209</v>
      </c>
      <c r="F296" s="11" t="s">
        <v>1213</v>
      </c>
      <c r="G296" s="12">
        <f ca="1">IFERROR(__xludf.DUMMYFUNCTION(" VLOOKUP(A293, IMPORTRANGE(""https://docs.google.com/spreadsheets/d/1fj_Bhi2XPL3siwIh4sx4VRLAe31yD50oKdj5UlRYW0c/"", ""Сводка!A:AA""), 5, FALSE)"),206)</f>
        <v>206</v>
      </c>
      <c r="H296" s="12" t="s">
        <v>538</v>
      </c>
      <c r="I296" s="10">
        <f ca="1">IFERROR(__xludf.DUMMYFUNCTION(" VLOOKUP(A293, IMPORTRANGE(""https://docs.google.com/spreadsheets/d/1QNLbnkR_AongFt22vMfNzfpjZ0CjpI8QI-w0wBnYA1w/"", ""Инфа!A:AA""), 6, FALSE)"),2024)</f>
        <v>2024</v>
      </c>
      <c r="J296" s="5">
        <f ca="1">ROUND((5000+G296*30),-2)</f>
        <v>11200</v>
      </c>
      <c r="K296" s="12" t="s">
        <v>961</v>
      </c>
      <c r="L296" s="15"/>
    </row>
    <row r="297" spans="1:12" ht="25.5">
      <c r="A297" s="8" t="s">
        <v>1214</v>
      </c>
      <c r="B297" s="9" t="s">
        <v>12</v>
      </c>
      <c r="C297" s="10" t="s">
        <v>151</v>
      </c>
      <c r="D297" s="10" t="str">
        <f ca="1">IFERROR(__xludf.DUMMYFUNCTION(" VLOOKUP(A294, IMPORTRANGE(""https://docs.google.com/spreadsheets/d/1fj_Bhi2XPL3siwIh4sx4VRLAe31yD50oKdj5UlRYW0c/"", ""Сводка!A:AA""), 11, FALSE)"),"978-601-310-301-3")</f>
        <v>978-601-310-301-3</v>
      </c>
      <c r="E297" s="11" t="s">
        <v>1209</v>
      </c>
      <c r="F297" s="11" t="s">
        <v>1215</v>
      </c>
      <c r="G297" s="12">
        <f ca="1">IFERROR(__xludf.DUMMYFUNCTION(" VLOOKUP(A294, IMPORTRANGE(""https://docs.google.com/spreadsheets/d/1fj_Bhi2XPL3siwIh4sx4VRLAe31yD50oKdj5UlRYW0c/"", ""Сводка!A:AA""), 5, FALSE)"),324)</f>
        <v>324</v>
      </c>
      <c r="H297" s="12" t="s">
        <v>47</v>
      </c>
      <c r="I297" s="10">
        <f ca="1">IFERROR(__xludf.DUMMYFUNCTION(" VLOOKUP(A294, IMPORTRANGE(""https://docs.google.com/spreadsheets/d/1QNLbnkR_AongFt22vMfNzfpjZ0CjpI8QI-w0wBnYA1w/"", ""Инфа!A:AA""), 6, FALSE)"),2024)</f>
        <v>2024</v>
      </c>
      <c r="J297" s="5">
        <f ca="1">ROUND(((5000+G297*30)*1.3),-2)</f>
        <v>19100</v>
      </c>
      <c r="K297" s="12" t="s">
        <v>961</v>
      </c>
      <c r="L297" s="15"/>
    </row>
    <row r="298" spans="1:12" ht="292.5">
      <c r="A298" s="8" t="s">
        <v>1216</v>
      </c>
      <c r="B298" s="9" t="s">
        <v>12</v>
      </c>
      <c r="C298" s="10" t="s">
        <v>151</v>
      </c>
      <c r="D298" s="10" t="str">
        <f ca="1">IFERROR(__xludf.DUMMYFUNCTION(" VLOOKUP(A295, IMPORTRANGE(""https://docs.google.com/spreadsheets/d/1fj_Bhi2XPL3siwIh4sx4VRLAe31yD50oKdj5UlRYW0c/"", ""Сводка!A:AA""), 11, FALSE)"),"978-956-07-686-2")</f>
        <v>978-956-07-686-2</v>
      </c>
      <c r="E298" s="11" t="s">
        <v>1217</v>
      </c>
      <c r="F298" s="11" t="s">
        <v>1218</v>
      </c>
      <c r="G298" s="12">
        <f ca="1">IFERROR(__xludf.DUMMYFUNCTION(" VLOOKUP(A295, IMPORTRANGE(""https://docs.google.com/spreadsheets/d/1fj_Bhi2XPL3siwIh4sx4VRLAe31yD50oKdj5UlRYW0c/"", ""Сводка!A:AA""), 5, FALSE)"),156)</f>
        <v>156</v>
      </c>
      <c r="H298" s="12" t="s">
        <v>47</v>
      </c>
      <c r="I298" s="10">
        <f ca="1">IFERROR(__xludf.DUMMYFUNCTION(" VLOOKUP(A295, IMPORTRANGE(""https://docs.google.com/spreadsheets/d/1QNLbnkR_AongFt22vMfNzfpjZ0CjpI8QI-w0wBnYA1w/"", ""Инфа!A:AA""), 6, FALSE)"),2024)</f>
        <v>2024</v>
      </c>
      <c r="J298" s="5">
        <f ca="1">ROUND((5000+G298*30),-2)</f>
        <v>9700</v>
      </c>
      <c r="K298" s="12" t="s">
        <v>1219</v>
      </c>
      <c r="L298" s="15" t="s">
        <v>1220</v>
      </c>
    </row>
    <row r="299" spans="1:12" ht="25.5">
      <c r="A299" s="8" t="s">
        <v>1221</v>
      </c>
      <c r="B299" s="9" t="s">
        <v>12</v>
      </c>
      <c r="C299" s="10" t="s">
        <v>151</v>
      </c>
      <c r="D299" s="10" t="str">
        <f ca="1">IFERROR(__xludf.DUMMYFUNCTION(" VLOOKUP(A296, IMPORTRANGE(""https://docs.google.com/spreadsheets/d/1fj_Bhi2XPL3siwIh4sx4VRLAe31yD50oKdj5UlRYW0c/"", ""Сводка!A:AA""), 11, FALSE)"),"978-601-310-239-9")</f>
        <v>978-601-310-239-9</v>
      </c>
      <c r="E299" s="11" t="s">
        <v>1222</v>
      </c>
      <c r="F299" s="11" t="s">
        <v>1223</v>
      </c>
      <c r="G299" s="12">
        <f ca="1">IFERROR(__xludf.DUMMYFUNCTION(" VLOOKUP(A296, IMPORTRANGE(""https://docs.google.com/spreadsheets/d/1fj_Bhi2XPL3siwIh4sx4VRLAe31yD50oKdj5UlRYW0c/"", ""Сводка!A:AA""), 5, FALSE)"),288)</f>
        <v>288</v>
      </c>
      <c r="H299" s="12" t="s">
        <v>498</v>
      </c>
      <c r="I299" s="10">
        <f ca="1">IFERROR(__xludf.DUMMYFUNCTION(" VLOOKUP(A296, IMPORTRANGE(""https://docs.google.com/spreadsheets/d/1QNLbnkR_AongFt22vMfNzfpjZ0CjpI8QI-w0wBnYA1w/"", ""Инфа!A:AA""), 6, FALSE)"),2024)</f>
        <v>2024</v>
      </c>
      <c r="J299" s="5">
        <f ca="1">ROUND(((5000+G299*30)*1.3),-2)</f>
        <v>17700</v>
      </c>
      <c r="K299" s="12" t="s">
        <v>961</v>
      </c>
      <c r="L299" s="15"/>
    </row>
    <row r="300" spans="1:12" ht="63.75">
      <c r="A300" s="8" t="s">
        <v>1224</v>
      </c>
      <c r="B300" s="9" t="s">
        <v>12</v>
      </c>
      <c r="C300" s="10" t="s">
        <v>443</v>
      </c>
      <c r="D300" s="10" t="str">
        <f ca="1">IFERROR(__xludf.DUMMYFUNCTION(" VLOOKUP(A297, IMPORTRANGE(""https://docs.google.com/spreadsheets/d/1fj_Bhi2XPL3siwIh4sx4VRLAe31yD50oKdj5UlRYW0c/"", ""Сводка!A:AA""), 11, FALSE)"),"978-601-310-493-5")</f>
        <v>978-601-310-493-5</v>
      </c>
      <c r="E300" s="11" t="s">
        <v>1225</v>
      </c>
      <c r="F300" s="11" t="s">
        <v>1226</v>
      </c>
      <c r="G300" s="12">
        <f ca="1">IFERROR(__xludf.DUMMYFUNCTION(" VLOOKUP(A297, IMPORTRANGE(""https://docs.google.com/spreadsheets/d/1fj_Bhi2XPL3siwIh4sx4VRLAe31yD50oKdj5UlRYW0c/"", ""Сводка!A:AA""), 5, FALSE)"),96)</f>
        <v>96</v>
      </c>
      <c r="H300" s="12" t="s">
        <v>777</v>
      </c>
      <c r="I300" s="10">
        <f ca="1">IFERROR(__xludf.DUMMYFUNCTION(" VLOOKUP(A297, IMPORTRANGE(""https://docs.google.com/spreadsheets/d/1QNLbnkR_AongFt22vMfNzfpjZ0CjpI8QI-w0wBnYA1w/"", ""Инфа!A:AA""), 6, FALSE)"),2024)</f>
        <v>2024</v>
      </c>
      <c r="J300" s="5">
        <f ca="1">ROUND((5000+G300*30),-2)</f>
        <v>7900</v>
      </c>
      <c r="K300" s="12" t="s">
        <v>961</v>
      </c>
      <c r="L300" s="15"/>
    </row>
    <row r="301" spans="1:12" ht="38.25">
      <c r="A301" s="8" t="s">
        <v>1227</v>
      </c>
      <c r="B301" s="9" t="s">
        <v>12</v>
      </c>
      <c r="C301" s="10" t="s">
        <v>443</v>
      </c>
      <c r="D301" s="10" t="str">
        <f ca="1">IFERROR(__xludf.DUMMYFUNCTION(" VLOOKUP(A298, IMPORTRANGE(""https://docs.google.com/spreadsheets/d/1fj_Bhi2XPL3siwIh4sx4VRLAe31yD50oKdj5UlRYW0c/"", ""Сводка!A:AA""), 11, FALSE)"),"978-601-310-520-8")</f>
        <v>978-601-310-520-8</v>
      </c>
      <c r="E301" s="11" t="s">
        <v>1228</v>
      </c>
      <c r="F301" s="11" t="s">
        <v>1229</v>
      </c>
      <c r="G301" s="12">
        <f ca="1">IFERROR(__xludf.DUMMYFUNCTION(" VLOOKUP(A298, IMPORTRANGE(""https://docs.google.com/spreadsheets/d/1fj_Bhi2XPL3siwIh4sx4VRLAe31yD50oKdj5UlRYW0c/"", ""Сводка!A:AA""), 5, FALSE)"),92)</f>
        <v>92</v>
      </c>
      <c r="H301" s="12" t="s">
        <v>538</v>
      </c>
      <c r="I301" s="10">
        <f ca="1">IFERROR(__xludf.DUMMYFUNCTION(" VLOOKUP(A298, IMPORTRANGE(""https://docs.google.com/spreadsheets/d/1QNLbnkR_AongFt22vMfNzfpjZ0CjpI8QI-w0wBnYA1w/"", ""Инфа!A:AA""), 6, FALSE)"),2024)</f>
        <v>2024</v>
      </c>
      <c r="J301" s="5">
        <f ca="1">ROUND((5000+G301*30),-2)</f>
        <v>7800</v>
      </c>
      <c r="K301" s="9" t="s">
        <v>1219</v>
      </c>
      <c r="L301" s="15"/>
    </row>
    <row r="302" spans="1:12" ht="38.25">
      <c r="A302" s="8" t="s">
        <v>1230</v>
      </c>
      <c r="B302" s="9" t="s">
        <v>12</v>
      </c>
      <c r="C302" s="10" t="s">
        <v>443</v>
      </c>
      <c r="D302" s="10" t="str">
        <f ca="1">IFERROR(__xludf.DUMMYFUNCTION(" VLOOKUP(A299, IMPORTRANGE(""https://docs.google.com/spreadsheets/d/1fj_Bhi2XPL3siwIh4sx4VRLAe31yD50oKdj5UlRYW0c/"", ""Сводка!A:AA""), 11, FALSE)"),"978-601-310-335-8")</f>
        <v>978-601-310-335-8</v>
      </c>
      <c r="E302" s="11" t="s">
        <v>1231</v>
      </c>
      <c r="F302" s="11" t="s">
        <v>1232</v>
      </c>
      <c r="G302" s="12">
        <f ca="1">IFERROR(__xludf.DUMMYFUNCTION(" VLOOKUP(A299, IMPORTRANGE(""https://docs.google.com/spreadsheets/d/1fj_Bhi2XPL3siwIh4sx4VRLAe31yD50oKdj5UlRYW0c/"", ""Сводка!A:AA""), 5, FALSE)"),204)</f>
        <v>204</v>
      </c>
      <c r="H302" s="12" t="s">
        <v>538</v>
      </c>
      <c r="I302" s="10">
        <f ca="1">IFERROR(__xludf.DUMMYFUNCTION(" VLOOKUP(A299, IMPORTRANGE(""https://docs.google.com/spreadsheets/d/1QNLbnkR_AongFt22vMfNzfpjZ0CjpI8QI-w0wBnYA1w/"", ""Инфа!A:AA""), 6, FALSE)"),2024)</f>
        <v>2024</v>
      </c>
      <c r="J302" s="5">
        <f ca="1">ROUND((5000+G302*30),-2)</f>
        <v>11100</v>
      </c>
      <c r="K302" s="12" t="s">
        <v>1219</v>
      </c>
      <c r="L302" s="15"/>
    </row>
    <row r="303" spans="1:12" ht="157.5">
      <c r="A303" s="8" t="s">
        <v>1233</v>
      </c>
      <c r="B303" s="9" t="s">
        <v>12</v>
      </c>
      <c r="C303" s="10" t="s">
        <v>443</v>
      </c>
      <c r="D303" s="10" t="str">
        <f ca="1">IFERROR(__xludf.DUMMYFUNCTION(" VLOOKUP(A300, IMPORTRANGE(""https://docs.google.com/spreadsheets/d/1fj_Bhi2XPL3siwIh4sx4VRLAe31yD50oKdj5UlRYW0c/"", ""Сводка!A:AA""), 11, FALSE)"),"978-601-310-578-9")</f>
        <v>978-601-310-578-9</v>
      </c>
      <c r="E303" s="11" t="s">
        <v>1234</v>
      </c>
      <c r="F303" s="11" t="s">
        <v>1235</v>
      </c>
      <c r="G303" s="12">
        <f ca="1">IFERROR(__xludf.DUMMYFUNCTION(" VLOOKUP(A300, IMPORTRANGE(""https://docs.google.com/spreadsheets/d/1fj_Bhi2XPL3siwIh4sx4VRLAe31yD50oKdj5UlRYW0c/"", ""Сводка!A:AA""), 5, FALSE)"),108)</f>
        <v>108</v>
      </c>
      <c r="H303" s="12" t="s">
        <v>538</v>
      </c>
      <c r="I303" s="10">
        <f ca="1">IFERROR(__xludf.DUMMYFUNCTION(" VLOOKUP(A300, IMPORTRANGE(""https://docs.google.com/spreadsheets/d/1QNLbnkR_AongFt22vMfNzfpjZ0CjpI8QI-w0wBnYA1w/"", ""Инфа!A:AA""), 6, FALSE)"),2024)</f>
        <v>2024</v>
      </c>
      <c r="J303" s="5">
        <f ca="1">ROUND((5000+G303*60),-2)</f>
        <v>11500</v>
      </c>
      <c r="K303" s="12" t="s">
        <v>961</v>
      </c>
      <c r="L303" s="15" t="s">
        <v>1236</v>
      </c>
    </row>
    <row r="304" spans="1:12" ht="157.5">
      <c r="A304" s="8" t="s">
        <v>1237</v>
      </c>
      <c r="B304" s="9" t="s">
        <v>12</v>
      </c>
      <c r="C304" s="10" t="s">
        <v>443</v>
      </c>
      <c r="D304" s="10" t="str">
        <f ca="1">IFERROR(__xludf.DUMMYFUNCTION(" VLOOKUP(A301, IMPORTRANGE(""https://docs.google.com/spreadsheets/d/1fj_Bhi2XPL3siwIh4sx4VRLAe31yD50oKdj5UlRYW0c/"", ""Сводка!A:AA""), 11, FALSE)"),"978-601-310-497-3")</f>
        <v>978-601-310-497-3</v>
      </c>
      <c r="E304" s="11" t="s">
        <v>1238</v>
      </c>
      <c r="F304" s="11" t="s">
        <v>1239</v>
      </c>
      <c r="G304" s="12">
        <f ca="1">IFERROR(__xludf.DUMMYFUNCTION(" VLOOKUP(A301, IMPORTRANGE(""https://docs.google.com/spreadsheets/d/1fj_Bhi2XPL3siwIh4sx4VRLAe31yD50oKdj5UlRYW0c/"", ""Сводка!A:AA""), 5, FALSE)"),64)</f>
        <v>64</v>
      </c>
      <c r="H304" s="12"/>
      <c r="I304" s="10">
        <f ca="1">IFERROR(__xludf.DUMMYFUNCTION(" VLOOKUP(A301, IMPORTRANGE(""https://docs.google.com/spreadsheets/d/1QNLbnkR_AongFt22vMfNzfpjZ0CjpI8QI-w0wBnYA1w/"", ""Инфа!A:AA""), 6, FALSE)"),2024)</f>
        <v>2024</v>
      </c>
      <c r="J304" s="5">
        <f ca="1">ROUND((5000+G304*60),-2)</f>
        <v>8800</v>
      </c>
      <c r="K304" s="12" t="s">
        <v>1240</v>
      </c>
      <c r="L304" s="15" t="s">
        <v>1241</v>
      </c>
    </row>
    <row r="305" spans="1:12" ht="258.75">
      <c r="A305" s="8" t="s">
        <v>1242</v>
      </c>
      <c r="B305" s="9" t="s">
        <v>12</v>
      </c>
      <c r="C305" s="10" t="s">
        <v>443</v>
      </c>
      <c r="D305" s="10" t="str">
        <f ca="1">IFERROR(__xludf.DUMMYFUNCTION(" VLOOKUP(A302, IMPORTRANGE(""https://docs.google.com/spreadsheets/d/1fj_Bhi2XPL3siwIh4sx4VRLAe31yD50oKdj5UlRYW0c/"", ""Сводка!A:AA""), 11, FALSE)"),"978-601-327-679-3")</f>
        <v>978-601-327-679-3</v>
      </c>
      <c r="E305" s="11" t="s">
        <v>1243</v>
      </c>
      <c r="F305" s="11" t="s">
        <v>1244</v>
      </c>
      <c r="G305" s="12">
        <f ca="1">IFERROR(__xludf.DUMMYFUNCTION(" VLOOKUP(A302, IMPORTRANGE(""https://docs.google.com/spreadsheets/d/1fj_Bhi2XPL3siwIh4sx4VRLAe31yD50oKdj5UlRYW0c/"", ""Сводка!A:AA""), 5, FALSE)"),132)</f>
        <v>132</v>
      </c>
      <c r="H305" s="12" t="s">
        <v>538</v>
      </c>
      <c r="I305" s="10">
        <f ca="1">IFERROR(__xludf.DUMMYFUNCTION(" VLOOKUP(A302, IMPORTRANGE(""https://docs.google.com/spreadsheets/d/1QNLbnkR_AongFt22vMfNzfpjZ0CjpI8QI-w0wBnYA1w/"", ""Инфа!A:AA""), 6, FALSE)"),2024)</f>
        <v>2024</v>
      </c>
      <c r="J305" s="5">
        <f ca="1">ROUND((5000+G305*60),-2)</f>
        <v>12900</v>
      </c>
      <c r="K305" s="12" t="s">
        <v>548</v>
      </c>
      <c r="L305" s="15" t="s">
        <v>1245</v>
      </c>
    </row>
    <row r="306" spans="1:12" ht="168.75">
      <c r="A306" s="8" t="s">
        <v>1246</v>
      </c>
      <c r="B306" s="9" t="s">
        <v>12</v>
      </c>
      <c r="C306" s="10" t="s">
        <v>443</v>
      </c>
      <c r="D306" s="10" t="str">
        <f ca="1">IFERROR(__xludf.DUMMYFUNCTION(" VLOOKUP(A303, IMPORTRANGE(""https://docs.google.com/spreadsheets/d/1fj_Bhi2XPL3siwIh4sx4VRLAe31yD50oKdj5UlRYW0c/"", ""Сводка!A:AA""), 11, FALSE)"),"987-601-202-147-9")</f>
        <v>987-601-202-147-9</v>
      </c>
      <c r="E306" s="11" t="s">
        <v>1247</v>
      </c>
      <c r="F306" s="11" t="s">
        <v>1248</v>
      </c>
      <c r="G306" s="12">
        <f ca="1">IFERROR(__xludf.DUMMYFUNCTION(" VLOOKUP(A303, IMPORTRANGE(""https://docs.google.com/spreadsheets/d/1fj_Bhi2XPL3siwIh4sx4VRLAe31yD50oKdj5UlRYW0c/"", ""Сводка!A:AA""), 5, FALSE)"),272)</f>
        <v>272</v>
      </c>
      <c r="H306" s="12" t="s">
        <v>538</v>
      </c>
      <c r="I306" s="10">
        <f ca="1">IFERROR(__xludf.DUMMYFUNCTION(" VLOOKUP(A303, IMPORTRANGE(""https://docs.google.com/spreadsheets/d/1QNLbnkR_AongFt22vMfNzfpjZ0CjpI8QI-w0wBnYA1w/"", ""Инфа!A:AA""), 6, FALSE)"),2024)</f>
        <v>2024</v>
      </c>
      <c r="J306" s="5">
        <f ca="1">ROUND((5000+G306*30),-2)</f>
        <v>13200</v>
      </c>
      <c r="K306" s="9" t="s">
        <v>26</v>
      </c>
      <c r="L306" s="15" t="s">
        <v>1249</v>
      </c>
    </row>
    <row r="307" spans="1:12" ht="38.25">
      <c r="A307" s="8" t="s">
        <v>1250</v>
      </c>
      <c r="B307" s="9" t="s">
        <v>12</v>
      </c>
      <c r="C307" s="10" t="s">
        <v>443</v>
      </c>
      <c r="D307" s="10" t="str">
        <f ca="1">IFERROR(__xludf.DUMMYFUNCTION(" VLOOKUP(A304, IMPORTRANGE(""https://docs.google.com/spreadsheets/d/1fj_Bhi2XPL3siwIh4sx4VRLAe31yD50oKdj5UlRYW0c/"", ""Сводка!A:AA""), 11, FALSE)"),"978-601-310-364-8")</f>
        <v>978-601-310-364-8</v>
      </c>
      <c r="E307" s="11" t="s">
        <v>1251</v>
      </c>
      <c r="F307" s="11" t="s">
        <v>1252</v>
      </c>
      <c r="G307" s="12">
        <f ca="1">IFERROR(__xludf.DUMMYFUNCTION(" VLOOKUP(A304, IMPORTRANGE(""https://docs.google.com/spreadsheets/d/1fj_Bhi2XPL3siwIh4sx4VRLAe31yD50oKdj5UlRYW0c/"", ""Сводка!A:AA""), 5, FALSE)"),148)</f>
        <v>148</v>
      </c>
      <c r="H307" s="12" t="s">
        <v>538</v>
      </c>
      <c r="I307" s="10">
        <f ca="1">IFERROR(__xludf.DUMMYFUNCTION(" VLOOKUP(A304, IMPORTRANGE(""https://docs.google.com/spreadsheets/d/1QNLbnkR_AongFt22vMfNzfpjZ0CjpI8QI-w0wBnYA1w/"", ""Инфа!A:AA""), 6, FALSE)"),2024)</f>
        <v>2024</v>
      </c>
      <c r="J307" s="5">
        <f ca="1">ROUND((5000+G307*30),-2)</f>
        <v>9400</v>
      </c>
      <c r="K307" s="12" t="s">
        <v>740</v>
      </c>
      <c r="L307" s="15"/>
    </row>
    <row r="308" spans="1:12" ht="25.5">
      <c r="A308" s="8" t="s">
        <v>1253</v>
      </c>
      <c r="B308" s="9" t="s">
        <v>12</v>
      </c>
      <c r="C308" s="10" t="s">
        <v>443</v>
      </c>
      <c r="D308" s="10" t="str">
        <f ca="1">IFERROR(__xludf.DUMMYFUNCTION(" VLOOKUP(A305, IMPORTRANGE(""https://docs.google.com/spreadsheets/d/1fj_Bhi2XPL3siwIh4sx4VRLAe31yD50oKdj5UlRYW0c/"", ""Сводка!A:AA""), 11, FALSE)"),"978-601-310-362-4")</f>
        <v>978-601-310-362-4</v>
      </c>
      <c r="E308" s="11" t="s">
        <v>1254</v>
      </c>
      <c r="F308" s="11" t="s">
        <v>1255</v>
      </c>
      <c r="G308" s="12">
        <f ca="1">IFERROR(__xludf.DUMMYFUNCTION(" VLOOKUP(A305, IMPORTRANGE(""https://docs.google.com/spreadsheets/d/1fj_Bhi2XPL3siwIh4sx4VRLAe31yD50oKdj5UlRYW0c/"", ""Сводка!A:AA""), 5, FALSE)"),320)</f>
        <v>320</v>
      </c>
      <c r="H308" s="12" t="s">
        <v>106</v>
      </c>
      <c r="I308" s="10">
        <f ca="1">IFERROR(__xludf.DUMMYFUNCTION(" VLOOKUP(A305, IMPORTRANGE(""https://docs.google.com/spreadsheets/d/1QNLbnkR_AongFt22vMfNzfpjZ0CjpI8QI-w0wBnYA1w/"", ""Инфа!A:AA""), 6, FALSE)"),2024)</f>
        <v>2024</v>
      </c>
      <c r="J308" s="5">
        <f ca="1">ROUND((5000+G308*30),-2)</f>
        <v>14600</v>
      </c>
      <c r="K308" s="9" t="s">
        <v>257</v>
      </c>
      <c r="L308" s="15"/>
    </row>
    <row r="309" spans="1:12" ht="213.75">
      <c r="A309" s="8" t="s">
        <v>1256</v>
      </c>
      <c r="B309" s="9" t="s">
        <v>12</v>
      </c>
      <c r="C309" s="10" t="s">
        <v>443</v>
      </c>
      <c r="D309" s="10" t="str">
        <f ca="1">IFERROR(__xludf.DUMMYFUNCTION(" VLOOKUP(A306, IMPORTRANGE(""https://docs.google.com/spreadsheets/d/1fj_Bhi2XPL3siwIh4sx4VRLAe31yD50oKdj5UlRYW0c/"", ""Сводка!A:AA""), 11, FALSE)"),"978-601-616-269-1")</f>
        <v>978-601-616-269-1</v>
      </c>
      <c r="E309" s="11" t="s">
        <v>1257</v>
      </c>
      <c r="F309" s="11" t="s">
        <v>1258</v>
      </c>
      <c r="G309" s="12">
        <f ca="1">IFERROR(__xludf.DUMMYFUNCTION(" VLOOKUP(A306, IMPORTRANGE(""https://docs.google.com/spreadsheets/d/1fj_Bhi2XPL3siwIh4sx4VRLAe31yD50oKdj5UlRYW0c/"", ""Сводка!A:AA""), 5, FALSE)"),336)</f>
        <v>336</v>
      </c>
      <c r="H309" s="12" t="s">
        <v>777</v>
      </c>
      <c r="I309" s="10">
        <f ca="1">IFERROR(__xludf.DUMMYFUNCTION(" VLOOKUP(A306, IMPORTRANGE(""https://docs.google.com/spreadsheets/d/1QNLbnkR_AongFt22vMfNzfpjZ0CjpI8QI-w0wBnYA1w/"", ""Инфа!A:AA""), 6, FALSE)"),2024)</f>
        <v>2024</v>
      </c>
      <c r="J309" s="5">
        <f ca="1">ROUND((5000+G309*60),-2)</f>
        <v>25200</v>
      </c>
      <c r="K309" s="9" t="s">
        <v>408</v>
      </c>
      <c r="L309" s="15" t="s">
        <v>1259</v>
      </c>
    </row>
    <row r="310" spans="1:12" ht="202.5">
      <c r="A310" s="8" t="s">
        <v>1260</v>
      </c>
      <c r="B310" s="9" t="s">
        <v>12</v>
      </c>
      <c r="C310" s="10" t="s">
        <v>443</v>
      </c>
      <c r="D310" s="10" t="str">
        <f ca="1">IFERROR(__xludf.DUMMYFUNCTION(" VLOOKUP(A307, IMPORTRANGE(""https://docs.google.com/spreadsheets/d/1fj_Bhi2XPL3siwIh4sx4VRLAe31yD50oKdj5UlRYW0c/"", ""Сводка!A:AA""), 11, FALSE)"),"978-601-342-578-8")</f>
        <v>978-601-342-578-8</v>
      </c>
      <c r="E310" s="11" t="s">
        <v>1257</v>
      </c>
      <c r="F310" s="11" t="s">
        <v>1261</v>
      </c>
      <c r="G310" s="12">
        <f ca="1">IFERROR(__xludf.DUMMYFUNCTION(" VLOOKUP(A307, IMPORTRANGE(""https://docs.google.com/spreadsheets/d/1fj_Bhi2XPL3siwIh4sx4VRLAe31yD50oKdj5UlRYW0c/"", ""Сводка!A:AA""), 5, FALSE)"),184)</f>
        <v>184</v>
      </c>
      <c r="H310" s="12" t="s">
        <v>106</v>
      </c>
      <c r="I310" s="10">
        <f ca="1">IFERROR(__xludf.DUMMYFUNCTION(" VLOOKUP(A307, IMPORTRANGE(""https://docs.google.com/spreadsheets/d/1QNLbnkR_AongFt22vMfNzfpjZ0CjpI8QI-w0wBnYA1w/"", ""Инфа!A:AA""), 6, FALSE)"),2024)</f>
        <v>2024</v>
      </c>
      <c r="J310" s="5">
        <f ca="1">ROUND((5000+G310*60),-2)</f>
        <v>16000</v>
      </c>
      <c r="K310" s="12" t="s">
        <v>26</v>
      </c>
      <c r="L310" s="15" t="s">
        <v>1262</v>
      </c>
    </row>
    <row r="311" spans="1:12" ht="146.25">
      <c r="A311" s="8" t="s">
        <v>1263</v>
      </c>
      <c r="B311" s="9" t="s">
        <v>12</v>
      </c>
      <c r="C311" s="10" t="s">
        <v>443</v>
      </c>
      <c r="D311" s="10" t="str">
        <f ca="1">IFERROR(__xludf.DUMMYFUNCTION(" VLOOKUP(A308, IMPORTRANGE(""https://docs.google.com/spreadsheets/d/1fj_Bhi2XPL3siwIh4sx4VRLAe31yD50oKdj5UlRYW0c/"", ""Сводка!A:AA""), 11, FALSE)"),"978-601-342-522-1")</f>
        <v>978-601-342-522-1</v>
      </c>
      <c r="E311" s="11" t="s">
        <v>1264</v>
      </c>
      <c r="F311" s="11" t="s">
        <v>1265</v>
      </c>
      <c r="G311" s="12">
        <f ca="1">IFERROR(__xludf.DUMMYFUNCTION(" VLOOKUP(A308, IMPORTRANGE(""https://docs.google.com/spreadsheets/d/1fj_Bhi2XPL3siwIh4sx4VRLAe31yD50oKdj5UlRYW0c/"", ""Сводка!A:AA""), 5, FALSE)"),92)</f>
        <v>92</v>
      </c>
      <c r="H311" s="12" t="s">
        <v>1266</v>
      </c>
      <c r="I311" s="10">
        <f ca="1">IFERROR(__xludf.DUMMYFUNCTION(" VLOOKUP(A308, IMPORTRANGE(""https://docs.google.com/spreadsheets/d/1QNLbnkR_AongFt22vMfNzfpjZ0CjpI8QI-w0wBnYA1w/"", ""Инфа!A:AA""), 6, FALSE)"),2024)</f>
        <v>2024</v>
      </c>
      <c r="J311" s="5">
        <f ca="1">ROUND(((5000+G311*60)*1.3),-2)</f>
        <v>13700</v>
      </c>
      <c r="K311" s="12" t="s">
        <v>408</v>
      </c>
      <c r="L311" s="15" t="s">
        <v>1267</v>
      </c>
    </row>
    <row r="312" spans="1:12" ht="90">
      <c r="A312" s="8" t="s">
        <v>1268</v>
      </c>
      <c r="B312" s="9" t="s">
        <v>12</v>
      </c>
      <c r="C312" s="10" t="s">
        <v>443</v>
      </c>
      <c r="D312" s="10" t="str">
        <f ca="1">IFERROR(__xludf.DUMMYFUNCTION(" VLOOKUP(A309, IMPORTRANGE(""https://docs.google.com/spreadsheets/d/1fj_Bhi2XPL3siwIh4sx4VRLAe31yD50oKdj5UlRYW0c/"", ""Сводка!A:AA""), 11, FALSE)"),"978-601-310-746-4")</f>
        <v>978-601-310-746-4</v>
      </c>
      <c r="E312" s="11" t="s">
        <v>1269</v>
      </c>
      <c r="F312" s="11" t="s">
        <v>1270</v>
      </c>
      <c r="G312" s="12">
        <f ca="1">IFERROR(__xludf.DUMMYFUNCTION(" VLOOKUP(A309, IMPORTRANGE(""https://docs.google.com/spreadsheets/d/1fj_Bhi2XPL3siwIh4sx4VRLAe31yD50oKdj5UlRYW0c/"", ""Сводка!A:AA""), 5, FALSE)"),108)</f>
        <v>108</v>
      </c>
      <c r="H312" s="12" t="s">
        <v>1271</v>
      </c>
      <c r="I312" s="10">
        <f ca="1">IFERROR(__xludf.DUMMYFUNCTION(" VLOOKUP(A309, IMPORTRANGE(""https://docs.google.com/spreadsheets/d/1QNLbnkR_AongFt22vMfNzfpjZ0CjpI8QI-w0wBnYA1w/"", ""Инфа!A:AA""), 6, FALSE)"),2024)</f>
        <v>2024</v>
      </c>
      <c r="J312" s="5">
        <f ca="1">ROUND((5000+G312*30),-2)</f>
        <v>8200</v>
      </c>
      <c r="K312" s="12" t="s">
        <v>1272</v>
      </c>
      <c r="L312" s="15" t="s">
        <v>1273</v>
      </c>
    </row>
    <row r="313" spans="1:12" ht="45">
      <c r="A313" s="8" t="s">
        <v>1274</v>
      </c>
      <c r="B313" s="9" t="s">
        <v>12</v>
      </c>
      <c r="C313" s="10" t="s">
        <v>443</v>
      </c>
      <c r="D313" s="10" t="str">
        <f ca="1">IFERROR(__xludf.DUMMYFUNCTION(" VLOOKUP(A310, IMPORTRANGE(""https://docs.google.com/spreadsheets/d/1fj_Bhi2XPL3siwIh4sx4VRLAe31yD50oKdj5UlRYW0c/"", ""Сводка!A:AA""), 11, FALSE)"),"978-601-310-780-5")</f>
        <v>978-601-310-780-5</v>
      </c>
      <c r="E313" s="11" t="s">
        <v>1275</v>
      </c>
      <c r="F313" s="11" t="s">
        <v>1276</v>
      </c>
      <c r="G313" s="12">
        <f ca="1">IFERROR(__xludf.DUMMYFUNCTION(" VLOOKUP(A310, IMPORTRANGE(""https://docs.google.com/spreadsheets/d/1fj_Bhi2XPL3siwIh4sx4VRLAe31yD50oKdj5UlRYW0c/"", ""Сводка!A:AA""), 5, FALSE)"),208)</f>
        <v>208</v>
      </c>
      <c r="H313" s="12" t="s">
        <v>1271</v>
      </c>
      <c r="I313" s="10">
        <f ca="1">IFERROR(__xludf.DUMMYFUNCTION(" VLOOKUP(A310, IMPORTRANGE(""https://docs.google.com/spreadsheets/d/1QNLbnkR_AongFt22vMfNzfpjZ0CjpI8QI-w0wBnYA1w/"", ""Инфа!A:AA""), 6, FALSE)"),2024)</f>
        <v>2024</v>
      </c>
      <c r="J313" s="5">
        <f ca="1">ROUND((5000+G313*30),-2)</f>
        <v>11200</v>
      </c>
      <c r="K313" s="12" t="s">
        <v>1272</v>
      </c>
      <c r="L313" s="15" t="s">
        <v>1277</v>
      </c>
    </row>
    <row r="314" spans="1:12" ht="90">
      <c r="A314" s="8" t="s">
        <v>1278</v>
      </c>
      <c r="B314" s="9" t="s">
        <v>12</v>
      </c>
      <c r="C314" s="10" t="s">
        <v>443</v>
      </c>
      <c r="D314" s="10" t="str">
        <f ca="1">IFERROR(__xludf.DUMMYFUNCTION(" VLOOKUP(A311, IMPORTRANGE(""https://docs.google.com/spreadsheets/d/1fj_Bhi2XPL3siwIh4sx4VRLAe31yD50oKdj5UlRYW0c/"", ""Сводка!A:AA""), 11, FALSE)"),"978-601-240-232-2")</f>
        <v>978-601-240-232-2</v>
      </c>
      <c r="E314" s="11" t="s">
        <v>1279</v>
      </c>
      <c r="F314" s="11" t="s">
        <v>1280</v>
      </c>
      <c r="G314" s="12">
        <f ca="1">IFERROR(__xludf.DUMMYFUNCTION(" VLOOKUP(A311, IMPORTRANGE(""https://docs.google.com/spreadsheets/d/1fj_Bhi2XPL3siwIh4sx4VRLAe31yD50oKdj5UlRYW0c/"", ""Сводка!A:AA""), 5, FALSE)"),244)</f>
        <v>244</v>
      </c>
      <c r="H314" s="12" t="s">
        <v>538</v>
      </c>
      <c r="I314" s="10">
        <f ca="1">IFERROR(__xludf.DUMMYFUNCTION(" VLOOKUP(A311, IMPORTRANGE(""https://docs.google.com/spreadsheets/d/1QNLbnkR_AongFt22vMfNzfpjZ0CjpI8QI-w0wBnYA1w/"", ""Инфа!A:AA""), 6, FALSE)"),2024)</f>
        <v>2024</v>
      </c>
      <c r="J314" s="5">
        <f ca="1">ROUND((5000+G314*30),-2)</f>
        <v>12300</v>
      </c>
      <c r="K314" s="9" t="s">
        <v>539</v>
      </c>
      <c r="L314" s="15" t="s">
        <v>1281</v>
      </c>
    </row>
    <row r="315" spans="1:12" ht="89.25">
      <c r="A315" s="8" t="s">
        <v>1282</v>
      </c>
      <c r="B315" s="9" t="s">
        <v>12</v>
      </c>
      <c r="C315" s="10" t="s">
        <v>151</v>
      </c>
      <c r="D315" s="10" t="str">
        <f ca="1">IFERROR(__xludf.DUMMYFUNCTION(" VLOOKUP(A312, IMPORTRANGE(""https://docs.google.com/spreadsheets/d/1fj_Bhi2XPL3siwIh4sx4VRLAe31yD50oKdj5UlRYW0c/"", ""Сводка!A:AA""), 11, FALSE)"),"978-601-310-187-3")</f>
        <v>978-601-310-187-3</v>
      </c>
      <c r="E315" s="11" t="s">
        <v>1283</v>
      </c>
      <c r="F315" s="11" t="s">
        <v>1284</v>
      </c>
      <c r="G315" s="12">
        <f ca="1">IFERROR(__xludf.DUMMYFUNCTION(" VLOOKUP(A312, IMPORTRANGE(""https://docs.google.com/spreadsheets/d/1fj_Bhi2XPL3siwIh4sx4VRLAe31yD50oKdj5UlRYW0c/"", ""Сводка!A:AA""), 5, FALSE)"),148)</f>
        <v>148</v>
      </c>
      <c r="H315" s="12" t="s">
        <v>47</v>
      </c>
      <c r="I315" s="10">
        <f ca="1">IFERROR(__xludf.DUMMYFUNCTION(" VLOOKUP(A312, IMPORTRANGE(""https://docs.google.com/spreadsheets/d/1QNLbnkR_AongFt22vMfNzfpjZ0CjpI8QI-w0wBnYA1w/"", ""Инфа!A:AA""), 6, FALSE)"),2024)</f>
        <v>2024</v>
      </c>
      <c r="J315" s="5">
        <f ca="1">ROUND((5000+G315*30),-2)</f>
        <v>9400</v>
      </c>
      <c r="K315" s="9" t="s">
        <v>625</v>
      </c>
      <c r="L315" s="15"/>
    </row>
    <row r="316" spans="1:12" ht="202.5">
      <c r="A316" s="8" t="s">
        <v>1285</v>
      </c>
      <c r="B316" s="9" t="s">
        <v>12</v>
      </c>
      <c r="C316" s="10" t="s">
        <v>443</v>
      </c>
      <c r="D316" s="10" t="str">
        <f ca="1">IFERROR(__xludf.DUMMYFUNCTION(" VLOOKUP(A313, IMPORTRANGE(""https://docs.google.com/spreadsheets/d/1fj_Bhi2XPL3siwIh4sx4VRLAe31yD50oKdj5UlRYW0c/"", ""Сводка!A:AA""), 11, FALSE)"),"978-601-327-543-7")</f>
        <v>978-601-327-543-7</v>
      </c>
      <c r="E316" s="11" t="s">
        <v>1286</v>
      </c>
      <c r="F316" s="11" t="s">
        <v>1287</v>
      </c>
      <c r="G316" s="12">
        <f ca="1">IFERROR(__xludf.DUMMYFUNCTION(" VLOOKUP(A313, IMPORTRANGE(""https://docs.google.com/spreadsheets/d/1fj_Bhi2XPL3siwIh4sx4VRLAe31yD50oKdj5UlRYW0c/"", ""Сводка!A:AA""), 5, FALSE)"),180)</f>
        <v>180</v>
      </c>
      <c r="H316" s="12" t="s">
        <v>446</v>
      </c>
      <c r="I316" s="10">
        <f ca="1">IFERROR(__xludf.DUMMYFUNCTION(" VLOOKUP(A313, IMPORTRANGE(""https://docs.google.com/spreadsheets/d/1QNLbnkR_AongFt22vMfNzfpjZ0CjpI8QI-w0wBnYA1w/"", ""Инфа!A:AA""), 6, FALSE)"),2024)</f>
        <v>2024</v>
      </c>
      <c r="J316" s="5">
        <f ca="1">ROUND((5000+G316*30),-2)</f>
        <v>10400</v>
      </c>
      <c r="K316" s="9" t="s">
        <v>408</v>
      </c>
      <c r="L316" s="15" t="s">
        <v>1288</v>
      </c>
    </row>
    <row r="317" spans="1:12" ht="270">
      <c r="A317" s="8" t="s">
        <v>1289</v>
      </c>
      <c r="B317" s="9" t="s">
        <v>12</v>
      </c>
      <c r="C317" s="10" t="s">
        <v>443</v>
      </c>
      <c r="D317" s="10" t="str">
        <f ca="1">IFERROR(__xludf.DUMMYFUNCTION(" VLOOKUP(A314, IMPORTRANGE(""https://docs.google.com/spreadsheets/d/1fj_Bhi2XPL3siwIh4sx4VRLAe31yD50oKdj5UlRYW0c/"", ""Сводка!A:AA""), 11, FALSE)"),"978-601-327-592-5")</f>
        <v>978-601-327-592-5</v>
      </c>
      <c r="E317" s="11" t="s">
        <v>1286</v>
      </c>
      <c r="F317" s="11" t="s">
        <v>1290</v>
      </c>
      <c r="G317" s="12">
        <f ca="1">IFERROR(__xludf.DUMMYFUNCTION(" VLOOKUP(A314, IMPORTRANGE(""https://docs.google.com/spreadsheets/d/1fj_Bhi2XPL3siwIh4sx4VRLAe31yD50oKdj5UlRYW0c/"", ""Сводка!A:AA""), 5, FALSE)"),216)</f>
        <v>216</v>
      </c>
      <c r="H317" s="12" t="s">
        <v>446</v>
      </c>
      <c r="I317" s="10">
        <f ca="1">IFERROR(__xludf.DUMMYFUNCTION(" VLOOKUP(A314, IMPORTRANGE(""https://docs.google.com/spreadsheets/d/1QNLbnkR_AongFt22vMfNzfpjZ0CjpI8QI-w0wBnYA1w/"", ""Инфа!A:AA""), 6, FALSE)"),2024)</f>
        <v>2024</v>
      </c>
      <c r="J317" s="5">
        <f ca="1">ROUND((5000+G317*60),-2)</f>
        <v>18000</v>
      </c>
      <c r="K317" s="9" t="s">
        <v>408</v>
      </c>
      <c r="L317" s="15" t="s">
        <v>1291</v>
      </c>
    </row>
    <row r="318" spans="1:12" ht="213.75">
      <c r="A318" s="8" t="s">
        <v>1292</v>
      </c>
      <c r="B318" s="9" t="s">
        <v>12</v>
      </c>
      <c r="C318" s="10" t="s">
        <v>443</v>
      </c>
      <c r="D318" s="10" t="str">
        <f ca="1">IFERROR(__xludf.DUMMYFUNCTION(" VLOOKUP(A315, IMPORTRANGE(""https://docs.google.com/spreadsheets/d/1fj_Bhi2XPL3siwIh4sx4VRLAe31yD50oKdj5UlRYW0c/"", ""Сводка!A:AA""), 11, FALSE)"),"978-601-327-542-0")</f>
        <v>978-601-327-542-0</v>
      </c>
      <c r="E318" s="11" t="s">
        <v>1286</v>
      </c>
      <c r="F318" s="11" t="s">
        <v>1293</v>
      </c>
      <c r="G318" s="12">
        <f ca="1">IFERROR(__xludf.DUMMYFUNCTION(" VLOOKUP(A315, IMPORTRANGE(""https://docs.google.com/spreadsheets/d/1fj_Bhi2XPL3siwIh4sx4VRLAe31yD50oKdj5UlRYW0c/"", ""Сводка!A:AA""), 5, FALSE)"),144)</f>
        <v>144</v>
      </c>
      <c r="H318" s="12" t="s">
        <v>446</v>
      </c>
      <c r="I318" s="10">
        <f ca="1">IFERROR(__xludf.DUMMYFUNCTION(" VLOOKUP(A315, IMPORTRANGE(""https://docs.google.com/spreadsheets/d/1QNLbnkR_AongFt22vMfNzfpjZ0CjpI8QI-w0wBnYA1w/"", ""Инфа!A:AA""), 6, FALSE)"),2024)</f>
        <v>2024</v>
      </c>
      <c r="J318" s="5">
        <f ca="1">ROUND((5000+G318*30),-2)</f>
        <v>9300</v>
      </c>
      <c r="K318" s="9" t="s">
        <v>408</v>
      </c>
      <c r="L318" s="15" t="s">
        <v>1294</v>
      </c>
    </row>
    <row r="319" spans="1:12" ht="292.5">
      <c r="A319" s="8" t="s">
        <v>1295</v>
      </c>
      <c r="B319" s="9" t="s">
        <v>12</v>
      </c>
      <c r="C319" s="10" t="s">
        <v>443</v>
      </c>
      <c r="D319" s="10" t="str">
        <f ca="1">IFERROR(__xludf.DUMMYFUNCTION(" VLOOKUP(A316, IMPORTRANGE(""https://docs.google.com/spreadsheets/d/1fj_Bhi2XPL3siwIh4sx4VRLAe31yD50oKdj5UlRYW0c/"", ""Сводка!A:AA""), 11, FALSE)"),"978-601-310-417-1")</f>
        <v>978-601-310-417-1</v>
      </c>
      <c r="E319" s="11" t="s">
        <v>1296</v>
      </c>
      <c r="F319" s="11" t="s">
        <v>1297</v>
      </c>
      <c r="G319" s="12">
        <f ca="1">IFERROR(__xludf.DUMMYFUNCTION(" VLOOKUP(A316, IMPORTRANGE(""https://docs.google.com/spreadsheets/d/1fj_Bhi2XPL3siwIh4sx4VRLAe31yD50oKdj5UlRYW0c/"", ""Сводка!A:AA""), 5, FALSE)"),148)</f>
        <v>148</v>
      </c>
      <c r="H319" s="12" t="s">
        <v>1298</v>
      </c>
      <c r="I319" s="10">
        <f ca="1">IFERROR(__xludf.DUMMYFUNCTION(" VLOOKUP(A316, IMPORTRANGE(""https://docs.google.com/spreadsheets/d/1QNLbnkR_AongFt22vMfNzfpjZ0CjpI8QI-w0wBnYA1w/"", ""Инфа!A:AA""), 6, FALSE)"),2024)</f>
        <v>2024</v>
      </c>
      <c r="J319" s="5">
        <f ca="1">ROUND((5000+G319*30),-2)</f>
        <v>9400</v>
      </c>
      <c r="K319" s="12" t="s">
        <v>26</v>
      </c>
      <c r="L319" s="15" t="s">
        <v>1300</v>
      </c>
    </row>
    <row r="320" spans="1:12" ht="135">
      <c r="A320" s="8" t="s">
        <v>1301</v>
      </c>
      <c r="B320" s="9" t="s">
        <v>12</v>
      </c>
      <c r="C320" s="10" t="s">
        <v>443</v>
      </c>
      <c r="D320" s="10" t="str">
        <f ca="1">IFERROR(__xludf.DUMMYFUNCTION(" VLOOKUP(A317, IMPORTRANGE(""https://docs.google.com/spreadsheets/d/1fj_Bhi2XPL3siwIh4sx4VRLAe31yD50oKdj5UlRYW0c/"", ""Сводка!A:AA""), 11, FALSE)"),"978-601-310-356-3")</f>
        <v>978-601-310-356-3</v>
      </c>
      <c r="E320" s="11" t="s">
        <v>1302</v>
      </c>
      <c r="F320" s="11" t="s">
        <v>1303</v>
      </c>
      <c r="G320" s="12">
        <f ca="1">IFERROR(__xludf.DUMMYFUNCTION(" VLOOKUP(A317, IMPORTRANGE(""https://docs.google.com/spreadsheets/d/1fj_Bhi2XPL3siwIh4sx4VRLAe31yD50oKdj5UlRYW0c/"", ""Сводка!A:AA""), 5, FALSE)"),132)</f>
        <v>132</v>
      </c>
      <c r="H320" s="12" t="s">
        <v>538</v>
      </c>
      <c r="I320" s="10">
        <f ca="1">IFERROR(__xludf.DUMMYFUNCTION(" VLOOKUP(A317, IMPORTRANGE(""https://docs.google.com/spreadsheets/d/1QNLbnkR_AongFt22vMfNzfpjZ0CjpI8QI-w0wBnYA1w/"", ""Инфа!A:AA""), 6, FALSE)"),2024)</f>
        <v>2024</v>
      </c>
      <c r="J320" s="5">
        <f ca="1">ROUND((5000+G320*30),-2)</f>
        <v>9000</v>
      </c>
      <c r="K320" s="12" t="s">
        <v>26</v>
      </c>
      <c r="L320" s="15" t="s">
        <v>1304</v>
      </c>
    </row>
    <row r="321" spans="1:12" ht="157.5">
      <c r="A321" s="8" t="s">
        <v>1305</v>
      </c>
      <c r="B321" s="9" t="s">
        <v>12</v>
      </c>
      <c r="C321" s="10" t="s">
        <v>443</v>
      </c>
      <c r="D321" s="10" t="str">
        <f ca="1">IFERROR(__xludf.DUMMYFUNCTION(" VLOOKUP(A318, IMPORTRANGE(""https://docs.google.com/spreadsheets/d/1fj_Bhi2XPL3siwIh4sx4VRLAe31yD50oKdj5UlRYW0c/"", ""Сводка!A:AA""), 11, FALSE)"),"9965-857-05-9")</f>
        <v>9965-857-05-9</v>
      </c>
      <c r="E321" s="11" t="s">
        <v>1306</v>
      </c>
      <c r="F321" s="11" t="s">
        <v>1307</v>
      </c>
      <c r="G321" s="12">
        <f ca="1">IFERROR(__xludf.DUMMYFUNCTION(" VLOOKUP(A318, IMPORTRANGE(""https://docs.google.com/spreadsheets/d/1fj_Bhi2XPL3siwIh4sx4VRLAe31yD50oKdj5UlRYW0c/"", ""Сводка!A:AA""), 5, FALSE)"),192)</f>
        <v>192</v>
      </c>
      <c r="H321" s="12" t="s">
        <v>538</v>
      </c>
      <c r="I321" s="10">
        <f ca="1">IFERROR(__xludf.DUMMYFUNCTION(" VLOOKUP(A318, IMPORTRANGE(""https://docs.google.com/spreadsheets/d/1QNLbnkR_AongFt22vMfNzfpjZ0CjpI8QI-w0wBnYA1w/"", ""Инфа!A:AA""), 6, FALSE)"),2024)</f>
        <v>2024</v>
      </c>
      <c r="J321" s="5">
        <f ca="1">ROUND((5000+G321*30),-2)</f>
        <v>10800</v>
      </c>
      <c r="K321" s="12" t="s">
        <v>308</v>
      </c>
      <c r="L321" s="15" t="s">
        <v>1308</v>
      </c>
    </row>
    <row r="322" spans="1:12" ht="157.5">
      <c r="A322" s="8" t="s">
        <v>1309</v>
      </c>
      <c r="B322" s="9" t="s">
        <v>12</v>
      </c>
      <c r="C322" s="10" t="s">
        <v>151</v>
      </c>
      <c r="D322" s="10" t="str">
        <f ca="1">IFERROR(__xludf.DUMMYFUNCTION(" VLOOKUP(A319, IMPORTRANGE(""https://docs.google.com/spreadsheets/d/1fj_Bhi2XPL3siwIh4sx4VRLAe31yD50oKdj5UlRYW0c/"", ""Сводка!A:AA""), 11, FALSE)"),"978-601-327-501-7")</f>
        <v>978-601-327-501-7</v>
      </c>
      <c r="E322" s="11" t="s">
        <v>1310</v>
      </c>
      <c r="F322" s="11" t="s">
        <v>1311</v>
      </c>
      <c r="G322" s="12">
        <f ca="1">IFERROR(__xludf.DUMMYFUNCTION(" VLOOKUP(A319, IMPORTRANGE(""https://docs.google.com/spreadsheets/d/1fj_Bhi2XPL3siwIh4sx4VRLAe31yD50oKdj5UlRYW0c/"", ""Сводка!A:AA""), 5, FALSE)"),148)</f>
        <v>148</v>
      </c>
      <c r="H322" s="12" t="s">
        <v>498</v>
      </c>
      <c r="I322" s="10">
        <f ca="1">IFERROR(__xludf.DUMMYFUNCTION(" VLOOKUP(A319, IMPORTRANGE(""https://docs.google.com/spreadsheets/d/1QNLbnkR_AongFt22vMfNzfpjZ0CjpI8QI-w0wBnYA1w/"", ""Инфа!A:AA""), 6, FALSE)"),2024)</f>
        <v>2024</v>
      </c>
      <c r="J322" s="5">
        <f ca="1">ROUND(((5000+G322*60)*1.3),-2)</f>
        <v>18000</v>
      </c>
      <c r="K322" s="12" t="s">
        <v>243</v>
      </c>
      <c r="L322" s="15" t="s">
        <v>1313</v>
      </c>
    </row>
    <row r="323" spans="1:12" ht="202.5">
      <c r="A323" s="8" t="s">
        <v>1314</v>
      </c>
      <c r="B323" s="9" t="s">
        <v>12</v>
      </c>
      <c r="C323" s="10" t="s">
        <v>151</v>
      </c>
      <c r="D323" s="10" t="str">
        <f ca="1">IFERROR(__xludf.DUMMYFUNCTION(" VLOOKUP(A320, IMPORTRANGE(""https://docs.google.com/spreadsheets/d/1fj_Bhi2XPL3siwIh4sx4VRLAe31yD50oKdj5UlRYW0c/"", ""Сводка!A:AA""), 11, FALSE)"),"978-601-342-182-7")</f>
        <v>978-601-342-182-7</v>
      </c>
      <c r="E323" s="11" t="s">
        <v>1315</v>
      </c>
      <c r="F323" s="11" t="s">
        <v>1316</v>
      </c>
      <c r="G323" s="12">
        <f ca="1">IFERROR(__xludf.DUMMYFUNCTION(" VLOOKUP(A320, IMPORTRANGE(""https://docs.google.com/spreadsheets/d/1fj_Bhi2XPL3siwIh4sx4VRLAe31yD50oKdj5UlRYW0c/"", ""Сводка!A:AA""), 5, FALSE)"),196)</f>
        <v>196</v>
      </c>
      <c r="H323" s="12" t="s">
        <v>47</v>
      </c>
      <c r="I323" s="10">
        <f ca="1">IFERROR(__xludf.DUMMYFUNCTION(" VLOOKUP(A320, IMPORTRANGE(""https://docs.google.com/spreadsheets/d/1QNLbnkR_AongFt22vMfNzfpjZ0CjpI8QI-w0wBnYA1w/"", ""Инфа!A:AA""), 6, FALSE)"),2024)</f>
        <v>2024</v>
      </c>
      <c r="J323" s="5">
        <f ca="1">ROUND((5000+G323*60),-2)</f>
        <v>16800</v>
      </c>
      <c r="K323" s="12" t="s">
        <v>257</v>
      </c>
      <c r="L323" s="15" t="s">
        <v>1317</v>
      </c>
    </row>
    <row r="324" spans="1:12" ht="102">
      <c r="A324" s="8" t="s">
        <v>1318</v>
      </c>
      <c r="B324" s="9" t="s">
        <v>12</v>
      </c>
      <c r="C324" s="10" t="s">
        <v>151</v>
      </c>
      <c r="D324" s="10" t="str">
        <f ca="1">IFERROR(__xludf.DUMMYFUNCTION(" VLOOKUP(A321, IMPORTRANGE(""https://docs.google.com/spreadsheets/d/1fj_Bhi2XPL3siwIh4sx4VRLAe31yD50oKdj5UlRYW0c/"", ""Сводка!A:AA""), 11, FALSE)"),"978-601-342-572-6")</f>
        <v>978-601-342-572-6</v>
      </c>
      <c r="E324" s="11" t="s">
        <v>1319</v>
      </c>
      <c r="F324" s="11" t="s">
        <v>1320</v>
      </c>
      <c r="G324" s="12">
        <f ca="1">IFERROR(__xludf.DUMMYFUNCTION(" VLOOKUP(A321, IMPORTRANGE(""https://docs.google.com/spreadsheets/d/1fj_Bhi2XPL3siwIh4sx4VRLAe31yD50oKdj5UlRYW0c/"", ""Сводка!A:AA""), 5, FALSE)"),164)</f>
        <v>164</v>
      </c>
      <c r="H324" s="12" t="s">
        <v>165</v>
      </c>
      <c r="I324" s="10">
        <f ca="1">IFERROR(__xludf.DUMMYFUNCTION(" VLOOKUP(A321, IMPORTRANGE(""https://docs.google.com/spreadsheets/d/1QNLbnkR_AongFt22vMfNzfpjZ0CjpI8QI-w0wBnYA1w/"", ""Инфа!A:AA""), 6, FALSE)"),2024)</f>
        <v>2024</v>
      </c>
      <c r="J324" s="5">
        <f ca="1">ROUND((5000+G324*60),-2)</f>
        <v>14800</v>
      </c>
      <c r="K324" s="12" t="s">
        <v>188</v>
      </c>
      <c r="L324" s="16" t="s">
        <v>1321</v>
      </c>
    </row>
    <row r="325" spans="1:12" ht="191.25">
      <c r="A325" s="8" t="s">
        <v>1322</v>
      </c>
      <c r="B325" s="9" t="s">
        <v>12</v>
      </c>
      <c r="C325" s="10" t="s">
        <v>443</v>
      </c>
      <c r="D325" s="10" t="str">
        <f ca="1">IFERROR(__xludf.DUMMYFUNCTION(" VLOOKUP(A322, IMPORTRANGE(""https://docs.google.com/spreadsheets/d/1fj_Bhi2XPL3siwIh4sx4VRLAe31yD50oKdj5UlRYW0c/"", ""Сводка!A:AA""), 11, FALSE)"),"978-601-342-473-6")</f>
        <v>978-601-342-473-6</v>
      </c>
      <c r="E325" s="11" t="s">
        <v>1319</v>
      </c>
      <c r="F325" s="11" t="s">
        <v>1323</v>
      </c>
      <c r="G325" s="12">
        <f ca="1">IFERROR(__xludf.DUMMYFUNCTION(" VLOOKUP(A322, IMPORTRANGE(""https://docs.google.com/spreadsheets/d/1fj_Bhi2XPL3siwIh4sx4VRLAe31yD50oKdj5UlRYW0c/"", ""Сводка!A:AA""), 5, FALSE)"),144)</f>
        <v>144</v>
      </c>
      <c r="H325" s="12" t="s">
        <v>56</v>
      </c>
      <c r="I325" s="10">
        <f ca="1">IFERROR(__xludf.DUMMYFUNCTION(" VLOOKUP(A322, IMPORTRANGE(""https://docs.google.com/spreadsheets/d/1QNLbnkR_AongFt22vMfNzfpjZ0CjpI8QI-w0wBnYA1w/"", ""Инфа!A:AA""), 6, FALSE)"),2024)</f>
        <v>2024</v>
      </c>
      <c r="J325" s="5">
        <f ca="1">ROUND((5000+G325*60),-2)</f>
        <v>13600</v>
      </c>
      <c r="K325" s="12" t="s">
        <v>188</v>
      </c>
      <c r="L325" s="15" t="s">
        <v>1324</v>
      </c>
    </row>
    <row r="326" spans="1:12" ht="146.25">
      <c r="A326" s="8" t="s">
        <v>1325</v>
      </c>
      <c r="B326" s="9" t="s">
        <v>12</v>
      </c>
      <c r="C326" s="10" t="s">
        <v>151</v>
      </c>
      <c r="D326" s="10" t="str">
        <f ca="1">IFERROR(__xludf.DUMMYFUNCTION(" VLOOKUP(A323, IMPORTRANGE(""https://docs.google.com/spreadsheets/d/1fj_Bhi2XPL3siwIh4sx4VRLAe31yD50oKdj5UlRYW0c/"", ""Сводка!A:AA""), 11, FALSE)"),"978-601-310-415-7")</f>
        <v>978-601-310-415-7</v>
      </c>
      <c r="E326" s="11" t="s">
        <v>1326</v>
      </c>
      <c r="F326" s="11" t="s">
        <v>1327</v>
      </c>
      <c r="G326" s="12">
        <f ca="1">IFERROR(__xludf.DUMMYFUNCTION(" VLOOKUP(A323, IMPORTRANGE(""https://docs.google.com/spreadsheets/d/1fj_Bhi2XPL3siwIh4sx4VRLAe31yD50oKdj5UlRYW0c/"", ""Сводка!A:AA""), 5, FALSE)"),152)</f>
        <v>152</v>
      </c>
      <c r="H326" s="12" t="s">
        <v>106</v>
      </c>
      <c r="I326" s="10">
        <f ca="1">IFERROR(__xludf.DUMMYFUNCTION(" VLOOKUP(A323, IMPORTRANGE(""https://docs.google.com/spreadsheets/d/1QNLbnkR_AongFt22vMfNzfpjZ0CjpI8QI-w0wBnYA1w/"", ""Инфа!A:AA""), 6, FALSE)"),2024)</f>
        <v>2024</v>
      </c>
      <c r="J326" s="5">
        <f ca="1">ROUND((5000+G326*60),-2)</f>
        <v>14100</v>
      </c>
      <c r="K326" s="9" t="s">
        <v>625</v>
      </c>
      <c r="L326" s="15" t="s">
        <v>1328</v>
      </c>
    </row>
    <row r="327" spans="1:12" ht="135">
      <c r="A327" s="8" t="s">
        <v>1329</v>
      </c>
      <c r="B327" s="9" t="s">
        <v>12</v>
      </c>
      <c r="C327" s="10" t="s">
        <v>151</v>
      </c>
      <c r="D327" s="10" t="str">
        <f ca="1">IFERROR(__xludf.DUMMYFUNCTION(" VLOOKUP(A324, IMPORTRANGE(""https://docs.google.com/spreadsheets/d/1fj_Bhi2XPL3siwIh4sx4VRLAe31yD50oKdj5UlRYW0c/"", ""Сводка!A:AA""), 11, FALSE)"),"978-601-342-520-7")</f>
        <v>978-601-342-520-7</v>
      </c>
      <c r="E327" s="11" t="s">
        <v>1330</v>
      </c>
      <c r="F327" s="11" t="s">
        <v>1331</v>
      </c>
      <c r="G327" s="12">
        <f ca="1">IFERROR(__xludf.DUMMYFUNCTION(" VLOOKUP(A324, IMPORTRANGE(""https://docs.google.com/spreadsheets/d/1fj_Bhi2XPL3siwIh4sx4VRLAe31yD50oKdj5UlRYW0c/"", ""Сводка!A:AA""), 5, FALSE)"),288)</f>
        <v>288</v>
      </c>
      <c r="H327" s="12" t="s">
        <v>24</v>
      </c>
      <c r="I327" s="10">
        <f ca="1">IFERROR(__xludf.DUMMYFUNCTION(" VLOOKUP(A324, IMPORTRANGE(""https://docs.google.com/spreadsheets/d/1QNLbnkR_AongFt22vMfNzfpjZ0CjpI8QI-w0wBnYA1w/"", ""Инфа!A:AA""), 6, FALSE)"),2024)</f>
        <v>2024</v>
      </c>
      <c r="J327" s="5">
        <f ca="1">ROUND((5000+G327*30),-2)</f>
        <v>13600</v>
      </c>
      <c r="K327" s="12" t="s">
        <v>1332</v>
      </c>
      <c r="L327" s="15" t="s">
        <v>1333</v>
      </c>
    </row>
    <row r="328" spans="1:12" ht="112.5">
      <c r="A328" s="8" t="s">
        <v>1334</v>
      </c>
      <c r="B328" s="9" t="s">
        <v>12</v>
      </c>
      <c r="C328" s="10" t="s">
        <v>151</v>
      </c>
      <c r="D328" s="10" t="str">
        <f ca="1">IFERROR(__xludf.DUMMYFUNCTION(" VLOOKUP(A325, IMPORTRANGE(""https://docs.google.com/spreadsheets/d/1fj_Bhi2XPL3siwIh4sx4VRLAe31yD50oKdj5UlRYW0c/"", ""Сводка!A:AA""), 11, FALSE)"),"978-601-342-519-1")</f>
        <v>978-601-342-519-1</v>
      </c>
      <c r="E328" s="11" t="s">
        <v>1335</v>
      </c>
      <c r="F328" s="11" t="s">
        <v>1336</v>
      </c>
      <c r="G328" s="12">
        <f ca="1">IFERROR(__xludf.DUMMYFUNCTION(" VLOOKUP(A325, IMPORTRANGE(""https://docs.google.com/spreadsheets/d/1fj_Bhi2XPL3siwIh4sx4VRLAe31yD50oKdj5UlRYW0c/"", ""Сводка!A:AA""), 5, FALSE)"),276)</f>
        <v>276</v>
      </c>
      <c r="H328" s="12" t="s">
        <v>165</v>
      </c>
      <c r="I328" s="10">
        <f ca="1">IFERROR(__xludf.DUMMYFUNCTION(" VLOOKUP(A325, IMPORTRANGE(""https://docs.google.com/spreadsheets/d/1QNLbnkR_AongFt22vMfNzfpjZ0CjpI8QI-w0wBnYA1w/"", ""Инфа!A:AA""), 6, FALSE)"),2024)</f>
        <v>2024</v>
      </c>
      <c r="J328" s="5">
        <f ca="1">ROUND((5000+G328*60),-2)</f>
        <v>21600</v>
      </c>
      <c r="K328" s="12" t="s">
        <v>1332</v>
      </c>
      <c r="L328" s="15" t="s">
        <v>1337</v>
      </c>
    </row>
    <row r="329" spans="1:12" ht="67.5">
      <c r="A329" s="8" t="s">
        <v>1338</v>
      </c>
      <c r="B329" s="9" t="s">
        <v>12</v>
      </c>
      <c r="C329" s="10" t="s">
        <v>443</v>
      </c>
      <c r="D329" s="10" t="str">
        <f ca="1">IFERROR(__xludf.DUMMYFUNCTION(" VLOOKUP(A326, IMPORTRANGE(""https://docs.google.com/spreadsheets/d/1fj_Bhi2XPL3siwIh4sx4VRLAe31yD50oKdj5UlRYW0c/"", ""Сводка!A:AA""), 11, FALSE)"),"978-601-342-486-6")</f>
        <v>978-601-342-486-6</v>
      </c>
      <c r="E329" s="11" t="s">
        <v>1339</v>
      </c>
      <c r="F329" s="11" t="s">
        <v>1340</v>
      </c>
      <c r="G329" s="12">
        <f ca="1">IFERROR(__xludf.DUMMYFUNCTION(" VLOOKUP(A326, IMPORTRANGE(""https://docs.google.com/spreadsheets/d/1fj_Bhi2XPL3siwIh4sx4VRLAe31yD50oKdj5UlRYW0c/"", ""Сводка!A:AA""), 5, FALSE)"),140)</f>
        <v>140</v>
      </c>
      <c r="H329" s="12" t="s">
        <v>165</v>
      </c>
      <c r="I329" s="10">
        <f ca="1">IFERROR(__xludf.DUMMYFUNCTION(" VLOOKUP(A326, IMPORTRANGE(""https://docs.google.com/spreadsheets/d/1QNLbnkR_AongFt22vMfNzfpjZ0CjpI8QI-w0wBnYA1w/"", ""Инфа!A:AA""), 6, FALSE)"),2024)</f>
        <v>2024</v>
      </c>
      <c r="J329" s="5">
        <f t="shared" ref="J329:J336" ca="1" si="7">ROUND((5000+G329*30),-2)</f>
        <v>9200</v>
      </c>
      <c r="K329" s="12" t="s">
        <v>139</v>
      </c>
      <c r="L329" s="15" t="s">
        <v>1341</v>
      </c>
    </row>
    <row r="330" spans="1:12" ht="191.25">
      <c r="A330" s="8" t="s">
        <v>1342</v>
      </c>
      <c r="B330" s="9" t="s">
        <v>12</v>
      </c>
      <c r="C330" s="10" t="s">
        <v>1343</v>
      </c>
      <c r="D330" s="10" t="str">
        <f ca="1">IFERROR(__xludf.DUMMYFUNCTION(" VLOOKUP(A327, IMPORTRANGE(""https://docs.google.com/spreadsheets/d/1fj_Bhi2XPL3siwIh4sx4VRLAe31yD50oKdj5UlRYW0c/"", ""Сводка!A:AA""), 11, FALSE)"),"978-601-310-695-3")</f>
        <v>978-601-310-695-3</v>
      </c>
      <c r="E330" s="11" t="s">
        <v>1344</v>
      </c>
      <c r="F330" s="11" t="s">
        <v>1345</v>
      </c>
      <c r="G330" s="12">
        <f ca="1">IFERROR(__xludf.DUMMYFUNCTION(" VLOOKUP(A327, IMPORTRANGE(""https://docs.google.com/spreadsheets/d/1fj_Bhi2XPL3siwIh4sx4VRLAe31yD50oKdj5UlRYW0c/"", ""Сводка!A:AA""), 5, FALSE)"),264)</f>
        <v>264</v>
      </c>
      <c r="H330" s="12" t="s">
        <v>203</v>
      </c>
      <c r="I330" s="10">
        <f ca="1">IFERROR(__xludf.DUMMYFUNCTION(" VLOOKUP(A327, IMPORTRANGE(""https://docs.google.com/spreadsheets/d/1QNLbnkR_AongFt22vMfNzfpjZ0CjpI8QI-w0wBnYA1w/"", ""Инфа!A:AA""), 6, FALSE)"),2024)</f>
        <v>2024</v>
      </c>
      <c r="J330" s="5">
        <f t="shared" ca="1" si="7"/>
        <v>12900</v>
      </c>
      <c r="K330" s="9" t="s">
        <v>408</v>
      </c>
      <c r="L330" s="15" t="s">
        <v>1346</v>
      </c>
    </row>
    <row r="331" spans="1:12" ht="25.5">
      <c r="A331" s="8" t="s">
        <v>1347</v>
      </c>
      <c r="B331" s="9" t="s">
        <v>12</v>
      </c>
      <c r="C331" s="10" t="s">
        <v>443</v>
      </c>
      <c r="D331" s="10" t="str">
        <f ca="1">IFERROR(__xludf.DUMMYFUNCTION(" VLOOKUP(A328, IMPORTRANGE(""https://docs.google.com/spreadsheets/d/1fj_Bhi2XPL3siwIh4sx4VRLAe31yD50oKdj5UlRYW0c/"", ""Сводка!A:AA""), 11, FALSE)"),"9965-680-99-х")</f>
        <v>9965-680-99-х</v>
      </c>
      <c r="E331" s="11" t="s">
        <v>1348</v>
      </c>
      <c r="F331" s="11" t="s">
        <v>1349</v>
      </c>
      <c r="G331" s="12">
        <f ca="1">IFERROR(__xludf.DUMMYFUNCTION(" VLOOKUP(A328, IMPORTRANGE(""https://docs.google.com/spreadsheets/d/1fj_Bhi2XPL3siwIh4sx4VRLAe31yD50oKdj5UlRYW0c/"", ""Сводка!A:AA""), 5, FALSE)"),176)</f>
        <v>176</v>
      </c>
      <c r="H331" s="12" t="s">
        <v>538</v>
      </c>
      <c r="I331" s="10">
        <f ca="1">IFERROR(__xludf.DUMMYFUNCTION(" VLOOKUP(A328, IMPORTRANGE(""https://docs.google.com/spreadsheets/d/1QNLbnkR_AongFt22vMfNzfpjZ0CjpI8QI-w0wBnYA1w/"", ""Инфа!A:AA""), 6, FALSE)"),2024)</f>
        <v>2024</v>
      </c>
      <c r="J331" s="5">
        <f t="shared" ca="1" si="7"/>
        <v>10300</v>
      </c>
      <c r="K331" s="12" t="s">
        <v>961</v>
      </c>
      <c r="L331" s="15"/>
    </row>
    <row r="332" spans="1:12" ht="38.25">
      <c r="A332" s="8" t="s">
        <v>1350</v>
      </c>
      <c r="B332" s="9" t="s">
        <v>12</v>
      </c>
      <c r="C332" s="10" t="s">
        <v>443</v>
      </c>
      <c r="D332" s="10" t="str">
        <f ca="1">IFERROR(__xludf.DUMMYFUNCTION(" VLOOKUP(A329, IMPORTRANGE(""https://docs.google.com/spreadsheets/d/1fj_Bhi2XPL3siwIh4sx4VRLAe31yD50oKdj5UlRYW0c/"", ""Сводка!A:AA""), 11, FALSE)"),"9965-749-37-X")</f>
        <v>9965-749-37-X</v>
      </c>
      <c r="E332" s="11" t="s">
        <v>1351</v>
      </c>
      <c r="F332" s="11" t="s">
        <v>1352</v>
      </c>
      <c r="G332" s="12">
        <f ca="1">IFERROR(__xludf.DUMMYFUNCTION(" VLOOKUP(A329, IMPORTRANGE(""https://docs.google.com/spreadsheets/d/1fj_Bhi2XPL3siwIh4sx4VRLAe31yD50oKdj5UlRYW0c/"", ""Сводка!A:AA""), 5, FALSE)"),296)</f>
        <v>296</v>
      </c>
      <c r="H332" s="12" t="s">
        <v>511</v>
      </c>
      <c r="I332" s="10">
        <f ca="1">IFERROR(__xludf.DUMMYFUNCTION(" VLOOKUP(A329, IMPORTRANGE(""https://docs.google.com/spreadsheets/d/1QNLbnkR_AongFt22vMfNzfpjZ0CjpI8QI-w0wBnYA1w/"", ""Инфа!A:AA""), 6, FALSE)"),2024)</f>
        <v>2024</v>
      </c>
      <c r="J332" s="5">
        <f t="shared" ca="1" si="7"/>
        <v>13900</v>
      </c>
      <c r="K332" s="12" t="s">
        <v>961</v>
      </c>
      <c r="L332" s="15"/>
    </row>
    <row r="333" spans="1:12" ht="213.75">
      <c r="A333" s="8" t="s">
        <v>1353</v>
      </c>
      <c r="B333" s="9" t="s">
        <v>12</v>
      </c>
      <c r="C333" s="10" t="s">
        <v>443</v>
      </c>
      <c r="D333" s="10" t="str">
        <f ca="1">IFERROR(__xludf.DUMMYFUNCTION(" VLOOKUP(A330, IMPORTRANGE(""https://docs.google.com/spreadsheets/d/1fj_Bhi2XPL3siwIh4sx4VRLAe31yD50oKdj5UlRYW0c/"", ""Сводка!A:AA""), 11, FALSE)"),"978-601-342-559-7")</f>
        <v>978-601-342-559-7</v>
      </c>
      <c r="E333" s="11" t="s">
        <v>1354</v>
      </c>
      <c r="F333" s="11" t="s">
        <v>1355</v>
      </c>
      <c r="G333" s="12">
        <f ca="1">IFERROR(__xludf.DUMMYFUNCTION(" VLOOKUP(A330, IMPORTRANGE(""https://docs.google.com/spreadsheets/d/1fj_Bhi2XPL3siwIh4sx4VRLAe31yD50oKdj5UlRYW0c/"", ""Сводка!A:AA""), 5, FALSE)"),208)</f>
        <v>208</v>
      </c>
      <c r="H333" s="12" t="s">
        <v>106</v>
      </c>
      <c r="I333" s="10">
        <f ca="1">IFERROR(__xludf.DUMMYFUNCTION(" VLOOKUP(A330, IMPORTRANGE(""https://docs.google.com/spreadsheets/d/1QNLbnkR_AongFt22vMfNzfpjZ0CjpI8QI-w0wBnYA1w/"", ""Инфа!A:AA""), 6, FALSE)"),2024)</f>
        <v>2024</v>
      </c>
      <c r="J333" s="5">
        <f t="shared" ca="1" si="7"/>
        <v>11200</v>
      </c>
      <c r="K333" s="12" t="s">
        <v>1356</v>
      </c>
      <c r="L333" s="15" t="s">
        <v>1357</v>
      </c>
    </row>
    <row r="334" spans="1:12" ht="56.25">
      <c r="A334" s="8" t="s">
        <v>1358</v>
      </c>
      <c r="B334" s="9" t="s">
        <v>12</v>
      </c>
      <c r="C334" s="10" t="s">
        <v>443</v>
      </c>
      <c r="D334" s="10" t="str">
        <f ca="1">IFERROR(__xludf.DUMMYFUNCTION(" VLOOKUP(A331, IMPORTRANGE(""https://docs.google.com/spreadsheets/d/1fj_Bhi2XPL3siwIh4sx4VRLAe31yD50oKdj5UlRYW0c/"", ""Сводка!A:AA""), 11, FALSE)"),"9965-37-107-5")</f>
        <v>9965-37-107-5</v>
      </c>
      <c r="E334" s="11" t="s">
        <v>1359</v>
      </c>
      <c r="F334" s="11" t="s">
        <v>1360</v>
      </c>
      <c r="G334" s="12">
        <f ca="1">IFERROR(__xludf.DUMMYFUNCTION(" VLOOKUP(A331, IMPORTRANGE(""https://docs.google.com/spreadsheets/d/1fj_Bhi2XPL3siwIh4sx4VRLAe31yD50oKdj5UlRYW0c/"", ""Сводка!A:AA""), 5, FALSE)"),292)</f>
        <v>292</v>
      </c>
      <c r="H334" s="12" t="s">
        <v>538</v>
      </c>
      <c r="I334" s="10">
        <f ca="1">IFERROR(__xludf.DUMMYFUNCTION(" VLOOKUP(A331, IMPORTRANGE(""https://docs.google.com/spreadsheets/d/1QNLbnkR_AongFt22vMfNzfpjZ0CjpI8QI-w0wBnYA1w/"", ""Инфа!A:AA""), 6, FALSE)"),2024)</f>
        <v>2024</v>
      </c>
      <c r="J334" s="5">
        <f t="shared" ca="1" si="7"/>
        <v>13800</v>
      </c>
      <c r="K334" s="12" t="s">
        <v>1240</v>
      </c>
      <c r="L334" s="15" t="s">
        <v>1361</v>
      </c>
    </row>
    <row r="335" spans="1:12" ht="180">
      <c r="A335" s="8" t="s">
        <v>1362</v>
      </c>
      <c r="B335" s="9" t="s">
        <v>12</v>
      </c>
      <c r="C335" s="10" t="s">
        <v>151</v>
      </c>
      <c r="D335" s="10" t="str">
        <f ca="1">IFERROR(__xludf.DUMMYFUNCTION(" VLOOKUP(A332, IMPORTRANGE(""https://docs.google.com/spreadsheets/d/1fj_Bhi2XPL3siwIh4sx4VRLAe31yD50oKdj5UlRYW0c/"", ""Сводка!A:AA""), 11, FALSE)"),"978-601-310-802-5")</f>
        <v>978-601-310-802-5</v>
      </c>
      <c r="E335" s="11" t="s">
        <v>1363</v>
      </c>
      <c r="F335" s="11" t="s">
        <v>1364</v>
      </c>
      <c r="G335" s="12">
        <f ca="1">IFERROR(__xludf.DUMMYFUNCTION(" VLOOKUP(A332, IMPORTRANGE(""https://docs.google.com/spreadsheets/d/1fj_Bhi2XPL3siwIh4sx4VRLAe31yD50oKdj5UlRYW0c/"", ""Сводка!A:AA""), 5, FALSE)"),120)</f>
        <v>120</v>
      </c>
      <c r="H335" s="12" t="s">
        <v>47</v>
      </c>
      <c r="I335" s="10">
        <f ca="1">IFERROR(__xludf.DUMMYFUNCTION(" VLOOKUP(A332, IMPORTRANGE(""https://docs.google.com/spreadsheets/d/1QNLbnkR_AongFt22vMfNzfpjZ0CjpI8QI-w0wBnYA1w/"", ""Инфа!A:AA""), 6, FALSE)"),2024)</f>
        <v>2024</v>
      </c>
      <c r="J335" s="5">
        <f t="shared" ca="1" si="7"/>
        <v>8600</v>
      </c>
      <c r="K335" s="12" t="s">
        <v>575</v>
      </c>
      <c r="L335" s="15" t="s">
        <v>1365</v>
      </c>
    </row>
    <row r="336" spans="1:12" ht="236.25">
      <c r="A336" s="8" t="s">
        <v>1366</v>
      </c>
      <c r="B336" s="9" t="s">
        <v>12</v>
      </c>
      <c r="C336" s="10" t="s">
        <v>443</v>
      </c>
      <c r="D336" s="10" t="str">
        <f ca="1">IFERROR(__xludf.DUMMYFUNCTION(" VLOOKUP(A333, IMPORTRANGE(""https://docs.google.com/spreadsheets/d/1fj_Bhi2XPL3siwIh4sx4VRLAe31yD50oKdj5UlRYW0c/"", ""Сводка!A:AA""), 11, FALSE)"),"978-601-342-324-1")</f>
        <v>978-601-342-324-1</v>
      </c>
      <c r="E336" s="11" t="s">
        <v>1367</v>
      </c>
      <c r="F336" s="11" t="s">
        <v>1368</v>
      </c>
      <c r="G336" s="12">
        <f ca="1">IFERROR(__xludf.DUMMYFUNCTION(" VLOOKUP(A333, IMPORTRANGE(""https://docs.google.com/spreadsheets/d/1fj_Bhi2XPL3siwIh4sx4VRLAe31yD50oKdj5UlRYW0c/"", ""Сводка!A:AA""), 5, FALSE)"),216)</f>
        <v>216</v>
      </c>
      <c r="H336" s="12" t="s">
        <v>538</v>
      </c>
      <c r="I336" s="10">
        <f ca="1">IFERROR(__xludf.DUMMYFUNCTION(" VLOOKUP(A333, IMPORTRANGE(""https://docs.google.com/spreadsheets/d/1QNLbnkR_AongFt22vMfNzfpjZ0CjpI8QI-w0wBnYA1w/"", ""Инфа!A:AA""), 6, FALSE)"),2024)</f>
        <v>2024</v>
      </c>
      <c r="J336" s="5">
        <f t="shared" ca="1" si="7"/>
        <v>11500</v>
      </c>
      <c r="K336" s="12" t="s">
        <v>1369</v>
      </c>
      <c r="L336" s="15" t="s">
        <v>1370</v>
      </c>
    </row>
    <row r="337" spans="1:12" ht="157.5">
      <c r="A337" s="8" t="s">
        <v>1371</v>
      </c>
      <c r="B337" s="9" t="s">
        <v>12</v>
      </c>
      <c r="C337" s="10" t="s">
        <v>151</v>
      </c>
      <c r="D337" s="10" t="str">
        <f ca="1">IFERROR(__xludf.DUMMYFUNCTION(" VLOOKUP(A334, IMPORTRANGE(""https://docs.google.com/spreadsheets/d/1fj_Bhi2XPL3siwIh4sx4VRLAe31yD50oKdj5UlRYW0c/"", ""Сводка!A:AA""), 11, FALSE)"),"978-601-327-412-6")</f>
        <v>978-601-327-412-6</v>
      </c>
      <c r="E337" s="11" t="s">
        <v>1372</v>
      </c>
      <c r="F337" s="11" t="s">
        <v>1373</v>
      </c>
      <c r="G337" s="12">
        <f ca="1">IFERROR(__xludf.DUMMYFUNCTION(" VLOOKUP(A334, IMPORTRANGE(""https://docs.google.com/spreadsheets/d/1fj_Bhi2XPL3siwIh4sx4VRLAe31yD50oKdj5UlRYW0c/"", ""Сводка!A:AA""), 5, FALSE)"),164)</f>
        <v>164</v>
      </c>
      <c r="H337" s="12" t="s">
        <v>47</v>
      </c>
      <c r="I337" s="10">
        <f ca="1">IFERROR(__xludf.DUMMYFUNCTION(" VLOOKUP(A334, IMPORTRANGE(""https://docs.google.com/spreadsheets/d/1QNLbnkR_AongFt22vMfNzfpjZ0CjpI8QI-w0wBnYA1w/"", ""Инфа!A:AA""), 6, FALSE)"),2024)</f>
        <v>2024</v>
      </c>
      <c r="J337" s="5">
        <f ca="1">ROUND((5000+G337*60),-2)</f>
        <v>14800</v>
      </c>
      <c r="K337" s="9" t="s">
        <v>619</v>
      </c>
      <c r="L337" s="15" t="s">
        <v>1374</v>
      </c>
    </row>
    <row r="338" spans="1:12" ht="225">
      <c r="A338" s="8" t="s">
        <v>1375</v>
      </c>
      <c r="B338" s="9" t="s">
        <v>12</v>
      </c>
      <c r="C338" s="10" t="s">
        <v>151</v>
      </c>
      <c r="D338" s="10" t="str">
        <f ca="1">IFERROR(__xludf.DUMMYFUNCTION(" VLOOKUP(A335, IMPORTRANGE(""https://docs.google.com/spreadsheets/d/1fj_Bhi2XPL3siwIh4sx4VRLAe31yD50oKdj5UlRYW0c/"", ""Сводка!A:AA""), 11, FALSE)"),"978-9965-31-83-3")</f>
        <v>978-9965-31-83-3</v>
      </c>
      <c r="E338" s="11" t="s">
        <v>1376</v>
      </c>
      <c r="F338" s="11" t="s">
        <v>1377</v>
      </c>
      <c r="G338" s="12">
        <f ca="1">IFERROR(__xludf.DUMMYFUNCTION(" VLOOKUP(A335, IMPORTRANGE(""https://docs.google.com/spreadsheets/d/1fj_Bhi2XPL3siwIh4sx4VRLAe31yD50oKdj5UlRYW0c/"", ""Сводка!A:AA""), 5, FALSE)"),215)</f>
        <v>215</v>
      </c>
      <c r="H338" s="12" t="s">
        <v>498</v>
      </c>
      <c r="I338" s="10">
        <f ca="1">IFERROR(__xludf.DUMMYFUNCTION(" VLOOKUP(A335, IMPORTRANGE(""https://docs.google.com/spreadsheets/d/1QNLbnkR_AongFt22vMfNzfpjZ0CjpI8QI-w0wBnYA1w/"", ""Инфа!A:AA""), 6, FALSE)"),2024)</f>
        <v>2024</v>
      </c>
      <c r="J338" s="5">
        <f ca="1">ROUND((5000+G338*30),-2)</f>
        <v>11500</v>
      </c>
      <c r="K338" s="12" t="s">
        <v>1378</v>
      </c>
      <c r="L338" s="15" t="s">
        <v>1379</v>
      </c>
    </row>
    <row r="339" spans="1:12" ht="112.5">
      <c r="A339" s="8" t="s">
        <v>1380</v>
      </c>
      <c r="B339" s="9" t="s">
        <v>12</v>
      </c>
      <c r="C339" s="10" t="s">
        <v>443</v>
      </c>
      <c r="D339" s="10" t="str">
        <f ca="1">IFERROR(__xludf.DUMMYFUNCTION(" VLOOKUP(A336, IMPORTRANGE(""https://docs.google.com/spreadsheets/d/1fj_Bhi2XPL3siwIh4sx4VRLAe31yD50oKdj5UlRYW0c/"", ""Сводка!A:AA""), 11, FALSE)"),"9965-451-05-2")</f>
        <v>9965-451-05-2</v>
      </c>
      <c r="E339" s="11" t="s">
        <v>1381</v>
      </c>
      <c r="F339" s="11" t="s">
        <v>1382</v>
      </c>
      <c r="G339" s="12">
        <f ca="1">IFERROR(__xludf.DUMMYFUNCTION(" VLOOKUP(A336, IMPORTRANGE(""https://docs.google.com/spreadsheets/d/1fj_Bhi2XPL3siwIh4sx4VRLAe31yD50oKdj5UlRYW0c/"", ""Сводка!A:AA""), 5, FALSE)"),156)</f>
        <v>156</v>
      </c>
      <c r="H339" s="12" t="s">
        <v>511</v>
      </c>
      <c r="I339" s="10">
        <f ca="1">IFERROR(__xludf.DUMMYFUNCTION(" VLOOKUP(A336, IMPORTRANGE(""https://docs.google.com/spreadsheets/d/1QNLbnkR_AongFt22vMfNzfpjZ0CjpI8QI-w0wBnYA1w/"", ""Инфа!A:AA""), 6, FALSE)"),2024)</f>
        <v>2024</v>
      </c>
      <c r="J339" s="5">
        <f ca="1">ROUND(((5000+G339*30)*1.3),-2)</f>
        <v>12600</v>
      </c>
      <c r="K339" s="12" t="s">
        <v>243</v>
      </c>
      <c r="L339" s="15" t="s">
        <v>1383</v>
      </c>
    </row>
    <row r="340" spans="1:12" ht="157.5">
      <c r="A340" s="8" t="s">
        <v>1384</v>
      </c>
      <c r="B340" s="9" t="s">
        <v>12</v>
      </c>
      <c r="C340" s="10" t="s">
        <v>151</v>
      </c>
      <c r="D340" s="10" t="str">
        <f ca="1">IFERROR(__xludf.DUMMYFUNCTION(" VLOOKUP(A337, IMPORTRANGE(""https://docs.google.com/spreadsheets/d/1fj_Bhi2XPL3siwIh4sx4VRLAe31yD50oKdj5UlRYW0c/"", ""Сводка!A:AA""), 11, FALSE)"),"978-601-310-078-4")</f>
        <v>978-601-310-078-4</v>
      </c>
      <c r="E340" s="11" t="s">
        <v>1385</v>
      </c>
      <c r="F340" s="11" t="s">
        <v>1386</v>
      </c>
      <c r="G340" s="12">
        <f ca="1">IFERROR(__xludf.DUMMYFUNCTION(" VLOOKUP(A337, IMPORTRANGE(""https://docs.google.com/spreadsheets/d/1fj_Bhi2XPL3siwIh4sx4VRLAe31yD50oKdj5UlRYW0c/"", ""Сводка!A:AA""), 5, FALSE)"),200)</f>
        <v>200</v>
      </c>
      <c r="H340" s="12" t="s">
        <v>556</v>
      </c>
      <c r="I340" s="10">
        <f ca="1">IFERROR(__xludf.DUMMYFUNCTION(" VLOOKUP(A337, IMPORTRANGE(""https://docs.google.com/spreadsheets/d/1QNLbnkR_AongFt22vMfNzfpjZ0CjpI8QI-w0wBnYA1w/"", ""Инфа!A:AA""), 6, FALSE)"),2024)</f>
        <v>2024</v>
      </c>
      <c r="J340" s="5">
        <f ca="1">ROUND((5000+G340*30),-2)</f>
        <v>11000</v>
      </c>
      <c r="K340" s="12" t="s">
        <v>1387</v>
      </c>
      <c r="L340" s="15" t="s">
        <v>1388</v>
      </c>
    </row>
    <row r="341" spans="1:12" ht="123.75">
      <c r="A341" s="8" t="s">
        <v>1389</v>
      </c>
      <c r="B341" s="9" t="s">
        <v>12</v>
      </c>
      <c r="C341" s="10" t="s">
        <v>443</v>
      </c>
      <c r="D341" s="10" t="str">
        <f ca="1">IFERROR(__xludf.DUMMYFUNCTION(" VLOOKUP(A338, IMPORTRANGE(""https://docs.google.com/spreadsheets/d/1fj_Bhi2XPL3siwIh4sx4VRLAe31yD50oKdj5UlRYW0c/"", ""Сводка!A:AA""), 11, FALSE)"),"978-601-240-457-9")</f>
        <v>978-601-240-457-9</v>
      </c>
      <c r="E341" s="11" t="s">
        <v>1390</v>
      </c>
      <c r="F341" s="11" t="s">
        <v>1391</v>
      </c>
      <c r="G341" s="12">
        <f ca="1">IFERROR(__xludf.DUMMYFUNCTION(" VLOOKUP(A338, IMPORTRANGE(""https://docs.google.com/spreadsheets/d/1fj_Bhi2XPL3siwIh4sx4VRLAe31yD50oKdj5UlRYW0c/"", ""Сводка!A:AA""), 5, FALSE)"),316)</f>
        <v>316</v>
      </c>
      <c r="H341" s="12" t="s">
        <v>538</v>
      </c>
      <c r="I341" s="10">
        <f ca="1">IFERROR(__xludf.DUMMYFUNCTION(" VLOOKUP(A338, IMPORTRANGE(""https://docs.google.com/spreadsheets/d/1QNLbnkR_AongFt22vMfNzfpjZ0CjpI8QI-w0wBnYA1w/"", ""Инфа!A:AA""), 6, FALSE)"),2023)</f>
        <v>2023</v>
      </c>
      <c r="J341" s="5">
        <f ca="1">ROUND((5000+G341*60),-2)</f>
        <v>24000</v>
      </c>
      <c r="K341" s="12" t="s">
        <v>78</v>
      </c>
      <c r="L341" s="15" t="s">
        <v>1392</v>
      </c>
    </row>
    <row r="342" spans="1:12" ht="191.25">
      <c r="A342" s="8" t="s">
        <v>1393</v>
      </c>
      <c r="B342" s="9" t="s">
        <v>12</v>
      </c>
      <c r="C342" s="10" t="s">
        <v>443</v>
      </c>
      <c r="D342" s="10" t="str">
        <f ca="1">IFERROR(__xludf.DUMMYFUNCTION(" VLOOKUP(A339, IMPORTRANGE(""https://docs.google.com/spreadsheets/d/1fj_Bhi2XPL3siwIh4sx4VRLAe31yD50oKdj5UlRYW0c/"", ""Сводка!A:AA""), 11, FALSE)"),"978-601-310-766-0")</f>
        <v>978-601-310-766-0</v>
      </c>
      <c r="E342" s="11" t="s">
        <v>1394</v>
      </c>
      <c r="F342" s="11" t="s">
        <v>26</v>
      </c>
      <c r="G342" s="12">
        <f ca="1">IFERROR(__xludf.DUMMYFUNCTION(" VLOOKUP(A339, IMPORTRANGE(""https://docs.google.com/spreadsheets/d/1fj_Bhi2XPL3siwIh4sx4VRLAe31yD50oKdj5UlRYW0c/"", ""Сводка!A:AA""), 5, FALSE)"),132)</f>
        <v>132</v>
      </c>
      <c r="H342" s="12" t="s">
        <v>538</v>
      </c>
      <c r="I342" s="10">
        <f ca="1">IFERROR(__xludf.DUMMYFUNCTION(" VLOOKUP(A339, IMPORTRANGE(""https://docs.google.com/spreadsheets/d/1QNLbnkR_AongFt22vMfNzfpjZ0CjpI8QI-w0wBnYA1w/"", ""Инфа!A:AA""), 6, FALSE)"),2024)</f>
        <v>2024</v>
      </c>
      <c r="J342" s="5">
        <f ca="1">ROUND((5000+G342*30),-2)</f>
        <v>9000</v>
      </c>
      <c r="K342" s="9" t="s">
        <v>26</v>
      </c>
      <c r="L342" s="15" t="s">
        <v>1395</v>
      </c>
    </row>
    <row r="343" spans="1:12" ht="123.75">
      <c r="A343" s="8" t="s">
        <v>1396</v>
      </c>
      <c r="B343" s="9" t="s">
        <v>12</v>
      </c>
      <c r="C343" s="10" t="s">
        <v>443</v>
      </c>
      <c r="D343" s="10" t="str">
        <f ca="1">IFERROR(__xludf.DUMMYFUNCTION(" VLOOKUP(A340, IMPORTRANGE(""https://docs.google.com/spreadsheets/d/1fj_Bhi2XPL3siwIh4sx4VRLAe31yD50oKdj5UlRYW0c/"", ""Сводка!A:AA""), 11, FALSE)"),"978-601-352-433-7")</f>
        <v>978-601-352-433-7</v>
      </c>
      <c r="E343" s="11" t="s">
        <v>1397</v>
      </c>
      <c r="F343" s="11" t="s">
        <v>1398</v>
      </c>
      <c r="G343" s="12">
        <f ca="1">IFERROR(__xludf.DUMMYFUNCTION(" VLOOKUP(A340, IMPORTRANGE(""https://docs.google.com/spreadsheets/d/1fj_Bhi2XPL3siwIh4sx4VRLAe31yD50oKdj5UlRYW0c/"", ""Сводка!A:AA""), 5, FALSE)"),156)</f>
        <v>156</v>
      </c>
      <c r="H343" s="12" t="s">
        <v>538</v>
      </c>
      <c r="I343" s="10">
        <f ca="1">IFERROR(__xludf.DUMMYFUNCTION(" VLOOKUP(A340, IMPORTRANGE(""https://docs.google.com/spreadsheets/d/1QNLbnkR_AongFt22vMfNzfpjZ0CjpI8QI-w0wBnYA1w/"", ""Инфа!A:AA""), 6, FALSE)"),2024)</f>
        <v>2024</v>
      </c>
      <c r="J343" s="5">
        <f ca="1">ROUND((5000+G343*30),-2)</f>
        <v>9700</v>
      </c>
      <c r="K343" s="12" t="s">
        <v>26</v>
      </c>
      <c r="L343" s="15" t="s">
        <v>1399</v>
      </c>
    </row>
    <row r="344" spans="1:12" ht="123.75">
      <c r="A344" s="8" t="s">
        <v>1400</v>
      </c>
      <c r="B344" s="9" t="s">
        <v>12</v>
      </c>
      <c r="C344" s="10" t="s">
        <v>443</v>
      </c>
      <c r="D344" s="10" t="str">
        <f ca="1">IFERROR(__xludf.DUMMYFUNCTION(" VLOOKUP(A341, IMPORTRANGE(""https://docs.google.com/spreadsheets/d/1fj_Bhi2XPL3siwIh4sx4VRLAe31yD50oKdj5UlRYW0c/"", ""Сводка!A:AA""), 11, FALSE)"),"978-601-216-473-2")</f>
        <v>978-601-216-473-2</v>
      </c>
      <c r="E344" s="11" t="s">
        <v>1401</v>
      </c>
      <c r="F344" s="11" t="s">
        <v>1402</v>
      </c>
      <c r="G344" s="12">
        <f ca="1">IFERROR(__xludf.DUMMYFUNCTION(" VLOOKUP(A341, IMPORTRANGE(""https://docs.google.com/spreadsheets/d/1fj_Bhi2XPL3siwIh4sx4VRLAe31yD50oKdj5UlRYW0c/"", ""Сводка!A:AA""), 5, FALSE)"),232)</f>
        <v>232</v>
      </c>
      <c r="H344" s="12" t="s">
        <v>538</v>
      </c>
      <c r="I344" s="10">
        <f ca="1">IFERROR(__xludf.DUMMYFUNCTION(" VLOOKUP(A341, IMPORTRANGE(""https://docs.google.com/spreadsheets/d/1QNLbnkR_AongFt22vMfNzfpjZ0CjpI8QI-w0wBnYA1w/"", ""Инфа!A:AA""), 6, FALSE)"),2024)</f>
        <v>2024</v>
      </c>
      <c r="J344" s="5">
        <f ca="1">ROUND((5000+G344*60),-2)</f>
        <v>18900</v>
      </c>
      <c r="K344" s="12" t="s">
        <v>1403</v>
      </c>
      <c r="L344" s="15" t="s">
        <v>1404</v>
      </c>
    </row>
    <row r="345" spans="1:12" ht="78.75">
      <c r="A345" s="8" t="s">
        <v>1405</v>
      </c>
      <c r="B345" s="9" t="s">
        <v>12</v>
      </c>
      <c r="C345" s="10" t="s">
        <v>443</v>
      </c>
      <c r="D345" s="10" t="s">
        <v>1406</v>
      </c>
      <c r="E345" s="34" t="s">
        <v>1407</v>
      </c>
      <c r="F345" s="34" t="s">
        <v>1408</v>
      </c>
      <c r="G345" s="12">
        <f ca="1">IFERROR(__xludf.DUMMYFUNCTION(" VLOOKUP(A342, IMPORTRANGE(""https://docs.google.com/spreadsheets/d/1fj_Bhi2XPL3siwIh4sx4VRLAe31yD50oKdj5UlRYW0c/"", ""Сводка!A:AA""), 5, FALSE)"),268)</f>
        <v>268</v>
      </c>
      <c r="H345" s="35" t="s">
        <v>1409</v>
      </c>
      <c r="I345" s="10">
        <f ca="1">IFERROR(__xludf.DUMMYFUNCTION(" VLOOKUP(A342, IMPORTRANGE(""https://docs.google.com/spreadsheets/d/1QNLbnkR_AongFt22vMfNzfpjZ0CjpI8QI-w0wBnYA1w/"", ""Инфа!A:AA""), 6, FALSE)"),2024)</f>
        <v>2024</v>
      </c>
      <c r="J345" s="5">
        <f ca="1">ROUND((5000+G345*30),-2)</f>
        <v>13000</v>
      </c>
      <c r="K345" s="9" t="s">
        <v>539</v>
      </c>
      <c r="L345" s="15" t="s">
        <v>1410</v>
      </c>
    </row>
    <row r="346" spans="1:12" ht="146.25">
      <c r="A346" s="8" t="s">
        <v>1411</v>
      </c>
      <c r="B346" s="9" t="s">
        <v>12</v>
      </c>
      <c r="C346" s="10" t="s">
        <v>443</v>
      </c>
      <c r="D346" s="10" t="str">
        <f ca="1">IFERROR(__xludf.DUMMYFUNCTION(" VLOOKUP(A343, IMPORTRANGE(""https://docs.google.com/spreadsheets/d/1fj_Bhi2XPL3siwIh4sx4VRLAe31yD50oKdj5UlRYW0c/"", ""Сводка!A:AA""), 11, FALSE)"),"978-601-327-654-0")</f>
        <v>978-601-327-654-0</v>
      </c>
      <c r="E346" s="11" t="s">
        <v>1407</v>
      </c>
      <c r="F346" s="11" t="s">
        <v>1412</v>
      </c>
      <c r="G346" s="12">
        <f ca="1">IFERROR(__xludf.DUMMYFUNCTION(" VLOOKUP(A343, IMPORTRANGE(""https://docs.google.com/spreadsheets/d/1fj_Bhi2XPL3siwIh4sx4VRLAe31yD50oKdj5UlRYW0c/"", ""Сводка!A:AA""), 5, FALSE)"),180)</f>
        <v>180</v>
      </c>
      <c r="H346" s="12" t="s">
        <v>446</v>
      </c>
      <c r="I346" s="10">
        <f ca="1">IFERROR(__xludf.DUMMYFUNCTION(" VLOOKUP(A343, IMPORTRANGE(""https://docs.google.com/spreadsheets/d/1QNLbnkR_AongFt22vMfNzfpjZ0CjpI8QI-w0wBnYA1w/"", ""Инфа!A:AA""), 6, FALSE)"),2024)</f>
        <v>2024</v>
      </c>
      <c r="J346" s="5">
        <f ca="1">ROUND((5000+G346*30),-2)</f>
        <v>10400</v>
      </c>
      <c r="K346" s="9" t="s">
        <v>539</v>
      </c>
      <c r="L346" s="15" t="s">
        <v>1413</v>
      </c>
    </row>
    <row r="347" spans="1:12" ht="236.25">
      <c r="A347" s="8" t="s">
        <v>1414</v>
      </c>
      <c r="B347" s="9" t="s">
        <v>12</v>
      </c>
      <c r="C347" s="10" t="s">
        <v>443</v>
      </c>
      <c r="D347" s="10" t="str">
        <f ca="1">IFERROR(__xludf.DUMMYFUNCTION(" VLOOKUP(A344, IMPORTRANGE(""https://docs.google.com/spreadsheets/d/1fj_Bhi2XPL3siwIh4sx4VRLAe31yD50oKdj5UlRYW0c/"", ""Сводка!A:AA""), 11, FALSE)"),"978-601-7376-12-3")</f>
        <v>978-601-7376-12-3</v>
      </c>
      <c r="E347" s="11" t="s">
        <v>1415</v>
      </c>
      <c r="F347" s="11" t="s">
        <v>1416</v>
      </c>
      <c r="G347" s="12">
        <f ca="1">IFERROR(__xludf.DUMMYFUNCTION(" VLOOKUP(A344, IMPORTRANGE(""https://docs.google.com/spreadsheets/d/1fj_Bhi2XPL3siwIh4sx4VRLAe31yD50oKdj5UlRYW0c/"", ""Сводка!A:AA""), 5, FALSE)"),340)</f>
        <v>340</v>
      </c>
      <c r="H347" s="12" t="s">
        <v>106</v>
      </c>
      <c r="I347" s="10">
        <f ca="1">IFERROR(__xludf.DUMMYFUNCTION(" VLOOKUP(A344, IMPORTRANGE(""https://docs.google.com/spreadsheets/d/1QNLbnkR_AongFt22vMfNzfpjZ0CjpI8QI-w0wBnYA1w/"", ""Инфа!A:AA""), 6, FALSE)"),2024)</f>
        <v>2024</v>
      </c>
      <c r="J347" s="5">
        <f ca="1">ROUND((5000+G347*30),-2)</f>
        <v>15200</v>
      </c>
      <c r="K347" s="12" t="s">
        <v>257</v>
      </c>
      <c r="L347" s="15" t="s">
        <v>1417</v>
      </c>
    </row>
    <row r="348" spans="1:12" ht="281.25">
      <c r="A348" s="8" t="s">
        <v>1418</v>
      </c>
      <c r="B348" s="9" t="s">
        <v>12</v>
      </c>
      <c r="C348" s="10" t="s">
        <v>151</v>
      </c>
      <c r="D348" s="10" t="str">
        <f ca="1">IFERROR(__xludf.DUMMYFUNCTION(" VLOOKUP(A345, IMPORTRANGE(""https://docs.google.com/spreadsheets/d/1fj_Bhi2XPL3siwIh4sx4VRLAe31yD50oKdj5UlRYW0c/"", ""Сводка!A:AA""), 11, FALSE)"),"978-601-7376-05-5")</f>
        <v>978-601-7376-05-5</v>
      </c>
      <c r="E348" s="11" t="s">
        <v>1415</v>
      </c>
      <c r="F348" s="11" t="s">
        <v>1419</v>
      </c>
      <c r="G348" s="12">
        <f ca="1">IFERROR(__xludf.DUMMYFUNCTION(" VLOOKUP(A345, IMPORTRANGE(""https://docs.google.com/spreadsheets/d/1fj_Bhi2XPL3siwIh4sx4VRLAe31yD50oKdj5UlRYW0c/"", ""Сводка!A:AA""), 5, FALSE)"),232)</f>
        <v>232</v>
      </c>
      <c r="H348" s="12" t="s">
        <v>56</v>
      </c>
      <c r="I348" s="10">
        <f ca="1">IFERROR(__xludf.DUMMYFUNCTION(" VLOOKUP(A345, IMPORTRANGE(""https://docs.google.com/spreadsheets/d/1QNLbnkR_AongFt22vMfNzfpjZ0CjpI8QI-w0wBnYA1w/"", ""Инфа!A:AA""), 6, FALSE)"),2024)</f>
        <v>2024</v>
      </c>
      <c r="J348" s="5">
        <f ca="1">ROUND((5000+G348*30),-2)</f>
        <v>12000</v>
      </c>
      <c r="K348" s="12" t="s">
        <v>257</v>
      </c>
      <c r="L348" s="15" t="s">
        <v>1420</v>
      </c>
    </row>
    <row r="349" spans="1:12" ht="135">
      <c r="A349" s="8" t="s">
        <v>1421</v>
      </c>
      <c r="B349" s="9" t="s">
        <v>12</v>
      </c>
      <c r="C349" s="10" t="s">
        <v>443</v>
      </c>
      <c r="D349" s="10" t="str">
        <f ca="1">IFERROR(__xludf.DUMMYFUNCTION(" VLOOKUP(A346, IMPORTRANGE(""https://docs.google.com/spreadsheets/d/1fj_Bhi2XPL3siwIh4sx4VRLAe31yD50oKdj5UlRYW0c/"", ""Сводка!A:AA""), 11, FALSE)"),"978-601-342-260-2")</f>
        <v>978-601-342-260-2</v>
      </c>
      <c r="E349" s="11" t="s">
        <v>1422</v>
      </c>
      <c r="F349" s="11" t="s">
        <v>1423</v>
      </c>
      <c r="G349" s="12">
        <f ca="1">IFERROR(__xludf.DUMMYFUNCTION(" VLOOKUP(A346, IMPORTRANGE(""https://docs.google.com/spreadsheets/d/1fj_Bhi2XPL3siwIh4sx4VRLAe31yD50oKdj5UlRYW0c/"", ""Сводка!A:AA""), 5, FALSE)"),188)</f>
        <v>188</v>
      </c>
      <c r="H349" s="12" t="s">
        <v>498</v>
      </c>
      <c r="I349" s="10">
        <f ca="1">IFERROR(__xludf.DUMMYFUNCTION(" VLOOKUP(A346, IMPORTRANGE(""https://docs.google.com/spreadsheets/d/1QNLbnkR_AongFt22vMfNzfpjZ0CjpI8QI-w0wBnYA1w/"", ""Инфа!A:AA""), 6, FALSE)"),2024)</f>
        <v>2024</v>
      </c>
      <c r="J349" s="5">
        <f ca="1">ROUND(((5000+G349*30)*1.3),-2)</f>
        <v>13800</v>
      </c>
      <c r="K349" s="12" t="s">
        <v>101</v>
      </c>
      <c r="L349" s="15" t="s">
        <v>1424</v>
      </c>
    </row>
    <row r="350" spans="1:12" ht="135">
      <c r="A350" s="8" t="s">
        <v>1425</v>
      </c>
      <c r="B350" s="9" t="s">
        <v>12</v>
      </c>
      <c r="C350" s="10" t="s">
        <v>443</v>
      </c>
      <c r="D350" s="10" t="str">
        <f ca="1">IFERROR(__xludf.DUMMYFUNCTION(" VLOOKUP(A347, IMPORTRANGE(""https://docs.google.com/spreadsheets/d/1fj_Bhi2XPL3siwIh4sx4VRLAe31yD50oKdj5UlRYW0c/"", ""Сводка!A:AA""), 11, FALSE)"),"978-601-342-260-2")</f>
        <v>978-601-342-260-2</v>
      </c>
      <c r="E350" s="11" t="s">
        <v>1422</v>
      </c>
      <c r="F350" s="11" t="s">
        <v>1426</v>
      </c>
      <c r="G350" s="12">
        <f ca="1">IFERROR(__xludf.DUMMYFUNCTION(" VLOOKUP(A347, IMPORTRANGE(""https://docs.google.com/spreadsheets/d/1fj_Bhi2XPL3siwIh4sx4VRLAe31yD50oKdj5UlRYW0c/"", ""Сводка!A:AA""), 5, FALSE)"),164)</f>
        <v>164</v>
      </c>
      <c r="H350" s="12" t="s">
        <v>498</v>
      </c>
      <c r="I350" s="10">
        <f ca="1">IFERROR(__xludf.DUMMYFUNCTION(" VLOOKUP(A347, IMPORTRANGE(""https://docs.google.com/spreadsheets/d/1QNLbnkR_AongFt22vMfNzfpjZ0CjpI8QI-w0wBnYA1w/"", ""Инфа!A:AA""), 6, FALSE)"),2024)</f>
        <v>2024</v>
      </c>
      <c r="J350" s="5">
        <f ca="1">ROUND(((5000+G350*30)*1.3),-2)</f>
        <v>12900</v>
      </c>
      <c r="K350" s="12" t="s">
        <v>101</v>
      </c>
      <c r="L350" s="15" t="s">
        <v>1424</v>
      </c>
    </row>
    <row r="351" spans="1:12" ht="25.5">
      <c r="A351" s="8" t="s">
        <v>1427</v>
      </c>
      <c r="B351" s="9" t="s">
        <v>12</v>
      </c>
      <c r="C351" s="10" t="s">
        <v>443</v>
      </c>
      <c r="D351" s="10" t="str">
        <f ca="1">IFERROR(__xludf.DUMMYFUNCTION(" VLOOKUP(A348, IMPORTRANGE(""https://docs.google.com/spreadsheets/d/1fj_Bhi2XPL3siwIh4sx4VRLAe31yD50oKdj5UlRYW0c/"", ""Сводка!A:AA""), 11, FALSE)"),"9965-680-27-2")</f>
        <v>9965-680-27-2</v>
      </c>
      <c r="E351" s="11" t="s">
        <v>1428</v>
      </c>
      <c r="F351" s="11" t="s">
        <v>1429</v>
      </c>
      <c r="G351" s="12">
        <f ca="1">IFERROR(__xludf.DUMMYFUNCTION(" VLOOKUP(A348, IMPORTRANGE(""https://docs.google.com/spreadsheets/d/1fj_Bhi2XPL3siwIh4sx4VRLAe31yD50oKdj5UlRYW0c/"", ""Сводка!A:AA""), 5, FALSE)"),336)</f>
        <v>336</v>
      </c>
      <c r="H351" s="12" t="s">
        <v>511</v>
      </c>
      <c r="I351" s="10">
        <f ca="1">IFERROR(__xludf.DUMMYFUNCTION(" VLOOKUP(A348, IMPORTRANGE(""https://docs.google.com/spreadsheets/d/1QNLbnkR_AongFt22vMfNzfpjZ0CjpI8QI-w0wBnYA1w/"", ""Инфа!A:AA""), 6, FALSE)"),2024)</f>
        <v>2024</v>
      </c>
      <c r="J351" s="5">
        <f ca="1">ROUND((5000+G351*30),-2)</f>
        <v>15100</v>
      </c>
      <c r="K351" s="9" t="s">
        <v>101</v>
      </c>
      <c r="L351" s="15"/>
    </row>
    <row r="352" spans="1:12" ht="123.75">
      <c r="A352" s="8" t="s">
        <v>1430</v>
      </c>
      <c r="B352" s="9" t="s">
        <v>12</v>
      </c>
      <c r="C352" s="10" t="s">
        <v>151</v>
      </c>
      <c r="D352" s="10" t="str">
        <f ca="1">IFERROR(__xludf.DUMMYFUNCTION(" VLOOKUP(A349, IMPORTRANGE(""https://docs.google.com/spreadsheets/d/1fj_Bhi2XPL3siwIh4sx4VRLAe31yD50oKdj5UlRYW0c/"", ""Сводка!A:AA""), 11, FALSE)"),"978-601-342-228-2")</f>
        <v>978-601-342-228-2</v>
      </c>
      <c r="E352" s="11" t="s">
        <v>1431</v>
      </c>
      <c r="F352" s="11" t="s">
        <v>1432</v>
      </c>
      <c r="G352" s="12">
        <f ca="1">IFERROR(__xludf.DUMMYFUNCTION(" VLOOKUP(A349, IMPORTRANGE(""https://docs.google.com/spreadsheets/d/1fj_Bhi2XPL3siwIh4sx4VRLAe31yD50oKdj5UlRYW0c/"", ""Сводка!A:AA""), 5, FALSE)"),228)</f>
        <v>228</v>
      </c>
      <c r="H352" s="12" t="s">
        <v>498</v>
      </c>
      <c r="I352" s="10">
        <f ca="1">IFERROR(__xludf.DUMMYFUNCTION(" VLOOKUP(A349, IMPORTRANGE(""https://docs.google.com/spreadsheets/d/1QNLbnkR_AongFt22vMfNzfpjZ0CjpI8QI-w0wBnYA1w/"", ""Инфа!A:AA""), 6, FALSE)"),2024)</f>
        <v>2024</v>
      </c>
      <c r="J352" s="5">
        <f ca="1">ROUND((5000+G352*30),-2)</f>
        <v>11800</v>
      </c>
      <c r="K352" s="12" t="s">
        <v>101</v>
      </c>
      <c r="L352" s="15" t="s">
        <v>1433</v>
      </c>
    </row>
    <row r="353" spans="1:12" ht="315">
      <c r="A353" s="8" t="s">
        <v>1434</v>
      </c>
      <c r="B353" s="9" t="s">
        <v>12</v>
      </c>
      <c r="C353" s="10" t="s">
        <v>151</v>
      </c>
      <c r="D353" s="10" t="str">
        <f ca="1">IFERROR(__xludf.DUMMYFUNCTION(" VLOOKUP(A350, IMPORTRANGE(""https://docs.google.com/spreadsheets/d/1fj_Bhi2XPL3siwIh4sx4VRLAe31yD50oKdj5UlRYW0c/"", ""Сводка!A:AA""), 11, FALSE)"),"978-601-240-189-9")</f>
        <v>978-601-240-189-9</v>
      </c>
      <c r="E353" s="11" t="s">
        <v>1435</v>
      </c>
      <c r="F353" s="11" t="s">
        <v>1436</v>
      </c>
      <c r="G353" s="12">
        <f ca="1">IFERROR(__xludf.DUMMYFUNCTION(" VLOOKUP(A350, IMPORTRANGE(""https://docs.google.com/spreadsheets/d/1fj_Bhi2XPL3siwIh4sx4VRLAe31yD50oKdj5UlRYW0c/"", ""Сводка!A:AA""), 5, FALSE)"),344)</f>
        <v>344</v>
      </c>
      <c r="H353" s="12" t="s">
        <v>498</v>
      </c>
      <c r="I353" s="10">
        <f ca="1">IFERROR(__xludf.DUMMYFUNCTION(" VLOOKUP(A350, IMPORTRANGE(""https://docs.google.com/spreadsheets/d/1QNLbnkR_AongFt22vMfNzfpjZ0CjpI8QI-w0wBnYA1w/"", ""Инфа!A:AA""), 6, FALSE)"),2024)</f>
        <v>2024</v>
      </c>
      <c r="J353" s="5">
        <f ca="1">ROUND(((5000+G353*30)*1.3),-2)</f>
        <v>19900</v>
      </c>
      <c r="K353" s="9" t="s">
        <v>101</v>
      </c>
      <c r="L353" s="15" t="s">
        <v>1437</v>
      </c>
    </row>
    <row r="354" spans="1:12" ht="315">
      <c r="A354" s="8" t="s">
        <v>1438</v>
      </c>
      <c r="B354" s="9" t="s">
        <v>12</v>
      </c>
      <c r="C354" s="10" t="s">
        <v>151</v>
      </c>
      <c r="D354" s="10" t="str">
        <f ca="1">IFERROR(__xludf.DUMMYFUNCTION(" VLOOKUP(A351, IMPORTRANGE(""https://docs.google.com/spreadsheets/d/1fj_Bhi2XPL3siwIh4sx4VRLAe31yD50oKdj5UlRYW0c/"", ""Сводка!A:AA""), 11, FALSE)"),"978-601-240-189-9")</f>
        <v>978-601-240-189-9</v>
      </c>
      <c r="E354" s="11" t="s">
        <v>1435</v>
      </c>
      <c r="F354" s="11" t="s">
        <v>1439</v>
      </c>
      <c r="G354" s="12">
        <f ca="1">IFERROR(__xludf.DUMMYFUNCTION(" VLOOKUP(A351, IMPORTRANGE(""https://docs.google.com/spreadsheets/d/1fj_Bhi2XPL3siwIh4sx4VRLAe31yD50oKdj5UlRYW0c/"", ""Сводка!A:AA""), 5, FALSE)"),300)</f>
        <v>300</v>
      </c>
      <c r="H354" s="12" t="s">
        <v>498</v>
      </c>
      <c r="I354" s="10">
        <f ca="1">IFERROR(__xludf.DUMMYFUNCTION(" VLOOKUP(A351, IMPORTRANGE(""https://docs.google.com/spreadsheets/d/1QNLbnkR_AongFt22vMfNzfpjZ0CjpI8QI-w0wBnYA1w/"", ""Инфа!A:AA""), 6, FALSE)"),2024)</f>
        <v>2024</v>
      </c>
      <c r="J354" s="5">
        <f ca="1">ROUND(((5000+G354*30)*1.3),-2)</f>
        <v>18200</v>
      </c>
      <c r="K354" s="9" t="s">
        <v>101</v>
      </c>
      <c r="L354" s="15" t="s">
        <v>1437</v>
      </c>
    </row>
    <row r="355" spans="1:12" ht="315">
      <c r="A355" s="8" t="s">
        <v>1440</v>
      </c>
      <c r="B355" s="9" t="s">
        <v>12</v>
      </c>
      <c r="C355" s="10" t="s">
        <v>443</v>
      </c>
      <c r="D355" s="10" t="str">
        <f ca="1">IFERROR(__xludf.DUMMYFUNCTION(" VLOOKUP(A352, IMPORTRANGE(""https://docs.google.com/spreadsheets/d/1fj_Bhi2XPL3siwIh4sx4VRLAe31yD50oKdj5UlRYW0c/"", ""Сводка!A:AA""), 11, FALSE)"),"978-601-240-435-7")</f>
        <v>978-601-240-435-7</v>
      </c>
      <c r="E355" s="11" t="s">
        <v>1441</v>
      </c>
      <c r="F355" s="11" t="s">
        <v>1442</v>
      </c>
      <c r="G355" s="12">
        <f ca="1">IFERROR(__xludf.DUMMYFUNCTION(" VLOOKUP(A352, IMPORTRANGE(""https://docs.google.com/spreadsheets/d/1fj_Bhi2XPL3siwIh4sx4VRLAe31yD50oKdj5UlRYW0c/"", ""Сводка!A:AA""), 5, FALSE)"),296)</f>
        <v>296</v>
      </c>
      <c r="H355" s="12" t="s">
        <v>511</v>
      </c>
      <c r="I355" s="10">
        <f ca="1">IFERROR(__xludf.DUMMYFUNCTION(" VLOOKUP(A352, IMPORTRANGE(""https://docs.google.com/spreadsheets/d/1QNLbnkR_AongFt22vMfNzfpjZ0CjpI8QI-w0wBnYA1w/"", ""Инфа!A:AA""), 6, FALSE)"),2024)</f>
        <v>2024</v>
      </c>
      <c r="J355" s="5">
        <f ca="1">ROUND(((5000+G355*30)*1.3),-2)</f>
        <v>18000</v>
      </c>
      <c r="K355" s="9" t="s">
        <v>101</v>
      </c>
      <c r="L355" s="15" t="s">
        <v>1443</v>
      </c>
    </row>
    <row r="356" spans="1:12" ht="315">
      <c r="A356" s="8" t="s">
        <v>1444</v>
      </c>
      <c r="B356" s="9" t="s">
        <v>12</v>
      </c>
      <c r="C356" s="10" t="s">
        <v>443</v>
      </c>
      <c r="D356" s="10" t="str">
        <f ca="1">IFERROR(__xludf.DUMMYFUNCTION(" VLOOKUP(A353, IMPORTRANGE(""https://docs.google.com/spreadsheets/d/1fj_Bhi2XPL3siwIh4sx4VRLAe31yD50oKdj5UlRYW0c/"", ""Сводка!A:AA""), 11, FALSE)"),"978-601-240-435-7")</f>
        <v>978-601-240-435-7</v>
      </c>
      <c r="E356" s="11" t="s">
        <v>1441</v>
      </c>
      <c r="F356" s="11" t="s">
        <v>1445</v>
      </c>
      <c r="G356" s="12">
        <f ca="1">IFERROR(__xludf.DUMMYFUNCTION(" VLOOKUP(A353, IMPORTRANGE(""https://docs.google.com/spreadsheets/d/1fj_Bhi2XPL3siwIh4sx4VRLAe31yD50oKdj5UlRYW0c/"", ""Сводка!A:AA""), 5, FALSE)"),216)</f>
        <v>216</v>
      </c>
      <c r="H356" s="12" t="s">
        <v>511</v>
      </c>
      <c r="I356" s="10">
        <f ca="1">IFERROR(__xludf.DUMMYFUNCTION(" VLOOKUP(A353, IMPORTRANGE(""https://docs.google.com/spreadsheets/d/1QNLbnkR_AongFt22vMfNzfpjZ0CjpI8QI-w0wBnYA1w/"", ""Инфа!A:AA""), 6, FALSE)"),2024)</f>
        <v>2024</v>
      </c>
      <c r="J356" s="5">
        <f ca="1">ROUND(((5000+G356*30)*1.3),-2)</f>
        <v>14900</v>
      </c>
      <c r="K356" s="9" t="s">
        <v>101</v>
      </c>
      <c r="L356" s="15" t="s">
        <v>1443</v>
      </c>
    </row>
    <row r="357" spans="1:12" ht="236.25">
      <c r="A357" s="8" t="s">
        <v>1446</v>
      </c>
      <c r="B357" s="9" t="s">
        <v>12</v>
      </c>
      <c r="C357" s="10" t="s">
        <v>151</v>
      </c>
      <c r="D357" s="10" t="str">
        <f ca="1">IFERROR(__xludf.DUMMYFUNCTION(" VLOOKUP(A354, IMPORTRANGE(""https://docs.google.com/spreadsheets/d/1fj_Bhi2XPL3siwIh4sx4VRLAe31yD50oKdj5UlRYW0c/"", ""Сводка!A:AA""), 11, FALSE)"),"978-601-040-662-5")</f>
        <v>978-601-040-662-5</v>
      </c>
      <c r="E357" s="11" t="s">
        <v>1447</v>
      </c>
      <c r="F357" s="11" t="s">
        <v>1448</v>
      </c>
      <c r="G357" s="12">
        <f ca="1">IFERROR(__xludf.DUMMYFUNCTION(" VLOOKUP(A354, IMPORTRANGE(""https://docs.google.com/spreadsheets/d/1fj_Bhi2XPL3siwIh4sx4VRLAe31yD50oKdj5UlRYW0c/"", ""Сводка!A:AA""), 5, FALSE)"),248)</f>
        <v>248</v>
      </c>
      <c r="H357" s="12" t="s">
        <v>165</v>
      </c>
      <c r="I357" s="10">
        <f ca="1">IFERROR(__xludf.DUMMYFUNCTION(" VLOOKUP(A354, IMPORTRANGE(""https://docs.google.com/spreadsheets/d/1QNLbnkR_AongFt22vMfNzfpjZ0CjpI8QI-w0wBnYA1w/"", ""Инфа!A:AA""), 6, FALSE)"),2024)</f>
        <v>2024</v>
      </c>
      <c r="J357" s="5">
        <f t="shared" ref="J357:J362" ca="1" si="8">ROUND((5000+G357*30),-2)</f>
        <v>12400</v>
      </c>
      <c r="K357" s="12" t="s">
        <v>1449</v>
      </c>
      <c r="L357" s="15" t="s">
        <v>1451</v>
      </c>
    </row>
    <row r="358" spans="1:12" ht="51">
      <c r="A358" s="8" t="s">
        <v>1452</v>
      </c>
      <c r="B358" s="9" t="s">
        <v>12</v>
      </c>
      <c r="C358" s="10" t="s">
        <v>151</v>
      </c>
      <c r="D358" s="10" t="str">
        <f ca="1">IFERROR(__xludf.DUMMYFUNCTION(" VLOOKUP(A355, IMPORTRANGE(""https://docs.google.com/spreadsheets/d/1fj_Bhi2XPL3siwIh4sx4VRLAe31yD50oKdj5UlRYW0c/"", ""Сводка!A:AA""), 11, FALSE)"),"978-601-310-240-5")</f>
        <v>978-601-310-240-5</v>
      </c>
      <c r="E358" s="11" t="s">
        <v>1453</v>
      </c>
      <c r="F358" s="11" t="s">
        <v>1454</v>
      </c>
      <c r="G358" s="12">
        <f ca="1">IFERROR(__xludf.DUMMYFUNCTION(" VLOOKUP(A355, IMPORTRANGE(""https://docs.google.com/spreadsheets/d/1fj_Bhi2XPL3siwIh4sx4VRLAe31yD50oKdj5UlRYW0c/"", ""Сводка!A:AA""), 5, FALSE)"),96)</f>
        <v>96</v>
      </c>
      <c r="H358" s="12" t="s">
        <v>282</v>
      </c>
      <c r="I358" s="10">
        <f ca="1">IFERROR(__xludf.DUMMYFUNCTION(" VLOOKUP(A355, IMPORTRANGE(""https://docs.google.com/spreadsheets/d/1QNLbnkR_AongFt22vMfNzfpjZ0CjpI8QI-w0wBnYA1w/"", ""Инфа!A:AA""), 6, FALSE)"),2024)</f>
        <v>2024</v>
      </c>
      <c r="J358" s="5">
        <f t="shared" ca="1" si="8"/>
        <v>7900</v>
      </c>
      <c r="K358" s="9" t="s">
        <v>758</v>
      </c>
      <c r="L358" s="15"/>
    </row>
    <row r="359" spans="1:12" ht="168.75">
      <c r="A359" s="8" t="s">
        <v>1455</v>
      </c>
      <c r="B359" s="9" t="s">
        <v>12</v>
      </c>
      <c r="C359" s="10" t="s">
        <v>151</v>
      </c>
      <c r="D359" s="10" t="str">
        <f ca="1">IFERROR(__xludf.DUMMYFUNCTION(" VLOOKUP(A356, IMPORTRANGE(""https://docs.google.com/spreadsheets/d/1fj_Bhi2XPL3siwIh4sx4VRLAe31yD50oKdj5UlRYW0c/"", ""Сводка!A:AA""), 11, FALSE)"),"9965-613-63-X")</f>
        <v>9965-613-63-X</v>
      </c>
      <c r="E359" s="11" t="s">
        <v>1456</v>
      </c>
      <c r="F359" s="11" t="s">
        <v>1457</v>
      </c>
      <c r="G359" s="12">
        <f ca="1">IFERROR(__xludf.DUMMYFUNCTION(" VLOOKUP(A356, IMPORTRANGE(""https://docs.google.com/spreadsheets/d/1fj_Bhi2XPL3siwIh4sx4VRLAe31yD50oKdj5UlRYW0c/"", ""Сводка!A:AA""), 5, FALSE)"),132)</f>
        <v>132</v>
      </c>
      <c r="H359" s="12" t="s">
        <v>47</v>
      </c>
      <c r="I359" s="10">
        <f ca="1">IFERROR(__xludf.DUMMYFUNCTION(" VLOOKUP(A356, IMPORTRANGE(""https://docs.google.com/spreadsheets/d/1QNLbnkR_AongFt22vMfNzfpjZ0CjpI8QI-w0wBnYA1w/"", ""Инфа!A:AA""), 6, FALSE)"),2024)</f>
        <v>2024</v>
      </c>
      <c r="J359" s="5">
        <f t="shared" ca="1" si="8"/>
        <v>9000</v>
      </c>
      <c r="K359" s="12" t="s">
        <v>277</v>
      </c>
      <c r="L359" s="15" t="s">
        <v>1458</v>
      </c>
    </row>
    <row r="360" spans="1:12" ht="247.5">
      <c r="A360" s="8" t="s">
        <v>1459</v>
      </c>
      <c r="B360" s="9" t="s">
        <v>12</v>
      </c>
      <c r="C360" s="10" t="s">
        <v>151</v>
      </c>
      <c r="D360" s="10" t="str">
        <f ca="1">IFERROR(__xludf.DUMMYFUNCTION(" VLOOKUP(A357, IMPORTRANGE(""https://docs.google.com/spreadsheets/d/1fj_Bhi2XPL3siwIh4sx4VRLAe31yD50oKdj5UlRYW0c/"", ""Сводка!A:AA""), 11, FALSE)"),"978-601-240-689-4")</f>
        <v>978-601-240-689-4</v>
      </c>
      <c r="E360" s="11" t="s">
        <v>1460</v>
      </c>
      <c r="F360" s="11" t="s">
        <v>1461</v>
      </c>
      <c r="G360" s="12">
        <f ca="1">IFERROR(__xludf.DUMMYFUNCTION(" VLOOKUP(A357, IMPORTRANGE(""https://docs.google.com/spreadsheets/d/1fj_Bhi2XPL3siwIh4sx4VRLAe31yD50oKdj5UlRYW0c/"", ""Сводка!A:AA""), 5, FALSE)"),220)</f>
        <v>220</v>
      </c>
      <c r="H360" s="12" t="s">
        <v>47</v>
      </c>
      <c r="I360" s="10">
        <f ca="1">IFERROR(__xludf.DUMMYFUNCTION(" VLOOKUP(A357, IMPORTRANGE(""https://docs.google.com/spreadsheets/d/1QNLbnkR_AongFt22vMfNzfpjZ0CjpI8QI-w0wBnYA1w/"", ""Инфа!A:AA""), 6, FALSE)"),2024)</f>
        <v>2024</v>
      </c>
      <c r="J360" s="5">
        <f t="shared" ca="1" si="8"/>
        <v>11600</v>
      </c>
      <c r="K360" s="12" t="s">
        <v>257</v>
      </c>
      <c r="L360" s="15" t="s">
        <v>1462</v>
      </c>
    </row>
    <row r="361" spans="1:12" ht="56.25">
      <c r="A361" s="8" t="s">
        <v>1463</v>
      </c>
      <c r="B361" s="9" t="s">
        <v>12</v>
      </c>
      <c r="C361" s="10" t="s">
        <v>151</v>
      </c>
      <c r="D361" s="10" t="str">
        <f ca="1">IFERROR(__xludf.DUMMYFUNCTION(" VLOOKUP(A358, IMPORTRANGE(""https://docs.google.com/spreadsheets/d/1fj_Bhi2XPL3siwIh4sx4VRLAe31yD50oKdj5UlRYW0c/"", ""Сводка!A:AA""), 11, FALSE)"),"978-601-337-010-1")</f>
        <v>978-601-337-010-1</v>
      </c>
      <c r="E361" s="11" t="s">
        <v>1464</v>
      </c>
      <c r="F361" s="11" t="s">
        <v>1465</v>
      </c>
      <c r="G361" s="12">
        <f ca="1">IFERROR(__xludf.DUMMYFUNCTION(" VLOOKUP(A358, IMPORTRANGE(""https://docs.google.com/spreadsheets/d/1fj_Bhi2XPL3siwIh4sx4VRLAe31yD50oKdj5UlRYW0c/"", ""Сводка!A:AA""), 5, FALSE)"),244)</f>
        <v>244</v>
      </c>
      <c r="H361" s="12" t="s">
        <v>106</v>
      </c>
      <c r="I361" s="10">
        <f ca="1">IFERROR(__xludf.DUMMYFUNCTION(" VLOOKUP(A358, IMPORTRANGE(""https://docs.google.com/spreadsheets/d/1QNLbnkR_AongFt22vMfNzfpjZ0CjpI8QI-w0wBnYA1w/"", ""Инфа!A:AA""), 6, FALSE)"),2024)</f>
        <v>2024</v>
      </c>
      <c r="J361" s="5">
        <f t="shared" ca="1" si="8"/>
        <v>12300</v>
      </c>
      <c r="K361" s="12" t="s">
        <v>127</v>
      </c>
      <c r="L361" s="15" t="s">
        <v>1466</v>
      </c>
    </row>
    <row r="362" spans="1:12" ht="123.75">
      <c r="A362" s="8" t="s">
        <v>1467</v>
      </c>
      <c r="B362" s="9" t="s">
        <v>12</v>
      </c>
      <c r="C362" s="10" t="s">
        <v>151</v>
      </c>
      <c r="D362" s="10" t="str">
        <f ca="1">IFERROR(__xludf.DUMMYFUNCTION(" VLOOKUP(A359, IMPORTRANGE(""https://docs.google.com/spreadsheets/d/1fj_Bhi2XPL3siwIh4sx4VRLAe31yD50oKdj5UlRYW0c/"", ""Сводка!A:AA""), 11, FALSE)"),"978-601-342-239-8")</f>
        <v>978-601-342-239-8</v>
      </c>
      <c r="E362" s="11" t="s">
        <v>1464</v>
      </c>
      <c r="F362" s="11" t="s">
        <v>1468</v>
      </c>
      <c r="G362" s="12">
        <f ca="1">IFERROR(__xludf.DUMMYFUNCTION(" VLOOKUP(A359, IMPORTRANGE(""https://docs.google.com/spreadsheets/d/1fj_Bhi2XPL3siwIh4sx4VRLAe31yD50oKdj5UlRYW0c/"", ""Сводка!A:AA""), 5, FALSE)"),156)</f>
        <v>156</v>
      </c>
      <c r="H362" s="12" t="s">
        <v>47</v>
      </c>
      <c r="I362" s="10">
        <f ca="1">IFERROR(__xludf.DUMMYFUNCTION(" VLOOKUP(A359, IMPORTRANGE(""https://docs.google.com/spreadsheets/d/1QNLbnkR_AongFt22vMfNzfpjZ0CjpI8QI-w0wBnYA1w/"", ""Инфа!A:AA""), 6, FALSE)"),2024)</f>
        <v>2024</v>
      </c>
      <c r="J362" s="5">
        <f t="shared" ca="1" si="8"/>
        <v>9700</v>
      </c>
      <c r="K362" s="12" t="s">
        <v>257</v>
      </c>
      <c r="L362" s="15" t="s">
        <v>1469</v>
      </c>
    </row>
    <row r="363" spans="1:12" ht="102">
      <c r="A363" s="8" t="s">
        <v>1470</v>
      </c>
      <c r="B363" s="9" t="s">
        <v>12</v>
      </c>
      <c r="C363" s="10" t="s">
        <v>443</v>
      </c>
      <c r="D363" s="10" t="str">
        <f ca="1">IFERROR(__xludf.DUMMYFUNCTION(" VLOOKUP(A360, IMPORTRANGE(""https://docs.google.com/spreadsheets/d/1fj_Bhi2XPL3siwIh4sx4VRLAe31yD50oKdj5UlRYW0c/"", ""Сводка!A:AA""), 11, FALSE)"),"978-601-310-083-8")</f>
        <v>978-601-310-083-8</v>
      </c>
      <c r="E363" s="11" t="s">
        <v>1471</v>
      </c>
      <c r="F363" s="11" t="s">
        <v>1472</v>
      </c>
      <c r="G363" s="12">
        <f ca="1">IFERROR(__xludf.DUMMYFUNCTION(" VLOOKUP(A360, IMPORTRANGE(""https://docs.google.com/spreadsheets/d/1fj_Bhi2XPL3siwIh4sx4VRLAe31yD50oKdj5UlRYW0c/"", ""Сводка!A:AA""), 5, FALSE)"),268)</f>
        <v>268</v>
      </c>
      <c r="H363" s="12" t="s">
        <v>282</v>
      </c>
      <c r="I363" s="10">
        <f ca="1">IFERROR(__xludf.DUMMYFUNCTION(" VLOOKUP(A360, IMPORTRANGE(""https://docs.google.com/spreadsheets/d/1QNLbnkR_AongFt22vMfNzfpjZ0CjpI8QI-w0wBnYA1w/"", ""Инфа!A:AA""), 6, FALSE)"),2024)</f>
        <v>2024</v>
      </c>
      <c r="J363" s="5">
        <f ca="1">ROUND((5000+G363*60),-2)</f>
        <v>21100</v>
      </c>
      <c r="K363" s="9" t="s">
        <v>171</v>
      </c>
      <c r="L363" s="15" t="s">
        <v>1473</v>
      </c>
    </row>
    <row r="364" spans="1:12" ht="102">
      <c r="A364" s="8" t="s">
        <v>1474</v>
      </c>
      <c r="B364" s="9" t="s">
        <v>12</v>
      </c>
      <c r="C364" s="10" t="s">
        <v>443</v>
      </c>
      <c r="D364" s="10" t="str">
        <f ca="1">IFERROR(__xludf.DUMMYFUNCTION(" VLOOKUP(A361, IMPORTRANGE(""https://docs.google.com/spreadsheets/d/1fj_Bhi2XPL3siwIh4sx4VRLAe31yD50oKdj5UlRYW0c/"", ""Сводка!A:AA""), 11, FALSE)"),"978-601-310-609-0")</f>
        <v>978-601-310-609-0</v>
      </c>
      <c r="E364" s="11" t="s">
        <v>1471</v>
      </c>
      <c r="F364" s="11" t="s">
        <v>1475</v>
      </c>
      <c r="G364" s="12">
        <f ca="1">IFERROR(__xludf.DUMMYFUNCTION(" VLOOKUP(A361, IMPORTRANGE(""https://docs.google.com/spreadsheets/d/1fj_Bhi2XPL3siwIh4sx4VRLAe31yD50oKdj5UlRYW0c/"", ""Сводка!A:AA""), 5, FALSE)"),148)</f>
        <v>148</v>
      </c>
      <c r="H364" s="12" t="s">
        <v>282</v>
      </c>
      <c r="I364" s="10">
        <f ca="1">IFERROR(__xludf.DUMMYFUNCTION(" VLOOKUP(A361, IMPORTRANGE(""https://docs.google.com/spreadsheets/d/1QNLbnkR_AongFt22vMfNzfpjZ0CjpI8QI-w0wBnYA1w/"", ""Инфа!A:AA""), 6, FALSE)"),2024)</f>
        <v>2024</v>
      </c>
      <c r="J364" s="5">
        <f ca="1">ROUND((5000+G364*30),-2)</f>
        <v>9400</v>
      </c>
      <c r="K364" s="9" t="s">
        <v>171</v>
      </c>
      <c r="L364" s="15"/>
    </row>
    <row r="365" spans="1:12" ht="168.75">
      <c r="A365" s="8" t="s">
        <v>1476</v>
      </c>
      <c r="B365" s="9" t="s">
        <v>12</v>
      </c>
      <c r="C365" s="10" t="s">
        <v>151</v>
      </c>
      <c r="D365" s="10" t="s">
        <v>1477</v>
      </c>
      <c r="E365" s="11" t="s">
        <v>1471</v>
      </c>
      <c r="F365" s="11" t="s">
        <v>1478</v>
      </c>
      <c r="G365" s="12">
        <f ca="1">IFERROR(__xludf.DUMMYFUNCTION(" VLOOKUP(A362, IMPORTRANGE(""https://docs.google.com/spreadsheets/d/1fj_Bhi2XPL3siwIh4sx4VRLAe31yD50oKdj5UlRYW0c/"", ""Сводка!A:AA""), 5, FALSE)"),240)</f>
        <v>240</v>
      </c>
      <c r="H365" s="12" t="s">
        <v>282</v>
      </c>
      <c r="I365" s="10">
        <f ca="1">IFERROR(__xludf.DUMMYFUNCTION(" VLOOKUP(A362, IMPORTRANGE(""https://docs.google.com/spreadsheets/d/1QNLbnkR_AongFt22vMfNzfpjZ0CjpI8QI-w0wBnYA1w/"", ""Инфа!A:AA""), 6, FALSE)"),2023)</f>
        <v>2023</v>
      </c>
      <c r="J365" s="5">
        <f ca="1">ROUND((5000+G365*30),-2)</f>
        <v>12200</v>
      </c>
      <c r="K365" s="9" t="s">
        <v>171</v>
      </c>
      <c r="L365" s="15" t="s">
        <v>1479</v>
      </c>
    </row>
    <row r="366" spans="1:12" ht="180">
      <c r="A366" s="8" t="s">
        <v>1480</v>
      </c>
      <c r="B366" s="9" t="s">
        <v>12</v>
      </c>
      <c r="C366" s="10" t="s">
        <v>443</v>
      </c>
      <c r="D366" s="10" t="str">
        <f ca="1">IFERROR(__xludf.DUMMYFUNCTION(" VLOOKUP(A363, IMPORTRANGE(""https://docs.google.com/spreadsheets/d/1fj_Bhi2XPL3siwIh4sx4VRLAe31yD50oKdj5UlRYW0c/"", ""Сводка!A:AA""), 11, FALSE)"),"978-601-327-829-2")</f>
        <v>978-601-327-829-2</v>
      </c>
      <c r="E366" s="11" t="s">
        <v>1481</v>
      </c>
      <c r="F366" s="11" t="s">
        <v>1482</v>
      </c>
      <c r="G366" s="12">
        <f ca="1">IFERROR(__xludf.DUMMYFUNCTION(" VLOOKUP(A363, IMPORTRANGE(""https://docs.google.com/spreadsheets/d/1fj_Bhi2XPL3siwIh4sx4VRLAe31yD50oKdj5UlRYW0c/"", ""Сводка!A:AA""), 5, FALSE)"),96)</f>
        <v>96</v>
      </c>
      <c r="H366" s="12" t="s">
        <v>538</v>
      </c>
      <c r="I366" s="10">
        <f ca="1">IFERROR(__xludf.DUMMYFUNCTION(" VLOOKUP(A363, IMPORTRANGE(""https://docs.google.com/spreadsheets/d/1QNLbnkR_AongFt22vMfNzfpjZ0CjpI8QI-w0wBnYA1w/"", ""Инфа!A:AA""), 6, FALSE)"),2024)</f>
        <v>2024</v>
      </c>
      <c r="J366" s="5">
        <f ca="1">ROUND((5000+G366*60),-2)</f>
        <v>10800</v>
      </c>
      <c r="K366" s="12" t="s">
        <v>1483</v>
      </c>
      <c r="L366" s="15" t="s">
        <v>1484</v>
      </c>
    </row>
    <row r="367" spans="1:12" ht="191.25">
      <c r="A367" s="8" t="s">
        <v>1485</v>
      </c>
      <c r="B367" s="9" t="s">
        <v>12</v>
      </c>
      <c r="C367" s="10" t="s">
        <v>151</v>
      </c>
      <c r="D367" s="10" t="str">
        <f ca="1">IFERROR(__xludf.DUMMYFUNCTION(" VLOOKUP(A364, IMPORTRANGE(""https://docs.google.com/spreadsheets/d/1fj_Bhi2XPL3siwIh4sx4VRLAe31yD50oKdj5UlRYW0c/"", ""Сводка!A:AA""), 11, FALSE)"),"978-601-327-830-8")</f>
        <v>978-601-327-830-8</v>
      </c>
      <c r="E367" s="11" t="s">
        <v>1481</v>
      </c>
      <c r="F367" s="11" t="s">
        <v>1486</v>
      </c>
      <c r="G367" s="12">
        <f ca="1">IFERROR(__xludf.DUMMYFUNCTION(" VLOOKUP(A364, IMPORTRANGE(""https://docs.google.com/spreadsheets/d/1fj_Bhi2XPL3siwIh4sx4VRLAe31yD50oKdj5UlRYW0c/"", ""Сводка!A:AA""), 5, FALSE)"),100)</f>
        <v>100</v>
      </c>
      <c r="H367" s="12" t="s">
        <v>147</v>
      </c>
      <c r="I367" s="10">
        <f ca="1">IFERROR(__xludf.DUMMYFUNCTION(" VLOOKUP(A364, IMPORTRANGE(""https://docs.google.com/spreadsheets/d/1QNLbnkR_AongFt22vMfNzfpjZ0CjpI8QI-w0wBnYA1w/"", ""Инфа!A:AA""), 6, FALSE)"),2024)</f>
        <v>2024</v>
      </c>
      <c r="J367" s="5">
        <f ca="1">ROUND((5000+G367*60),-2)</f>
        <v>11000</v>
      </c>
      <c r="K367" s="36" t="s">
        <v>1105</v>
      </c>
      <c r="L367" s="15" t="s">
        <v>1487</v>
      </c>
    </row>
    <row r="368" spans="1:12" ht="157.5">
      <c r="A368" s="8" t="s">
        <v>1488</v>
      </c>
      <c r="B368" s="9" t="s">
        <v>12</v>
      </c>
      <c r="C368" s="10" t="s">
        <v>151</v>
      </c>
      <c r="D368" s="10" t="str">
        <f ca="1">IFERROR(__xludf.DUMMYFUNCTION(" VLOOKUP(A365, IMPORTRANGE(""https://docs.google.com/spreadsheets/d/1fj_Bhi2XPL3siwIh4sx4VRLAe31yD50oKdj5UlRYW0c/"", ""Сводка!A:AA""), 11, FALSE)"),"978-601-327-586-4")</f>
        <v>978-601-327-586-4</v>
      </c>
      <c r="E368" s="11" t="s">
        <v>1489</v>
      </c>
      <c r="F368" s="11" t="s">
        <v>1490</v>
      </c>
      <c r="G368" s="12">
        <f ca="1">IFERROR(__xludf.DUMMYFUNCTION(" VLOOKUP(A365, IMPORTRANGE(""https://docs.google.com/spreadsheets/d/1fj_Bhi2XPL3siwIh4sx4VRLAe31yD50oKdj5UlRYW0c/"", ""Сводка!A:AA""), 5, FALSE)"),268)</f>
        <v>268</v>
      </c>
      <c r="H368" s="12" t="s">
        <v>24</v>
      </c>
      <c r="I368" s="10">
        <f ca="1">IFERROR(__xludf.DUMMYFUNCTION(" VLOOKUP(A365, IMPORTRANGE(""https://docs.google.com/spreadsheets/d/1QNLbnkR_AongFt22vMfNzfpjZ0CjpI8QI-w0wBnYA1w/"", ""Инфа!A:AA""), 6, FALSE)"),2024)</f>
        <v>2024</v>
      </c>
      <c r="J368" s="5">
        <f ca="1">ROUND((5000+G368*30),-2)</f>
        <v>13000</v>
      </c>
      <c r="K368" s="12" t="s">
        <v>1491</v>
      </c>
      <c r="L368" s="15" t="s">
        <v>1492</v>
      </c>
    </row>
    <row r="369" spans="1:12" ht="202.5">
      <c r="A369" s="8" t="s">
        <v>1493</v>
      </c>
      <c r="B369" s="9" t="s">
        <v>12</v>
      </c>
      <c r="C369" s="10" t="s">
        <v>443</v>
      </c>
      <c r="D369" s="10" t="str">
        <f ca="1">IFERROR(__xludf.DUMMYFUNCTION(" VLOOKUP(A366, IMPORTRANGE(""https://docs.google.com/spreadsheets/d/1fj_Bhi2XPL3siwIh4sx4VRLAe31yD50oKdj5UlRYW0c/"", ""Сводка!A:AA""), 11, FALSE)"),"978-601-310-498-0")</f>
        <v>978-601-310-498-0</v>
      </c>
      <c r="E369" s="11" t="s">
        <v>1494</v>
      </c>
      <c r="F369" s="11" t="s">
        <v>561</v>
      </c>
      <c r="G369" s="12">
        <f ca="1">IFERROR(__xludf.DUMMYFUNCTION(" VLOOKUP(A366, IMPORTRANGE(""https://docs.google.com/spreadsheets/d/1fj_Bhi2XPL3siwIh4sx4VRLAe31yD50oKdj5UlRYW0c/"", ""Сводка!A:AA""), 5, FALSE)"),176)</f>
        <v>176</v>
      </c>
      <c r="H369" s="12" t="s">
        <v>511</v>
      </c>
      <c r="I369" s="10">
        <f ca="1">IFERROR(__xludf.DUMMYFUNCTION(" VLOOKUP(A366, IMPORTRANGE(""https://docs.google.com/spreadsheets/d/1QNLbnkR_AongFt22vMfNzfpjZ0CjpI8QI-w0wBnYA1w/"", ""Инфа!A:AA""), 6, FALSE)"),2024)</f>
        <v>2024</v>
      </c>
      <c r="J369" s="5">
        <f ca="1">ROUND((5000+G369*60),-2)</f>
        <v>15600</v>
      </c>
      <c r="K369" s="9" t="s">
        <v>539</v>
      </c>
      <c r="L369" s="15" t="s">
        <v>1495</v>
      </c>
    </row>
    <row r="370" spans="1:12" ht="51">
      <c r="A370" s="8" t="s">
        <v>1496</v>
      </c>
      <c r="B370" s="9" t="s">
        <v>12</v>
      </c>
      <c r="C370" s="13" t="s">
        <v>443</v>
      </c>
      <c r="D370" s="10" t="str">
        <f ca="1">IFERROR(__xludf.DUMMYFUNCTION(" VLOOKUP(A367, IMPORTRANGE(""https://docs.google.com/spreadsheets/d/1fj_Bhi2XPL3siwIh4sx4VRLAe31yD50oKdj5UlRYW0c/"", ""Сводка!A:AA""), 11, FALSE)"),"978-601-310-498-0")</f>
        <v>978-601-310-498-0</v>
      </c>
      <c r="E370" s="19" t="s">
        <v>1494</v>
      </c>
      <c r="F370" s="19" t="s">
        <v>1497</v>
      </c>
      <c r="G370" s="12">
        <f ca="1">IFERROR(__xludf.DUMMYFUNCTION(" VLOOKUP(A367, IMPORTRANGE(""https://docs.google.com/spreadsheets/d/1fj_Bhi2XPL3siwIh4sx4VRLAe31yD50oKdj5UlRYW0c/"", ""Сводка!A:AA""), 5, FALSE)"),176)</f>
        <v>176</v>
      </c>
      <c r="H370" s="9" t="s">
        <v>538</v>
      </c>
      <c r="I370" s="10">
        <f ca="1">IFERROR(__xludf.DUMMYFUNCTION(" VLOOKUP(A367, IMPORTRANGE(""https://docs.google.com/spreadsheets/d/1QNLbnkR_AongFt22vMfNzfpjZ0CjpI8QI-w0wBnYA1w/"", ""Инфа!A:AA""), 6, FALSE)"),2024)</f>
        <v>2024</v>
      </c>
      <c r="J370" s="5">
        <f ca="1">ROUND((5000+G370*60),-2)</f>
        <v>15600</v>
      </c>
      <c r="K370" s="9" t="s">
        <v>257</v>
      </c>
      <c r="L370" s="21"/>
    </row>
    <row r="371" spans="1:12" ht="63.75">
      <c r="A371" s="8" t="s">
        <v>1498</v>
      </c>
      <c r="B371" s="9" t="s">
        <v>12</v>
      </c>
      <c r="C371" s="13" t="s">
        <v>443</v>
      </c>
      <c r="D371" s="10" t="str">
        <f ca="1">IFERROR(__xludf.DUMMYFUNCTION(" VLOOKUP(A368, IMPORTRANGE(""https://docs.google.com/spreadsheets/d/1fj_Bhi2XPL3siwIh4sx4VRLAe31yD50oKdj5UlRYW0c/"", ""Сводка!A:AA""), 11, FALSE)"),"978-9965-875-88-5")</f>
        <v>978-9965-875-88-5</v>
      </c>
      <c r="E371" s="19" t="s">
        <v>1494</v>
      </c>
      <c r="F371" s="19" t="s">
        <v>1499</v>
      </c>
      <c r="G371" s="12">
        <f ca="1">IFERROR(__xludf.DUMMYFUNCTION(" VLOOKUP(A368, IMPORTRANGE(""https://docs.google.com/spreadsheets/d/1fj_Bhi2XPL3siwIh4sx4VRLAe31yD50oKdj5UlRYW0c/"", ""Сводка!A:AA""), 5, FALSE)"),128)</f>
        <v>128</v>
      </c>
      <c r="H371" s="9" t="s">
        <v>538</v>
      </c>
      <c r="I371" s="10">
        <f ca="1">IFERROR(__xludf.DUMMYFUNCTION(" VLOOKUP(A368, IMPORTRANGE(""https://docs.google.com/spreadsheets/d/1QNLbnkR_AongFt22vMfNzfpjZ0CjpI8QI-w0wBnYA1w/"", ""Инфа!A:AA""), 6, FALSE)"),2024)</f>
        <v>2024</v>
      </c>
      <c r="J371" s="5">
        <f ca="1">ROUND((5000+G371*30),-2)</f>
        <v>8800</v>
      </c>
      <c r="K371" s="9" t="s">
        <v>539</v>
      </c>
      <c r="L371" s="21"/>
    </row>
    <row r="372" spans="1:12" ht="38.25">
      <c r="A372" s="8" t="s">
        <v>1500</v>
      </c>
      <c r="B372" s="9" t="s">
        <v>12</v>
      </c>
      <c r="C372" s="13" t="s">
        <v>443</v>
      </c>
      <c r="D372" s="10" t="str">
        <f ca="1">IFERROR(__xludf.DUMMYFUNCTION(" VLOOKUP(A369, IMPORTRANGE(""https://docs.google.com/spreadsheets/d/1fj_Bhi2XPL3siwIh4sx4VRLAe31yD50oKdj5UlRYW0c/"", ""Сводка!A:AA""), 11, FALSE)"),"978-996-587-568-7")</f>
        <v>978-996-587-568-7</v>
      </c>
      <c r="E372" s="19" t="s">
        <v>1494</v>
      </c>
      <c r="F372" s="19" t="s">
        <v>1501</v>
      </c>
      <c r="G372" s="12">
        <f ca="1">IFERROR(__xludf.DUMMYFUNCTION(" VLOOKUP(A369, IMPORTRANGE(""https://docs.google.com/spreadsheets/d/1fj_Bhi2XPL3siwIh4sx4VRLAe31yD50oKdj5UlRYW0c/"", ""Сводка!A:AA""), 5, FALSE)"),128)</f>
        <v>128</v>
      </c>
      <c r="H372" s="9" t="s">
        <v>538</v>
      </c>
      <c r="I372" s="10">
        <f ca="1">IFERROR(__xludf.DUMMYFUNCTION(" VLOOKUP(A369, IMPORTRANGE(""https://docs.google.com/spreadsheets/d/1QNLbnkR_AongFt22vMfNzfpjZ0CjpI8QI-w0wBnYA1w/"", ""Инфа!A:AA""), 6, FALSE)"),2024)</f>
        <v>2024</v>
      </c>
      <c r="J372" s="5">
        <f ca="1">ROUND((5000+G372*30),-2)</f>
        <v>8800</v>
      </c>
      <c r="K372" s="9" t="s">
        <v>539</v>
      </c>
      <c r="L372" s="21"/>
    </row>
    <row r="373" spans="1:12" ht="281.25">
      <c r="A373" s="8" t="s">
        <v>1502</v>
      </c>
      <c r="B373" s="9" t="s">
        <v>12</v>
      </c>
      <c r="C373" s="10" t="s">
        <v>443</v>
      </c>
      <c r="D373" s="10" t="str">
        <f ca="1">IFERROR(__xludf.DUMMYFUNCTION(" VLOOKUP(A370, IMPORTRANGE(""https://docs.google.com/spreadsheets/d/1fj_Bhi2XPL3siwIh4sx4VRLAe31yD50oKdj5UlRYW0c/"", ""Сводка!A:AA""), 11, FALSE)"),"978-601-342-670-9")</f>
        <v>978-601-342-670-9</v>
      </c>
      <c r="E373" s="11" t="s">
        <v>1503</v>
      </c>
      <c r="F373" s="11" t="s">
        <v>1504</v>
      </c>
      <c r="G373" s="12">
        <f ca="1">IFERROR(__xludf.DUMMYFUNCTION(" VLOOKUP(A370, IMPORTRANGE(""https://docs.google.com/spreadsheets/d/1fj_Bhi2XPL3siwIh4sx4VRLAe31yD50oKdj5UlRYW0c/"", ""Сводка!A:AA""), 5, FALSE)"),256)</f>
        <v>256</v>
      </c>
      <c r="H373" s="12" t="s">
        <v>24</v>
      </c>
      <c r="I373" s="10">
        <f ca="1">IFERROR(__xludf.DUMMYFUNCTION(" VLOOKUP(A370, IMPORTRANGE(""https://docs.google.com/spreadsheets/d/1QNLbnkR_AongFt22vMfNzfpjZ0CjpI8QI-w0wBnYA1w/"", ""Инфа!A:AA""), 6, FALSE)"),2024)</f>
        <v>2024</v>
      </c>
      <c r="J373" s="5">
        <f ca="1">ROUND((5000+G373*60),-2)</f>
        <v>20400</v>
      </c>
      <c r="K373" s="12" t="s">
        <v>287</v>
      </c>
      <c r="L373" s="15" t="s">
        <v>1505</v>
      </c>
    </row>
    <row r="374" spans="1:12" ht="270">
      <c r="A374" s="8" t="s">
        <v>1506</v>
      </c>
      <c r="B374" s="9" t="s">
        <v>12</v>
      </c>
      <c r="C374" s="10" t="s">
        <v>443</v>
      </c>
      <c r="D374" s="10" t="str">
        <f ca="1">IFERROR(__xludf.DUMMYFUNCTION(" VLOOKUP(A371, IMPORTRANGE(""https://docs.google.com/spreadsheets/d/1fj_Bhi2XPL3siwIh4sx4VRLAe31yD50oKdj5UlRYW0c/"", ""Сводка!A:AA""), 11, FALSE)"),"978-601-342-677-8")</f>
        <v>978-601-342-677-8</v>
      </c>
      <c r="E374" s="11" t="s">
        <v>1507</v>
      </c>
      <c r="F374" s="11" t="s">
        <v>1508</v>
      </c>
      <c r="G374" s="12">
        <f ca="1">IFERROR(__xludf.DUMMYFUNCTION(" VLOOKUP(A371, IMPORTRANGE(""https://docs.google.com/spreadsheets/d/1fj_Bhi2XPL3siwIh4sx4VRLAe31yD50oKdj5UlRYW0c/"", ""Сводка!A:AA""), 5, FALSE)"),248)</f>
        <v>248</v>
      </c>
      <c r="H374" s="12" t="s">
        <v>511</v>
      </c>
      <c r="I374" s="10">
        <f ca="1">IFERROR(__xludf.DUMMYFUNCTION(" VLOOKUP(A371, IMPORTRANGE(""https://docs.google.com/spreadsheets/d/1QNLbnkR_AongFt22vMfNzfpjZ0CjpI8QI-w0wBnYA1w/"", ""Инфа!A:AA""), 6, FALSE)"),2024)</f>
        <v>2024</v>
      </c>
      <c r="J374" s="5">
        <f ca="1">ROUND((5000+G374*60),-2)</f>
        <v>19900</v>
      </c>
      <c r="K374" s="12" t="s">
        <v>287</v>
      </c>
      <c r="L374" s="15" t="s">
        <v>1509</v>
      </c>
    </row>
    <row r="375" spans="1:12" ht="25.5">
      <c r="A375" s="8" t="s">
        <v>1510</v>
      </c>
      <c r="B375" s="9" t="s">
        <v>12</v>
      </c>
      <c r="C375" s="10" t="s">
        <v>443</v>
      </c>
      <c r="D375" s="10" t="str">
        <f ca="1">IFERROR(__xludf.DUMMYFUNCTION(" VLOOKUP(A372, IMPORTRANGE(""https://docs.google.com/spreadsheets/d/1fj_Bhi2XPL3siwIh4sx4VRLAe31yD50oKdj5UlRYW0c/"", ""Сводка!A:AA""), 11, FALSE)"),"978-601-310-230-6")</f>
        <v>978-601-310-230-6</v>
      </c>
      <c r="E375" s="11" t="s">
        <v>1511</v>
      </c>
      <c r="F375" s="11" t="s">
        <v>1512</v>
      </c>
      <c r="G375" s="12">
        <f ca="1">IFERROR(__xludf.DUMMYFUNCTION(" VLOOKUP(A372, IMPORTRANGE(""https://docs.google.com/spreadsheets/d/1fj_Bhi2XPL3siwIh4sx4VRLAe31yD50oKdj5UlRYW0c/"", ""Сводка!A:AA""), 5, FALSE)"),212)</f>
        <v>212</v>
      </c>
      <c r="H375" s="12" t="s">
        <v>538</v>
      </c>
      <c r="I375" s="10">
        <f ca="1">IFERROR(__xludf.DUMMYFUNCTION(" VLOOKUP(A372, IMPORTRANGE(""https://docs.google.com/spreadsheets/d/1QNLbnkR_AongFt22vMfNzfpjZ0CjpI8QI-w0wBnYA1w/"", ""Инфа!A:AA""), 6, FALSE)"),2024)</f>
        <v>2024</v>
      </c>
      <c r="J375" s="5">
        <f ca="1">ROUND(((5000+G375*30)*1.3),-2)</f>
        <v>14800</v>
      </c>
      <c r="K375" s="9" t="s">
        <v>101</v>
      </c>
      <c r="L375" s="15"/>
    </row>
    <row r="376" spans="1:12" ht="146.25">
      <c r="A376" s="8" t="s">
        <v>1513</v>
      </c>
      <c r="B376" s="9" t="s">
        <v>12</v>
      </c>
      <c r="C376" s="10" t="s">
        <v>151</v>
      </c>
      <c r="D376" s="10" t="str">
        <f ca="1">IFERROR(__xludf.DUMMYFUNCTION(" VLOOKUP(A373, IMPORTRANGE(""https://docs.google.com/spreadsheets/d/1fj_Bhi2XPL3siwIh4sx4VRLAe31yD50oKdj5UlRYW0c/"", ""Сводка!A:AA""), 11, FALSE)"),"978-601-342-308-1")</f>
        <v>978-601-342-308-1</v>
      </c>
      <c r="E376" s="11" t="s">
        <v>1514</v>
      </c>
      <c r="F376" s="11" t="s">
        <v>1515</v>
      </c>
      <c r="G376" s="12">
        <f ca="1">IFERROR(__xludf.DUMMYFUNCTION(" VLOOKUP(A373, IMPORTRANGE(""https://docs.google.com/spreadsheets/d/1fj_Bhi2XPL3siwIh4sx4VRLAe31yD50oKdj5UlRYW0c/"", ""Сводка!A:AA""), 5, FALSE)"),160)</f>
        <v>160</v>
      </c>
      <c r="H376" s="12" t="s">
        <v>47</v>
      </c>
      <c r="I376" s="10">
        <f ca="1">IFERROR(__xludf.DUMMYFUNCTION(" VLOOKUP(A373, IMPORTRANGE(""https://docs.google.com/spreadsheets/d/1QNLbnkR_AongFt22vMfNzfpjZ0CjpI8QI-w0wBnYA1w/"", ""Инфа!A:AA""), 6, FALSE)"),2024)</f>
        <v>2024</v>
      </c>
      <c r="J376" s="5">
        <f ca="1">ROUND((5000+G376*30),-2)</f>
        <v>9800</v>
      </c>
      <c r="K376" s="12" t="s">
        <v>287</v>
      </c>
      <c r="L376" s="15" t="s">
        <v>1516</v>
      </c>
    </row>
    <row r="377" spans="1:12" ht="157.5">
      <c r="A377" s="8" t="s">
        <v>1517</v>
      </c>
      <c r="B377" s="9" t="s">
        <v>12</v>
      </c>
      <c r="C377" s="10" t="s">
        <v>443</v>
      </c>
      <c r="D377" s="10" t="str">
        <f ca="1">IFERROR(__xludf.DUMMYFUNCTION(" VLOOKUP(A374, IMPORTRANGE(""https://docs.google.com/spreadsheets/d/1fj_Bhi2XPL3siwIh4sx4VRLAe31yD50oKdj5UlRYW0c/"", ""Сводка!A:AA""), 11, FALSE)"),"978-601-342-724-9")</f>
        <v>978-601-342-724-9</v>
      </c>
      <c r="E377" s="11" t="s">
        <v>1514</v>
      </c>
      <c r="F377" s="11" t="s">
        <v>1518</v>
      </c>
      <c r="G377" s="12">
        <f ca="1">IFERROR(__xludf.DUMMYFUNCTION(" VLOOKUP(A374, IMPORTRANGE(""https://docs.google.com/spreadsheets/d/1fj_Bhi2XPL3siwIh4sx4VRLAe31yD50oKdj5UlRYW0c/"", ""Сводка!A:AA""), 5, FALSE)"),104)</f>
        <v>104</v>
      </c>
      <c r="H377" s="12" t="s">
        <v>538</v>
      </c>
      <c r="I377" s="10">
        <f ca="1">IFERROR(__xludf.DUMMYFUNCTION(" VLOOKUP(A374, IMPORTRANGE(""https://docs.google.com/spreadsheets/d/1QNLbnkR_AongFt22vMfNzfpjZ0CjpI8QI-w0wBnYA1w/"", ""Инфа!A:AA""), 6, FALSE)"),2024)</f>
        <v>2024</v>
      </c>
      <c r="J377" s="5">
        <f ca="1">ROUND((5000+G377*30),-2)</f>
        <v>8100</v>
      </c>
      <c r="K377" s="12" t="s">
        <v>287</v>
      </c>
      <c r="L377" s="15" t="s">
        <v>1519</v>
      </c>
    </row>
    <row r="378" spans="1:12" ht="146.25">
      <c r="A378" s="8" t="s">
        <v>1520</v>
      </c>
      <c r="B378" s="9" t="s">
        <v>12</v>
      </c>
      <c r="C378" s="10" t="s">
        <v>151</v>
      </c>
      <c r="D378" s="10" t="str">
        <f ca="1">IFERROR(__xludf.DUMMYFUNCTION(" VLOOKUP(A375, IMPORTRANGE(""https://docs.google.com/spreadsheets/d/1fj_Bhi2XPL3siwIh4sx4VRLAe31yD50oKdj5UlRYW0c/"", ""Сводка!A:AA""), 11, FALSE)"),"978-601-342-725-6")</f>
        <v>978-601-342-725-6</v>
      </c>
      <c r="E378" s="11" t="s">
        <v>1514</v>
      </c>
      <c r="F378" s="11" t="s">
        <v>1521</v>
      </c>
      <c r="G378" s="12">
        <f ca="1">IFERROR(__xludf.DUMMYFUNCTION(" VLOOKUP(A375, IMPORTRANGE(""https://docs.google.com/spreadsheets/d/1fj_Bhi2XPL3siwIh4sx4VRLAe31yD50oKdj5UlRYW0c/"", ""Сводка!A:AA""), 5, FALSE)"),304)</f>
        <v>304</v>
      </c>
      <c r="H378" s="12" t="s">
        <v>56</v>
      </c>
      <c r="I378" s="10">
        <f ca="1">IFERROR(__xludf.DUMMYFUNCTION(" VLOOKUP(A375, IMPORTRANGE(""https://docs.google.com/spreadsheets/d/1QNLbnkR_AongFt22vMfNzfpjZ0CjpI8QI-w0wBnYA1w/"", ""Инфа!A:AA""), 6, FALSE)"),2024)</f>
        <v>2024</v>
      </c>
      <c r="J378" s="5">
        <f ca="1">ROUND((5000+G378*60),-2)</f>
        <v>23200</v>
      </c>
      <c r="K378" s="12" t="s">
        <v>287</v>
      </c>
      <c r="L378" s="15" t="s">
        <v>1522</v>
      </c>
    </row>
    <row r="379" spans="1:12" ht="191.25">
      <c r="A379" s="8" t="s">
        <v>1523</v>
      </c>
      <c r="B379" s="9" t="s">
        <v>12</v>
      </c>
      <c r="C379" s="10" t="s">
        <v>443</v>
      </c>
      <c r="D379" s="10" t="str">
        <f ca="1">IFERROR(__xludf.DUMMYFUNCTION(" VLOOKUP(A376, IMPORTRANGE(""https://docs.google.com/spreadsheets/d/1fj_Bhi2XPL3siwIh4sx4VRLAe31yD50oKdj5UlRYW0c/"", ""Сводка!A:AA""), 11, FALSE)"),"978-601-240-004-5")</f>
        <v>978-601-240-004-5</v>
      </c>
      <c r="E379" s="11" t="s">
        <v>1524</v>
      </c>
      <c r="F379" s="11" t="s">
        <v>1525</v>
      </c>
      <c r="G379" s="12">
        <f ca="1">IFERROR(__xludf.DUMMYFUNCTION(" VLOOKUP(A376, IMPORTRANGE(""https://docs.google.com/spreadsheets/d/1fj_Bhi2XPL3siwIh4sx4VRLAe31yD50oKdj5UlRYW0c/"", ""Сводка!A:AA""), 5, FALSE)"),216)</f>
        <v>216</v>
      </c>
      <c r="H379" s="12" t="s">
        <v>511</v>
      </c>
      <c r="I379" s="10">
        <f ca="1">IFERROR(__xludf.DUMMYFUNCTION(" VLOOKUP(A376, IMPORTRANGE(""https://docs.google.com/spreadsheets/d/1QNLbnkR_AongFt22vMfNzfpjZ0CjpI8QI-w0wBnYA1w/"", ""Инфа!A:AA""), 6, FALSE)"),2024)</f>
        <v>2024</v>
      </c>
      <c r="J379" s="5">
        <f ca="1">ROUND((5000+G379*60),-2)</f>
        <v>18000</v>
      </c>
      <c r="K379" s="12" t="s">
        <v>287</v>
      </c>
      <c r="L379" s="15" t="s">
        <v>1526</v>
      </c>
    </row>
    <row r="380" spans="1:12" ht="157.5">
      <c r="A380" s="8" t="s">
        <v>1527</v>
      </c>
      <c r="B380" s="9" t="s">
        <v>12</v>
      </c>
      <c r="C380" s="10" t="s">
        <v>1528</v>
      </c>
      <c r="D380" s="10" t="str">
        <f ca="1">IFERROR(__xludf.DUMMYFUNCTION(" VLOOKUP(A377, IMPORTRANGE(""https://docs.google.com/spreadsheets/d/1fj_Bhi2XPL3siwIh4sx4VRLAe31yD50oKdj5UlRYW0c/"", ""Сводка!A:AA""), 11, FALSE)"),"978-601-342-042-4")</f>
        <v>978-601-342-042-4</v>
      </c>
      <c r="E380" s="11" t="s">
        <v>1529</v>
      </c>
      <c r="F380" s="11" t="s">
        <v>1530</v>
      </c>
      <c r="G380" s="12">
        <f ca="1">IFERROR(__xludf.DUMMYFUNCTION(" VLOOKUP(A377, IMPORTRANGE(""https://docs.google.com/spreadsheets/d/1fj_Bhi2XPL3siwIh4sx4VRLAe31yD50oKdj5UlRYW0c/"", ""Сводка!A:AA""), 5, FALSE)"),220)</f>
        <v>220</v>
      </c>
      <c r="H380" s="12" t="s">
        <v>47</v>
      </c>
      <c r="I380" s="10">
        <f ca="1">IFERROR(__xludf.DUMMYFUNCTION(" VLOOKUP(A377, IMPORTRANGE(""https://docs.google.com/spreadsheets/d/1QNLbnkR_AongFt22vMfNzfpjZ0CjpI8QI-w0wBnYA1w/"", ""Инфа!A:AA""), 6, FALSE)"),2024)</f>
        <v>2024</v>
      </c>
      <c r="J380" s="5">
        <f ca="1">ROUND((5000+G380*30),-2)</f>
        <v>11600</v>
      </c>
      <c r="K380" s="12" t="s">
        <v>287</v>
      </c>
      <c r="L380" s="15" t="s">
        <v>1531</v>
      </c>
    </row>
    <row r="381" spans="1:12" ht="157.5">
      <c r="A381" s="8" t="s">
        <v>1532</v>
      </c>
      <c r="B381" s="9" t="s">
        <v>12</v>
      </c>
      <c r="C381" s="10" t="s">
        <v>151</v>
      </c>
      <c r="D381" s="10" t="s">
        <v>1533</v>
      </c>
      <c r="E381" s="11" t="s">
        <v>1529</v>
      </c>
      <c r="F381" s="11" t="s">
        <v>1534</v>
      </c>
      <c r="G381" s="12">
        <f ca="1">IFERROR(__xludf.DUMMYFUNCTION(" VLOOKUP(A378, IMPORTRANGE(""https://docs.google.com/spreadsheets/d/1fj_Bhi2XPL3siwIh4sx4VRLAe31yD50oKdj5UlRYW0c/"", ""Сводка!A:AA""), 5, FALSE)"),200)</f>
        <v>200</v>
      </c>
      <c r="H381" s="12" t="s">
        <v>47</v>
      </c>
      <c r="I381" s="10">
        <f ca="1">IFERROR(__xludf.DUMMYFUNCTION(" VLOOKUP(A378, IMPORTRANGE(""https://docs.google.com/spreadsheets/d/1QNLbnkR_AongFt22vMfNzfpjZ0CjpI8QI-w0wBnYA1w/"", ""Инфа!A:AA""), 6, FALSE)"),2024)</f>
        <v>2024</v>
      </c>
      <c r="J381" s="5">
        <f ca="1">ROUND((5000+G381*30),-2)</f>
        <v>11000</v>
      </c>
      <c r="K381" s="12" t="s">
        <v>287</v>
      </c>
      <c r="L381" s="15" t="s">
        <v>1531</v>
      </c>
    </row>
    <row r="382" spans="1:12" ht="123.75">
      <c r="A382" s="8" t="s">
        <v>1535</v>
      </c>
      <c r="B382" s="9" t="s">
        <v>12</v>
      </c>
      <c r="C382" s="10" t="s">
        <v>443</v>
      </c>
      <c r="D382" s="10" t="str">
        <f ca="1">IFERROR(__xludf.DUMMYFUNCTION(" VLOOKUP(A379, IMPORTRANGE(""https://docs.google.com/spreadsheets/d/1fj_Bhi2XPL3siwIh4sx4VRLAe31yD50oKdj5UlRYW0c/"", ""Сводка!A:AA""), 11, FALSE)"),"978-601-342-380-7")</f>
        <v>978-601-342-380-7</v>
      </c>
      <c r="E382" s="11" t="s">
        <v>1536</v>
      </c>
      <c r="F382" s="11" t="s">
        <v>1537</v>
      </c>
      <c r="G382" s="12">
        <f ca="1">IFERROR(__xludf.DUMMYFUNCTION(" VLOOKUP(A379, IMPORTRANGE(""https://docs.google.com/spreadsheets/d/1fj_Bhi2XPL3siwIh4sx4VRLAe31yD50oKdj5UlRYW0c/"", ""Сводка!A:AA""), 5, FALSE)"),192)</f>
        <v>192</v>
      </c>
      <c r="H382" s="12" t="s">
        <v>511</v>
      </c>
      <c r="I382" s="10">
        <f ca="1">IFERROR(__xludf.DUMMYFUNCTION(" VLOOKUP(A379, IMPORTRANGE(""https://docs.google.com/spreadsheets/d/1QNLbnkR_AongFt22vMfNzfpjZ0CjpI8QI-w0wBnYA1w/"", ""Инфа!A:AA""), 6, FALSE)"),2024)</f>
        <v>2024</v>
      </c>
      <c r="J382" s="5">
        <f ca="1">ROUND((5000+G382*60),-2)</f>
        <v>16500</v>
      </c>
      <c r="K382" s="12" t="s">
        <v>287</v>
      </c>
      <c r="L382" s="15" t="s">
        <v>1539</v>
      </c>
    </row>
    <row r="383" spans="1:12" ht="123.75">
      <c r="A383" s="8" t="s">
        <v>1540</v>
      </c>
      <c r="B383" s="9" t="s">
        <v>12</v>
      </c>
      <c r="C383" s="10" t="s">
        <v>443</v>
      </c>
      <c r="D383" s="10" t="str">
        <f ca="1">IFERROR(__xludf.DUMMYFUNCTION(" VLOOKUP(A380, IMPORTRANGE(""https://docs.google.com/spreadsheets/d/1fj_Bhi2XPL3siwIh4sx4VRLAe31yD50oKdj5UlRYW0c/"", ""Сводка!A:AA""), 11, FALSE)"),"978-601-342-380-7")</f>
        <v>978-601-342-380-7</v>
      </c>
      <c r="E383" s="11" t="s">
        <v>1536</v>
      </c>
      <c r="F383" s="11" t="s">
        <v>1541</v>
      </c>
      <c r="G383" s="12">
        <f ca="1">IFERROR(__xludf.DUMMYFUNCTION(" VLOOKUP(A380, IMPORTRANGE(""https://docs.google.com/spreadsheets/d/1fj_Bhi2XPL3siwIh4sx4VRLAe31yD50oKdj5UlRYW0c/"", ""Сводка!A:AA""), 5, FALSE)"),204)</f>
        <v>204</v>
      </c>
      <c r="H383" s="12" t="s">
        <v>511</v>
      </c>
      <c r="I383" s="10">
        <f ca="1">IFERROR(__xludf.DUMMYFUNCTION(" VLOOKUP(A380, IMPORTRANGE(""https://docs.google.com/spreadsheets/d/1QNLbnkR_AongFt22vMfNzfpjZ0CjpI8QI-w0wBnYA1w/"", ""Инфа!A:AA""), 6, FALSE)"),2024)</f>
        <v>2024</v>
      </c>
      <c r="J383" s="5">
        <f ca="1">ROUND((5000+G383*30),-2)</f>
        <v>11100</v>
      </c>
      <c r="K383" s="12" t="s">
        <v>287</v>
      </c>
      <c r="L383" s="15" t="s">
        <v>1539</v>
      </c>
    </row>
    <row r="384" spans="1:12" ht="225">
      <c r="A384" s="8" t="s">
        <v>1542</v>
      </c>
      <c r="B384" s="9" t="s">
        <v>12</v>
      </c>
      <c r="C384" s="10" t="s">
        <v>443</v>
      </c>
      <c r="D384" s="10" t="str">
        <f ca="1">IFERROR(__xludf.DUMMYFUNCTION(" VLOOKUP(A381, IMPORTRANGE(""https://docs.google.com/spreadsheets/d/1fj_Bhi2XPL3siwIh4sx4VRLAe31yD50oKdj5UlRYW0c/"", ""Сводка!A:AA""), 11, FALSE)"),"978-601-327-383-9")</f>
        <v>978-601-327-383-9</v>
      </c>
      <c r="E384" s="11" t="s">
        <v>1543</v>
      </c>
      <c r="F384" s="11" t="s">
        <v>1544</v>
      </c>
      <c r="G384" s="12">
        <f ca="1">IFERROR(__xludf.DUMMYFUNCTION(" VLOOKUP(A381, IMPORTRANGE(""https://docs.google.com/spreadsheets/d/1fj_Bhi2XPL3siwIh4sx4VRLAe31yD50oKdj5UlRYW0c/"", ""Сводка!A:AA""), 5, FALSE)"),232)</f>
        <v>232</v>
      </c>
      <c r="H384" s="12" t="s">
        <v>671</v>
      </c>
      <c r="I384" s="10">
        <f ca="1">IFERROR(__xludf.DUMMYFUNCTION(" VLOOKUP(A381, IMPORTRANGE(""https://docs.google.com/spreadsheets/d/1QNLbnkR_AongFt22vMfNzfpjZ0CjpI8QI-w0wBnYA1w/"", ""Инфа!A:AA""), 6, FALSE)"),2024)</f>
        <v>2024</v>
      </c>
      <c r="J384" s="5">
        <f ca="1">ROUND((5000+G384*60),-2)</f>
        <v>18900</v>
      </c>
      <c r="K384" s="12" t="s">
        <v>287</v>
      </c>
      <c r="L384" s="15" t="s">
        <v>1545</v>
      </c>
    </row>
    <row r="385" spans="1:12" ht="225">
      <c r="A385" s="8" t="s">
        <v>1546</v>
      </c>
      <c r="B385" s="9" t="s">
        <v>12</v>
      </c>
      <c r="C385" s="10" t="s">
        <v>443</v>
      </c>
      <c r="D385" s="10" t="str">
        <f ca="1">IFERROR(__xludf.DUMMYFUNCTION(" VLOOKUP(A382, IMPORTRANGE(""https://docs.google.com/spreadsheets/d/1fj_Bhi2XPL3siwIh4sx4VRLAe31yD50oKdj5UlRYW0c/"", ""Сводка!A:AA""), 11, FALSE)"),"978-601-327-383-9")</f>
        <v>978-601-327-383-9</v>
      </c>
      <c r="E385" s="11" t="s">
        <v>1543</v>
      </c>
      <c r="F385" s="11" t="s">
        <v>1547</v>
      </c>
      <c r="G385" s="12">
        <f ca="1">IFERROR(__xludf.DUMMYFUNCTION(" VLOOKUP(A382, IMPORTRANGE(""https://docs.google.com/spreadsheets/d/1fj_Bhi2XPL3siwIh4sx4VRLAe31yD50oKdj5UlRYW0c/"", ""Сводка!A:AA""), 5, FALSE)"),216)</f>
        <v>216</v>
      </c>
      <c r="H385" s="12" t="s">
        <v>671</v>
      </c>
      <c r="I385" s="10">
        <f ca="1">IFERROR(__xludf.DUMMYFUNCTION(" VLOOKUP(A382, IMPORTRANGE(""https://docs.google.com/spreadsheets/d/1QNLbnkR_AongFt22vMfNzfpjZ0CjpI8QI-w0wBnYA1w/"", ""Инфа!A:AA""), 6, FALSE)"),2024)</f>
        <v>2024</v>
      </c>
      <c r="J385" s="5">
        <f ca="1">ROUND((5000+G385*60),-2)</f>
        <v>18000</v>
      </c>
      <c r="K385" s="12" t="s">
        <v>287</v>
      </c>
      <c r="L385" s="15" t="s">
        <v>1545</v>
      </c>
    </row>
    <row r="386" spans="1:12" ht="146.25">
      <c r="A386" s="8" t="s">
        <v>1548</v>
      </c>
      <c r="B386" s="9" t="s">
        <v>12</v>
      </c>
      <c r="C386" s="10" t="s">
        <v>151</v>
      </c>
      <c r="D386" s="10" t="str">
        <f ca="1">IFERROR(__xludf.DUMMYFUNCTION(" VLOOKUP(A383, IMPORTRANGE(""https://docs.google.com/spreadsheets/d/1fj_Bhi2XPL3siwIh4sx4VRLAe31yD50oKdj5UlRYW0c/"", ""Сводка!A:AA""), 11, FALSE)"),"978-601-327-955-8")</f>
        <v>978-601-327-955-8</v>
      </c>
      <c r="E386" s="11" t="s">
        <v>1549</v>
      </c>
      <c r="F386" s="11" t="s">
        <v>1550</v>
      </c>
      <c r="G386" s="12">
        <f ca="1">IFERROR(__xludf.DUMMYFUNCTION(" VLOOKUP(A383, IMPORTRANGE(""https://docs.google.com/spreadsheets/d/1fj_Bhi2XPL3siwIh4sx4VRLAe31yD50oKdj5UlRYW0c/"", ""Сводка!A:AA""), 5, FALSE)"),188)</f>
        <v>188</v>
      </c>
      <c r="H386" s="12" t="s">
        <v>47</v>
      </c>
      <c r="I386" s="10">
        <f ca="1">IFERROR(__xludf.DUMMYFUNCTION(" VLOOKUP(A383, IMPORTRANGE(""https://docs.google.com/spreadsheets/d/1QNLbnkR_AongFt22vMfNzfpjZ0CjpI8QI-w0wBnYA1w/"", ""Инфа!A:AA""), 6, FALSE)"),2024)</f>
        <v>2024</v>
      </c>
      <c r="J386" s="5">
        <f ca="1">ROUND((5000+G386*60),-2)</f>
        <v>16300</v>
      </c>
      <c r="K386" s="12" t="s">
        <v>287</v>
      </c>
      <c r="L386" s="15" t="s">
        <v>1551</v>
      </c>
    </row>
    <row r="387" spans="1:12" ht="146.25">
      <c r="A387" s="8" t="s">
        <v>1552</v>
      </c>
      <c r="B387" s="9" t="s">
        <v>12</v>
      </c>
      <c r="C387" s="10" t="s">
        <v>151</v>
      </c>
      <c r="D387" s="10" t="str">
        <f ca="1">IFERROR(__xludf.DUMMYFUNCTION(" VLOOKUP(A384, IMPORTRANGE(""https://docs.google.com/spreadsheets/d/1fj_Bhi2XPL3siwIh4sx4VRLAe31yD50oKdj5UlRYW0c/"", ""Сводка!A:AA""), 11, FALSE)"),"978-601-327-955-8")</f>
        <v>978-601-327-955-8</v>
      </c>
      <c r="E387" s="11" t="s">
        <v>1549</v>
      </c>
      <c r="F387" s="11" t="s">
        <v>1553</v>
      </c>
      <c r="G387" s="12">
        <f ca="1">IFERROR(__xludf.DUMMYFUNCTION(" VLOOKUP(A384, IMPORTRANGE(""https://docs.google.com/spreadsheets/d/1fj_Bhi2XPL3siwIh4sx4VRLAe31yD50oKdj5UlRYW0c/"", ""Сводка!A:AA""), 5, FALSE)"),196)</f>
        <v>196</v>
      </c>
      <c r="H387" s="12" t="s">
        <v>47</v>
      </c>
      <c r="I387" s="10">
        <f ca="1">IFERROR(__xludf.DUMMYFUNCTION(" VLOOKUP(A384, IMPORTRANGE(""https://docs.google.com/spreadsheets/d/1QNLbnkR_AongFt22vMfNzfpjZ0CjpI8QI-w0wBnYA1w/"", ""Инфа!A:AA""), 6, FALSE)"),2024)</f>
        <v>2024</v>
      </c>
      <c r="J387" s="5">
        <f ca="1">ROUND((5000+G387*30),-2)</f>
        <v>10900</v>
      </c>
      <c r="K387" s="12" t="s">
        <v>287</v>
      </c>
      <c r="L387" s="15" t="s">
        <v>1551</v>
      </c>
    </row>
    <row r="388" spans="1:12" ht="202.5">
      <c r="A388" s="8" t="s">
        <v>1554</v>
      </c>
      <c r="B388" s="9" t="s">
        <v>12</v>
      </c>
      <c r="C388" s="10" t="s">
        <v>443</v>
      </c>
      <c r="D388" s="10" t="str">
        <f ca="1">IFERROR(__xludf.DUMMYFUNCTION(" VLOOKUP(A385, IMPORTRANGE(""https://docs.google.com/spreadsheets/d/1fj_Bhi2XPL3siwIh4sx4VRLAe31yD50oKdj5UlRYW0c/"", ""Сводка!A:AA""), 11, FALSE)"),"978-601-342-359-3")</f>
        <v>978-601-342-359-3</v>
      </c>
      <c r="E388" s="11" t="s">
        <v>1555</v>
      </c>
      <c r="F388" s="11" t="s">
        <v>1556</v>
      </c>
      <c r="G388" s="12">
        <f ca="1">IFERROR(__xludf.DUMMYFUNCTION(" VLOOKUP(A385, IMPORTRANGE(""https://docs.google.com/spreadsheets/d/1fj_Bhi2XPL3siwIh4sx4VRLAe31yD50oKdj5UlRYW0c/"", ""Сводка!A:AA""), 5, FALSE)"),120)</f>
        <v>120</v>
      </c>
      <c r="H388" s="12" t="s">
        <v>538</v>
      </c>
      <c r="I388" s="10">
        <f ca="1">IFERROR(__xludf.DUMMYFUNCTION(" VLOOKUP(A385, IMPORTRANGE(""https://docs.google.com/spreadsheets/d/1QNLbnkR_AongFt22vMfNzfpjZ0CjpI8QI-w0wBnYA1w/"", ""Инфа!A:AA""), 6, FALSE)"),2024)</f>
        <v>2024</v>
      </c>
      <c r="J388" s="5">
        <f ca="1">ROUND((5000+G388*60),-2)</f>
        <v>12200</v>
      </c>
      <c r="K388" s="12" t="s">
        <v>243</v>
      </c>
      <c r="L388" s="15" t="s">
        <v>1557</v>
      </c>
    </row>
    <row r="389" spans="1:12" ht="258.75">
      <c r="A389" s="8" t="s">
        <v>1558</v>
      </c>
      <c r="B389" s="9" t="s">
        <v>12</v>
      </c>
      <c r="C389" s="10" t="s">
        <v>151</v>
      </c>
      <c r="D389" s="10" t="str">
        <f ca="1">IFERROR(__xludf.DUMMYFUNCTION(" VLOOKUP(A386, IMPORTRANGE(""https://docs.google.com/spreadsheets/d/1fj_Bhi2XPL3siwIh4sx4VRLAe31yD50oKdj5UlRYW0c/"", ""Сводка!A:AA""), 11, FALSE)"),"978-601-342-282-4")</f>
        <v>978-601-342-282-4</v>
      </c>
      <c r="E389" s="11" t="s">
        <v>1559</v>
      </c>
      <c r="F389" s="11" t="s">
        <v>1560</v>
      </c>
      <c r="G389" s="12">
        <f ca="1">IFERROR(__xludf.DUMMYFUNCTION(" VLOOKUP(A386, IMPORTRANGE(""https://docs.google.com/spreadsheets/d/1fj_Bhi2XPL3siwIh4sx4VRLAe31yD50oKdj5UlRYW0c/"", ""Сводка!A:AA""), 5, FALSE)"),180)</f>
        <v>180</v>
      </c>
      <c r="H389" s="12" t="s">
        <v>106</v>
      </c>
      <c r="I389" s="10">
        <f ca="1">IFERROR(__xludf.DUMMYFUNCTION(" VLOOKUP(A386, IMPORTRANGE(""https://docs.google.com/spreadsheets/d/1QNLbnkR_AongFt22vMfNzfpjZ0CjpI8QI-w0wBnYA1w/"", ""Инфа!A:AA""), 6, FALSE)"),2024)</f>
        <v>2024</v>
      </c>
      <c r="J389" s="5">
        <f ca="1">ROUND((5000+G389*30),-2)</f>
        <v>10400</v>
      </c>
      <c r="K389" s="12" t="s">
        <v>160</v>
      </c>
      <c r="L389" s="15" t="s">
        <v>1561</v>
      </c>
    </row>
    <row r="390" spans="1:12" ht="90">
      <c r="A390" s="8" t="s">
        <v>1562</v>
      </c>
      <c r="B390" s="9" t="s">
        <v>12</v>
      </c>
      <c r="C390" s="10" t="s">
        <v>151</v>
      </c>
      <c r="D390" s="10" t="str">
        <f ca="1">IFERROR(__xludf.DUMMYFUNCTION(" VLOOKUP(A387, IMPORTRANGE(""https://docs.google.com/spreadsheets/d/1fj_Bhi2XPL3siwIh4sx4VRLAe31yD50oKdj5UlRYW0c/"", ""Сводка!A:AA""), 11, FALSE)"),"978-601-342-285-5")</f>
        <v>978-601-342-285-5</v>
      </c>
      <c r="E390" s="11" t="s">
        <v>1559</v>
      </c>
      <c r="F390" s="11" t="s">
        <v>1563</v>
      </c>
      <c r="G390" s="12">
        <f ca="1">IFERROR(__xludf.DUMMYFUNCTION(" VLOOKUP(A387, IMPORTRANGE(""https://docs.google.com/spreadsheets/d/1fj_Bhi2XPL3siwIh4sx4VRLAe31yD50oKdj5UlRYW0c/"", ""Сводка!A:AA""), 5, FALSE)"),312)</f>
        <v>312</v>
      </c>
      <c r="H390" s="12" t="s">
        <v>47</v>
      </c>
      <c r="I390" s="10">
        <f ca="1">IFERROR(__xludf.DUMMYFUNCTION(" VLOOKUP(A387, IMPORTRANGE(""https://docs.google.com/spreadsheets/d/1QNLbnkR_AongFt22vMfNzfpjZ0CjpI8QI-w0wBnYA1w/"", ""Инфа!A:AA""), 6, FALSE)"),2024)</f>
        <v>2024</v>
      </c>
      <c r="J390" s="5">
        <f ca="1">ROUND((5000+G390*30),-2)</f>
        <v>14400</v>
      </c>
      <c r="K390" s="12" t="s">
        <v>160</v>
      </c>
      <c r="L390" s="15" t="s">
        <v>1564</v>
      </c>
    </row>
    <row r="391" spans="1:12" ht="135">
      <c r="A391" s="8" t="s">
        <v>1565</v>
      </c>
      <c r="B391" s="9" t="s">
        <v>12</v>
      </c>
      <c r="C391" s="10" t="s">
        <v>443</v>
      </c>
      <c r="D391" s="10" t="str">
        <f ca="1">IFERROR(__xludf.DUMMYFUNCTION(" VLOOKUP(A388, IMPORTRANGE(""https://docs.google.com/spreadsheets/d/1fj_Bhi2XPL3siwIh4sx4VRLAe31yD50oKdj5UlRYW0c/"", ""Сводка!A:AA""), 11, FALSE)"),"978-601-342-284-8")</f>
        <v>978-601-342-284-8</v>
      </c>
      <c r="E391" s="11" t="s">
        <v>1566</v>
      </c>
      <c r="F391" s="11" t="s">
        <v>1567</v>
      </c>
      <c r="G391" s="12">
        <f ca="1">IFERROR(__xludf.DUMMYFUNCTION(" VLOOKUP(A388, IMPORTRANGE(""https://docs.google.com/spreadsheets/d/1fj_Bhi2XPL3siwIh4sx4VRLAe31yD50oKdj5UlRYW0c/"", ""Сводка!A:AA""), 5, FALSE)"),280)</f>
        <v>280</v>
      </c>
      <c r="H391" s="12" t="s">
        <v>1568</v>
      </c>
      <c r="I391" s="10">
        <f ca="1">IFERROR(__xludf.DUMMYFUNCTION(" VLOOKUP(A388, IMPORTRANGE(""https://docs.google.com/spreadsheets/d/1QNLbnkR_AongFt22vMfNzfpjZ0CjpI8QI-w0wBnYA1w/"", ""Инфа!A:AA""), 6, FALSE)"),2024)</f>
        <v>2024</v>
      </c>
      <c r="J391" s="5">
        <f ca="1">ROUND((5000+G391*30),-2)</f>
        <v>13400</v>
      </c>
      <c r="K391" s="12" t="s">
        <v>160</v>
      </c>
      <c r="L391" s="15" t="s">
        <v>1569</v>
      </c>
    </row>
    <row r="392" spans="1:12" ht="67.5">
      <c r="A392" s="8" t="s">
        <v>1570</v>
      </c>
      <c r="B392" s="9" t="s">
        <v>12</v>
      </c>
      <c r="C392" s="10" t="s">
        <v>13</v>
      </c>
      <c r="D392" s="10" t="str">
        <f ca="1">IFERROR(__xludf.DUMMYFUNCTION(" VLOOKUP(A389, IMPORTRANGE(""https://docs.google.com/spreadsheets/d/1fj_Bhi2XPL3siwIh4sx4VRLAe31yD50oKdj5UlRYW0c/"", ""Сводка!A:AA""), 11, FALSE)"),"978-601-310-711-0")</f>
        <v>978-601-310-711-0</v>
      </c>
      <c r="E392" s="11" t="s">
        <v>1571</v>
      </c>
      <c r="F392" s="11" t="s">
        <v>1572</v>
      </c>
      <c r="G392" s="12">
        <f ca="1">IFERROR(__xludf.DUMMYFUNCTION(" VLOOKUP(A389, IMPORTRANGE(""https://docs.google.com/spreadsheets/d/1fj_Bhi2XPL3siwIh4sx4VRLAe31yD50oKdj5UlRYW0c/"", ""Сводка!A:AA""), 5, FALSE)"),108)</f>
        <v>108</v>
      </c>
      <c r="H392" s="12" t="s">
        <v>47</v>
      </c>
      <c r="I392" s="10">
        <f ca="1">IFERROR(__xludf.DUMMYFUNCTION(" VLOOKUP(A389, IMPORTRANGE(""https://docs.google.com/spreadsheets/d/1QNLbnkR_AongFt22vMfNzfpjZ0CjpI8QI-w0wBnYA1w/"", ""Инфа!A:AA""), 6, FALSE)"),2024)</f>
        <v>2024</v>
      </c>
      <c r="J392" s="5">
        <f ca="1">ROUND((5000+G392*60),-2)</f>
        <v>11500</v>
      </c>
      <c r="K392" s="12" t="s">
        <v>25</v>
      </c>
      <c r="L392" s="15" t="s">
        <v>1573</v>
      </c>
    </row>
    <row r="393" spans="1:12" ht="76.5">
      <c r="A393" s="8" t="s">
        <v>1574</v>
      </c>
      <c r="B393" s="9" t="s">
        <v>12</v>
      </c>
      <c r="C393" s="10" t="s">
        <v>1575</v>
      </c>
      <c r="D393" s="10" t="str">
        <f ca="1">IFERROR(__xludf.DUMMYFUNCTION(" VLOOKUP(A390, IMPORTRANGE(""https://docs.google.com/spreadsheets/d/1fj_Bhi2XPL3siwIh4sx4VRLAe31yD50oKdj5UlRYW0c/"", ""Сводка!A:AA""), 11, FALSE)"),"978-601-310-707-3")</f>
        <v>978-601-310-707-3</v>
      </c>
      <c r="E393" s="11" t="s">
        <v>1571</v>
      </c>
      <c r="F393" s="11" t="s">
        <v>1576</v>
      </c>
      <c r="G393" s="12">
        <f ca="1">IFERROR(__xludf.DUMMYFUNCTION(" VLOOKUP(A390, IMPORTRANGE(""https://docs.google.com/spreadsheets/d/1fj_Bhi2XPL3siwIh4sx4VRLAe31yD50oKdj5UlRYW0c/"", ""Сводка!A:AA""), 5, FALSE)"),196)</f>
        <v>196</v>
      </c>
      <c r="H393" s="12" t="s">
        <v>1577</v>
      </c>
      <c r="I393" s="10">
        <f ca="1">IFERROR(__xludf.DUMMYFUNCTION(" VLOOKUP(A390, IMPORTRANGE(""https://docs.google.com/spreadsheets/d/1QNLbnkR_AongFt22vMfNzfpjZ0CjpI8QI-w0wBnYA1w/"", ""Инфа!A:AA""), 6, FALSE)"),2024)</f>
        <v>2024</v>
      </c>
      <c r="J393" s="5">
        <f ca="1">ROUND((5000+G393*30),-2)</f>
        <v>10900</v>
      </c>
      <c r="K393" s="9" t="s">
        <v>271</v>
      </c>
      <c r="L393" s="15"/>
    </row>
    <row r="394" spans="1:12" ht="38.25">
      <c r="A394" s="8" t="s">
        <v>1578</v>
      </c>
      <c r="B394" s="9" t="s">
        <v>12</v>
      </c>
      <c r="C394" s="10" t="s">
        <v>151</v>
      </c>
      <c r="D394" s="10" t="str">
        <f ca="1">IFERROR(__xludf.DUMMYFUNCTION(" VLOOKUP(A391, IMPORTRANGE(""https://docs.google.com/spreadsheets/d/1fj_Bhi2XPL3siwIh4sx4VRLAe31yD50oKdj5UlRYW0c/"", ""Сводка!A:AA""), 11, FALSE)"),"978-601-327-084-5")</f>
        <v>978-601-327-084-5</v>
      </c>
      <c r="E394" s="11" t="s">
        <v>1579</v>
      </c>
      <c r="F394" s="11" t="s">
        <v>1580</v>
      </c>
      <c r="G394" s="12">
        <f ca="1">IFERROR(__xludf.DUMMYFUNCTION(" VLOOKUP(A391, IMPORTRANGE(""https://docs.google.com/spreadsheets/d/1fj_Bhi2XPL3siwIh4sx4VRLAe31yD50oKdj5UlRYW0c/"", ""Сводка!A:AA""), 5, FALSE)"),220)</f>
        <v>220</v>
      </c>
      <c r="H394" s="12" t="s">
        <v>106</v>
      </c>
      <c r="I394" s="10">
        <f ca="1">IFERROR(__xludf.DUMMYFUNCTION(" VLOOKUP(A391, IMPORTRANGE(""https://docs.google.com/spreadsheets/d/1QNLbnkR_AongFt22vMfNzfpjZ0CjpI8QI-w0wBnYA1w/"", ""Инфа!A:AA""), 6, FALSE)"),2024)</f>
        <v>2024</v>
      </c>
      <c r="J394" s="5">
        <f t="shared" ref="J394:J399" ca="1" si="9">ROUND((5000+G394*60),-2)</f>
        <v>18200</v>
      </c>
      <c r="K394" s="12" t="s">
        <v>1581</v>
      </c>
      <c r="L394" s="15"/>
    </row>
    <row r="395" spans="1:12" ht="101.25">
      <c r="A395" s="8" t="s">
        <v>1582</v>
      </c>
      <c r="B395" s="9" t="s">
        <v>12</v>
      </c>
      <c r="C395" s="10" t="s">
        <v>443</v>
      </c>
      <c r="D395" s="10" t="str">
        <f ca="1">IFERROR(__xludf.DUMMYFUNCTION(" VLOOKUP(A392, IMPORTRANGE(""https://docs.google.com/spreadsheets/d/1fj_Bhi2XPL3siwIh4sx4VRLAe31yD50oKdj5UlRYW0c/"", ""Сводка!A:AA""), 11, FALSE)"),"978-601-342-361-6")</f>
        <v>978-601-342-361-6</v>
      </c>
      <c r="E395" s="11" t="s">
        <v>1583</v>
      </c>
      <c r="F395" s="11" t="s">
        <v>1584</v>
      </c>
      <c r="G395" s="12">
        <f ca="1">IFERROR(__xludf.DUMMYFUNCTION(" VLOOKUP(A392, IMPORTRANGE(""https://docs.google.com/spreadsheets/d/1fj_Bhi2XPL3siwIh4sx4VRLAe31yD50oKdj5UlRYW0c/"", ""Сводка!A:AA""), 5, FALSE)"),116)</f>
        <v>116</v>
      </c>
      <c r="H395" s="12" t="s">
        <v>1585</v>
      </c>
      <c r="I395" s="10">
        <f ca="1">IFERROR(__xludf.DUMMYFUNCTION(" VLOOKUP(A392, IMPORTRANGE(""https://docs.google.com/spreadsheets/d/1QNLbnkR_AongFt22vMfNzfpjZ0CjpI8QI-w0wBnYA1w/"", ""Инфа!A:AA""), 6, FALSE)"),2024)</f>
        <v>2024</v>
      </c>
      <c r="J395" s="5">
        <f t="shared" ca="1" si="9"/>
        <v>12000</v>
      </c>
      <c r="K395" s="12" t="s">
        <v>1075</v>
      </c>
      <c r="L395" s="15" t="s">
        <v>1586</v>
      </c>
    </row>
    <row r="396" spans="1:12" ht="90">
      <c r="A396" s="8" t="s">
        <v>1587</v>
      </c>
      <c r="B396" s="9" t="s">
        <v>12</v>
      </c>
      <c r="C396" s="10" t="s">
        <v>443</v>
      </c>
      <c r="D396" s="10" t="str">
        <f ca="1">IFERROR(__xludf.DUMMYFUNCTION(" VLOOKUP(A393, IMPORTRANGE(""https://docs.google.com/spreadsheets/d/1fj_Bhi2XPL3siwIh4sx4VRLAe31yD50oKdj5UlRYW0c/"", ""Сводка!A:AA""), 11, FALSE)"),"978-601-342-360-9")</f>
        <v>978-601-342-360-9</v>
      </c>
      <c r="E396" s="11" t="s">
        <v>1583</v>
      </c>
      <c r="F396" s="11" t="s">
        <v>1588</v>
      </c>
      <c r="G396" s="12">
        <f ca="1">IFERROR(__xludf.DUMMYFUNCTION(" VLOOKUP(A393, IMPORTRANGE(""https://docs.google.com/spreadsheets/d/1fj_Bhi2XPL3siwIh4sx4VRLAe31yD50oKdj5UlRYW0c/"", ""Сводка!A:AA""), 5, FALSE)"),236)</f>
        <v>236</v>
      </c>
      <c r="H396" s="12" t="s">
        <v>1585</v>
      </c>
      <c r="I396" s="10">
        <f ca="1">IFERROR(__xludf.DUMMYFUNCTION(" VLOOKUP(A393, IMPORTRANGE(""https://docs.google.com/spreadsheets/d/1QNLbnkR_AongFt22vMfNzfpjZ0CjpI8QI-w0wBnYA1w/"", ""Инфа!A:AA""), 6, FALSE)"),2024)</f>
        <v>2024</v>
      </c>
      <c r="J396" s="5">
        <f t="shared" ca="1" si="9"/>
        <v>19200</v>
      </c>
      <c r="K396" s="12" t="s">
        <v>1075</v>
      </c>
      <c r="L396" s="15" t="s">
        <v>1589</v>
      </c>
    </row>
    <row r="397" spans="1:12" ht="112.5">
      <c r="A397" s="8" t="s">
        <v>1590</v>
      </c>
      <c r="B397" s="9" t="s">
        <v>12</v>
      </c>
      <c r="C397" s="10" t="s">
        <v>443</v>
      </c>
      <c r="D397" s="10" t="str">
        <f ca="1">IFERROR(__xludf.DUMMYFUNCTION(" VLOOKUP(A394, IMPORTRANGE(""https://docs.google.com/spreadsheets/d/1fj_Bhi2XPL3siwIh4sx4VRLAe31yD50oKdj5UlRYW0c/"", ""Сводка!A:AA""), 11, FALSE)"),"978-601-342-362-3")</f>
        <v>978-601-342-362-3</v>
      </c>
      <c r="E397" s="11" t="s">
        <v>1583</v>
      </c>
      <c r="F397" s="11" t="s">
        <v>1591</v>
      </c>
      <c r="G397" s="12">
        <f ca="1">IFERROR(__xludf.DUMMYFUNCTION(" VLOOKUP(A394, IMPORTRANGE(""https://docs.google.com/spreadsheets/d/1fj_Bhi2XPL3siwIh4sx4VRLAe31yD50oKdj5UlRYW0c/"", ""Сводка!A:AA""), 5, FALSE)"),244)</f>
        <v>244</v>
      </c>
      <c r="H397" s="12" t="s">
        <v>1585</v>
      </c>
      <c r="I397" s="10">
        <f ca="1">IFERROR(__xludf.DUMMYFUNCTION(" VLOOKUP(A394, IMPORTRANGE(""https://docs.google.com/spreadsheets/d/1QNLbnkR_AongFt22vMfNzfpjZ0CjpI8QI-w0wBnYA1w/"", ""Инфа!A:AA""), 6, FALSE)"),2024)</f>
        <v>2024</v>
      </c>
      <c r="J397" s="5">
        <f t="shared" ca="1" si="9"/>
        <v>19600</v>
      </c>
      <c r="K397" s="12" t="s">
        <v>1075</v>
      </c>
      <c r="L397" s="15" t="s">
        <v>1592</v>
      </c>
    </row>
    <row r="398" spans="1:12" ht="146.25">
      <c r="A398" s="8" t="s">
        <v>1593</v>
      </c>
      <c r="B398" s="9" t="s">
        <v>12</v>
      </c>
      <c r="C398" s="10" t="s">
        <v>443</v>
      </c>
      <c r="D398" s="10" t="str">
        <f ca="1">IFERROR(__xludf.DUMMYFUNCTION(" VLOOKUP(A395, IMPORTRANGE(""https://docs.google.com/spreadsheets/d/1fj_Bhi2XPL3siwIh4sx4VRLAe31yD50oKdj5UlRYW0c/"", ""Сводка!A:AA""), 11, FALSE)"),"978-601-342-424-8")</f>
        <v>978-601-342-424-8</v>
      </c>
      <c r="E398" s="11" t="s">
        <v>1583</v>
      </c>
      <c r="F398" s="11" t="s">
        <v>1594</v>
      </c>
      <c r="G398" s="12">
        <f ca="1">IFERROR(__xludf.DUMMYFUNCTION(" VLOOKUP(A395, IMPORTRANGE(""https://docs.google.com/spreadsheets/d/1fj_Bhi2XPL3siwIh4sx4VRLAe31yD50oKdj5UlRYW0c/"", ""Сводка!A:AA""), 5, FALSE)"),192)</f>
        <v>192</v>
      </c>
      <c r="H398" s="12" t="s">
        <v>1585</v>
      </c>
      <c r="I398" s="10">
        <f ca="1">IFERROR(__xludf.DUMMYFUNCTION(" VLOOKUP(A395, IMPORTRANGE(""https://docs.google.com/spreadsheets/d/1QNLbnkR_AongFt22vMfNzfpjZ0CjpI8QI-w0wBnYA1w/"", ""Инфа!A:AA""), 6, FALSE)"),2024)</f>
        <v>2024</v>
      </c>
      <c r="J398" s="5">
        <f t="shared" ca="1" si="9"/>
        <v>16500</v>
      </c>
      <c r="K398" s="12" t="s">
        <v>1075</v>
      </c>
      <c r="L398" s="15" t="s">
        <v>1595</v>
      </c>
    </row>
    <row r="399" spans="1:12" ht="270">
      <c r="A399" s="8" t="s">
        <v>1596</v>
      </c>
      <c r="B399" s="9" t="s">
        <v>12</v>
      </c>
      <c r="C399" s="10" t="s">
        <v>151</v>
      </c>
      <c r="D399" s="10" t="str">
        <f ca="1">IFERROR(__xludf.DUMMYFUNCTION(" VLOOKUP(A396, IMPORTRANGE(""https://docs.google.com/spreadsheets/d/1fj_Bhi2XPL3siwIh4sx4VRLAe31yD50oKdj5UlRYW0c/"", ""Сводка!A:AA""), 11, FALSE)"),"978-601-342-150-6")</f>
        <v>978-601-342-150-6</v>
      </c>
      <c r="E399" s="11" t="s">
        <v>1597</v>
      </c>
      <c r="F399" s="11" t="s">
        <v>1598</v>
      </c>
      <c r="G399" s="12">
        <f ca="1">IFERROR(__xludf.DUMMYFUNCTION(" VLOOKUP(A396, IMPORTRANGE(""https://docs.google.com/spreadsheets/d/1fj_Bhi2XPL3siwIh4sx4VRLAe31yD50oKdj5UlRYW0c/"", ""Сводка!A:AA""), 5, FALSE)"),316)</f>
        <v>316</v>
      </c>
      <c r="H399" s="12" t="s">
        <v>106</v>
      </c>
      <c r="I399" s="10">
        <f ca="1">IFERROR(__xludf.DUMMYFUNCTION(" VLOOKUP(A396, IMPORTRANGE(""https://docs.google.com/spreadsheets/d/1QNLbnkR_AongFt22vMfNzfpjZ0CjpI8QI-w0wBnYA1w/"", ""Инфа!A:AA""), 6, FALSE)"),2024)</f>
        <v>2024</v>
      </c>
      <c r="J399" s="5">
        <f t="shared" ca="1" si="9"/>
        <v>24000</v>
      </c>
      <c r="K399" s="10" t="s">
        <v>160</v>
      </c>
      <c r="L399" s="15" t="s">
        <v>1599</v>
      </c>
    </row>
    <row r="400" spans="1:12" ht="89.25">
      <c r="A400" s="8" t="s">
        <v>1600</v>
      </c>
      <c r="B400" s="9" t="s">
        <v>12</v>
      </c>
      <c r="C400" s="10" t="s">
        <v>151</v>
      </c>
      <c r="D400" s="10" t="str">
        <f ca="1">IFERROR(__xludf.DUMMYFUNCTION(" VLOOKUP(A397, IMPORTRANGE(""https://docs.google.com/spreadsheets/d/1fj_Bhi2XPL3siwIh4sx4VRLAe31yD50oKdj5UlRYW0c/"", ""Сводка!A:AA""), 11, FALSE)"),"978-601-327-786-8")</f>
        <v>978-601-327-786-8</v>
      </c>
      <c r="E400" s="11" t="s">
        <v>1601</v>
      </c>
      <c r="F400" s="11" t="s">
        <v>1602</v>
      </c>
      <c r="G400" s="12">
        <f ca="1">IFERROR(__xludf.DUMMYFUNCTION(" VLOOKUP(A397, IMPORTRANGE(""https://docs.google.com/spreadsheets/d/1fj_Bhi2XPL3siwIh4sx4VRLAe31yD50oKdj5UlRYW0c/"", ""Сводка!A:AA""), 5, FALSE)"),116)</f>
        <v>116</v>
      </c>
      <c r="H400" s="12" t="s">
        <v>106</v>
      </c>
      <c r="I400" s="10">
        <f ca="1">IFERROR(__xludf.DUMMYFUNCTION(" VLOOKUP(A397, IMPORTRANGE(""https://docs.google.com/spreadsheets/d/1QNLbnkR_AongFt22vMfNzfpjZ0CjpI8QI-w0wBnYA1w/"", ""Инфа!A:AA""), 6, FALSE)"),2024)</f>
        <v>2024</v>
      </c>
      <c r="J400" s="5">
        <f ca="1">ROUND((5000+G400*30),-2)</f>
        <v>8500</v>
      </c>
      <c r="K400" s="12" t="s">
        <v>1603</v>
      </c>
      <c r="L400" s="15" t="s">
        <v>1604</v>
      </c>
    </row>
    <row r="401" spans="1:12" ht="102">
      <c r="A401" s="8" t="s">
        <v>1605</v>
      </c>
      <c r="B401" s="9" t="s">
        <v>12</v>
      </c>
      <c r="C401" s="10" t="s">
        <v>151</v>
      </c>
      <c r="D401" s="10" t="str">
        <f ca="1">IFERROR(__xludf.DUMMYFUNCTION(" VLOOKUP(A398, IMPORTRANGE(""https://docs.google.com/spreadsheets/d/1fj_Bhi2XPL3siwIh4sx4VRLAe31yD50oKdj5UlRYW0c/"", ""Сводка!A:AA""), 11, FALSE)"),"978-601-342-950-2")</f>
        <v>978-601-342-950-2</v>
      </c>
      <c r="E401" s="11" t="s">
        <v>1606</v>
      </c>
      <c r="F401" s="11" t="s">
        <v>1607</v>
      </c>
      <c r="G401" s="12">
        <f ca="1">IFERROR(__xludf.DUMMYFUNCTION(" VLOOKUP(A398, IMPORTRANGE(""https://docs.google.com/spreadsheets/d/1fj_Bhi2XPL3siwIh4sx4VRLAe31yD50oKdj5UlRYW0c/"", ""Сводка!A:AA""), 5, FALSE)"),128)</f>
        <v>128</v>
      </c>
      <c r="H401" s="12" t="s">
        <v>165</v>
      </c>
      <c r="I401" s="10">
        <f ca="1">IFERROR(__xludf.DUMMYFUNCTION(" VLOOKUP(A398, IMPORTRANGE(""https://docs.google.com/spreadsheets/d/1QNLbnkR_AongFt22vMfNzfpjZ0CjpI8QI-w0wBnYA1w/"", ""Инфа!A:AA""), 6, FALSE)"),2024)</f>
        <v>2024</v>
      </c>
      <c r="J401" s="5">
        <f ca="1">ROUND((5000+G401*60),-2)</f>
        <v>12700</v>
      </c>
      <c r="K401" s="12" t="s">
        <v>1603</v>
      </c>
      <c r="L401" s="15" t="s">
        <v>1608</v>
      </c>
    </row>
    <row r="402" spans="1:12" ht="258.75">
      <c r="A402" s="8" t="s">
        <v>1609</v>
      </c>
      <c r="B402" s="9" t="s">
        <v>12</v>
      </c>
      <c r="C402" s="10" t="s">
        <v>443</v>
      </c>
      <c r="D402" s="10" t="str">
        <f ca="1">IFERROR(__xludf.DUMMYFUNCTION(" VLOOKUP(A399, IMPORTRANGE(""https://docs.google.com/spreadsheets/d/1fj_Bhi2XPL3siwIh4sx4VRLAe31yD50oKdj5UlRYW0c/"", ""Сводка!A:AA""), 11, FALSE)"),"978-601-342-050-9")</f>
        <v>978-601-342-050-9</v>
      </c>
      <c r="E402" s="11" t="s">
        <v>1610</v>
      </c>
      <c r="F402" s="11" t="s">
        <v>1611</v>
      </c>
      <c r="G402" s="12">
        <f ca="1">IFERROR(__xludf.DUMMYFUNCTION(" VLOOKUP(A399, IMPORTRANGE(""https://docs.google.com/spreadsheets/d/1fj_Bhi2XPL3siwIh4sx4VRLAe31yD50oKdj5UlRYW0c/"", ""Сводка!A:AA""), 5, FALSE)"),308)</f>
        <v>308</v>
      </c>
      <c r="H402" s="12" t="s">
        <v>538</v>
      </c>
      <c r="I402" s="10">
        <f ca="1">IFERROR(__xludf.DUMMYFUNCTION(" VLOOKUP(A399, IMPORTRANGE(""https://docs.google.com/spreadsheets/d/1QNLbnkR_AongFt22vMfNzfpjZ0CjpI8QI-w0wBnYA1w/"", ""Инфа!A:AA""), 6, FALSE)"),2024)</f>
        <v>2024</v>
      </c>
      <c r="J402" s="5">
        <f ca="1">ROUND((5000+G402*60),-2)</f>
        <v>23500</v>
      </c>
      <c r="K402" s="12" t="s">
        <v>1603</v>
      </c>
      <c r="L402" s="15" t="s">
        <v>1612</v>
      </c>
    </row>
    <row r="403" spans="1:12" ht="168.75">
      <c r="A403" s="8" t="s">
        <v>1613</v>
      </c>
      <c r="B403" s="9" t="s">
        <v>12</v>
      </c>
      <c r="C403" s="10" t="s">
        <v>443</v>
      </c>
      <c r="D403" s="10" t="str">
        <f ca="1">IFERROR(__xludf.DUMMYFUNCTION(" VLOOKUP(A400, IMPORTRANGE(""https://docs.google.com/spreadsheets/d/1fj_Bhi2XPL3siwIh4sx4VRLAe31yD50oKdj5UlRYW0c/"", ""Сводка!A:AA""), 11, FALSE)"),"9965-498-84-9")</f>
        <v>9965-498-84-9</v>
      </c>
      <c r="E403" s="11" t="s">
        <v>1614</v>
      </c>
      <c r="F403" s="11" t="s">
        <v>1615</v>
      </c>
      <c r="G403" s="12">
        <f ca="1">IFERROR(__xludf.DUMMYFUNCTION(" VLOOKUP(A400, IMPORTRANGE(""https://docs.google.com/spreadsheets/d/1fj_Bhi2XPL3siwIh4sx4VRLAe31yD50oKdj5UlRYW0c/"", ""Сводка!A:AA""), 5, FALSE)"),164)</f>
        <v>164</v>
      </c>
      <c r="H403" s="12" t="s">
        <v>538</v>
      </c>
      <c r="I403" s="10">
        <f ca="1">IFERROR(__xludf.DUMMYFUNCTION(" VLOOKUP(A400, IMPORTRANGE(""https://docs.google.com/spreadsheets/d/1QNLbnkR_AongFt22vMfNzfpjZ0CjpI8QI-w0wBnYA1w/"", ""Инфа!A:AA""), 6, FALSE)"),2024)</f>
        <v>2024</v>
      </c>
      <c r="J403" s="5">
        <f ca="1">ROUND((5000+G403*30),-2)</f>
        <v>9900</v>
      </c>
      <c r="K403" s="12" t="s">
        <v>107</v>
      </c>
      <c r="L403" s="15" t="s">
        <v>1616</v>
      </c>
    </row>
    <row r="404" spans="1:12" ht="112.5">
      <c r="A404" s="8" t="s">
        <v>1617</v>
      </c>
      <c r="B404" s="9" t="s">
        <v>12</v>
      </c>
      <c r="C404" s="10" t="s">
        <v>443</v>
      </c>
      <c r="D404" s="10" t="str">
        <f ca="1">IFERROR(__xludf.DUMMYFUNCTION(" VLOOKUP(A401, IMPORTRANGE(""https://docs.google.com/spreadsheets/d/1fj_Bhi2XPL3siwIh4sx4VRLAe31yD50oKdj5UlRYW0c/"", ""Сводка!A:AA""), 11, FALSE)"),"978-601-327-252-8")</f>
        <v>978-601-327-252-8</v>
      </c>
      <c r="E404" s="11" t="s">
        <v>1618</v>
      </c>
      <c r="F404" s="11" t="s">
        <v>1619</v>
      </c>
      <c r="G404" s="12">
        <f ca="1">IFERROR(__xludf.DUMMYFUNCTION(" VLOOKUP(A401, IMPORTRANGE(""https://docs.google.com/spreadsheets/d/1fj_Bhi2XPL3siwIh4sx4VRLAe31yD50oKdj5UlRYW0c/"", ""Сводка!A:AA""), 5, FALSE)"),132)</f>
        <v>132</v>
      </c>
      <c r="H404" s="12" t="s">
        <v>446</v>
      </c>
      <c r="I404" s="10">
        <f ca="1">IFERROR(__xludf.DUMMYFUNCTION(" VLOOKUP(A401, IMPORTRANGE(""https://docs.google.com/spreadsheets/d/1QNLbnkR_AongFt22vMfNzfpjZ0CjpI8QI-w0wBnYA1w/"", ""Инфа!A:AA""), 6, FALSE)"),2024)</f>
        <v>2024</v>
      </c>
      <c r="J404" s="5">
        <f ca="1">ROUND((5000+G404*30),-2)</f>
        <v>9000</v>
      </c>
      <c r="K404" s="9" t="s">
        <v>408</v>
      </c>
      <c r="L404" s="15" t="s">
        <v>1620</v>
      </c>
    </row>
    <row r="405" spans="1:12" ht="25.5">
      <c r="A405" s="8" t="s">
        <v>1621</v>
      </c>
      <c r="B405" s="9" t="s">
        <v>12</v>
      </c>
      <c r="C405" s="10" t="s">
        <v>151</v>
      </c>
      <c r="D405" s="10" t="str">
        <f ca="1">IFERROR(__xludf.DUMMYFUNCTION(" VLOOKUP(A402, IMPORTRANGE(""https://docs.google.com/spreadsheets/d/1fj_Bhi2XPL3siwIh4sx4VRLAe31yD50oKdj5UlRYW0c/"", ""Сводка!A:AA""), 11, FALSE)"),"9965-680-57-4")</f>
        <v>9965-680-57-4</v>
      </c>
      <c r="E405" s="11" t="s">
        <v>1622</v>
      </c>
      <c r="F405" s="11" t="s">
        <v>1623</v>
      </c>
      <c r="G405" s="12">
        <f ca="1">IFERROR(__xludf.DUMMYFUNCTION(" VLOOKUP(A402, IMPORTRANGE(""https://docs.google.com/spreadsheets/d/1fj_Bhi2XPL3siwIh4sx4VRLAe31yD50oKdj5UlRYW0c/"", ""Сводка!A:AA""), 5, FALSE)"),136)</f>
        <v>136</v>
      </c>
      <c r="H405" s="12" t="s">
        <v>47</v>
      </c>
      <c r="I405" s="10">
        <f ca="1">IFERROR(__xludf.DUMMYFUNCTION(" VLOOKUP(A402, IMPORTRANGE(""https://docs.google.com/spreadsheets/d/1QNLbnkR_AongFt22vMfNzfpjZ0CjpI8QI-w0wBnYA1w/"", ""Инфа!A:AA""), 6, FALSE)"),2024)</f>
        <v>2024</v>
      </c>
      <c r="J405" s="5">
        <f ca="1">ROUND((5000+G405*30),-2)</f>
        <v>9100</v>
      </c>
      <c r="K405" s="12" t="s">
        <v>961</v>
      </c>
      <c r="L405" s="15"/>
    </row>
    <row r="406" spans="1:12" ht="25.5">
      <c r="A406" s="8" t="s">
        <v>1624</v>
      </c>
      <c r="B406" s="9" t="s">
        <v>12</v>
      </c>
      <c r="C406" s="10" t="s">
        <v>151</v>
      </c>
      <c r="D406" s="10" t="str">
        <f ca="1">IFERROR(__xludf.DUMMYFUNCTION(" VLOOKUP(A403, IMPORTRANGE(""https://docs.google.com/spreadsheets/d/1fj_Bhi2XPL3siwIh4sx4VRLAe31yD50oKdj5UlRYW0c/"", ""Сводка!A:AA""), 11, FALSE)"),"976-605-245-109-5")</f>
        <v>976-605-245-109-5</v>
      </c>
      <c r="E406" s="11" t="s">
        <v>1622</v>
      </c>
      <c r="F406" s="11" t="s">
        <v>1625</v>
      </c>
      <c r="G406" s="12">
        <f ca="1">IFERROR(__xludf.DUMMYFUNCTION(" VLOOKUP(A403, IMPORTRANGE(""https://docs.google.com/spreadsheets/d/1fj_Bhi2XPL3siwIh4sx4VRLAe31yD50oKdj5UlRYW0c/"", ""Сводка!A:AA""), 5, FALSE)"),188)</f>
        <v>188</v>
      </c>
      <c r="H406" s="12" t="s">
        <v>47</v>
      </c>
      <c r="I406" s="10">
        <f ca="1">IFERROR(__xludf.DUMMYFUNCTION(" VLOOKUP(A403, IMPORTRANGE(""https://docs.google.com/spreadsheets/d/1QNLbnkR_AongFt22vMfNzfpjZ0CjpI8QI-w0wBnYA1w/"", ""Инфа!A:AA""), 6, FALSE)"),2024)</f>
        <v>2024</v>
      </c>
      <c r="J406" s="5">
        <f ca="1">ROUND((5000+G406*30),-2)</f>
        <v>10600</v>
      </c>
      <c r="K406" s="12" t="s">
        <v>961</v>
      </c>
      <c r="L406" s="15"/>
    </row>
    <row r="407" spans="1:12" ht="89.25">
      <c r="A407" s="8" t="s">
        <v>1626</v>
      </c>
      <c r="B407" s="9" t="s">
        <v>12</v>
      </c>
      <c r="C407" s="10" t="s">
        <v>443</v>
      </c>
      <c r="D407" s="10" t="str">
        <f ca="1">IFERROR(__xludf.DUMMYFUNCTION(" VLOOKUP(A404, IMPORTRANGE(""https://docs.google.com/spreadsheets/d/1fj_Bhi2XPL3siwIh4sx4VRLAe31yD50oKdj5UlRYW0c/"", ""Сводка!A:AA""), 11, FALSE)"),"978-601-310-213-9")</f>
        <v>978-601-310-213-9</v>
      </c>
      <c r="E407" s="11" t="s">
        <v>1627</v>
      </c>
      <c r="F407" s="11" t="s">
        <v>1628</v>
      </c>
      <c r="G407" s="12">
        <f ca="1">IFERROR(__xludf.DUMMYFUNCTION(" VLOOKUP(A404, IMPORTRANGE(""https://docs.google.com/spreadsheets/d/1fj_Bhi2XPL3siwIh4sx4VRLAe31yD50oKdj5UlRYW0c/"", ""Сводка!A:AA""), 5, FALSE)"),212)</f>
        <v>212</v>
      </c>
      <c r="H407" s="12" t="s">
        <v>538</v>
      </c>
      <c r="I407" s="10">
        <f ca="1">IFERROR(__xludf.DUMMYFUNCTION(" VLOOKUP(A404, IMPORTRANGE(""https://docs.google.com/spreadsheets/d/1QNLbnkR_AongFt22vMfNzfpjZ0CjpI8QI-w0wBnYA1w/"", ""Инфа!A:AA""), 6, FALSE)"),2024)</f>
        <v>2024</v>
      </c>
      <c r="J407" s="5">
        <f ca="1">ROUND((5000+G407*60),-2)</f>
        <v>17700</v>
      </c>
      <c r="K407" s="9" t="s">
        <v>539</v>
      </c>
      <c r="L407" s="15" t="s">
        <v>1629</v>
      </c>
    </row>
    <row r="408" spans="1:12" ht="67.5">
      <c r="A408" s="8" t="s">
        <v>1630</v>
      </c>
      <c r="B408" s="9" t="s">
        <v>12</v>
      </c>
      <c r="C408" s="10" t="s">
        <v>443</v>
      </c>
      <c r="D408" s="10" t="str">
        <f ca="1">IFERROR(__xludf.DUMMYFUNCTION(" VLOOKUP(A405, IMPORTRANGE(""https://docs.google.com/spreadsheets/d/1fj_Bhi2XPL3siwIh4sx4VRLAe31yD50oKdj5UlRYW0c/"", ""Сводка!A:AA""), 11, FALSE)"),"996-573-15-38")</f>
        <v>996-573-15-38</v>
      </c>
      <c r="E408" s="22" t="s">
        <v>1631</v>
      </c>
      <c r="F408" s="22" t="s">
        <v>1632</v>
      </c>
      <c r="G408" s="12">
        <f ca="1">IFERROR(__xludf.DUMMYFUNCTION(" VLOOKUP(A405, IMPORTRANGE(""https://docs.google.com/spreadsheets/d/1fj_Bhi2XPL3siwIh4sx4VRLAe31yD50oKdj5UlRYW0c/"", ""Сводка!A:AA""), 5, FALSE)"),100)</f>
        <v>100</v>
      </c>
      <c r="H408" s="10" t="s">
        <v>1633</v>
      </c>
      <c r="I408" s="10">
        <f ca="1">IFERROR(__xludf.DUMMYFUNCTION(" VLOOKUP(A405, IMPORTRANGE(""https://docs.google.com/spreadsheets/d/1QNLbnkR_AongFt22vMfNzfpjZ0CjpI8QI-w0wBnYA1w/"", ""Инфа!A:AA""), 6, FALSE)"),2024)</f>
        <v>2024</v>
      </c>
      <c r="J408" s="5">
        <f ca="1">ROUND((5000+G408*60),-2)</f>
        <v>11000</v>
      </c>
      <c r="K408" s="10" t="s">
        <v>26</v>
      </c>
      <c r="L408" s="23" t="s">
        <v>1634</v>
      </c>
    </row>
    <row r="409" spans="1:12" ht="146.25">
      <c r="A409" s="8" t="s">
        <v>1635</v>
      </c>
      <c r="B409" s="9" t="s">
        <v>12</v>
      </c>
      <c r="C409" s="10" t="s">
        <v>443</v>
      </c>
      <c r="D409" s="10" t="str">
        <f ca="1">IFERROR(__xludf.DUMMYFUNCTION(" VLOOKUP(A406, IMPORTRANGE(""https://docs.google.com/spreadsheets/d/1fj_Bhi2XPL3siwIh4sx4VRLAe31yD50oKdj5UlRYW0c/"", ""Сводка!A:AA""), 11, FALSE)"),"978-601-310-918-3")</f>
        <v>978-601-310-918-3</v>
      </c>
      <c r="E409" s="11" t="s">
        <v>1636</v>
      </c>
      <c r="F409" s="11" t="s">
        <v>1637</v>
      </c>
      <c r="G409" s="12">
        <f ca="1">IFERROR(__xludf.DUMMYFUNCTION(" VLOOKUP(A406, IMPORTRANGE(""https://docs.google.com/spreadsheets/d/1fj_Bhi2XPL3siwIh4sx4VRLAe31yD50oKdj5UlRYW0c/"", ""Сводка!A:AA""), 5, FALSE)"),248)</f>
        <v>248</v>
      </c>
      <c r="H409" s="12" t="s">
        <v>538</v>
      </c>
      <c r="I409" s="10">
        <f ca="1">IFERROR(__xludf.DUMMYFUNCTION(" VLOOKUP(A406, IMPORTRANGE(""https://docs.google.com/spreadsheets/d/1QNLbnkR_AongFt22vMfNzfpjZ0CjpI8QI-w0wBnYA1w/"", ""Инфа!A:AA""), 6, FALSE)"),2024)</f>
        <v>2024</v>
      </c>
      <c r="J409" s="5">
        <f ca="1">ROUND((5000+G409*30),-2)</f>
        <v>12400</v>
      </c>
      <c r="K409" s="12" t="s">
        <v>302</v>
      </c>
      <c r="L409" s="15" t="s">
        <v>1638</v>
      </c>
    </row>
    <row r="410" spans="1:12" ht="258.75">
      <c r="A410" s="8" t="s">
        <v>1639</v>
      </c>
      <c r="B410" s="9" t="s">
        <v>12</v>
      </c>
      <c r="C410" s="10" t="s">
        <v>443</v>
      </c>
      <c r="D410" s="10" t="str">
        <f ca="1">IFERROR(__xludf.DUMMYFUNCTION(" VLOOKUP(A407, IMPORTRANGE(""https://docs.google.com/spreadsheets/d/1fj_Bhi2XPL3siwIh4sx4VRLAe31yD50oKdj5UlRYW0c/"", ""Сводка!A:AA""), 11, FALSE)"),"978-601-310-935-1")</f>
        <v>978-601-310-935-1</v>
      </c>
      <c r="E410" s="11" t="s">
        <v>1640</v>
      </c>
      <c r="F410" s="11" t="s">
        <v>1641</v>
      </c>
      <c r="G410" s="12">
        <f ca="1">IFERROR(__xludf.DUMMYFUNCTION(" VLOOKUP(A407, IMPORTRANGE(""https://docs.google.com/spreadsheets/d/1fj_Bhi2XPL3siwIh4sx4VRLAe31yD50oKdj5UlRYW0c/"", ""Сводка!A:AA""), 5, FALSE)"),344)</f>
        <v>344</v>
      </c>
      <c r="H410" s="12" t="s">
        <v>538</v>
      </c>
      <c r="I410" s="10">
        <f ca="1">IFERROR(__xludf.DUMMYFUNCTION(" VLOOKUP(A407, IMPORTRANGE(""https://docs.google.com/spreadsheets/d/1QNLbnkR_AongFt22vMfNzfpjZ0CjpI8QI-w0wBnYA1w/"", ""Инфа!A:AA""), 6, FALSE)"),2024)</f>
        <v>2024</v>
      </c>
      <c r="J410" s="5">
        <f ca="1">ROUND((5000+G410*60),-2)</f>
        <v>25600</v>
      </c>
      <c r="K410" s="12" t="s">
        <v>302</v>
      </c>
      <c r="L410" s="15" t="s">
        <v>1642</v>
      </c>
    </row>
    <row r="411" spans="1:12" ht="180">
      <c r="A411" s="8" t="s">
        <v>1643</v>
      </c>
      <c r="B411" s="9" t="s">
        <v>12</v>
      </c>
      <c r="C411" s="10" t="s">
        <v>443</v>
      </c>
      <c r="D411" s="10" t="str">
        <f ca="1">IFERROR(__xludf.DUMMYFUNCTION(" VLOOKUP(A408, IMPORTRANGE(""https://docs.google.com/spreadsheets/d/1fj_Bhi2XPL3siwIh4sx4VRLAe31yD50oKdj5UlRYW0c/"", ""Сводка!A:AA""), 11, FALSE)"),"978-601-240-770-10")</f>
        <v>978-601-240-770-10</v>
      </c>
      <c r="E411" s="11" t="s">
        <v>1644</v>
      </c>
      <c r="F411" s="11" t="s">
        <v>1645</v>
      </c>
      <c r="G411" s="12">
        <f ca="1">IFERROR(__xludf.DUMMYFUNCTION(" VLOOKUP(A408, IMPORTRANGE(""https://docs.google.com/spreadsheets/d/1fj_Bhi2XPL3siwIh4sx4VRLAe31yD50oKdj5UlRYW0c/"", ""Сводка!A:AA""), 5, FALSE)"),256)</f>
        <v>256</v>
      </c>
      <c r="H411" s="12" t="s">
        <v>1646</v>
      </c>
      <c r="I411" s="10">
        <f ca="1">IFERROR(__xludf.DUMMYFUNCTION(" VLOOKUP(A408, IMPORTRANGE(""https://docs.google.com/spreadsheets/d/1QNLbnkR_AongFt22vMfNzfpjZ0CjpI8QI-w0wBnYA1w/"", ""Инфа!A:AA""), 6, FALSE)"),2024)</f>
        <v>2024</v>
      </c>
      <c r="J411" s="5">
        <f ca="1">ROUND((5000+G411*30),-2)</f>
        <v>12700</v>
      </c>
      <c r="K411" s="12" t="s">
        <v>1647</v>
      </c>
      <c r="L411" s="15" t="s">
        <v>1648</v>
      </c>
    </row>
    <row r="412" spans="1:12" ht="202.5">
      <c r="A412" s="8" t="s">
        <v>1649</v>
      </c>
      <c r="B412" s="9" t="s">
        <v>12</v>
      </c>
      <c r="C412" s="10" t="s">
        <v>443</v>
      </c>
      <c r="D412" s="10" t="str">
        <f ca="1">IFERROR(__xludf.DUMMYFUNCTION(" VLOOKUP(A409, IMPORTRANGE(""https://docs.google.com/spreadsheets/d/1fj_Bhi2XPL3siwIh4sx4VRLAe31yD50oKdj5UlRYW0c/"", ""Сводка!A:AA""), 11, FALSE)"),"987-601-310-622-6")</f>
        <v>987-601-310-622-6</v>
      </c>
      <c r="E412" s="11" t="s">
        <v>1644</v>
      </c>
      <c r="F412" s="11" t="s">
        <v>1650</v>
      </c>
      <c r="G412" s="12">
        <f ca="1">IFERROR(__xludf.DUMMYFUNCTION(" VLOOKUP(A409, IMPORTRANGE(""https://docs.google.com/spreadsheets/d/1fj_Bhi2XPL3siwIh4sx4VRLAe31yD50oKdj5UlRYW0c/"", ""Сводка!A:AA""), 5, FALSE)"),296)</f>
        <v>296</v>
      </c>
      <c r="H412" s="12" t="s">
        <v>1646</v>
      </c>
      <c r="I412" s="10">
        <f ca="1">IFERROR(__xludf.DUMMYFUNCTION(" VLOOKUP(A409, IMPORTRANGE(""https://docs.google.com/spreadsheets/d/1QNLbnkR_AongFt22vMfNzfpjZ0CjpI8QI-w0wBnYA1w/"", ""Инфа!A:AA""), 6, FALSE)"),2024)</f>
        <v>2024</v>
      </c>
      <c r="J412" s="5">
        <f ca="1">ROUND((5000+G412*60),-2)</f>
        <v>22800</v>
      </c>
      <c r="K412" s="12" t="s">
        <v>1647</v>
      </c>
      <c r="L412" s="15" t="s">
        <v>1651</v>
      </c>
    </row>
    <row r="413" spans="1:12" ht="38.25">
      <c r="A413" s="8" t="s">
        <v>1652</v>
      </c>
      <c r="B413" s="9" t="s">
        <v>12</v>
      </c>
      <c r="C413" s="10" t="s">
        <v>443</v>
      </c>
      <c r="D413" s="10" t="str">
        <f ca="1">IFERROR(__xludf.DUMMYFUNCTION(" VLOOKUP(A410, IMPORTRANGE(""https://docs.google.com/spreadsheets/d/1fj_Bhi2XPL3siwIh4sx4VRLAe31yD50oKdj5UlRYW0c/"", ""Сводка!A:AA""), 11, FALSE)"),"978-601-310-246-7")</f>
        <v>978-601-310-246-7</v>
      </c>
      <c r="E413" s="11" t="s">
        <v>1653</v>
      </c>
      <c r="F413" s="11" t="s">
        <v>1654</v>
      </c>
      <c r="G413" s="12">
        <f ca="1">IFERROR(__xludf.DUMMYFUNCTION(" VLOOKUP(A410, IMPORTRANGE(""https://docs.google.com/spreadsheets/d/1fj_Bhi2XPL3siwIh4sx4VRLAe31yD50oKdj5UlRYW0c/"", ""Сводка!A:AA""), 5, FALSE)"),68)</f>
        <v>68</v>
      </c>
      <c r="H413" s="12" t="s">
        <v>538</v>
      </c>
      <c r="I413" s="10">
        <f ca="1">IFERROR(__xludf.DUMMYFUNCTION(" VLOOKUP(A410, IMPORTRANGE(""https://docs.google.com/spreadsheets/d/1QNLbnkR_AongFt22vMfNzfpjZ0CjpI8QI-w0wBnYA1w/"", ""Инфа!A:AA""), 6, FALSE)"),2024)</f>
        <v>2024</v>
      </c>
      <c r="J413" s="5">
        <f ca="1">ROUND((5000+G413*30),-2)</f>
        <v>7000</v>
      </c>
      <c r="K413" s="12" t="s">
        <v>961</v>
      </c>
      <c r="L413" s="15"/>
    </row>
    <row r="414" spans="1:12" ht="112.5">
      <c r="A414" s="8" t="s">
        <v>1655</v>
      </c>
      <c r="B414" s="9" t="s">
        <v>12</v>
      </c>
      <c r="C414" s="10" t="s">
        <v>151</v>
      </c>
      <c r="D414" s="10" t="str">
        <f ca="1">IFERROR(__xludf.DUMMYFUNCTION(" VLOOKUP(A411, IMPORTRANGE(""https://docs.google.com/spreadsheets/d/1fj_Bhi2XPL3siwIh4sx4VRLAe31yD50oKdj5UlRYW0c/"", ""Сводка!A:AA""), 11, FALSE)"),"978-601-327-221-4")</f>
        <v>978-601-327-221-4</v>
      </c>
      <c r="E414" s="11" t="s">
        <v>1656</v>
      </c>
      <c r="F414" s="11" t="s">
        <v>1657</v>
      </c>
      <c r="G414" s="12">
        <f ca="1">IFERROR(__xludf.DUMMYFUNCTION(" VLOOKUP(A411, IMPORTRANGE(""https://docs.google.com/spreadsheets/d/1fj_Bhi2XPL3siwIh4sx4VRLAe31yD50oKdj5UlRYW0c/"", ""Сводка!A:AA""), 5, FALSE)"),232)</f>
        <v>232</v>
      </c>
      <c r="H414" s="12" t="s">
        <v>498</v>
      </c>
      <c r="I414" s="10">
        <f ca="1">IFERROR(__xludf.DUMMYFUNCTION(" VLOOKUP(A411, IMPORTRANGE(""https://docs.google.com/spreadsheets/d/1QNLbnkR_AongFt22vMfNzfpjZ0CjpI8QI-w0wBnYA1w/"", ""Инфа!A:AA""), 6, FALSE)"),2024)</f>
        <v>2024</v>
      </c>
      <c r="J414" s="5">
        <f ca="1">ROUND((5000+G414*30),-2)</f>
        <v>12000</v>
      </c>
      <c r="K414" s="12" t="s">
        <v>302</v>
      </c>
      <c r="L414" s="15" t="s">
        <v>1658</v>
      </c>
    </row>
    <row r="415" spans="1:12" ht="112.5">
      <c r="A415" s="8" t="s">
        <v>1659</v>
      </c>
      <c r="B415" s="9" t="s">
        <v>12</v>
      </c>
      <c r="C415" s="10" t="s">
        <v>151</v>
      </c>
      <c r="D415" s="10" t="str">
        <f ca="1">IFERROR(__xludf.DUMMYFUNCTION(" VLOOKUP(A412, IMPORTRANGE(""https://docs.google.com/spreadsheets/d/1fj_Bhi2XPL3siwIh4sx4VRLAe31yD50oKdj5UlRYW0c/"", ""Сводка!A:AA""), 11, FALSE)"),"978-601-327-221-4")</f>
        <v>978-601-327-221-4</v>
      </c>
      <c r="E415" s="11" t="s">
        <v>1656</v>
      </c>
      <c r="F415" s="11" t="s">
        <v>1660</v>
      </c>
      <c r="G415" s="12">
        <f ca="1">IFERROR(__xludf.DUMMYFUNCTION(" VLOOKUP(A412, IMPORTRANGE(""https://docs.google.com/spreadsheets/d/1fj_Bhi2XPL3siwIh4sx4VRLAe31yD50oKdj5UlRYW0c/"", ""Сводка!A:AA""), 5, FALSE)"),224)</f>
        <v>224</v>
      </c>
      <c r="H415" s="12" t="s">
        <v>498</v>
      </c>
      <c r="I415" s="10">
        <f ca="1">IFERROR(__xludf.DUMMYFUNCTION(" VLOOKUP(A412, IMPORTRANGE(""https://docs.google.com/spreadsheets/d/1QNLbnkR_AongFt22vMfNzfpjZ0CjpI8QI-w0wBnYA1w/"", ""Инфа!A:AA""), 6, FALSE)"),2024)</f>
        <v>2024</v>
      </c>
      <c r="J415" s="5">
        <f ca="1">ROUND((5000+G415*30),-2)</f>
        <v>11700</v>
      </c>
      <c r="K415" s="12" t="s">
        <v>302</v>
      </c>
      <c r="L415" s="15" t="s">
        <v>1658</v>
      </c>
    </row>
    <row r="416" spans="1:12" ht="236.25">
      <c r="A416" s="8" t="s">
        <v>1661</v>
      </c>
      <c r="B416" s="9" t="s">
        <v>12</v>
      </c>
      <c r="C416" s="10" t="s">
        <v>443</v>
      </c>
      <c r="D416" s="10" t="str">
        <f ca="1">IFERROR(__xludf.DUMMYFUNCTION(" VLOOKUP(A413, IMPORTRANGE(""https://docs.google.com/spreadsheets/d/1fj_Bhi2XPL3siwIh4sx4VRLAe31yD50oKdj5UlRYW0c/"", ""Сводка!A:AA""), 11, FALSE)"),"978-601-310-935-0")</f>
        <v>978-601-310-935-0</v>
      </c>
      <c r="E416" s="11" t="s">
        <v>1662</v>
      </c>
      <c r="F416" s="11" t="s">
        <v>1663</v>
      </c>
      <c r="G416" s="12">
        <f ca="1">IFERROR(__xludf.DUMMYFUNCTION(" VLOOKUP(A413, IMPORTRANGE(""https://docs.google.com/spreadsheets/d/1fj_Bhi2XPL3siwIh4sx4VRLAe31yD50oKdj5UlRYW0c/"", ""Сводка!A:AA""), 5, FALSE)"),332)</f>
        <v>332</v>
      </c>
      <c r="H416" s="12" t="s">
        <v>498</v>
      </c>
      <c r="I416" s="10">
        <f ca="1">IFERROR(__xludf.DUMMYFUNCTION(" VLOOKUP(A413, IMPORTRANGE(""https://docs.google.com/spreadsheets/d/1QNLbnkR_AongFt22vMfNzfpjZ0CjpI8QI-w0wBnYA1w/"", ""Инфа!A:AA""), 6, FALSE)"),2024)</f>
        <v>2024</v>
      </c>
      <c r="J416" s="5">
        <f ca="1">ROUND((5000+G416*60),-2)</f>
        <v>24900</v>
      </c>
      <c r="K416" s="12" t="s">
        <v>302</v>
      </c>
      <c r="L416" s="15" t="s">
        <v>1664</v>
      </c>
    </row>
    <row r="417" spans="1:12" ht="236.25">
      <c r="A417" s="8" t="s">
        <v>1665</v>
      </c>
      <c r="B417" s="9" t="s">
        <v>12</v>
      </c>
      <c r="C417" s="10" t="s">
        <v>443</v>
      </c>
      <c r="D417" s="10" t="str">
        <f ca="1">IFERROR(__xludf.DUMMYFUNCTION(" VLOOKUP(A414, IMPORTRANGE(""https://docs.google.com/spreadsheets/d/1fj_Bhi2XPL3siwIh4sx4VRLAe31yD50oKdj5UlRYW0c/"", ""Сводка!A:AA""), 11, FALSE)"),"978-601-310-935-0")</f>
        <v>978-601-310-935-0</v>
      </c>
      <c r="E417" s="11" t="s">
        <v>1662</v>
      </c>
      <c r="F417" s="11" t="s">
        <v>1666</v>
      </c>
      <c r="G417" s="12">
        <f ca="1">IFERROR(__xludf.DUMMYFUNCTION(" VLOOKUP(A414, IMPORTRANGE(""https://docs.google.com/spreadsheets/d/1fj_Bhi2XPL3siwIh4sx4VRLAe31yD50oKdj5UlRYW0c/"", ""Сводка!A:AA""), 5, FALSE)"),292)</f>
        <v>292</v>
      </c>
      <c r="H417" s="12" t="s">
        <v>498</v>
      </c>
      <c r="I417" s="10">
        <f ca="1">IFERROR(__xludf.DUMMYFUNCTION(" VLOOKUP(A414, IMPORTRANGE(""https://docs.google.com/spreadsheets/d/1QNLbnkR_AongFt22vMfNzfpjZ0CjpI8QI-w0wBnYA1w/"", ""Инфа!A:AA""), 6, FALSE)"),2024)</f>
        <v>2024</v>
      </c>
      <c r="J417" s="5">
        <f t="shared" ref="J417:J422" ca="1" si="10">ROUND((5000+G417*30),-2)</f>
        <v>13800</v>
      </c>
      <c r="K417" s="12" t="s">
        <v>302</v>
      </c>
      <c r="L417" s="15" t="s">
        <v>1664</v>
      </c>
    </row>
    <row r="418" spans="1:12" ht="168.75">
      <c r="A418" s="8" t="s">
        <v>1667</v>
      </c>
      <c r="B418" s="9" t="s">
        <v>12</v>
      </c>
      <c r="C418" s="10" t="s">
        <v>151</v>
      </c>
      <c r="D418" s="10" t="str">
        <f ca="1">IFERROR(__xludf.DUMMYFUNCTION(" VLOOKUP(A415, IMPORTRANGE(""https://docs.google.com/spreadsheets/d/1fj_Bhi2XPL3siwIh4sx4VRLAe31yD50oKdj5UlRYW0c/"", ""Сводка!A:AA""), 11, FALSE)"),"978-601-327-319-8")</f>
        <v>978-601-327-319-8</v>
      </c>
      <c r="E418" s="11" t="s">
        <v>1668</v>
      </c>
      <c r="F418" s="11" t="s">
        <v>1669</v>
      </c>
      <c r="G418" s="12">
        <f ca="1">IFERROR(__xludf.DUMMYFUNCTION(" VLOOKUP(A415, IMPORTRANGE(""https://docs.google.com/spreadsheets/d/1fj_Bhi2XPL3siwIh4sx4VRLAe31yD50oKdj5UlRYW0c/"", ""Сводка!A:AA""), 5, FALSE)"),304)</f>
        <v>304</v>
      </c>
      <c r="H418" s="12" t="s">
        <v>47</v>
      </c>
      <c r="I418" s="10">
        <f ca="1">IFERROR(__xludf.DUMMYFUNCTION(" VLOOKUP(A415, IMPORTRANGE(""https://docs.google.com/spreadsheets/d/1QNLbnkR_AongFt22vMfNzfpjZ0CjpI8QI-w0wBnYA1w/"", ""Инфа!A:AA""), 6, FALSE)"),2024)</f>
        <v>2024</v>
      </c>
      <c r="J418" s="5">
        <f t="shared" ca="1" si="10"/>
        <v>14100</v>
      </c>
      <c r="K418" s="9" t="s">
        <v>101</v>
      </c>
      <c r="L418" s="15" t="s">
        <v>1670</v>
      </c>
    </row>
    <row r="419" spans="1:12" ht="191.25">
      <c r="A419" s="8" t="s">
        <v>1671</v>
      </c>
      <c r="B419" s="9" t="s">
        <v>12</v>
      </c>
      <c r="C419" s="10" t="s">
        <v>443</v>
      </c>
      <c r="D419" s="10" t="str">
        <f ca="1">IFERROR(__xludf.DUMMYFUNCTION(" VLOOKUP(A416, IMPORTRANGE(""https://docs.google.com/spreadsheets/d/1fj_Bhi2XPL3siwIh4sx4VRLAe31yD50oKdj5UlRYW0c/"", ""Сводка!A:AA""), 11, FALSE)"),"978-601-327-319-8")</f>
        <v>978-601-327-319-8</v>
      </c>
      <c r="E419" s="11" t="s">
        <v>1668</v>
      </c>
      <c r="F419" s="11" t="s">
        <v>1672</v>
      </c>
      <c r="G419" s="12">
        <f ca="1">IFERROR(__xludf.DUMMYFUNCTION(" VLOOKUP(A416, IMPORTRANGE(""https://docs.google.com/spreadsheets/d/1fj_Bhi2XPL3siwIh4sx4VRLAe31yD50oKdj5UlRYW0c/"", ""Сводка!A:AA""), 5, FALSE)"),328)</f>
        <v>328</v>
      </c>
      <c r="H419" s="12" t="s">
        <v>511</v>
      </c>
      <c r="I419" s="10">
        <f ca="1">IFERROR(__xludf.DUMMYFUNCTION(" VLOOKUP(A416, IMPORTRANGE(""https://docs.google.com/spreadsheets/d/1QNLbnkR_AongFt22vMfNzfpjZ0CjpI8QI-w0wBnYA1w/"", ""Инфа!A:AA""), 6, FALSE)"),2024)</f>
        <v>2024</v>
      </c>
      <c r="J419" s="5">
        <f t="shared" ca="1" si="10"/>
        <v>14800</v>
      </c>
      <c r="K419" s="12" t="s">
        <v>101</v>
      </c>
      <c r="L419" s="15" t="s">
        <v>1674</v>
      </c>
    </row>
    <row r="420" spans="1:12" ht="191.25">
      <c r="A420" s="8" t="s">
        <v>1675</v>
      </c>
      <c r="B420" s="9" t="s">
        <v>12</v>
      </c>
      <c r="C420" s="10" t="s">
        <v>443</v>
      </c>
      <c r="D420" s="10" t="str">
        <f ca="1">IFERROR(__xludf.DUMMYFUNCTION(" VLOOKUP(A417, IMPORTRANGE(""https://docs.google.com/spreadsheets/d/1fj_Bhi2XPL3siwIh4sx4VRLAe31yD50oKdj5UlRYW0c/"", ""Сводка!A:AA""), 11, FALSE)"),"9965-573-19-0")</f>
        <v>9965-573-19-0</v>
      </c>
      <c r="E420" s="11" t="s">
        <v>1676</v>
      </c>
      <c r="F420" s="11" t="s">
        <v>1677</v>
      </c>
      <c r="G420" s="12">
        <f ca="1">IFERROR(__xludf.DUMMYFUNCTION(" VLOOKUP(A417, IMPORTRANGE(""https://docs.google.com/spreadsheets/d/1fj_Bhi2XPL3siwIh4sx4VRLAe31yD50oKdj5UlRYW0c/"", ""Сводка!A:AA""), 5, FALSE)"),160)</f>
        <v>160</v>
      </c>
      <c r="H420" s="12" t="s">
        <v>511</v>
      </c>
      <c r="I420" s="10">
        <f ca="1">IFERROR(__xludf.DUMMYFUNCTION(" VLOOKUP(A417, IMPORTRANGE(""https://docs.google.com/spreadsheets/d/1QNLbnkR_AongFt22vMfNzfpjZ0CjpI8QI-w0wBnYA1w/"", ""Инфа!A:AA""), 6, FALSE)"),2024)</f>
        <v>2024</v>
      </c>
      <c r="J420" s="5">
        <f t="shared" ca="1" si="10"/>
        <v>9800</v>
      </c>
      <c r="K420" s="12" t="s">
        <v>243</v>
      </c>
      <c r="L420" s="15" t="s">
        <v>1678</v>
      </c>
    </row>
    <row r="421" spans="1:12" ht="76.5">
      <c r="A421" s="8" t="s">
        <v>1679</v>
      </c>
      <c r="B421" s="9" t="s">
        <v>12</v>
      </c>
      <c r="C421" s="10" t="s">
        <v>151</v>
      </c>
      <c r="D421" s="10" t="str">
        <f ca="1">IFERROR(__xludf.DUMMYFUNCTION(" VLOOKUP(A418, IMPORTRANGE(""https://docs.google.com/spreadsheets/d/1fj_Bhi2XPL3siwIh4sx4VRLAe31yD50oKdj5UlRYW0c/"", ""Сводка!A:AA""), 11, FALSE)"),"978-601-202-020-8")</f>
        <v>978-601-202-020-8</v>
      </c>
      <c r="E421" s="11" t="s">
        <v>1676</v>
      </c>
      <c r="F421" s="11" t="s">
        <v>1680</v>
      </c>
      <c r="G421" s="12">
        <f ca="1">IFERROR(__xludf.DUMMYFUNCTION(" VLOOKUP(A418, IMPORTRANGE(""https://docs.google.com/spreadsheets/d/1fj_Bhi2XPL3siwIh4sx4VRLAe31yD50oKdj5UlRYW0c/"", ""Сводка!A:AA""), 5, FALSE)"),176)</f>
        <v>176</v>
      </c>
      <c r="H421" s="12" t="s">
        <v>106</v>
      </c>
      <c r="I421" s="10">
        <f ca="1">IFERROR(__xludf.DUMMYFUNCTION(" VLOOKUP(A418, IMPORTRANGE(""https://docs.google.com/spreadsheets/d/1QNLbnkR_AongFt22vMfNzfpjZ0CjpI8QI-w0wBnYA1w/"", ""Инфа!A:AA""), 6, FALSE)"),2024)</f>
        <v>2024</v>
      </c>
      <c r="J421" s="5">
        <f t="shared" ca="1" si="10"/>
        <v>10300</v>
      </c>
      <c r="K421" s="12" t="s">
        <v>1681</v>
      </c>
      <c r="L421" s="15"/>
    </row>
    <row r="422" spans="1:12" ht="38.25">
      <c r="A422" s="8" t="s">
        <v>1682</v>
      </c>
      <c r="B422" s="9" t="s">
        <v>12</v>
      </c>
      <c r="C422" s="10" t="s">
        <v>151</v>
      </c>
      <c r="D422" s="10" t="str">
        <f ca="1">IFERROR(__xludf.DUMMYFUNCTION(" VLOOKUP(A419, IMPORTRANGE(""https://docs.google.com/spreadsheets/d/1fj_Bhi2XPL3siwIh4sx4VRLAe31yD50oKdj5UlRYW0c/"", ""Сводка!A:AA""), 11, FALSE)"),"9965-439-96-6")</f>
        <v>9965-439-96-6</v>
      </c>
      <c r="E422" s="11" t="s">
        <v>1676</v>
      </c>
      <c r="F422" s="11" t="s">
        <v>1683</v>
      </c>
      <c r="G422" s="12">
        <f ca="1">IFERROR(__xludf.DUMMYFUNCTION(" VLOOKUP(A419, IMPORTRANGE(""https://docs.google.com/spreadsheets/d/1fj_Bhi2XPL3siwIh4sx4VRLAe31yD50oKdj5UlRYW0c/"", ""Сводка!A:AA""), 5, FALSE)"),176)</f>
        <v>176</v>
      </c>
      <c r="H422" s="12" t="s">
        <v>498</v>
      </c>
      <c r="I422" s="10">
        <f ca="1">IFERROR(__xludf.DUMMYFUNCTION(" VLOOKUP(A419, IMPORTRANGE(""https://docs.google.com/spreadsheets/d/1QNLbnkR_AongFt22vMfNzfpjZ0CjpI8QI-w0wBnYA1w/"", ""Инфа!A:AA""), 6, FALSE)"),2024)</f>
        <v>2024</v>
      </c>
      <c r="J422" s="5">
        <f t="shared" ca="1" si="10"/>
        <v>10300</v>
      </c>
      <c r="K422" s="12" t="s">
        <v>1681</v>
      </c>
      <c r="L422" s="15"/>
    </row>
    <row r="423" spans="1:12" ht="25.5">
      <c r="A423" s="8" t="s">
        <v>1684</v>
      </c>
      <c r="B423" s="9" t="s">
        <v>12</v>
      </c>
      <c r="C423" s="10" t="s">
        <v>443</v>
      </c>
      <c r="D423" s="10" t="str">
        <f ca="1">IFERROR(__xludf.DUMMYFUNCTION(" VLOOKUP(A420, IMPORTRANGE(""https://docs.google.com/spreadsheets/d/1fj_Bhi2XPL3siwIh4sx4VRLAe31yD50oKdj5UlRYW0c/"", ""Сводка!A:AA""), 11, FALSE)"),"978-601-310-218-4")</f>
        <v>978-601-310-218-4</v>
      </c>
      <c r="E423" s="11" t="s">
        <v>1685</v>
      </c>
      <c r="F423" s="11" t="s">
        <v>1686</v>
      </c>
      <c r="G423" s="12">
        <f ca="1">IFERROR(__xludf.DUMMYFUNCTION(" VLOOKUP(A420, IMPORTRANGE(""https://docs.google.com/spreadsheets/d/1fj_Bhi2XPL3siwIh4sx4VRLAe31yD50oKdj5UlRYW0c/"", ""Сводка!A:AA""), 5, FALSE)"),136)</f>
        <v>136</v>
      </c>
      <c r="H423" s="12" t="s">
        <v>511</v>
      </c>
      <c r="I423" s="10">
        <f ca="1">IFERROR(__xludf.DUMMYFUNCTION(" VLOOKUP(A420, IMPORTRANGE(""https://docs.google.com/spreadsheets/d/1QNLbnkR_AongFt22vMfNzfpjZ0CjpI8QI-w0wBnYA1w/"", ""Инфа!A:AA""), 6, FALSE)"),2024)</f>
        <v>2024</v>
      </c>
      <c r="J423" s="5">
        <f ca="1">ROUND((5000+G423*60),-2)</f>
        <v>13200</v>
      </c>
      <c r="K423" s="12" t="s">
        <v>1240</v>
      </c>
      <c r="L423" s="15"/>
    </row>
    <row r="424" spans="1:12" ht="45">
      <c r="A424" s="8" t="s">
        <v>1687</v>
      </c>
      <c r="B424" s="9" t="s">
        <v>12</v>
      </c>
      <c r="C424" s="10" t="s">
        <v>443</v>
      </c>
      <c r="D424" s="10" t="str">
        <f ca="1">IFERROR(__xludf.DUMMYFUNCTION(" VLOOKUP(A421, IMPORTRANGE(""https://docs.google.com/spreadsheets/d/1fj_Bhi2XPL3siwIh4sx4VRLAe31yD50oKdj5UlRYW0c/"", ""Сводка!A:AA""), 11, FALSE)"),"978-601-310-166-8")</f>
        <v>978-601-310-166-8</v>
      </c>
      <c r="E424" s="11" t="s">
        <v>1688</v>
      </c>
      <c r="F424" s="11" t="s">
        <v>1689</v>
      </c>
      <c r="G424" s="12">
        <f ca="1">IFERROR(__xludf.DUMMYFUNCTION(" VLOOKUP(A421, IMPORTRANGE(""https://docs.google.com/spreadsheets/d/1fj_Bhi2XPL3siwIh4sx4VRLAe31yD50oKdj5UlRYW0c/"", ""Сводка!A:AA""), 5, FALSE)"),252)</f>
        <v>252</v>
      </c>
      <c r="H424" s="12" t="s">
        <v>511</v>
      </c>
      <c r="I424" s="10">
        <f ca="1">IFERROR(__xludf.DUMMYFUNCTION(" VLOOKUP(A421, IMPORTRANGE(""https://docs.google.com/spreadsheets/d/1QNLbnkR_AongFt22vMfNzfpjZ0CjpI8QI-w0wBnYA1w/"", ""Инфа!A:AA""), 6, FALSE)"),2024)</f>
        <v>2024</v>
      </c>
      <c r="J424" s="5">
        <f ca="1">ROUND((5000+G424*60),-2)</f>
        <v>20100</v>
      </c>
      <c r="K424" s="12" t="s">
        <v>988</v>
      </c>
      <c r="L424" s="15" t="s">
        <v>1690</v>
      </c>
    </row>
    <row r="425" spans="1:12" ht="56.25">
      <c r="A425" s="8" t="s">
        <v>1691</v>
      </c>
      <c r="B425" s="9" t="s">
        <v>12</v>
      </c>
      <c r="C425" s="10" t="s">
        <v>443</v>
      </c>
      <c r="D425" s="10" t="str">
        <f ca="1">IFERROR(__xludf.DUMMYFUNCTION(" VLOOKUP(A422, IMPORTRANGE(""https://docs.google.com/spreadsheets/d/1fj_Bhi2XPL3siwIh4sx4VRLAe31yD50oKdj5UlRYW0c/"", ""Сводка!A:AA""), 11, FALSE)"),"978-601-7816-58-2")</f>
        <v>978-601-7816-58-2</v>
      </c>
      <c r="E425" s="11" t="s">
        <v>1692</v>
      </c>
      <c r="F425" s="11" t="s">
        <v>1693</v>
      </c>
      <c r="G425" s="12">
        <f ca="1">IFERROR(__xludf.DUMMYFUNCTION(" VLOOKUP(A422, IMPORTRANGE(""https://docs.google.com/spreadsheets/d/1fj_Bhi2XPL3siwIh4sx4VRLAe31yD50oKdj5UlRYW0c/"", ""Сводка!A:AA""), 5, FALSE)"),136)</f>
        <v>136</v>
      </c>
      <c r="H425" s="12" t="s">
        <v>538</v>
      </c>
      <c r="I425" s="10">
        <f ca="1">IFERROR(__xludf.DUMMYFUNCTION(" VLOOKUP(A422, IMPORTRANGE(""https://docs.google.com/spreadsheets/d/1QNLbnkR_AongFt22vMfNzfpjZ0CjpI8QI-w0wBnYA1w/"", ""Инфа!A:AA""), 6, FALSE)"),2024)</f>
        <v>2024</v>
      </c>
      <c r="J425" s="5">
        <f ca="1">ROUND(((5000+G425*60)*1.3),-2)</f>
        <v>17100</v>
      </c>
      <c r="K425" s="9" t="s">
        <v>171</v>
      </c>
      <c r="L425" s="15" t="s">
        <v>1694</v>
      </c>
    </row>
    <row r="426" spans="1:12" ht="56.25">
      <c r="A426" s="8" t="s">
        <v>1695</v>
      </c>
      <c r="B426" s="9" t="s">
        <v>12</v>
      </c>
      <c r="C426" s="10" t="s">
        <v>443</v>
      </c>
      <c r="D426" s="10" t="str">
        <f ca="1">IFERROR(__xludf.DUMMYFUNCTION(" VLOOKUP(A423, IMPORTRANGE(""https://docs.google.com/spreadsheets/d/1fj_Bhi2XPL3siwIh4sx4VRLAe31yD50oKdj5UlRYW0c/"", ""Сводка!A:AA""), 11, FALSE)"),"978-601-7816-58-2")</f>
        <v>978-601-7816-58-2</v>
      </c>
      <c r="E426" s="11" t="s">
        <v>1692</v>
      </c>
      <c r="F426" s="11" t="s">
        <v>1696</v>
      </c>
      <c r="G426" s="12">
        <f ca="1">IFERROR(__xludf.DUMMYFUNCTION(" VLOOKUP(A423, IMPORTRANGE(""https://docs.google.com/spreadsheets/d/1fj_Bhi2XPL3siwIh4sx4VRLAe31yD50oKdj5UlRYW0c/"", ""Сводка!A:AA""), 5, FALSE)"),140)</f>
        <v>140</v>
      </c>
      <c r="H426" s="12" t="s">
        <v>538</v>
      </c>
      <c r="I426" s="10">
        <f ca="1">IFERROR(__xludf.DUMMYFUNCTION(" VLOOKUP(A423, IMPORTRANGE(""https://docs.google.com/spreadsheets/d/1QNLbnkR_AongFt22vMfNzfpjZ0CjpI8QI-w0wBnYA1w/"", ""Инфа!A:AA""), 6, FALSE)"),2024)</f>
        <v>2024</v>
      </c>
      <c r="J426" s="5">
        <f ca="1">ROUND((5000+G426*60),-2)</f>
        <v>13400</v>
      </c>
      <c r="K426" s="9" t="s">
        <v>171</v>
      </c>
      <c r="L426" s="15" t="s">
        <v>1694</v>
      </c>
    </row>
    <row r="427" spans="1:12" ht="56.25">
      <c r="A427" s="8" t="s">
        <v>1697</v>
      </c>
      <c r="B427" s="9" t="s">
        <v>12</v>
      </c>
      <c r="C427" s="10" t="s">
        <v>443</v>
      </c>
      <c r="D427" s="10" t="str">
        <f ca="1">IFERROR(__xludf.DUMMYFUNCTION(" VLOOKUP(A424, IMPORTRANGE(""https://docs.google.com/spreadsheets/d/1fj_Bhi2XPL3siwIh4sx4VRLAe31yD50oKdj5UlRYW0c/"", ""Сводка!A:AA""), 11, FALSE)"),"978-601-7816-58-2")</f>
        <v>978-601-7816-58-2</v>
      </c>
      <c r="E427" s="11" t="s">
        <v>1692</v>
      </c>
      <c r="F427" s="11" t="s">
        <v>1698</v>
      </c>
      <c r="G427" s="12">
        <f ca="1">IFERROR(__xludf.DUMMYFUNCTION(" VLOOKUP(A424, IMPORTRANGE(""https://docs.google.com/spreadsheets/d/1fj_Bhi2XPL3siwIh4sx4VRLAe31yD50oKdj5UlRYW0c/"", ""Сводка!A:AA""), 5, FALSE)"),144)</f>
        <v>144</v>
      </c>
      <c r="H427" s="10" t="s">
        <v>538</v>
      </c>
      <c r="I427" s="10">
        <f ca="1">IFERROR(__xludf.DUMMYFUNCTION(" VLOOKUP(A424, IMPORTRANGE(""https://docs.google.com/spreadsheets/d/1QNLbnkR_AongFt22vMfNzfpjZ0CjpI8QI-w0wBnYA1w/"", ""Инфа!A:AA""), 6, FALSE)"),2024)</f>
        <v>2024</v>
      </c>
      <c r="J427" s="5">
        <f ca="1">ROUND((5000+G427*60),-2)</f>
        <v>13600</v>
      </c>
      <c r="K427" s="9" t="s">
        <v>171</v>
      </c>
      <c r="L427" s="15" t="s">
        <v>1694</v>
      </c>
    </row>
    <row r="428" spans="1:12" ht="45">
      <c r="A428" s="8" t="s">
        <v>1699</v>
      </c>
      <c r="B428" s="9" t="s">
        <v>12</v>
      </c>
      <c r="C428" s="10" t="s">
        <v>151</v>
      </c>
      <c r="D428" s="10" t="str">
        <f ca="1">IFERROR(__xludf.DUMMYFUNCTION(" VLOOKUP(A425, IMPORTRANGE(""https://docs.google.com/spreadsheets/d/1fj_Bhi2XPL3siwIh4sx4VRLAe31yD50oKdj5UlRYW0c/"", ""Сводка!A:AA""), 11, FALSE)"),"978-601-240-809-6")</f>
        <v>978-601-240-809-6</v>
      </c>
      <c r="E428" s="11" t="s">
        <v>1692</v>
      </c>
      <c r="F428" s="11" t="s">
        <v>1700</v>
      </c>
      <c r="G428" s="12">
        <f ca="1">IFERROR(__xludf.DUMMYFUNCTION(" VLOOKUP(A425, IMPORTRANGE(""https://docs.google.com/spreadsheets/d/1fj_Bhi2XPL3siwIh4sx4VRLAe31yD50oKdj5UlRYW0c/"", ""Сводка!A:AA""), 5, FALSE)"),144)</f>
        <v>144</v>
      </c>
      <c r="H428" s="12" t="s">
        <v>47</v>
      </c>
      <c r="I428" s="10">
        <f ca="1">IFERROR(__xludf.DUMMYFUNCTION(" VLOOKUP(A425, IMPORTRANGE(""https://docs.google.com/spreadsheets/d/1QNLbnkR_AongFt22vMfNzfpjZ0CjpI8QI-w0wBnYA1w/"", ""Инфа!A:AA""), 6, FALSE)"),2024)</f>
        <v>2024</v>
      </c>
      <c r="J428" s="5">
        <f ca="1">ROUND(((5000+G428*60)*1.3),-2)</f>
        <v>17700</v>
      </c>
      <c r="K428" s="9" t="s">
        <v>171</v>
      </c>
      <c r="L428" s="15" t="s">
        <v>1701</v>
      </c>
    </row>
    <row r="429" spans="1:12" ht="45">
      <c r="A429" s="8" t="s">
        <v>1702</v>
      </c>
      <c r="B429" s="9" t="s">
        <v>12</v>
      </c>
      <c r="C429" s="10" t="s">
        <v>151</v>
      </c>
      <c r="D429" s="10" t="str">
        <f ca="1">IFERROR(__xludf.DUMMYFUNCTION(" VLOOKUP(A426, IMPORTRANGE(""https://docs.google.com/spreadsheets/d/1fj_Bhi2XPL3siwIh4sx4VRLAe31yD50oKdj5UlRYW0c/"", ""Сводка!A:AA""), 11, FALSE)"),"978-601-7816-58-2")</f>
        <v>978-601-7816-58-2</v>
      </c>
      <c r="E429" s="11" t="s">
        <v>1703</v>
      </c>
      <c r="F429" s="11" t="s">
        <v>1704</v>
      </c>
      <c r="G429" s="12">
        <f ca="1">IFERROR(__xludf.DUMMYFUNCTION(" VLOOKUP(A426, IMPORTRANGE(""https://docs.google.com/spreadsheets/d/1fj_Bhi2XPL3siwIh4sx4VRLAe31yD50oKdj5UlRYW0c/"", ""Сводка!A:AA""), 5, FALSE)"),168)</f>
        <v>168</v>
      </c>
      <c r="H429" s="12" t="s">
        <v>47</v>
      </c>
      <c r="I429" s="10">
        <f ca="1">IFERROR(__xludf.DUMMYFUNCTION(" VLOOKUP(A426, IMPORTRANGE(""https://docs.google.com/spreadsheets/d/1QNLbnkR_AongFt22vMfNzfpjZ0CjpI8QI-w0wBnYA1w/"", ""Инфа!A:AA""), 6, FALSE)"),2024)</f>
        <v>2024</v>
      </c>
      <c r="J429" s="5">
        <f ca="1">ROUND((5000+G429*60),-2)</f>
        <v>15100</v>
      </c>
      <c r="K429" s="9" t="s">
        <v>171</v>
      </c>
      <c r="L429" s="15" t="s">
        <v>1701</v>
      </c>
    </row>
    <row r="430" spans="1:12" ht="112.5">
      <c r="A430" s="8" t="s">
        <v>1705</v>
      </c>
      <c r="B430" s="9" t="s">
        <v>12</v>
      </c>
      <c r="C430" s="10" t="s">
        <v>443</v>
      </c>
      <c r="D430" s="10" t="str">
        <f ca="1">IFERROR(__xludf.DUMMYFUNCTION(" VLOOKUP(A427, IMPORTRANGE(""https://docs.google.com/spreadsheets/d/1fj_Bhi2XPL3siwIh4sx4VRLAe31yD50oKdj5UlRYW0c/"", ""Сводка!A:AA""), 11, FALSE)"),"978-601-342-319-7")</f>
        <v>978-601-342-319-7</v>
      </c>
      <c r="E430" s="11" t="s">
        <v>1706</v>
      </c>
      <c r="F430" s="11" t="s">
        <v>1707</v>
      </c>
      <c r="G430" s="12">
        <f ca="1">IFERROR(__xludf.DUMMYFUNCTION(" VLOOKUP(A427, IMPORTRANGE(""https://docs.google.com/spreadsheets/d/1fj_Bhi2XPL3siwIh4sx4VRLAe31yD50oKdj5UlRYW0c/"", ""Сводка!A:AA""), 5, FALSE)"),164)</f>
        <v>164</v>
      </c>
      <c r="H430" s="12" t="s">
        <v>1585</v>
      </c>
      <c r="I430" s="10">
        <f ca="1">IFERROR(__xludf.DUMMYFUNCTION(" VLOOKUP(A427, IMPORTRANGE(""https://docs.google.com/spreadsheets/d/1QNLbnkR_AongFt22vMfNzfpjZ0CjpI8QI-w0wBnYA1w/"", ""Инфа!A:AA""), 6, FALSE)"),2024)</f>
        <v>2024</v>
      </c>
      <c r="J430" s="5">
        <f ca="1">ROUND((5000+G430*30),-2)</f>
        <v>9900</v>
      </c>
      <c r="K430" s="12" t="s">
        <v>1708</v>
      </c>
      <c r="L430" s="15" t="s">
        <v>1709</v>
      </c>
    </row>
    <row r="431" spans="1:12" ht="146.25">
      <c r="A431" s="8" t="s">
        <v>1710</v>
      </c>
      <c r="B431" s="9" t="s">
        <v>12</v>
      </c>
      <c r="C431" s="10" t="s">
        <v>151</v>
      </c>
      <c r="D431" s="10" t="str">
        <f ca="1">IFERROR(__xludf.DUMMYFUNCTION(" VLOOKUP(A428, IMPORTRANGE(""https://docs.google.com/spreadsheets/d/1fj_Bhi2XPL3siwIh4sx4VRLAe31yD50oKdj5UlRYW0c/"", ""Сводка!A:AA""), 11, FALSE)"),"978-601-342-287-9")</f>
        <v>978-601-342-287-9</v>
      </c>
      <c r="E431" s="11" t="s">
        <v>1711</v>
      </c>
      <c r="F431" s="11" t="s">
        <v>1712</v>
      </c>
      <c r="G431" s="12">
        <f ca="1">IFERROR(__xludf.DUMMYFUNCTION(" VLOOKUP(A428, IMPORTRANGE(""https://docs.google.com/spreadsheets/d/1fj_Bhi2XPL3siwIh4sx4VRLAe31yD50oKdj5UlRYW0c/"", ""Сводка!A:AA""), 5, FALSE)"),128)</f>
        <v>128</v>
      </c>
      <c r="H431" s="12" t="s">
        <v>1585</v>
      </c>
      <c r="I431" s="10">
        <f ca="1">IFERROR(__xludf.DUMMYFUNCTION(" VLOOKUP(A428, IMPORTRANGE(""https://docs.google.com/spreadsheets/d/1QNLbnkR_AongFt22vMfNzfpjZ0CjpI8QI-w0wBnYA1w/"", ""Инфа!A:AA""), 6, FALSE)"),2024)</f>
        <v>2024</v>
      </c>
      <c r="J431" s="5">
        <f t="shared" ref="J431:J441" ca="1" si="11">ROUND((5000+G431*60),-2)</f>
        <v>12700</v>
      </c>
      <c r="K431" s="12" t="s">
        <v>166</v>
      </c>
      <c r="L431" s="15" t="s">
        <v>1713</v>
      </c>
    </row>
    <row r="432" spans="1:12" ht="101.25">
      <c r="A432" s="8" t="s">
        <v>1714</v>
      </c>
      <c r="B432" s="9" t="s">
        <v>12</v>
      </c>
      <c r="C432" s="10" t="s">
        <v>443</v>
      </c>
      <c r="D432" s="10" t="str">
        <f ca="1">IFERROR(__xludf.DUMMYFUNCTION(" VLOOKUP(A429, IMPORTRANGE(""https://docs.google.com/spreadsheets/d/1fj_Bhi2XPL3siwIh4sx4VRLAe31yD50oKdj5UlRYW0c/"", ""Сводка!A:AA""), 11, FALSE)"),"978-601-342-286-2")</f>
        <v>978-601-342-286-2</v>
      </c>
      <c r="E432" s="11" t="s">
        <v>1715</v>
      </c>
      <c r="F432" s="11" t="s">
        <v>1716</v>
      </c>
      <c r="G432" s="12">
        <f ca="1">IFERROR(__xludf.DUMMYFUNCTION(" VLOOKUP(A429, IMPORTRANGE(""https://docs.google.com/spreadsheets/d/1fj_Bhi2XPL3siwIh4sx4VRLAe31yD50oKdj5UlRYW0c/"", ""Сводка!A:AA""), 5, FALSE)"),172)</f>
        <v>172</v>
      </c>
      <c r="H432" s="12" t="s">
        <v>1585</v>
      </c>
      <c r="I432" s="10">
        <f ca="1">IFERROR(__xludf.DUMMYFUNCTION(" VLOOKUP(A429, IMPORTRANGE(""https://docs.google.com/spreadsheets/d/1QNLbnkR_AongFt22vMfNzfpjZ0CjpI8QI-w0wBnYA1w/"", ""Инфа!A:AA""), 6, FALSE)"),2024)</f>
        <v>2024</v>
      </c>
      <c r="J432" s="5">
        <f t="shared" ca="1" si="11"/>
        <v>15300</v>
      </c>
      <c r="K432" s="12" t="s">
        <v>1717</v>
      </c>
      <c r="L432" s="15" t="s">
        <v>1718</v>
      </c>
    </row>
    <row r="433" spans="1:12" ht="90">
      <c r="A433" s="8" t="s">
        <v>1719</v>
      </c>
      <c r="B433" s="9" t="s">
        <v>12</v>
      </c>
      <c r="C433" s="10" t="s">
        <v>443</v>
      </c>
      <c r="D433" s="10" t="str">
        <f ca="1">IFERROR(__xludf.DUMMYFUNCTION(" VLOOKUP(A430, IMPORTRANGE(""https://docs.google.com/spreadsheets/d/1fj_Bhi2XPL3siwIh4sx4VRLAe31yD50oKdj5UlRYW0c/"", ""Сводка!A:AA""), 11, FALSE)"),"978-601-342-283-1")</f>
        <v>978-601-342-283-1</v>
      </c>
      <c r="E433" s="11" t="s">
        <v>1720</v>
      </c>
      <c r="F433" s="11" t="s">
        <v>1721</v>
      </c>
      <c r="G433" s="12">
        <f ca="1">IFERROR(__xludf.DUMMYFUNCTION(" VLOOKUP(A430, IMPORTRANGE(""https://docs.google.com/spreadsheets/d/1fj_Bhi2XPL3siwIh4sx4VRLAe31yD50oKdj5UlRYW0c/"", ""Сводка!A:AA""), 5, FALSE)"),236)</f>
        <v>236</v>
      </c>
      <c r="H433" s="12" t="s">
        <v>1585</v>
      </c>
      <c r="I433" s="10">
        <f ca="1">IFERROR(__xludf.DUMMYFUNCTION(" VLOOKUP(A430, IMPORTRANGE(""https://docs.google.com/spreadsheets/d/1QNLbnkR_AongFt22vMfNzfpjZ0CjpI8QI-w0wBnYA1w/"", ""Инфа!A:AA""), 6, FALSE)"),2024)</f>
        <v>2024</v>
      </c>
      <c r="J433" s="5">
        <f t="shared" ca="1" si="11"/>
        <v>19200</v>
      </c>
      <c r="K433" s="12" t="s">
        <v>1722</v>
      </c>
      <c r="L433" s="15" t="s">
        <v>1723</v>
      </c>
    </row>
    <row r="434" spans="1:12" ht="202.5">
      <c r="A434" s="8" t="s">
        <v>1724</v>
      </c>
      <c r="B434" s="9" t="s">
        <v>12</v>
      </c>
      <c r="C434" s="10" t="s">
        <v>443</v>
      </c>
      <c r="D434" s="10" t="str">
        <f ca="1">IFERROR(__xludf.DUMMYFUNCTION(" VLOOKUP(A431, IMPORTRANGE(""https://docs.google.com/spreadsheets/d/1fj_Bhi2XPL3siwIh4sx4VRLAe31yD50oKdj5UlRYW0c/"", ""Сводка!A:AA""), 11, FALSE)"),"978-601-342-518-4")</f>
        <v>978-601-342-518-4</v>
      </c>
      <c r="E434" s="11" t="s">
        <v>1725</v>
      </c>
      <c r="F434" s="11" t="s">
        <v>1726</v>
      </c>
      <c r="G434" s="12">
        <f ca="1">IFERROR(__xludf.DUMMYFUNCTION(" VLOOKUP(A431, IMPORTRANGE(""https://docs.google.com/spreadsheets/d/1fj_Bhi2XPL3siwIh4sx4VRLAe31yD50oKdj5UlRYW0c/"", ""Сводка!A:AA""), 5, FALSE)"),112)</f>
        <v>112</v>
      </c>
      <c r="H434" s="12" t="s">
        <v>1727</v>
      </c>
      <c r="I434" s="10">
        <f ca="1">IFERROR(__xludf.DUMMYFUNCTION(" VLOOKUP(A431, IMPORTRANGE(""https://docs.google.com/spreadsheets/d/1QNLbnkR_AongFt22vMfNzfpjZ0CjpI8QI-w0wBnYA1w/"", ""Инфа!A:AA""), 6, FALSE)"),2024)</f>
        <v>2024</v>
      </c>
      <c r="J434" s="5">
        <f t="shared" ca="1" si="11"/>
        <v>11700</v>
      </c>
      <c r="K434" s="12" t="s">
        <v>26</v>
      </c>
      <c r="L434" s="15" t="s">
        <v>1728</v>
      </c>
    </row>
    <row r="435" spans="1:12" ht="180">
      <c r="A435" s="8" t="s">
        <v>1729</v>
      </c>
      <c r="B435" s="9" t="s">
        <v>12</v>
      </c>
      <c r="C435" s="10" t="s">
        <v>443</v>
      </c>
      <c r="D435" s="10" t="str">
        <f ca="1">IFERROR(__xludf.DUMMYFUNCTION(" VLOOKUP(A432, IMPORTRANGE(""https://docs.google.com/spreadsheets/d/1fj_Bhi2XPL3siwIh4sx4VRLAe31yD50oKdj5UlRYW0c/"", ""Сводка!A:AA""), 11, FALSE)"),"978-601-310-675-5")</f>
        <v>978-601-310-675-5</v>
      </c>
      <c r="E435" s="11" t="s">
        <v>1730</v>
      </c>
      <c r="F435" s="11" t="s">
        <v>1731</v>
      </c>
      <c r="G435" s="12">
        <f ca="1">IFERROR(__xludf.DUMMYFUNCTION(" VLOOKUP(A432, IMPORTRANGE(""https://docs.google.com/spreadsheets/d/1fj_Bhi2XPL3siwIh4sx4VRLAe31yD50oKdj5UlRYW0c/"", ""Сводка!A:AA""), 5, FALSE)"),128)</f>
        <v>128</v>
      </c>
      <c r="H435" s="12" t="s">
        <v>538</v>
      </c>
      <c r="I435" s="10">
        <f ca="1">IFERROR(__xludf.DUMMYFUNCTION(" VLOOKUP(A432, IMPORTRANGE(""https://docs.google.com/spreadsheets/d/1QNLbnkR_AongFt22vMfNzfpjZ0CjpI8QI-w0wBnYA1w/"", ""Инфа!A:AA""), 6, FALSE)"),2023)</f>
        <v>2023</v>
      </c>
      <c r="J435" s="5">
        <f t="shared" ca="1" si="11"/>
        <v>12700</v>
      </c>
      <c r="K435" s="9" t="s">
        <v>171</v>
      </c>
      <c r="L435" s="15" t="s">
        <v>1732</v>
      </c>
    </row>
    <row r="436" spans="1:12" ht="157.5">
      <c r="A436" s="8" t="s">
        <v>1733</v>
      </c>
      <c r="B436" s="9" t="s">
        <v>12</v>
      </c>
      <c r="C436" s="10" t="s">
        <v>443</v>
      </c>
      <c r="D436" s="10" t="str">
        <f ca="1">IFERROR(__xludf.DUMMYFUNCTION(" VLOOKUP(A433, IMPORTRANGE(""https://docs.google.com/spreadsheets/d/1fj_Bhi2XPL3siwIh4sx4VRLAe31yD50oKdj5UlRYW0c/"", ""Сводка!A:AA""), 11, FALSE)"),"978-601-7816-58-2")</f>
        <v>978-601-7816-58-2</v>
      </c>
      <c r="E436" s="11" t="s">
        <v>1734</v>
      </c>
      <c r="F436" s="11" t="s">
        <v>1735</v>
      </c>
      <c r="G436" s="12">
        <f ca="1">IFERROR(__xludf.DUMMYFUNCTION(" VLOOKUP(A433, IMPORTRANGE(""https://docs.google.com/spreadsheets/d/1fj_Bhi2XPL3siwIh4sx4VRLAe31yD50oKdj5UlRYW0c/"", ""Сводка!A:AA""), 5, FALSE)"),140)</f>
        <v>140</v>
      </c>
      <c r="H436" s="12" t="s">
        <v>511</v>
      </c>
      <c r="I436" s="10">
        <f ca="1">IFERROR(__xludf.DUMMYFUNCTION(" VLOOKUP(A433, IMPORTRANGE(""https://docs.google.com/spreadsheets/d/1QNLbnkR_AongFt22vMfNzfpjZ0CjpI8QI-w0wBnYA1w/"", ""Инфа!A:AA""), 6, FALSE)"),2024)</f>
        <v>2024</v>
      </c>
      <c r="J436" s="5">
        <f t="shared" ca="1" si="11"/>
        <v>13400</v>
      </c>
      <c r="K436" s="9" t="s">
        <v>758</v>
      </c>
      <c r="L436" s="15" t="s">
        <v>1736</v>
      </c>
    </row>
    <row r="437" spans="1:12" ht="303.75">
      <c r="A437" s="8" t="s">
        <v>1737</v>
      </c>
      <c r="B437" s="9" t="s">
        <v>12</v>
      </c>
      <c r="C437" s="10" t="s">
        <v>151</v>
      </c>
      <c r="D437" s="10" t="str">
        <f ca="1">IFERROR(__xludf.DUMMYFUNCTION(" VLOOKUP(A434, IMPORTRANGE(""https://docs.google.com/spreadsheets/d/1fj_Bhi2XPL3siwIh4sx4VRLAe31yD50oKdj5UlRYW0c/"", ""Сводка!A:AA""), 11, FALSE)"),"978-601-310-753-0")</f>
        <v>978-601-310-753-0</v>
      </c>
      <c r="E437" s="11" t="s">
        <v>1738</v>
      </c>
      <c r="F437" s="11" t="s">
        <v>1739</v>
      </c>
      <c r="G437" s="12">
        <f ca="1">IFERROR(__xludf.DUMMYFUNCTION(" VLOOKUP(A434, IMPORTRANGE(""https://docs.google.com/spreadsheets/d/1fj_Bhi2XPL3siwIh4sx4VRLAe31yD50oKdj5UlRYW0c/"", ""Сводка!A:AA""), 5, FALSE)"),176)</f>
        <v>176</v>
      </c>
      <c r="H437" s="12" t="s">
        <v>165</v>
      </c>
      <c r="I437" s="10">
        <f ca="1">IFERROR(__xludf.DUMMYFUNCTION(" VLOOKUP(A434, IMPORTRANGE(""https://docs.google.com/spreadsheets/d/1QNLbnkR_AongFt22vMfNzfpjZ0CjpI8QI-w0wBnYA1w/"", ""Инфа!A:AA""), 6, FALSE)"),2024)</f>
        <v>2024</v>
      </c>
      <c r="J437" s="5">
        <f t="shared" ca="1" si="11"/>
        <v>15600</v>
      </c>
      <c r="K437" s="12" t="s">
        <v>440</v>
      </c>
      <c r="L437" s="15" t="s">
        <v>1740</v>
      </c>
    </row>
    <row r="438" spans="1:12" ht="303.75">
      <c r="A438" s="8" t="s">
        <v>1741</v>
      </c>
      <c r="B438" s="9" t="s">
        <v>12</v>
      </c>
      <c r="C438" s="10" t="s">
        <v>443</v>
      </c>
      <c r="D438" s="10" t="str">
        <f ca="1">IFERROR(__xludf.DUMMYFUNCTION(" VLOOKUP(A435, IMPORTRANGE(""https://docs.google.com/spreadsheets/d/1fj_Bhi2XPL3siwIh4sx4VRLAe31yD50oKdj5UlRYW0c/"", ""Сводка!A:AA""), 11, FALSE)"),"978-601-310-749-3")</f>
        <v>978-601-310-749-3</v>
      </c>
      <c r="E438" s="11" t="s">
        <v>1742</v>
      </c>
      <c r="F438" s="11" t="s">
        <v>1743</v>
      </c>
      <c r="G438" s="12">
        <f ca="1">IFERROR(__xludf.DUMMYFUNCTION(" VLOOKUP(A435, IMPORTRANGE(""https://docs.google.com/spreadsheets/d/1fj_Bhi2XPL3siwIh4sx4VRLAe31yD50oKdj5UlRYW0c/"", ""Сводка!A:AA""), 5, FALSE)"),252)</f>
        <v>252</v>
      </c>
      <c r="H438" s="12" t="s">
        <v>511</v>
      </c>
      <c r="I438" s="10">
        <f ca="1">IFERROR(__xludf.DUMMYFUNCTION(" VLOOKUP(A435, IMPORTRANGE(""https://docs.google.com/spreadsheets/d/1QNLbnkR_AongFt22vMfNzfpjZ0CjpI8QI-w0wBnYA1w/"", ""Инфа!A:AA""), 6, FALSE)"),2024)</f>
        <v>2024</v>
      </c>
      <c r="J438" s="5">
        <f t="shared" ca="1" si="11"/>
        <v>20100</v>
      </c>
      <c r="K438" s="12" t="s">
        <v>1387</v>
      </c>
      <c r="L438" s="15" t="s">
        <v>1744</v>
      </c>
    </row>
    <row r="439" spans="1:12" ht="315">
      <c r="A439" s="8" t="s">
        <v>1745</v>
      </c>
      <c r="B439" s="9" t="s">
        <v>12</v>
      </c>
      <c r="C439" s="10" t="s">
        <v>151</v>
      </c>
      <c r="D439" s="10" t="str">
        <f ca="1">IFERROR(__xludf.DUMMYFUNCTION(" VLOOKUP(A436, IMPORTRANGE(""https://docs.google.com/spreadsheets/d/1fj_Bhi2XPL3siwIh4sx4VRLAe31yD50oKdj5UlRYW0c/"", ""Сводка!A:AA""), 11, FALSE)"),"978-601-310-610-6")</f>
        <v>978-601-310-610-6</v>
      </c>
      <c r="E439" s="11" t="s">
        <v>1746</v>
      </c>
      <c r="F439" s="11" t="s">
        <v>1747</v>
      </c>
      <c r="G439" s="12">
        <f ca="1">IFERROR(__xludf.DUMMYFUNCTION(" VLOOKUP(A436, IMPORTRANGE(""https://docs.google.com/spreadsheets/d/1fj_Bhi2XPL3siwIh4sx4VRLAe31yD50oKdj5UlRYW0c/"", ""Сводка!A:AA""), 5, FALSE)"),208)</f>
        <v>208</v>
      </c>
      <c r="H439" s="12" t="s">
        <v>47</v>
      </c>
      <c r="I439" s="10">
        <f ca="1">IFERROR(__xludf.DUMMYFUNCTION(" VLOOKUP(A436, IMPORTRANGE(""https://docs.google.com/spreadsheets/d/1QNLbnkR_AongFt22vMfNzfpjZ0CjpI8QI-w0wBnYA1w/"", ""Инфа!A:AA""), 6, FALSE)"),2024)</f>
        <v>2024</v>
      </c>
      <c r="J439" s="5">
        <f t="shared" ca="1" si="11"/>
        <v>17500</v>
      </c>
      <c r="K439" s="12" t="s">
        <v>1387</v>
      </c>
      <c r="L439" s="15" t="s">
        <v>1748</v>
      </c>
    </row>
    <row r="440" spans="1:12" ht="157.5">
      <c r="A440" s="8" t="s">
        <v>1749</v>
      </c>
      <c r="B440" s="9" t="s">
        <v>12</v>
      </c>
      <c r="C440" s="10" t="s">
        <v>151</v>
      </c>
      <c r="D440" s="10" t="str">
        <f ca="1">IFERROR(__xludf.DUMMYFUNCTION(" VLOOKUP(A437, IMPORTRANGE(""https://docs.google.com/spreadsheets/d/1fj_Bhi2XPL3siwIh4sx4VRLAe31yD50oKdj5UlRYW0c/"", ""Сводка!A:AA""), 11, FALSE)"),"978-601-310-555-0")</f>
        <v>978-601-310-555-0</v>
      </c>
      <c r="E440" s="11" t="s">
        <v>1750</v>
      </c>
      <c r="F440" s="11" t="s">
        <v>1751</v>
      </c>
      <c r="G440" s="12">
        <f ca="1">IFERROR(__xludf.DUMMYFUNCTION(" VLOOKUP(A437, IMPORTRANGE(""https://docs.google.com/spreadsheets/d/1fj_Bhi2XPL3siwIh4sx4VRLAe31yD50oKdj5UlRYW0c/"", ""Сводка!A:AA""), 5, FALSE)"),112)</f>
        <v>112</v>
      </c>
      <c r="H440" s="12" t="s">
        <v>106</v>
      </c>
      <c r="I440" s="10">
        <f ca="1">IFERROR(__xludf.DUMMYFUNCTION(" VLOOKUP(A437, IMPORTRANGE(""https://docs.google.com/spreadsheets/d/1QNLbnkR_AongFt22vMfNzfpjZ0CjpI8QI-w0wBnYA1w/"", ""Инфа!A:AA""), 6, FALSE)"),2024)</f>
        <v>2024</v>
      </c>
      <c r="J440" s="5">
        <f t="shared" ca="1" si="11"/>
        <v>11700</v>
      </c>
      <c r="K440" s="12" t="s">
        <v>1387</v>
      </c>
      <c r="L440" s="15" t="s">
        <v>1752</v>
      </c>
    </row>
    <row r="441" spans="1:12" ht="135">
      <c r="A441" s="8" t="s">
        <v>1753</v>
      </c>
      <c r="B441" s="9" t="s">
        <v>12</v>
      </c>
      <c r="C441" s="10" t="s">
        <v>151</v>
      </c>
      <c r="D441" s="10" t="str">
        <f ca="1">IFERROR(__xludf.DUMMYFUNCTION(" VLOOKUP(A438, IMPORTRANGE(""https://docs.google.com/spreadsheets/d/1fj_Bhi2XPL3siwIh4sx4VRLAe31yD50oKdj5UlRYW0c/"", ""Сводка!A:AA""), 11, FALSE)"),"978-601-310-554-3")</f>
        <v>978-601-310-554-3</v>
      </c>
      <c r="E441" s="11" t="s">
        <v>1750</v>
      </c>
      <c r="F441" s="11" t="s">
        <v>1754</v>
      </c>
      <c r="G441" s="12">
        <f ca="1">IFERROR(__xludf.DUMMYFUNCTION(" VLOOKUP(A438, IMPORTRANGE(""https://docs.google.com/spreadsheets/d/1fj_Bhi2XPL3siwIh4sx4VRLAe31yD50oKdj5UlRYW0c/"", ""Сводка!A:AA""), 5, FALSE)"),280)</f>
        <v>280</v>
      </c>
      <c r="H441" s="12" t="s">
        <v>556</v>
      </c>
      <c r="I441" s="10">
        <f ca="1">IFERROR(__xludf.DUMMYFUNCTION(" VLOOKUP(A438, IMPORTRANGE(""https://docs.google.com/spreadsheets/d/1QNLbnkR_AongFt22vMfNzfpjZ0CjpI8QI-w0wBnYA1w/"", ""Инфа!A:AA""), 6, FALSE)"),2024)</f>
        <v>2024</v>
      </c>
      <c r="J441" s="5">
        <f t="shared" ca="1" si="11"/>
        <v>21800</v>
      </c>
      <c r="K441" s="12" t="s">
        <v>440</v>
      </c>
      <c r="L441" s="15" t="s">
        <v>1755</v>
      </c>
    </row>
    <row r="442" spans="1:12" ht="303.75">
      <c r="A442" s="8" t="s">
        <v>1756</v>
      </c>
      <c r="B442" s="9" t="s">
        <v>12</v>
      </c>
      <c r="C442" s="10" t="s">
        <v>151</v>
      </c>
      <c r="D442" s="10" t="str">
        <f ca="1">IFERROR(__xludf.DUMMYFUNCTION(" VLOOKUP(A439, IMPORTRANGE(""https://docs.google.com/spreadsheets/d/1fj_Bhi2XPL3siwIh4sx4VRLAe31yD50oKdj5UlRYW0c/"", ""Сводка!A:AA""), 11, FALSE)"),"978-601-310-083-8")</f>
        <v>978-601-310-083-8</v>
      </c>
      <c r="E442" s="11" t="s">
        <v>1757</v>
      </c>
      <c r="F442" s="11" t="s">
        <v>1758</v>
      </c>
      <c r="G442" s="12">
        <f ca="1">IFERROR(__xludf.DUMMYFUNCTION(" VLOOKUP(A439, IMPORTRANGE(""https://docs.google.com/spreadsheets/d/1fj_Bhi2XPL3siwIh4sx4VRLAe31yD50oKdj5UlRYW0c/"", ""Сводка!A:AA""), 5, FALSE)"),284)</f>
        <v>284</v>
      </c>
      <c r="H442" s="12" t="s">
        <v>498</v>
      </c>
      <c r="I442" s="10">
        <f ca="1">IFERROR(__xludf.DUMMYFUNCTION(" VLOOKUP(A439, IMPORTRANGE(""https://docs.google.com/spreadsheets/d/1QNLbnkR_AongFt22vMfNzfpjZ0CjpI8QI-w0wBnYA1w/"", ""Инфа!A:AA""), 6, FALSE)"),2024)</f>
        <v>2024</v>
      </c>
      <c r="J442" s="5">
        <f ca="1">ROUND(((5000+G442*60)*1.3),-2)</f>
        <v>28700</v>
      </c>
      <c r="K442" s="12" t="s">
        <v>243</v>
      </c>
      <c r="L442" s="15" t="s">
        <v>1759</v>
      </c>
    </row>
    <row r="443" spans="1:12" ht="146.25">
      <c r="A443" s="8" t="s">
        <v>1760</v>
      </c>
      <c r="B443" s="9" t="s">
        <v>12</v>
      </c>
      <c r="C443" s="10" t="s">
        <v>443</v>
      </c>
      <c r="D443" s="10" t="str">
        <f ca="1">IFERROR(__xludf.DUMMYFUNCTION(" VLOOKUP(A440, IMPORTRANGE(""https://docs.google.com/spreadsheets/d/1fj_Bhi2XPL3siwIh4sx4VRLAe31yD50oKdj5UlRYW0c/"", ""Сводка!A:AA""), 11, FALSE)"),"978-601-241-477-6")</f>
        <v>978-601-241-477-6</v>
      </c>
      <c r="E443" s="37" t="s">
        <v>1761</v>
      </c>
      <c r="F443" s="11" t="s">
        <v>1762</v>
      </c>
      <c r="G443" s="12">
        <f ca="1">IFERROR(__xludf.DUMMYFUNCTION(" VLOOKUP(A440, IMPORTRANGE(""https://docs.google.com/spreadsheets/d/1fj_Bhi2XPL3siwIh4sx4VRLAe31yD50oKdj5UlRYW0c/"", ""Сводка!A:AA""), 5, FALSE)"),208)</f>
        <v>208</v>
      </c>
      <c r="H443" s="12" t="s">
        <v>538</v>
      </c>
      <c r="I443" s="10">
        <f ca="1">IFERROR(__xludf.DUMMYFUNCTION(" VLOOKUP(A440, IMPORTRANGE(""https://docs.google.com/spreadsheets/d/1QNLbnkR_AongFt22vMfNzfpjZ0CjpI8QI-w0wBnYA1w/"", ""Инфа!A:AA""), 6, FALSE)"),2024)</f>
        <v>2024</v>
      </c>
      <c r="J443" s="5">
        <f t="shared" ref="J443:J451" ca="1" si="12">ROUND((5000+G443*30),-2)</f>
        <v>11200</v>
      </c>
      <c r="K443" s="12" t="s">
        <v>1147</v>
      </c>
      <c r="L443" s="15" t="s">
        <v>1763</v>
      </c>
    </row>
    <row r="444" spans="1:12" ht="25.5">
      <c r="A444" s="8" t="s">
        <v>1764</v>
      </c>
      <c r="B444" s="9" t="s">
        <v>12</v>
      </c>
      <c r="C444" s="10" t="s">
        <v>443</v>
      </c>
      <c r="D444" s="10" t="str">
        <f ca="1">IFERROR(__xludf.DUMMYFUNCTION(" VLOOKUP(A441, IMPORTRANGE(""https://docs.google.com/spreadsheets/d/1fj_Bhi2XPL3siwIh4sx4VRLAe31yD50oKdj5UlRYW0c/"", ""Сводка!A:AA""), 11, FALSE)"),"978-601-240-853-9")</f>
        <v>978-601-240-853-9</v>
      </c>
      <c r="E444" s="11" t="s">
        <v>1765</v>
      </c>
      <c r="F444" s="11" t="s">
        <v>1766</v>
      </c>
      <c r="G444" s="12">
        <f ca="1">IFERROR(__xludf.DUMMYFUNCTION(" VLOOKUP(A441, IMPORTRANGE(""https://docs.google.com/spreadsheets/d/1fj_Bhi2XPL3siwIh4sx4VRLAe31yD50oKdj5UlRYW0c/"", ""Сводка!A:AA""), 5, FALSE)"),176)</f>
        <v>176</v>
      </c>
      <c r="H444" s="12" t="s">
        <v>538</v>
      </c>
      <c r="I444" s="10">
        <f ca="1">IFERROR(__xludf.DUMMYFUNCTION(" VLOOKUP(A441, IMPORTRANGE(""https://docs.google.com/spreadsheets/d/1QNLbnkR_AongFt22vMfNzfpjZ0CjpI8QI-w0wBnYA1w/"", ""Инфа!A:AA""), 6, FALSE)"),2024)</f>
        <v>2024</v>
      </c>
      <c r="J444" s="5">
        <f t="shared" ca="1" si="12"/>
        <v>10300</v>
      </c>
      <c r="K444" s="12" t="s">
        <v>740</v>
      </c>
      <c r="L444" s="15"/>
    </row>
    <row r="445" spans="1:12" ht="225">
      <c r="A445" s="8" t="s">
        <v>1767</v>
      </c>
      <c r="B445" s="9" t="s">
        <v>12</v>
      </c>
      <c r="C445" s="10" t="s">
        <v>443</v>
      </c>
      <c r="D445" s="10" t="str">
        <f ca="1">IFERROR(__xludf.DUMMYFUNCTION(" VLOOKUP(A442, IMPORTRANGE(""https://docs.google.com/spreadsheets/d/1fj_Bhi2XPL3siwIh4sx4VRLAe31yD50oKdj5UlRYW0c/"", ""Сводка!A:AA""), 11, FALSE)"),"9965-39-131-9")</f>
        <v>9965-39-131-9</v>
      </c>
      <c r="E445" s="11" t="s">
        <v>1768</v>
      </c>
      <c r="F445" s="11" t="s">
        <v>1769</v>
      </c>
      <c r="G445" s="12">
        <f ca="1">IFERROR(__xludf.DUMMYFUNCTION(" VLOOKUP(A442, IMPORTRANGE(""https://docs.google.com/spreadsheets/d/1fj_Bhi2XPL3siwIh4sx4VRLAe31yD50oKdj5UlRYW0c/"", ""Сводка!A:AA""), 5, FALSE)"),100)</f>
        <v>100</v>
      </c>
      <c r="H445" s="12" t="s">
        <v>538</v>
      </c>
      <c r="I445" s="10">
        <f ca="1">IFERROR(__xludf.DUMMYFUNCTION(" VLOOKUP(A442, IMPORTRANGE(""https://docs.google.com/spreadsheets/d/1QNLbnkR_AongFt22vMfNzfpjZ0CjpI8QI-w0wBnYA1w/"", ""Инфа!A:AA""), 6, FALSE)"),2024)</f>
        <v>2024</v>
      </c>
      <c r="J445" s="5">
        <f t="shared" ca="1" si="12"/>
        <v>8000</v>
      </c>
      <c r="K445" s="12" t="s">
        <v>160</v>
      </c>
      <c r="L445" s="15" t="s">
        <v>1770</v>
      </c>
    </row>
    <row r="446" spans="1:12" ht="236.25">
      <c r="A446" s="8" t="s">
        <v>1771</v>
      </c>
      <c r="B446" s="9" t="s">
        <v>12</v>
      </c>
      <c r="C446" s="10" t="s">
        <v>443</v>
      </c>
      <c r="D446" s="10" t="str">
        <f ca="1">IFERROR(__xludf.DUMMYFUNCTION(" VLOOKUP(A443, IMPORTRANGE(""https://docs.google.com/spreadsheets/d/1fj_Bhi2XPL3siwIh4sx4VRLAe31yD50oKdj5UlRYW0c/"", ""Сводка!A:AA""), 11, FALSE)"),"978-601-327-886-5")</f>
        <v>978-601-327-886-5</v>
      </c>
      <c r="E446" s="11" t="s">
        <v>1772</v>
      </c>
      <c r="F446" s="11" t="s">
        <v>1773</v>
      </c>
      <c r="G446" s="12">
        <f ca="1">IFERROR(__xludf.DUMMYFUNCTION(" VLOOKUP(A443, IMPORTRANGE(""https://docs.google.com/spreadsheets/d/1fj_Bhi2XPL3siwIh4sx4VRLAe31yD50oKdj5UlRYW0c/"", ""Сводка!A:AA""), 5, FALSE)"),136)</f>
        <v>136</v>
      </c>
      <c r="H446" s="12" t="s">
        <v>1024</v>
      </c>
      <c r="I446" s="10">
        <f ca="1">IFERROR(__xludf.DUMMYFUNCTION(" VLOOKUP(A443, IMPORTRANGE(""https://docs.google.com/spreadsheets/d/1QNLbnkR_AongFt22vMfNzfpjZ0CjpI8QI-w0wBnYA1w/"", ""Инфа!A:AA""), 6, FALSE)"),2024)</f>
        <v>2024</v>
      </c>
      <c r="J446" s="5">
        <f t="shared" ca="1" si="12"/>
        <v>9100</v>
      </c>
      <c r="K446" s="12" t="s">
        <v>1774</v>
      </c>
      <c r="L446" s="15" t="s">
        <v>1775</v>
      </c>
    </row>
    <row r="447" spans="1:12" ht="146.25">
      <c r="A447" s="8" t="s">
        <v>1776</v>
      </c>
      <c r="B447" s="9" t="s">
        <v>12</v>
      </c>
      <c r="C447" s="10" t="s">
        <v>535</v>
      </c>
      <c r="D447" s="10" t="str">
        <f ca="1">IFERROR(__xludf.DUMMYFUNCTION(" VLOOKUP(A444, IMPORTRANGE(""https://docs.google.com/spreadsheets/d/1fj_Bhi2XPL3siwIh4sx4VRLAe31yD50oKdj5UlRYW0c/"", ""Сводка!A:AA""), 11, FALSE)"),"978-601-327-782-0")</f>
        <v>978-601-327-782-0</v>
      </c>
      <c r="E447" s="11" t="s">
        <v>1777</v>
      </c>
      <c r="F447" s="11" t="s">
        <v>1778</v>
      </c>
      <c r="G447" s="12">
        <f ca="1">IFERROR(__xludf.DUMMYFUNCTION(" VLOOKUP(A444, IMPORTRANGE(""https://docs.google.com/spreadsheets/d/1fj_Bhi2XPL3siwIh4sx4VRLAe31yD50oKdj5UlRYW0c/"", ""Сводка!A:AA""), 5, FALSE)"),160)</f>
        <v>160</v>
      </c>
      <c r="H447" s="12" t="s">
        <v>538</v>
      </c>
      <c r="I447" s="10">
        <f ca="1">IFERROR(__xludf.DUMMYFUNCTION(" VLOOKUP(A444, IMPORTRANGE(""https://docs.google.com/spreadsheets/d/1QNLbnkR_AongFt22vMfNzfpjZ0CjpI8QI-w0wBnYA1w/"", ""Инфа!A:AA""), 6, FALSE)"),2024)</f>
        <v>2024</v>
      </c>
      <c r="J447" s="5">
        <f t="shared" ca="1" si="12"/>
        <v>9800</v>
      </c>
      <c r="K447" s="12" t="s">
        <v>1603</v>
      </c>
      <c r="L447" s="15" t="s">
        <v>1779</v>
      </c>
    </row>
    <row r="448" spans="1:12" ht="76.5">
      <c r="A448" s="8" t="s">
        <v>1780</v>
      </c>
      <c r="B448" s="9" t="s">
        <v>12</v>
      </c>
      <c r="C448" s="10" t="s">
        <v>535</v>
      </c>
      <c r="D448" s="10" t="str">
        <f ca="1">IFERROR(__xludf.DUMMYFUNCTION(" VLOOKUP(A445, IMPORTRANGE(""https://docs.google.com/spreadsheets/d/1fj_Bhi2XPL3siwIh4sx4VRLAe31yD50oKdj5UlRYW0c/"", ""Сводка!A:AA""), 11, FALSE)"),"978-601-327-783-7")</f>
        <v>978-601-327-783-7</v>
      </c>
      <c r="E448" s="11" t="s">
        <v>1781</v>
      </c>
      <c r="F448" s="11" t="s">
        <v>1782</v>
      </c>
      <c r="G448" s="12">
        <f ca="1">IFERROR(__xludf.DUMMYFUNCTION(" VLOOKUP(A445, IMPORTRANGE(""https://docs.google.com/spreadsheets/d/1fj_Bhi2XPL3siwIh4sx4VRLAe31yD50oKdj5UlRYW0c/"", ""Сводка!A:AA""), 5, FALSE)"),144)</f>
        <v>144</v>
      </c>
      <c r="H448" s="12" t="s">
        <v>538</v>
      </c>
      <c r="I448" s="10">
        <f ca="1">IFERROR(__xludf.DUMMYFUNCTION(" VLOOKUP(A445, IMPORTRANGE(""https://docs.google.com/spreadsheets/d/1QNLbnkR_AongFt22vMfNzfpjZ0CjpI8QI-w0wBnYA1w/"", ""Инфа!A:AA""), 6, FALSE)"),2024)</f>
        <v>2024</v>
      </c>
      <c r="J448" s="5">
        <f t="shared" ca="1" si="12"/>
        <v>9300</v>
      </c>
      <c r="K448" s="12" t="s">
        <v>1603</v>
      </c>
      <c r="L448" s="15"/>
    </row>
    <row r="449" spans="1:12" ht="225">
      <c r="A449" s="8" t="s">
        <v>1783</v>
      </c>
      <c r="B449" s="9" t="s">
        <v>12</v>
      </c>
      <c r="C449" s="10" t="s">
        <v>151</v>
      </c>
      <c r="D449" s="10" t="str">
        <f ca="1">IFERROR(__xludf.DUMMYFUNCTION(" VLOOKUP(A446, IMPORTRANGE(""https://docs.google.com/spreadsheets/d/1fj_Bhi2XPL3siwIh4sx4VRLAe31yD50oKdj5UlRYW0c/"", ""Сводка!A:AA""), 11, FALSE)"),"978-601-327-812-4")</f>
        <v>978-601-327-812-4</v>
      </c>
      <c r="E449" s="11" t="s">
        <v>1784</v>
      </c>
      <c r="F449" s="11" t="s">
        <v>1785</v>
      </c>
      <c r="G449" s="12">
        <f ca="1">IFERROR(__xludf.DUMMYFUNCTION(" VLOOKUP(A446, IMPORTRANGE(""https://docs.google.com/spreadsheets/d/1fj_Bhi2XPL3siwIh4sx4VRLAe31yD50oKdj5UlRYW0c/"", ""Сводка!A:AA""), 5, FALSE)"),236)</f>
        <v>236</v>
      </c>
      <c r="H449" s="12" t="s">
        <v>47</v>
      </c>
      <c r="I449" s="10">
        <f ca="1">IFERROR(__xludf.DUMMYFUNCTION(" VLOOKUP(A446, IMPORTRANGE(""https://docs.google.com/spreadsheets/d/1QNLbnkR_AongFt22vMfNzfpjZ0CjpI8QI-w0wBnYA1w/"", ""Инфа!A:AA""), 6, FALSE)"),2024)</f>
        <v>2024</v>
      </c>
      <c r="J449" s="5">
        <f t="shared" ca="1" si="12"/>
        <v>12100</v>
      </c>
      <c r="K449" s="12" t="s">
        <v>243</v>
      </c>
      <c r="L449" s="15" t="s">
        <v>1786</v>
      </c>
    </row>
    <row r="450" spans="1:12" ht="38.25">
      <c r="A450" s="8" t="s">
        <v>1787</v>
      </c>
      <c r="B450" s="9" t="s">
        <v>12</v>
      </c>
      <c r="C450" s="10" t="s">
        <v>151</v>
      </c>
      <c r="D450" s="10" t="str">
        <f ca="1">IFERROR(__xludf.DUMMYFUNCTION(" VLOOKUP(A447, IMPORTRANGE(""https://docs.google.com/spreadsheets/d/1fj_Bhi2XPL3siwIh4sx4VRLAe31yD50oKdj5UlRYW0c/"", ""Сводка!A:AA""), 11, FALSE)"),"978-601-207-243-3")</f>
        <v>978-601-207-243-3</v>
      </c>
      <c r="E450" s="11" t="s">
        <v>1788</v>
      </c>
      <c r="F450" s="11" t="s">
        <v>1789</v>
      </c>
      <c r="G450" s="12">
        <f ca="1">IFERROR(__xludf.DUMMYFUNCTION(" VLOOKUP(A447, IMPORTRANGE(""https://docs.google.com/spreadsheets/d/1fj_Bhi2XPL3siwIh4sx4VRLAe31yD50oKdj5UlRYW0c/"", ""Сводка!A:AA""), 5, FALSE)"),208)</f>
        <v>208</v>
      </c>
      <c r="H450" s="12" t="s">
        <v>47</v>
      </c>
      <c r="I450" s="10">
        <f ca="1">IFERROR(__xludf.DUMMYFUNCTION(" VLOOKUP(A447, IMPORTRANGE(""https://docs.google.com/spreadsheets/d/1QNLbnkR_AongFt22vMfNzfpjZ0CjpI8QI-w0wBnYA1w/"", ""Инфа!A:AA""), 6, FALSE)"),2024)</f>
        <v>2024</v>
      </c>
      <c r="J450" s="5">
        <f t="shared" ca="1" si="12"/>
        <v>11200</v>
      </c>
      <c r="K450" s="12" t="s">
        <v>302</v>
      </c>
      <c r="L450" s="15"/>
    </row>
    <row r="451" spans="1:12" ht="38.25">
      <c r="A451" s="8" t="s">
        <v>1790</v>
      </c>
      <c r="B451" s="9" t="s">
        <v>12</v>
      </c>
      <c r="C451" s="10" t="s">
        <v>151</v>
      </c>
      <c r="D451" s="10" t="str">
        <f ca="1">IFERROR(__xludf.DUMMYFUNCTION(" VLOOKUP(A448, IMPORTRANGE(""https://docs.google.com/spreadsheets/d/1fj_Bhi2XPL3siwIh4sx4VRLAe31yD50oKdj5UlRYW0c/"", ""Сводка!A:AA""), 11, FALSE)"),"978-601-207-243-3")</f>
        <v>978-601-207-243-3</v>
      </c>
      <c r="E451" s="11" t="s">
        <v>1788</v>
      </c>
      <c r="F451" s="11" t="s">
        <v>1791</v>
      </c>
      <c r="G451" s="12">
        <f ca="1">IFERROR(__xludf.DUMMYFUNCTION(" VLOOKUP(A448, IMPORTRANGE(""https://docs.google.com/spreadsheets/d/1fj_Bhi2XPL3siwIh4sx4VRLAe31yD50oKdj5UlRYW0c/"", ""Сводка!A:AA""), 5, FALSE)"),148)</f>
        <v>148</v>
      </c>
      <c r="H451" s="12" t="s">
        <v>47</v>
      </c>
      <c r="I451" s="10">
        <f ca="1">IFERROR(__xludf.DUMMYFUNCTION(" VLOOKUP(A448, IMPORTRANGE(""https://docs.google.com/spreadsheets/d/1QNLbnkR_AongFt22vMfNzfpjZ0CjpI8QI-w0wBnYA1w/"", ""Инфа!A:AA""), 6, FALSE)"),2024)</f>
        <v>2024</v>
      </c>
      <c r="J451" s="5">
        <f t="shared" ca="1" si="12"/>
        <v>9400</v>
      </c>
      <c r="K451" s="12" t="s">
        <v>302</v>
      </c>
      <c r="L451" s="15"/>
    </row>
    <row r="452" spans="1:12" ht="146.25">
      <c r="A452" s="8" t="s">
        <v>1792</v>
      </c>
      <c r="B452" s="9" t="s">
        <v>12</v>
      </c>
      <c r="C452" s="10" t="s">
        <v>151</v>
      </c>
      <c r="D452" s="10" t="str">
        <f ca="1">IFERROR(__xludf.DUMMYFUNCTION(" VLOOKUP(A449, IMPORTRANGE(""https://docs.google.com/spreadsheets/d/1fj_Bhi2XPL3siwIh4sx4VRLAe31yD50oKdj5UlRYW0c/"", ""Сводка!A:AA""), 11, FALSE)"),"978- 601-310-193-4")</f>
        <v>978- 601-310-193-4</v>
      </c>
      <c r="E452" s="11" t="s">
        <v>1793</v>
      </c>
      <c r="F452" s="11" t="s">
        <v>1794</v>
      </c>
      <c r="G452" s="12">
        <f ca="1">IFERROR(__xludf.DUMMYFUNCTION(" VLOOKUP(A449, IMPORTRANGE(""https://docs.google.com/spreadsheets/d/1fj_Bhi2XPL3siwIh4sx4VRLAe31yD50oKdj5UlRYW0c/"", ""Сводка!A:AA""), 5, FALSE)"),196)</f>
        <v>196</v>
      </c>
      <c r="H452" s="12" t="s">
        <v>47</v>
      </c>
      <c r="I452" s="10">
        <f ca="1">IFERROR(__xludf.DUMMYFUNCTION(" VLOOKUP(A449, IMPORTRANGE(""https://docs.google.com/spreadsheets/d/1QNLbnkR_AongFt22vMfNzfpjZ0CjpI8QI-w0wBnYA1w/"", ""Инфа!A:AA""), 6, FALSE)"),2024)</f>
        <v>2024</v>
      </c>
      <c r="J452" s="5">
        <f ca="1">ROUND((5000+G452*60),-2)</f>
        <v>16800</v>
      </c>
      <c r="K452" s="12" t="s">
        <v>78</v>
      </c>
      <c r="L452" s="15" t="s">
        <v>1795</v>
      </c>
    </row>
    <row r="453" spans="1:12" ht="180">
      <c r="A453" s="8" t="s">
        <v>1796</v>
      </c>
      <c r="B453" s="9" t="s">
        <v>12</v>
      </c>
      <c r="C453" s="10" t="s">
        <v>151</v>
      </c>
      <c r="D453" s="10" t="str">
        <f ca="1">IFERROR(__xludf.DUMMYFUNCTION(" VLOOKUP(A450, IMPORTRANGE(""https://docs.google.com/spreadsheets/d/1fj_Bhi2XPL3siwIh4sx4VRLAe31yD50oKdj5UlRYW0c/"", ""Сводка!A:AA""), 11, FALSE)"),"978-601-240-472-5")</f>
        <v>978-601-240-472-5</v>
      </c>
      <c r="E453" s="11" t="s">
        <v>1797</v>
      </c>
      <c r="F453" s="11" t="s">
        <v>1798</v>
      </c>
      <c r="G453" s="12">
        <f ca="1">IFERROR(__xludf.DUMMYFUNCTION(" VLOOKUP(A450, IMPORTRANGE(""https://docs.google.com/spreadsheets/d/1fj_Bhi2XPL3siwIh4sx4VRLAe31yD50oKdj5UlRYW0c/"", ""Сводка!A:AA""), 5, FALSE)"),292)</f>
        <v>292</v>
      </c>
      <c r="H453" s="12" t="s">
        <v>106</v>
      </c>
      <c r="I453" s="10">
        <f ca="1">IFERROR(__xludf.DUMMYFUNCTION(" VLOOKUP(A450, IMPORTRANGE(""https://docs.google.com/spreadsheets/d/1QNLbnkR_AongFt22vMfNzfpjZ0CjpI8QI-w0wBnYA1w/"", ""Инфа!A:AA""), 6, FALSE)"),2024)</f>
        <v>2024</v>
      </c>
      <c r="J453" s="5">
        <f ca="1">ROUND((5000+G453*30),-2)</f>
        <v>13800</v>
      </c>
      <c r="K453" s="9" t="s">
        <v>101</v>
      </c>
      <c r="L453" s="15" t="s">
        <v>1799</v>
      </c>
    </row>
    <row r="454" spans="1:12" ht="191.25">
      <c r="A454" s="8" t="s">
        <v>1800</v>
      </c>
      <c r="B454" s="9" t="s">
        <v>12</v>
      </c>
      <c r="C454" s="10" t="s">
        <v>443</v>
      </c>
      <c r="D454" s="10" t="str">
        <f ca="1">IFERROR(__xludf.DUMMYFUNCTION(" VLOOKUP(A451, IMPORTRANGE(""https://docs.google.com/spreadsheets/d/1fj_Bhi2XPL3siwIh4sx4VRLAe31yD50oKdj5UlRYW0c/"", ""Сводка!A:AA""), 11, FALSE)"),"978-601-342-388-3")</f>
        <v>978-601-342-388-3</v>
      </c>
      <c r="E454" s="11" t="s">
        <v>1801</v>
      </c>
      <c r="F454" s="11" t="s">
        <v>1802</v>
      </c>
      <c r="G454" s="12">
        <f ca="1">IFERROR(__xludf.DUMMYFUNCTION(" VLOOKUP(A451, IMPORTRANGE(""https://docs.google.com/spreadsheets/d/1fj_Bhi2XPL3siwIh4sx4VRLAe31yD50oKdj5UlRYW0c/"", ""Сводка!A:AA""), 5, FALSE)"),132)</f>
        <v>132</v>
      </c>
      <c r="H454" s="12" t="s">
        <v>165</v>
      </c>
      <c r="I454" s="10">
        <f ca="1">IFERROR(__xludf.DUMMYFUNCTION(" VLOOKUP(A451, IMPORTRANGE(""https://docs.google.com/spreadsheets/d/1QNLbnkR_AongFt22vMfNzfpjZ0CjpI8QI-w0wBnYA1w/"", ""Инфа!A:AA""), 6, FALSE)"),2024)</f>
        <v>2024</v>
      </c>
      <c r="J454" s="5">
        <f ca="1">ROUND((5000+G454*30),-2)</f>
        <v>9000</v>
      </c>
      <c r="K454" s="12" t="s">
        <v>1387</v>
      </c>
      <c r="L454" s="16" t="s">
        <v>1803</v>
      </c>
    </row>
    <row r="455" spans="1:12" ht="191.25">
      <c r="A455" s="8" t="s">
        <v>1804</v>
      </c>
      <c r="B455" s="9" t="s">
        <v>12</v>
      </c>
      <c r="C455" s="10" t="s">
        <v>443</v>
      </c>
      <c r="D455" s="10" t="str">
        <f ca="1">IFERROR(__xludf.DUMMYFUNCTION(" VLOOKUP(A452, IMPORTRANGE(""https://docs.google.com/spreadsheets/d/1fj_Bhi2XPL3siwIh4sx4VRLAe31yD50oKdj5UlRYW0c/"", ""Сводка!A:AA""), 11, FALSE)"),"978-601-342-387-6")</f>
        <v>978-601-342-387-6</v>
      </c>
      <c r="E455" s="11" t="s">
        <v>1801</v>
      </c>
      <c r="F455" s="11" t="s">
        <v>1805</v>
      </c>
      <c r="G455" s="12">
        <f ca="1">IFERROR(__xludf.DUMMYFUNCTION(" VLOOKUP(A452, IMPORTRANGE(""https://docs.google.com/spreadsheets/d/1fj_Bhi2XPL3siwIh4sx4VRLAe31yD50oKdj5UlRYW0c/"", ""Сводка!A:AA""), 5, FALSE)"),116)</f>
        <v>116</v>
      </c>
      <c r="H455" s="12" t="s">
        <v>165</v>
      </c>
      <c r="I455" s="10">
        <f ca="1">IFERROR(__xludf.DUMMYFUNCTION(" VLOOKUP(A452, IMPORTRANGE(""https://docs.google.com/spreadsheets/d/1QNLbnkR_AongFt22vMfNzfpjZ0CjpI8QI-w0wBnYA1w/"", ""Инфа!A:AA""), 6, FALSE)"),2024)</f>
        <v>2024</v>
      </c>
      <c r="J455" s="5">
        <f ca="1">ROUND((5000+G455*30),-2)</f>
        <v>8500</v>
      </c>
      <c r="K455" s="12" t="s">
        <v>1387</v>
      </c>
      <c r="L455" s="16" t="s">
        <v>1806</v>
      </c>
    </row>
    <row r="456" spans="1:12" ht="146.25">
      <c r="A456" s="8" t="s">
        <v>1807</v>
      </c>
      <c r="B456" s="9" t="s">
        <v>12</v>
      </c>
      <c r="C456" s="10" t="s">
        <v>151</v>
      </c>
      <c r="D456" s="10" t="str">
        <f ca="1">IFERROR(__xludf.DUMMYFUNCTION(" VLOOKUP(A453, IMPORTRANGE(""https://docs.google.com/spreadsheets/d/1fj_Bhi2XPL3siwIh4sx4VRLAe31yD50oKdj5UlRYW0c/"", ""Сводка!A:AA""), 11, FALSE)"),"978-601-342-856-7")</f>
        <v>978-601-342-856-7</v>
      </c>
      <c r="E456" s="11" t="s">
        <v>1801</v>
      </c>
      <c r="F456" s="11" t="s">
        <v>1808</v>
      </c>
      <c r="G456" s="12">
        <f ca="1">IFERROR(__xludf.DUMMYFUNCTION(" VLOOKUP(A453, IMPORTRANGE(""https://docs.google.com/spreadsheets/d/1fj_Bhi2XPL3siwIh4sx4VRLAe31yD50oKdj5UlRYW0c/"", ""Сводка!A:AA""), 5, FALSE)"),132)</f>
        <v>132</v>
      </c>
      <c r="H456" s="12" t="s">
        <v>165</v>
      </c>
      <c r="I456" s="10">
        <f ca="1">IFERROR(__xludf.DUMMYFUNCTION(" VLOOKUP(A453, IMPORTRANGE(""https://docs.google.com/spreadsheets/d/1QNLbnkR_AongFt22vMfNzfpjZ0CjpI8QI-w0wBnYA1w/"", ""Инфа!A:AA""), 6, FALSE)"),2024)</f>
        <v>2024</v>
      </c>
      <c r="J456" s="5">
        <f ca="1">ROUND((5000+G456*30),-2)</f>
        <v>9000</v>
      </c>
      <c r="K456" s="12" t="s">
        <v>1387</v>
      </c>
      <c r="L456" s="16" t="s">
        <v>1809</v>
      </c>
    </row>
    <row r="457" spans="1:12" ht="146.25">
      <c r="A457" s="8" t="s">
        <v>1810</v>
      </c>
      <c r="B457" s="9" t="s">
        <v>12</v>
      </c>
      <c r="C457" s="10" t="s">
        <v>443</v>
      </c>
      <c r="D457" s="10" t="str">
        <f ca="1">IFERROR(__xludf.DUMMYFUNCTION(" VLOOKUP(A454, IMPORTRANGE(""https://docs.google.com/spreadsheets/d/1fj_Bhi2XPL3siwIh4sx4VRLAe31yD50oKdj5UlRYW0c/"", ""Сводка!A:AA""), 11, FALSE)"),"978-601-301-264-3")</f>
        <v>978-601-301-264-3</v>
      </c>
      <c r="E457" s="11" t="s">
        <v>1811</v>
      </c>
      <c r="F457" s="11" t="s">
        <v>1812</v>
      </c>
      <c r="G457" s="12">
        <f ca="1">IFERROR(__xludf.DUMMYFUNCTION(" VLOOKUP(A454, IMPORTRANGE(""https://docs.google.com/spreadsheets/d/1fj_Bhi2XPL3siwIh4sx4VRLAe31yD50oKdj5UlRYW0c/"", ""Сводка!A:AA""), 5, FALSE)"),188)</f>
        <v>188</v>
      </c>
      <c r="H457" s="12" t="s">
        <v>538</v>
      </c>
      <c r="I457" s="10">
        <f ca="1">IFERROR(__xludf.DUMMYFUNCTION(" VLOOKUP(A454, IMPORTRANGE(""https://docs.google.com/spreadsheets/d/1QNLbnkR_AongFt22vMfNzfpjZ0CjpI8QI-w0wBnYA1w/"", ""Инфа!A:AA""), 6, FALSE)"),2024)</f>
        <v>2024</v>
      </c>
      <c r="J457" s="5">
        <f ca="1">ROUND((5000+G457*30),-2)</f>
        <v>10600</v>
      </c>
      <c r="K457" s="12" t="s">
        <v>575</v>
      </c>
      <c r="L457" s="15" t="s">
        <v>1813</v>
      </c>
    </row>
    <row r="458" spans="1:12" ht="180">
      <c r="A458" s="8" t="s">
        <v>1814</v>
      </c>
      <c r="B458" s="9" t="s">
        <v>12</v>
      </c>
      <c r="C458" s="10" t="s">
        <v>151</v>
      </c>
      <c r="D458" s="10" t="str">
        <f ca="1">IFERROR(__xludf.DUMMYFUNCTION(" VLOOKUP(A455, IMPORTRANGE(""https://docs.google.com/spreadsheets/d/1fj_Bhi2XPL3siwIh4sx4VRLAe31yD50oKdj5UlRYW0c/"", ""Сводка!A:AA""), 11, FALSE)"),"978-601-7816-43-8 (часть 1)")</f>
        <v>978-601-7816-43-8 (часть 1)</v>
      </c>
      <c r="E458" s="11" t="s">
        <v>1815</v>
      </c>
      <c r="F458" s="11" t="s">
        <v>1816</v>
      </c>
      <c r="G458" s="12">
        <f ca="1">IFERROR(__xludf.DUMMYFUNCTION(" VLOOKUP(A455, IMPORTRANGE(""https://docs.google.com/spreadsheets/d/1fj_Bhi2XPL3siwIh4sx4VRLAe31yD50oKdj5UlRYW0c/"", ""Сводка!A:AA""), 5, FALSE)"),260)</f>
        <v>260</v>
      </c>
      <c r="H458" s="12" t="s">
        <v>498</v>
      </c>
      <c r="I458" s="10">
        <f ca="1">IFERROR(__xludf.DUMMYFUNCTION(" VLOOKUP(A455, IMPORTRANGE(""https://docs.google.com/spreadsheets/d/1QNLbnkR_AongFt22vMfNzfpjZ0CjpI8QI-w0wBnYA1w/"", ""Инфа!A:AA""), 6, FALSE)"),2024)</f>
        <v>2024</v>
      </c>
      <c r="J458" s="5">
        <f ca="1">ROUND(((5000+G458*30)*1.3),-2)</f>
        <v>16600</v>
      </c>
      <c r="K458" s="12" t="s">
        <v>139</v>
      </c>
      <c r="L458" s="15" t="s">
        <v>1817</v>
      </c>
    </row>
    <row r="459" spans="1:12" ht="38.25">
      <c r="A459" s="8" t="s">
        <v>1818</v>
      </c>
      <c r="B459" s="9" t="s">
        <v>12</v>
      </c>
      <c r="C459" s="10" t="s">
        <v>151</v>
      </c>
      <c r="D459" s="10" t="str">
        <f ca="1">IFERROR(__xludf.DUMMYFUNCTION(" VLOOKUP(A456, IMPORTRANGE(""https://docs.google.com/spreadsheets/d/1fj_Bhi2XPL3siwIh4sx4VRLAe31yD50oKdj5UlRYW0c/"", ""Сводка!A:AA""), 11, FALSE)"),"978-601-7816-44-5")</f>
        <v>978-601-7816-44-5</v>
      </c>
      <c r="E459" s="11" t="s">
        <v>1815</v>
      </c>
      <c r="F459" s="11" t="s">
        <v>1819</v>
      </c>
      <c r="G459" s="12">
        <f ca="1">IFERROR(__xludf.DUMMYFUNCTION(" VLOOKUP(A456, IMPORTRANGE(""https://docs.google.com/spreadsheets/d/1fj_Bhi2XPL3siwIh4sx4VRLAe31yD50oKdj5UlRYW0c/"", ""Сводка!A:AA""), 5, FALSE)"),152)</f>
        <v>152</v>
      </c>
      <c r="H459" s="12" t="s">
        <v>498</v>
      </c>
      <c r="I459" s="10">
        <f ca="1">IFERROR(__xludf.DUMMYFUNCTION(" VLOOKUP(A456, IMPORTRANGE(""https://docs.google.com/spreadsheets/d/1QNLbnkR_AongFt22vMfNzfpjZ0CjpI8QI-w0wBnYA1w/"", ""Инфа!A:AA""), 6, FALSE)"),2024)</f>
        <v>2024</v>
      </c>
      <c r="J459" s="5">
        <f ca="1">ROUND(((5000+G459*30)*1.3),-2)</f>
        <v>12400</v>
      </c>
      <c r="K459" s="12" t="s">
        <v>139</v>
      </c>
      <c r="L459" s="15"/>
    </row>
    <row r="460" spans="1:12" ht="202.5">
      <c r="A460" s="8" t="s">
        <v>1820</v>
      </c>
      <c r="B460" s="9" t="s">
        <v>12</v>
      </c>
      <c r="C460" s="10" t="s">
        <v>443</v>
      </c>
      <c r="D460" s="10" t="str">
        <f ca="1">IFERROR(__xludf.DUMMYFUNCTION(" VLOOKUP(A457, IMPORTRANGE(""https://docs.google.com/spreadsheets/d/1fj_Bhi2XPL3siwIh4sx4VRLAe31yD50oKdj5UlRYW0c/"", ""Сводка!A:AA""), 11, FALSE)"),"978-601-240-941-3")</f>
        <v>978-601-240-941-3</v>
      </c>
      <c r="E460" s="11" t="s">
        <v>1821</v>
      </c>
      <c r="F460" s="11" t="s">
        <v>1822</v>
      </c>
      <c r="G460" s="12">
        <f ca="1">IFERROR(__xludf.DUMMYFUNCTION(" VLOOKUP(A457, IMPORTRANGE(""https://docs.google.com/spreadsheets/d/1fj_Bhi2XPL3siwIh4sx4VRLAe31yD50oKdj5UlRYW0c/"", ""Сводка!A:AA""), 5, FALSE)"),304)</f>
        <v>304</v>
      </c>
      <c r="H460" s="12" t="s">
        <v>511</v>
      </c>
      <c r="I460" s="10">
        <f ca="1">IFERROR(__xludf.DUMMYFUNCTION(" VLOOKUP(A457, IMPORTRANGE(""https://docs.google.com/spreadsheets/d/1QNLbnkR_AongFt22vMfNzfpjZ0CjpI8QI-w0wBnYA1w/"", ""Инфа!A:AA""), 6, FALSE)"),2024)</f>
        <v>2024</v>
      </c>
      <c r="J460" s="5">
        <f ca="1">ROUND(((5000+G460*30)*1.3),-2)</f>
        <v>18400</v>
      </c>
      <c r="K460" s="12" t="s">
        <v>139</v>
      </c>
      <c r="L460" s="15" t="s">
        <v>1823</v>
      </c>
    </row>
    <row r="461" spans="1:12" ht="38.25">
      <c r="A461" s="8" t="s">
        <v>1824</v>
      </c>
      <c r="B461" s="9" t="s">
        <v>12</v>
      </c>
      <c r="C461" s="10" t="s">
        <v>443</v>
      </c>
      <c r="D461" s="10" t="str">
        <f ca="1">IFERROR(__xludf.DUMMYFUNCTION(" VLOOKUP(A458, IMPORTRANGE(""https://docs.google.com/spreadsheets/d/1fj_Bhi2XPL3siwIh4sx4VRLAe31yD50oKdj5UlRYW0c/"", ""Сводка!A:AA""), 11, FALSE)"),"978-601-240-941-3")</f>
        <v>978-601-240-941-3</v>
      </c>
      <c r="E461" s="11" t="s">
        <v>1821</v>
      </c>
      <c r="F461" s="11" t="s">
        <v>1825</v>
      </c>
      <c r="G461" s="12">
        <f ca="1">IFERROR(__xludf.DUMMYFUNCTION(" VLOOKUP(A458, IMPORTRANGE(""https://docs.google.com/spreadsheets/d/1fj_Bhi2XPL3siwIh4sx4VRLAe31yD50oKdj5UlRYW0c/"", ""Сводка!A:AA""), 5, FALSE)"),216)</f>
        <v>216</v>
      </c>
      <c r="H461" s="12" t="s">
        <v>511</v>
      </c>
      <c r="I461" s="10">
        <f ca="1">IFERROR(__xludf.DUMMYFUNCTION(" VLOOKUP(A458, IMPORTRANGE(""https://docs.google.com/spreadsheets/d/1QNLbnkR_AongFt22vMfNzfpjZ0CjpI8QI-w0wBnYA1w/"", ""Инфа!A:AA""), 6, FALSE)"),2024)</f>
        <v>2024</v>
      </c>
      <c r="J461" s="5">
        <f ca="1">ROUND(((5000+G461*30)*1.3),-2)</f>
        <v>14900</v>
      </c>
      <c r="K461" s="12" t="s">
        <v>139</v>
      </c>
      <c r="L461" s="15"/>
    </row>
    <row r="462" spans="1:12" ht="157.5">
      <c r="A462" s="8" t="s">
        <v>1826</v>
      </c>
      <c r="B462" s="9" t="s">
        <v>12</v>
      </c>
      <c r="C462" s="10" t="s">
        <v>443</v>
      </c>
      <c r="D462" s="10" t="str">
        <f ca="1">IFERROR(__xludf.DUMMYFUNCTION(" VLOOKUP(A459, IMPORTRANGE(""https://docs.google.com/spreadsheets/d/1fj_Bhi2XPL3siwIh4sx4VRLAe31yD50oKdj5UlRYW0c/"", ""Сводка!A:AA""), 11, FALSE)"),"978-601-342-208-0")</f>
        <v>978-601-342-208-0</v>
      </c>
      <c r="E462" s="11" t="s">
        <v>1827</v>
      </c>
      <c r="F462" s="11" t="s">
        <v>1828</v>
      </c>
      <c r="G462" s="12">
        <f ca="1">IFERROR(__xludf.DUMMYFUNCTION(" VLOOKUP(A459, IMPORTRANGE(""https://docs.google.com/spreadsheets/d/1fj_Bhi2XPL3siwIh4sx4VRLAe31yD50oKdj5UlRYW0c/"", ""Сводка!A:AA""), 5, FALSE)"),124)</f>
        <v>124</v>
      </c>
      <c r="H462" s="12" t="s">
        <v>1585</v>
      </c>
      <c r="I462" s="10">
        <f ca="1">IFERROR(__xludf.DUMMYFUNCTION(" VLOOKUP(A459, IMPORTRANGE(""https://docs.google.com/spreadsheets/d/1QNLbnkR_AongFt22vMfNzfpjZ0CjpI8QI-w0wBnYA1w/"", ""Инфа!A:AA""), 6, FALSE)"),2024)</f>
        <v>2024</v>
      </c>
      <c r="J462" s="5">
        <f ca="1">ROUND((5000+G462*60),-2)</f>
        <v>12400</v>
      </c>
      <c r="K462" s="12" t="s">
        <v>548</v>
      </c>
      <c r="L462" s="23" t="s">
        <v>1829</v>
      </c>
    </row>
    <row r="463" spans="1:12" ht="67.5">
      <c r="A463" s="8" t="s">
        <v>1830</v>
      </c>
      <c r="B463" s="9" t="s">
        <v>12</v>
      </c>
      <c r="C463" s="10" t="s">
        <v>443</v>
      </c>
      <c r="D463" s="10" t="str">
        <f ca="1">IFERROR(__xludf.DUMMYFUNCTION(" VLOOKUP(A460, IMPORTRANGE(""https://docs.google.com/spreadsheets/d/1fj_Bhi2XPL3siwIh4sx4VRLAe31yD50oKdj5UlRYW0c/"", ""Сводка!A:AA""), 11, FALSE)"),"978-601-7519-20-9")</f>
        <v>978-601-7519-20-9</v>
      </c>
      <c r="E463" s="11" t="s">
        <v>1831</v>
      </c>
      <c r="F463" s="11" t="s">
        <v>1832</v>
      </c>
      <c r="G463" s="12">
        <f ca="1">IFERROR(__xludf.DUMMYFUNCTION(" VLOOKUP(A460, IMPORTRANGE(""https://docs.google.com/spreadsheets/d/1fj_Bhi2XPL3siwIh4sx4VRLAe31yD50oKdj5UlRYW0c/"", ""Сводка!A:AA""), 5, FALSE)"),300)</f>
        <v>300</v>
      </c>
      <c r="H463" s="12" t="s">
        <v>511</v>
      </c>
      <c r="I463" s="10">
        <f ca="1">IFERROR(__xludf.DUMMYFUNCTION(" VLOOKUP(A460, IMPORTRANGE(""https://docs.google.com/spreadsheets/d/1QNLbnkR_AongFt22vMfNzfpjZ0CjpI8QI-w0wBnYA1w/"", ""Инфа!A:AA""), 6, FALSE)"),2024)</f>
        <v>2024</v>
      </c>
      <c r="J463" s="5">
        <f ca="1">ROUND((5000+G463*60),-2)</f>
        <v>23000</v>
      </c>
      <c r="K463" s="12" t="s">
        <v>548</v>
      </c>
      <c r="L463" s="15" t="s">
        <v>1833</v>
      </c>
    </row>
    <row r="464" spans="1:12" ht="180">
      <c r="A464" s="8" t="s">
        <v>1834</v>
      </c>
      <c r="B464" s="9" t="s">
        <v>12</v>
      </c>
      <c r="C464" s="10" t="s">
        <v>443</v>
      </c>
      <c r="D464" s="10" t="str">
        <f ca="1">IFERROR(__xludf.DUMMYFUNCTION(" VLOOKUP(A461, IMPORTRANGE(""https://docs.google.com/spreadsheets/d/1fj_Bhi2XPL3siwIh4sx4VRLAe31yD50oKdj5UlRYW0c/"", ""Сводка!A:AA""), 11, FALSE)"),"9965-821-38-0")</f>
        <v>9965-821-38-0</v>
      </c>
      <c r="E464" s="11" t="s">
        <v>1835</v>
      </c>
      <c r="F464" s="11" t="s">
        <v>1836</v>
      </c>
      <c r="G464" s="12">
        <f ca="1">IFERROR(__xludf.DUMMYFUNCTION(" VLOOKUP(A461, IMPORTRANGE(""https://docs.google.com/spreadsheets/d/1fj_Bhi2XPL3siwIh4sx4VRLAe31yD50oKdj5UlRYW0c/"", ""Сводка!A:AA""), 5, FALSE)"),112)</f>
        <v>112</v>
      </c>
      <c r="H464" s="12" t="s">
        <v>446</v>
      </c>
      <c r="I464" s="10">
        <f ca="1">IFERROR(__xludf.DUMMYFUNCTION(" VLOOKUP(A461, IMPORTRANGE(""https://docs.google.com/spreadsheets/d/1QNLbnkR_AongFt22vMfNzfpjZ0CjpI8QI-w0wBnYA1w/"", ""Инфа!A:AA""), 6, FALSE)"),2024)</f>
        <v>2024</v>
      </c>
      <c r="J464" s="5">
        <f ca="1">ROUND((5000+G464*30),-2)</f>
        <v>8400</v>
      </c>
      <c r="K464" s="12" t="s">
        <v>548</v>
      </c>
      <c r="L464" s="15" t="s">
        <v>1837</v>
      </c>
    </row>
    <row r="465" spans="1:12" ht="180">
      <c r="A465" s="8" t="s">
        <v>1838</v>
      </c>
      <c r="B465" s="9" t="s">
        <v>12</v>
      </c>
      <c r="C465" s="10" t="s">
        <v>443</v>
      </c>
      <c r="D465" s="10" t="str">
        <f ca="1">IFERROR(__xludf.DUMMYFUNCTION(" VLOOKUP(A462, IMPORTRANGE(""https://docs.google.com/spreadsheets/d/1fj_Bhi2XPL3siwIh4sx4VRLAe31yD50oKdj5UlRYW0c/"", ""Сводка!A:AA""), 11, FALSE)"),"978-601-241-224-6")</f>
        <v>978-601-241-224-6</v>
      </c>
      <c r="E465" s="11" t="s">
        <v>1839</v>
      </c>
      <c r="F465" s="11" t="s">
        <v>1840</v>
      </c>
      <c r="G465" s="12">
        <f ca="1">IFERROR(__xludf.DUMMYFUNCTION(" VLOOKUP(A462, IMPORTRANGE(""https://docs.google.com/spreadsheets/d/1fj_Bhi2XPL3siwIh4sx4VRLAe31yD50oKdj5UlRYW0c/"", ""Сводка!A:AA""), 5, FALSE)"),272)</f>
        <v>272</v>
      </c>
      <c r="H465" s="12" t="s">
        <v>511</v>
      </c>
      <c r="I465" s="10">
        <f ca="1">IFERROR(__xludf.DUMMYFUNCTION(" VLOOKUP(A462, IMPORTRANGE(""https://docs.google.com/spreadsheets/d/1QNLbnkR_AongFt22vMfNzfpjZ0CjpI8QI-w0wBnYA1w/"", ""Инфа!A:AA""), 6, FALSE)"),2024)</f>
        <v>2024</v>
      </c>
      <c r="J465" s="5">
        <f ca="1">ROUND((5000+G465*30),-2)</f>
        <v>13200</v>
      </c>
      <c r="K465" s="12" t="s">
        <v>548</v>
      </c>
      <c r="L465" s="15" t="s">
        <v>1841</v>
      </c>
    </row>
    <row r="466" spans="1:12" ht="281.25">
      <c r="A466" s="8" t="s">
        <v>1842</v>
      </c>
      <c r="B466" s="9" t="s">
        <v>12</v>
      </c>
      <c r="C466" s="13" t="s">
        <v>443</v>
      </c>
      <c r="D466" s="10" t="str">
        <f ca="1">IFERROR(__xludf.DUMMYFUNCTION(" VLOOKUP(A463, IMPORTRANGE(""https://docs.google.com/spreadsheets/d/1fj_Bhi2XPL3siwIh4sx4VRLAe31yD50oKdj5UlRYW0c/"", ""Сводка!A:AA""), 11, FALSE)"),"978-601-310-006-7")</f>
        <v>978-601-310-006-7</v>
      </c>
      <c r="E466" s="19" t="s">
        <v>1843</v>
      </c>
      <c r="F466" s="19" t="s">
        <v>1844</v>
      </c>
      <c r="G466" s="12">
        <f ca="1">IFERROR(__xludf.DUMMYFUNCTION(" VLOOKUP(A463, IMPORTRANGE(""https://docs.google.com/spreadsheets/d/1fj_Bhi2XPL3siwIh4sx4VRLAe31yD50oKdj5UlRYW0c/"", ""Сводка!A:AA""), 5, FALSE)"),180)</f>
        <v>180</v>
      </c>
      <c r="H466" s="9" t="s">
        <v>1024</v>
      </c>
      <c r="I466" s="10">
        <f ca="1">IFERROR(__xludf.DUMMYFUNCTION(" VLOOKUP(A463, IMPORTRANGE(""https://docs.google.com/spreadsheets/d/1QNLbnkR_AongFt22vMfNzfpjZ0CjpI8QI-w0wBnYA1w/"", ""Инфа!A:AA""), 6, FALSE)"),2024)</f>
        <v>2024</v>
      </c>
      <c r="J466" s="5">
        <f ca="1">ROUND((5000+G466*60),-2)</f>
        <v>15800</v>
      </c>
      <c r="K466" s="9" t="s">
        <v>1845</v>
      </c>
      <c r="L466" s="21" t="s">
        <v>1846</v>
      </c>
    </row>
    <row r="467" spans="1:12" ht="51">
      <c r="A467" s="8" t="s">
        <v>1847</v>
      </c>
      <c r="B467" s="9" t="s">
        <v>12</v>
      </c>
      <c r="C467" s="13" t="s">
        <v>443</v>
      </c>
      <c r="D467" s="10" t="str">
        <f ca="1">IFERROR(__xludf.DUMMYFUNCTION(" VLOOKUP(A464, IMPORTRANGE(""https://docs.google.com/spreadsheets/d/1fj_Bhi2XPL3siwIh4sx4VRLAe31yD50oKdj5UlRYW0c/"", ""Сводка!A:AA""), 11, FALSE)"),"978-601-352-413-9")</f>
        <v>978-601-352-413-9</v>
      </c>
      <c r="E467" s="19" t="s">
        <v>1848</v>
      </c>
      <c r="F467" s="19" t="s">
        <v>1849</v>
      </c>
      <c r="G467" s="12">
        <f ca="1">IFERROR(__xludf.DUMMYFUNCTION(" VLOOKUP(A464, IMPORTRANGE(""https://docs.google.com/spreadsheets/d/1fj_Bhi2XPL3siwIh4sx4VRLAe31yD50oKdj5UlRYW0c/"", ""Сводка!A:AA""), 5, FALSE)"),188)</f>
        <v>188</v>
      </c>
      <c r="H467" s="9" t="s">
        <v>1850</v>
      </c>
      <c r="I467" s="10">
        <f ca="1">IFERROR(__xludf.DUMMYFUNCTION(" VLOOKUP(A464, IMPORTRANGE(""https://docs.google.com/spreadsheets/d/1QNLbnkR_AongFt22vMfNzfpjZ0CjpI8QI-w0wBnYA1w/"", ""Инфа!A:AA""), 6, FALSE)"),2024)</f>
        <v>2024</v>
      </c>
      <c r="J467" s="5">
        <f ca="1">ROUND((5000+G467*30),-2)</f>
        <v>10600</v>
      </c>
      <c r="K467" s="9" t="s">
        <v>1851</v>
      </c>
      <c r="L467" s="21" t="s">
        <v>1852</v>
      </c>
    </row>
    <row r="468" spans="1:12" ht="202.5">
      <c r="A468" s="8" t="s">
        <v>1853</v>
      </c>
      <c r="B468" s="9" t="s">
        <v>12</v>
      </c>
      <c r="C468" s="13" t="s">
        <v>443</v>
      </c>
      <c r="D468" s="10" t="str">
        <f ca="1">IFERROR(__xludf.DUMMYFUNCTION(" VLOOKUP(A465, IMPORTRANGE(""https://docs.google.com/spreadsheets/d/1fj_Bhi2XPL3siwIh4sx4VRLAe31yD50oKdj5UlRYW0c/"", ""Сводка!A:AA""), 11, FALSE)"),"978-601-342-008-5")</f>
        <v>978-601-342-008-5</v>
      </c>
      <c r="E468" s="19" t="s">
        <v>1854</v>
      </c>
      <c r="F468" s="19" t="s">
        <v>1855</v>
      </c>
      <c r="G468" s="12">
        <f ca="1">IFERROR(__xludf.DUMMYFUNCTION(" VLOOKUP(A465, IMPORTRANGE(""https://docs.google.com/spreadsheets/d/1fj_Bhi2XPL3siwIh4sx4VRLAe31yD50oKdj5UlRYW0c/"", ""Сводка!A:AA""), 5, FALSE)"),176)</f>
        <v>176</v>
      </c>
      <c r="H468" s="9" t="s">
        <v>1024</v>
      </c>
      <c r="I468" s="10">
        <f ca="1">IFERROR(__xludf.DUMMYFUNCTION(" VLOOKUP(A465, IMPORTRANGE(""https://docs.google.com/spreadsheets/d/1QNLbnkR_AongFt22vMfNzfpjZ0CjpI8QI-w0wBnYA1w/"", ""Инфа!A:AA""), 6, FALSE)"),2024)</f>
        <v>2024</v>
      </c>
      <c r="J468" s="5">
        <f ca="1">ROUND((5000+G468*60),-2)</f>
        <v>15600</v>
      </c>
      <c r="K468" s="9" t="s">
        <v>1856</v>
      </c>
      <c r="L468" s="21" t="s">
        <v>1857</v>
      </c>
    </row>
    <row r="469" spans="1:12" ht="38.25">
      <c r="A469" s="8" t="s">
        <v>1858</v>
      </c>
      <c r="B469" s="9" t="s">
        <v>12</v>
      </c>
      <c r="C469" s="13" t="s">
        <v>443</v>
      </c>
      <c r="D469" s="10" t="str">
        <f ca="1">IFERROR(__xludf.DUMMYFUNCTION(" VLOOKUP(A466, IMPORTRANGE(""https://docs.google.com/spreadsheets/d/1fj_Bhi2XPL3siwIh4sx4VRLAe31yD50oKdj5UlRYW0c/"", ""Сводка!A:AA""), 11, FALSE)"),"978-601-352-414-6")</f>
        <v>978-601-352-414-6</v>
      </c>
      <c r="E469" s="19" t="s">
        <v>1859</v>
      </c>
      <c r="F469" s="19" t="s">
        <v>1860</v>
      </c>
      <c r="G469" s="12">
        <f ca="1">IFERROR(__xludf.DUMMYFUNCTION(" VLOOKUP(A466, IMPORTRANGE(""https://docs.google.com/spreadsheets/d/1fj_Bhi2XPL3siwIh4sx4VRLAe31yD50oKdj5UlRYW0c/"", ""Сводка!A:AA""), 5, FALSE)"),128)</f>
        <v>128</v>
      </c>
      <c r="H469" s="9" t="s">
        <v>1850</v>
      </c>
      <c r="I469" s="10">
        <f ca="1">IFERROR(__xludf.DUMMYFUNCTION(" VLOOKUP(A466, IMPORTRANGE(""https://docs.google.com/spreadsheets/d/1QNLbnkR_AongFt22vMfNzfpjZ0CjpI8QI-w0wBnYA1w/"", ""Инфа!A:AA""), 6, FALSE)"),2024)</f>
        <v>2024</v>
      </c>
      <c r="J469" s="5">
        <f ca="1">ROUND((5000+G469*60),-2)</f>
        <v>12700</v>
      </c>
      <c r="K469" s="9" t="s">
        <v>1861</v>
      </c>
      <c r="L469" s="21" t="s">
        <v>1862</v>
      </c>
    </row>
    <row r="470" spans="1:12" ht="157.5">
      <c r="A470" s="8" t="s">
        <v>1863</v>
      </c>
      <c r="B470" s="9" t="s">
        <v>12</v>
      </c>
      <c r="C470" s="10" t="s">
        <v>151</v>
      </c>
      <c r="D470" s="10" t="str">
        <f ca="1">IFERROR(__xludf.DUMMYFUNCTION(" VLOOKUP(A467, IMPORTRANGE(""https://docs.google.com/spreadsheets/d/1fj_Bhi2XPL3siwIh4sx4VRLAe31yD50oKdj5UlRYW0c/"", ""Сводка!A:AA""), 11, FALSE)"),"978-601-342-183-4")</f>
        <v>978-601-342-183-4</v>
      </c>
      <c r="E470" s="11" t="s">
        <v>1864</v>
      </c>
      <c r="F470" s="11" t="s">
        <v>1865</v>
      </c>
      <c r="G470" s="12">
        <f ca="1">IFERROR(__xludf.DUMMYFUNCTION(" VLOOKUP(A467, IMPORTRANGE(""https://docs.google.com/spreadsheets/d/1fj_Bhi2XPL3siwIh4sx4VRLAe31yD50oKdj5UlRYW0c/"", ""Сводка!A:AA""), 5, FALSE)"),160)</f>
        <v>160</v>
      </c>
      <c r="H470" s="12" t="s">
        <v>47</v>
      </c>
      <c r="I470" s="10">
        <f ca="1">IFERROR(__xludf.DUMMYFUNCTION(" VLOOKUP(A467, IMPORTRANGE(""https://docs.google.com/spreadsheets/d/1QNLbnkR_AongFt22vMfNzfpjZ0CjpI8QI-w0wBnYA1w/"", ""Инфа!A:AA""), 6, FALSE)"),2024)</f>
        <v>2024</v>
      </c>
      <c r="J470" s="5">
        <f ca="1">ROUND((5000+G470*60),-2)</f>
        <v>14600</v>
      </c>
      <c r="K470" s="12" t="s">
        <v>257</v>
      </c>
      <c r="L470" s="15" t="s">
        <v>1866</v>
      </c>
    </row>
    <row r="471" spans="1:12" ht="281.25">
      <c r="A471" s="8" t="s">
        <v>1867</v>
      </c>
      <c r="B471" s="9" t="s">
        <v>12</v>
      </c>
      <c r="C471" s="10" t="s">
        <v>151</v>
      </c>
      <c r="D471" s="10" t="str">
        <f ca="1">IFERROR(__xludf.DUMMYFUNCTION(" VLOOKUP(A468, IMPORTRANGE(""https://docs.google.com/spreadsheets/d/1fj_Bhi2XPL3siwIh4sx4VRLAe31yD50oKdj5UlRYW0c/"", ""Сводка!A:AA""), 11, FALSE)"),"978-601-342-517-7")</f>
        <v>978-601-342-517-7</v>
      </c>
      <c r="E471" s="11" t="s">
        <v>1868</v>
      </c>
      <c r="F471" s="11" t="s">
        <v>1869</v>
      </c>
      <c r="G471" s="12">
        <f ca="1">IFERROR(__xludf.DUMMYFUNCTION(" VLOOKUP(A468, IMPORTRANGE(""https://docs.google.com/spreadsheets/d/1fj_Bhi2XPL3siwIh4sx4VRLAe31yD50oKdj5UlRYW0c/"", ""Сводка!A:AA""), 5, FALSE)"),132)</f>
        <v>132</v>
      </c>
      <c r="H471" s="12" t="s">
        <v>1870</v>
      </c>
      <c r="I471" s="10">
        <f ca="1">IFERROR(__xludf.DUMMYFUNCTION(" VLOOKUP(A468, IMPORTRANGE(""https://docs.google.com/spreadsheets/d/1QNLbnkR_AongFt22vMfNzfpjZ0CjpI8QI-w0wBnYA1w/"", ""Инфа!A:AA""), 6, FALSE)"),2024)</f>
        <v>2024</v>
      </c>
      <c r="J471" s="5">
        <f ca="1">ROUND((5000+G471*30),-2)</f>
        <v>9000</v>
      </c>
      <c r="K471" s="12" t="s">
        <v>213</v>
      </c>
      <c r="L471" s="15" t="s">
        <v>1871</v>
      </c>
    </row>
    <row r="472" spans="1:12" ht="146.25">
      <c r="A472" s="8" t="s">
        <v>1872</v>
      </c>
      <c r="B472" s="9" t="s">
        <v>12</v>
      </c>
      <c r="C472" s="10" t="s">
        <v>1873</v>
      </c>
      <c r="D472" s="10" t="str">
        <f ca="1">IFERROR(__xludf.DUMMYFUNCTION(" VLOOKUP(A469, IMPORTRANGE(""https://docs.google.com/spreadsheets/d/1fj_Bhi2XPL3siwIh4sx4VRLAe31yD50oKdj5UlRYW0c/"", ""Сводка!A:AA""), 11, FALSE)"),"978-601-7816-14-9")</f>
        <v>978-601-7816-14-9</v>
      </c>
      <c r="E472" s="11" t="s">
        <v>1874</v>
      </c>
      <c r="F472" s="38" t="s">
        <v>1875</v>
      </c>
      <c r="G472" s="12">
        <f ca="1">IFERROR(__xludf.DUMMYFUNCTION(" VLOOKUP(A469, IMPORTRANGE(""https://docs.google.com/spreadsheets/d/1fj_Bhi2XPL3siwIh4sx4VRLAe31yD50oKdj5UlRYW0c/"", ""Сводка!A:AA""), 5, FALSE)"),184)</f>
        <v>184</v>
      </c>
      <c r="H472" s="12" t="s">
        <v>47</v>
      </c>
      <c r="I472" s="10">
        <f ca="1">IFERROR(__xludf.DUMMYFUNCTION(" VLOOKUP(A469, IMPORTRANGE(""https://docs.google.com/spreadsheets/d/1QNLbnkR_AongFt22vMfNzfpjZ0CjpI8QI-w0wBnYA1w/"", ""Инфа!A:AA""), 6, FALSE)"),2024)</f>
        <v>2024</v>
      </c>
      <c r="J472" s="5">
        <f ca="1">ROUND((5000+G472*30),-2)</f>
        <v>10500</v>
      </c>
      <c r="K472" s="12" t="s">
        <v>213</v>
      </c>
      <c r="L472" s="15" t="s">
        <v>1876</v>
      </c>
    </row>
    <row r="473" spans="1:12" ht="112.5">
      <c r="A473" s="8" t="s">
        <v>1877</v>
      </c>
      <c r="B473" s="9" t="s">
        <v>12</v>
      </c>
      <c r="C473" s="10" t="s">
        <v>151</v>
      </c>
      <c r="D473" s="10" t="str">
        <f ca="1">IFERROR(__xludf.DUMMYFUNCTION(" VLOOKUP(A470, IMPORTRANGE(""https://docs.google.com/spreadsheets/d/1fj_Bhi2XPL3siwIh4sx4VRLAe31yD50oKdj5UlRYW0c/"", ""Сводка!A:AA""), 11, FALSE)"),"978-601-327-222-1")</f>
        <v>978-601-327-222-1</v>
      </c>
      <c r="E473" s="11" t="s">
        <v>1878</v>
      </c>
      <c r="F473" s="11" t="s">
        <v>1879</v>
      </c>
      <c r="G473" s="12">
        <f ca="1">IFERROR(__xludf.DUMMYFUNCTION(" VLOOKUP(A470, IMPORTRANGE(""https://docs.google.com/spreadsheets/d/1fj_Bhi2XPL3siwIh4sx4VRLAe31yD50oKdj5UlRYW0c/"", ""Сводка!A:AA""), 5, FALSE)"),316)</f>
        <v>316</v>
      </c>
      <c r="H473" s="12" t="s">
        <v>47</v>
      </c>
      <c r="I473" s="10">
        <f ca="1">IFERROR(__xludf.DUMMYFUNCTION(" VLOOKUP(A470, IMPORTRANGE(""https://docs.google.com/spreadsheets/d/1QNLbnkR_AongFt22vMfNzfpjZ0CjpI8QI-w0wBnYA1w/"", ""Инфа!A:AA""), 6, FALSE)"),2024)</f>
        <v>2024</v>
      </c>
      <c r="J473" s="5">
        <f ca="1">ROUND((5000+G473*60),-2)</f>
        <v>24000</v>
      </c>
      <c r="K473" s="12" t="s">
        <v>1240</v>
      </c>
      <c r="L473" s="15" t="s">
        <v>1880</v>
      </c>
    </row>
    <row r="474" spans="1:12" ht="146.25">
      <c r="A474" s="8" t="s">
        <v>1881</v>
      </c>
      <c r="B474" s="9" t="s">
        <v>12</v>
      </c>
      <c r="C474" s="10" t="s">
        <v>151</v>
      </c>
      <c r="D474" s="10" t="str">
        <f ca="1">IFERROR(__xludf.DUMMYFUNCTION(" VLOOKUP(A471, IMPORTRANGE(""https://docs.google.com/spreadsheets/d/1fj_Bhi2XPL3siwIh4sx4VRLAe31yD50oKdj5UlRYW0c/"", ""Сводка!A:AA""), 11, FALSE)"),"978-601-80374-1-2")</f>
        <v>978-601-80374-1-2</v>
      </c>
      <c r="E474" s="11" t="s">
        <v>1878</v>
      </c>
      <c r="F474" s="11" t="s">
        <v>1882</v>
      </c>
      <c r="G474" s="12">
        <f ca="1">IFERROR(__xludf.DUMMYFUNCTION(" VLOOKUP(A471, IMPORTRANGE(""https://docs.google.com/spreadsheets/d/1fj_Bhi2XPL3siwIh4sx4VRLAe31yD50oKdj5UlRYW0c/"", ""Сводка!A:AA""), 5, FALSE)"),108)</f>
        <v>108</v>
      </c>
      <c r="H474" s="12" t="s">
        <v>47</v>
      </c>
      <c r="I474" s="10">
        <f ca="1">IFERROR(__xludf.DUMMYFUNCTION(" VLOOKUP(A471, IMPORTRANGE(""https://docs.google.com/spreadsheets/d/1QNLbnkR_AongFt22vMfNzfpjZ0CjpI8QI-w0wBnYA1w/"", ""Инфа!A:AA""), 6, FALSE)"),2024)</f>
        <v>2024</v>
      </c>
      <c r="J474" s="5">
        <f ca="1">ROUND((5000+G474*30),-2)</f>
        <v>8200</v>
      </c>
      <c r="K474" s="12" t="s">
        <v>1147</v>
      </c>
      <c r="L474" s="15" t="s">
        <v>1883</v>
      </c>
    </row>
    <row r="475" spans="1:12" ht="225">
      <c r="A475" s="8" t="s">
        <v>1884</v>
      </c>
      <c r="B475" s="9" t="s">
        <v>12</v>
      </c>
      <c r="C475" s="10" t="s">
        <v>151</v>
      </c>
      <c r="D475" s="10" t="str">
        <f ca="1">IFERROR(__xludf.DUMMYFUNCTION(" VLOOKUP(A472, IMPORTRANGE(""https://docs.google.com/spreadsheets/d/1fj_Bhi2XPL3siwIh4sx4VRLAe31yD50oKdj5UlRYW0c/"", ""Сводка!A:AA""), 11, FALSE)"),"978-601-342-586-3")</f>
        <v>978-601-342-586-3</v>
      </c>
      <c r="E475" s="11" t="s">
        <v>1885</v>
      </c>
      <c r="F475" s="11" t="s">
        <v>1886</v>
      </c>
      <c r="G475" s="12">
        <f ca="1">IFERROR(__xludf.DUMMYFUNCTION(" VLOOKUP(A472, IMPORTRANGE(""https://docs.google.com/spreadsheets/d/1fj_Bhi2XPL3siwIh4sx4VRLAe31yD50oKdj5UlRYW0c/"", ""Сводка!A:AA""), 5, FALSE)"),308)</f>
        <v>308</v>
      </c>
      <c r="H475" s="12" t="s">
        <v>47</v>
      </c>
      <c r="I475" s="10">
        <f ca="1">IFERROR(__xludf.DUMMYFUNCTION(" VLOOKUP(A472, IMPORTRANGE(""https://docs.google.com/spreadsheets/d/1QNLbnkR_AongFt22vMfNzfpjZ0CjpI8QI-w0wBnYA1w/"", ""Инфа!A:AA""), 6, FALSE)"),2024)</f>
        <v>2024</v>
      </c>
      <c r="J475" s="5">
        <f ca="1">ROUND((5000+G475*30),-2)</f>
        <v>14200</v>
      </c>
      <c r="K475" s="12" t="s">
        <v>1887</v>
      </c>
      <c r="L475" s="15" t="s">
        <v>1888</v>
      </c>
    </row>
    <row r="476" spans="1:12" ht="303.75">
      <c r="A476" s="8" t="s">
        <v>1889</v>
      </c>
      <c r="B476" s="9" t="s">
        <v>12</v>
      </c>
      <c r="C476" s="10" t="s">
        <v>443</v>
      </c>
      <c r="D476" s="10" t="str">
        <f ca="1">IFERROR(__xludf.DUMMYFUNCTION(" VLOOKUP(A473, IMPORTRANGE(""https://docs.google.com/spreadsheets/d/1fj_Bhi2XPL3siwIh4sx4VRLAe31yD50oKdj5UlRYW0c/"", ""Сводка!A:AA""), 11, FALSE)"),"978-601-310-924-4")</f>
        <v>978-601-310-924-4</v>
      </c>
      <c r="E476" s="11" t="s">
        <v>1890</v>
      </c>
      <c r="F476" s="11" t="s">
        <v>1891</v>
      </c>
      <c r="G476" s="12">
        <f ca="1">IFERROR(__xludf.DUMMYFUNCTION(" VLOOKUP(A473, IMPORTRANGE(""https://docs.google.com/spreadsheets/d/1fj_Bhi2XPL3siwIh4sx4VRLAe31yD50oKdj5UlRYW0c/"", ""Сводка!A:AA""), 5, FALSE)"),152)</f>
        <v>152</v>
      </c>
      <c r="H476" s="12" t="s">
        <v>538</v>
      </c>
      <c r="I476" s="10">
        <f ca="1">IFERROR(__xludf.DUMMYFUNCTION(" VLOOKUP(A473, IMPORTRANGE(""https://docs.google.com/spreadsheets/d/1QNLbnkR_AongFt22vMfNzfpjZ0CjpI8QI-w0wBnYA1w/"", ""Инфа!A:AA""), 6, FALSE)"),2024)</f>
        <v>2024</v>
      </c>
      <c r="J476" s="5">
        <f ca="1">ROUND((5000+G476*30),-2)</f>
        <v>9600</v>
      </c>
      <c r="K476" s="12" t="s">
        <v>1240</v>
      </c>
      <c r="L476" s="15" t="s">
        <v>1893</v>
      </c>
    </row>
    <row r="477" spans="1:12" ht="270">
      <c r="A477" s="8" t="s">
        <v>1894</v>
      </c>
      <c r="B477" s="9" t="s">
        <v>12</v>
      </c>
      <c r="C477" s="10" t="s">
        <v>151</v>
      </c>
      <c r="D477" s="10" t="str">
        <f ca="1">IFERROR(__xludf.DUMMYFUNCTION(" VLOOKUP(A474, IMPORTRANGE(""https://docs.google.com/spreadsheets/d/1fj_Bhi2XPL3siwIh4sx4VRLAe31yD50oKdj5UlRYW0c/"", ""Сводка!A:AA""), 11, FALSE)"),"978-601-240-620-7")</f>
        <v>978-601-240-620-7</v>
      </c>
      <c r="E477" s="11" t="s">
        <v>1895</v>
      </c>
      <c r="F477" s="11" t="s">
        <v>1896</v>
      </c>
      <c r="G477" s="12">
        <f ca="1">IFERROR(__xludf.DUMMYFUNCTION(" VLOOKUP(A474, IMPORTRANGE(""https://docs.google.com/spreadsheets/d/1fj_Bhi2XPL3siwIh4sx4VRLAe31yD50oKdj5UlRYW0c/"", ""Сводка!A:AA""), 5, FALSE)"),184)</f>
        <v>184</v>
      </c>
      <c r="H477" s="12" t="s">
        <v>165</v>
      </c>
      <c r="I477" s="10">
        <f ca="1">IFERROR(__xludf.DUMMYFUNCTION(" VLOOKUP(A474, IMPORTRANGE(""https://docs.google.com/spreadsheets/d/1QNLbnkR_AongFt22vMfNzfpjZ0CjpI8QI-w0wBnYA1w/"", ""Инфа!A:AA""), 6, FALSE)"),2024)</f>
        <v>2024</v>
      </c>
      <c r="J477" s="5">
        <f ca="1">ROUND((5000+G477*30),-2)</f>
        <v>10500</v>
      </c>
      <c r="K477" s="12" t="s">
        <v>1240</v>
      </c>
      <c r="L477" s="15" t="s">
        <v>1897</v>
      </c>
    </row>
    <row r="478" spans="1:12" ht="135">
      <c r="A478" s="8" t="s">
        <v>1898</v>
      </c>
      <c r="B478" s="9" t="s">
        <v>12</v>
      </c>
      <c r="C478" s="10" t="s">
        <v>151</v>
      </c>
      <c r="D478" s="10" t="str">
        <f ca="1">IFERROR(__xludf.DUMMYFUNCTION(" VLOOKUP(A475, IMPORTRANGE(""https://docs.google.com/spreadsheets/d/1fj_Bhi2XPL3siwIh4sx4VRLAe31yD50oKdj5UlRYW0c/"", ""Сводка!A:AA""), 11, FALSE)"),"978-601-327-329-7")</f>
        <v>978-601-327-329-7</v>
      </c>
      <c r="E478" s="11" t="s">
        <v>1899</v>
      </c>
      <c r="F478" s="11" t="s">
        <v>1900</v>
      </c>
      <c r="G478" s="12">
        <f ca="1">IFERROR(__xludf.DUMMYFUNCTION(" VLOOKUP(A475, IMPORTRANGE(""https://docs.google.com/spreadsheets/d/1fj_Bhi2XPL3siwIh4sx4VRLAe31yD50oKdj5UlRYW0c/"", ""Сводка!A:AA""), 5, FALSE)"),88)</f>
        <v>88</v>
      </c>
      <c r="H478" s="12" t="s">
        <v>47</v>
      </c>
      <c r="I478" s="10">
        <f ca="1">IFERROR(__xludf.DUMMYFUNCTION(" VLOOKUP(A475, IMPORTRANGE(""https://docs.google.com/spreadsheets/d/1QNLbnkR_AongFt22vMfNzfpjZ0CjpI8QI-w0wBnYA1w/"", ""Инфа!A:AA""), 6, FALSE)"),2024)</f>
        <v>2024</v>
      </c>
      <c r="J478" s="5">
        <f ca="1">ROUND((5000+G478*60),-2)</f>
        <v>10300</v>
      </c>
      <c r="K478" s="12" t="s">
        <v>1240</v>
      </c>
      <c r="L478" s="15" t="s">
        <v>1901</v>
      </c>
    </row>
    <row r="479" spans="1:12" ht="123.75">
      <c r="A479" s="8" t="s">
        <v>1902</v>
      </c>
      <c r="B479" s="9" t="s">
        <v>12</v>
      </c>
      <c r="C479" s="10" t="s">
        <v>151</v>
      </c>
      <c r="D479" s="10" t="str">
        <f ca="1">IFERROR(__xludf.DUMMYFUNCTION(" VLOOKUP(A476, IMPORTRANGE(""https://docs.google.com/spreadsheets/d/1fj_Bhi2XPL3siwIh4sx4VRLAe31yD50oKdj5UlRYW0c/"", ""Сводка!A:AA""), 11, FALSE)"),"978-601-327-330-3")</f>
        <v>978-601-327-330-3</v>
      </c>
      <c r="E479" s="11" t="s">
        <v>1903</v>
      </c>
      <c r="F479" s="11" t="s">
        <v>1904</v>
      </c>
      <c r="G479" s="12">
        <f ca="1">IFERROR(__xludf.DUMMYFUNCTION(" VLOOKUP(A476, IMPORTRANGE(""https://docs.google.com/spreadsheets/d/1fj_Bhi2XPL3siwIh4sx4VRLAe31yD50oKdj5UlRYW0c/"", ""Сводка!A:AA""), 5, FALSE)"),84)</f>
        <v>84</v>
      </c>
      <c r="H479" s="12" t="s">
        <v>47</v>
      </c>
      <c r="I479" s="10">
        <f ca="1">IFERROR(__xludf.DUMMYFUNCTION(" VLOOKUP(A476, IMPORTRANGE(""https://docs.google.com/spreadsheets/d/1QNLbnkR_AongFt22vMfNzfpjZ0CjpI8QI-w0wBnYA1w/"", ""Инфа!A:AA""), 6, FALSE)"),2024)</f>
        <v>2024</v>
      </c>
      <c r="J479" s="5">
        <f ca="1">ROUND((5000+G479*30),-2)</f>
        <v>7500</v>
      </c>
      <c r="K479" s="12" t="s">
        <v>1240</v>
      </c>
      <c r="L479" s="15" t="s">
        <v>1905</v>
      </c>
    </row>
    <row r="480" spans="1:12" ht="135">
      <c r="A480" s="8" t="s">
        <v>1906</v>
      </c>
      <c r="B480" s="9" t="s">
        <v>12</v>
      </c>
      <c r="C480" s="10" t="s">
        <v>443</v>
      </c>
      <c r="D480" s="10" t="str">
        <f ca="1">IFERROR(__xludf.DUMMYFUNCTION(" VLOOKUP(A477, IMPORTRANGE(""https://docs.google.com/spreadsheets/d/1fj_Bhi2XPL3siwIh4sx4VRLAe31yD50oKdj5UlRYW0c/"", ""Сводка!A:AA""), 11, FALSE)"),"978-601-327-329-7")</f>
        <v>978-601-327-329-7</v>
      </c>
      <c r="E480" s="11" t="s">
        <v>1907</v>
      </c>
      <c r="F480" s="11" t="s">
        <v>1900</v>
      </c>
      <c r="G480" s="12">
        <f ca="1">IFERROR(__xludf.DUMMYFUNCTION(" VLOOKUP(A477, IMPORTRANGE(""https://docs.google.com/spreadsheets/d/1fj_Bhi2XPL3siwIh4sx4VRLAe31yD50oKdj5UlRYW0c/"", ""Сводка!A:AA""), 5, FALSE)"),64)</f>
        <v>64</v>
      </c>
      <c r="H480" s="12" t="s">
        <v>1908</v>
      </c>
      <c r="I480" s="10">
        <f ca="1">IFERROR(__xludf.DUMMYFUNCTION(" VLOOKUP(A477, IMPORTRANGE(""https://docs.google.com/spreadsheets/d/1QNLbnkR_AongFt22vMfNzfpjZ0CjpI8QI-w0wBnYA1w/"", ""Инфа!A:AA""), 6, FALSE)"),2024)</f>
        <v>2024</v>
      </c>
      <c r="J480" s="5">
        <f ca="1">ROUND((5000+G480*60),-2)</f>
        <v>8800</v>
      </c>
      <c r="K480" s="12" t="s">
        <v>1240</v>
      </c>
      <c r="L480" s="15" t="s">
        <v>1909</v>
      </c>
    </row>
    <row r="481" spans="1:12" ht="270">
      <c r="A481" s="8" t="s">
        <v>1910</v>
      </c>
      <c r="B481" s="9" t="s">
        <v>12</v>
      </c>
      <c r="C481" s="10" t="s">
        <v>443</v>
      </c>
      <c r="D481" s="10" t="str">
        <f ca="1">IFERROR(__xludf.DUMMYFUNCTION(" VLOOKUP(A478, IMPORTRANGE(""https://docs.google.com/spreadsheets/d/1fj_Bhi2XPL3siwIh4sx4VRLAe31yD50oKdj5UlRYW0c/"", ""Сводка!A:AA""), 11, FALSE)"),"978-601-327-819-3")</f>
        <v>978-601-327-819-3</v>
      </c>
      <c r="E481" s="11" t="s">
        <v>1911</v>
      </c>
      <c r="F481" s="11" t="s">
        <v>1892</v>
      </c>
      <c r="G481" s="12">
        <f ca="1">IFERROR(__xludf.DUMMYFUNCTION(" VLOOKUP(A478, IMPORTRANGE(""https://docs.google.com/spreadsheets/d/1fj_Bhi2XPL3siwIh4sx4VRLAe31yD50oKdj5UlRYW0c/"", ""Сводка!A:AA""), 5, FALSE)"),280)</f>
        <v>280</v>
      </c>
      <c r="H481" s="12" t="s">
        <v>671</v>
      </c>
      <c r="I481" s="10">
        <f ca="1">IFERROR(__xludf.DUMMYFUNCTION(" VLOOKUP(A478, IMPORTRANGE(""https://docs.google.com/spreadsheets/d/1QNLbnkR_AongFt22vMfNzfpjZ0CjpI8QI-w0wBnYA1w/"", ""Инфа!A:AA""), 6, FALSE)"),2024)</f>
        <v>2024</v>
      </c>
      <c r="J481" s="5">
        <f ca="1">ROUND((5000+G481*60),-2)</f>
        <v>21800</v>
      </c>
      <c r="K481" s="12" t="s">
        <v>1912</v>
      </c>
      <c r="L481" s="15" t="s">
        <v>1913</v>
      </c>
    </row>
    <row r="482" spans="1:12" ht="157.5">
      <c r="A482" s="8" t="s">
        <v>1914</v>
      </c>
      <c r="B482" s="9" t="s">
        <v>12</v>
      </c>
      <c r="C482" s="10" t="s">
        <v>151</v>
      </c>
      <c r="D482" s="10" t="str">
        <f ca="1">IFERROR(__xludf.DUMMYFUNCTION(" VLOOKUP(A479, IMPORTRANGE(""https://docs.google.com/spreadsheets/d/1fj_Bhi2XPL3siwIh4sx4VRLAe31yD50oKdj5UlRYW0c/"", ""Сводка!A:AA""), 11, FALSE)"),"978-601-327-365-5")</f>
        <v>978-601-327-365-5</v>
      </c>
      <c r="E482" s="11" t="s">
        <v>1915</v>
      </c>
      <c r="F482" s="11" t="s">
        <v>1916</v>
      </c>
      <c r="G482" s="12">
        <f ca="1">IFERROR(__xludf.DUMMYFUNCTION(" VLOOKUP(A479, IMPORTRANGE(""https://docs.google.com/spreadsheets/d/1fj_Bhi2XPL3siwIh4sx4VRLAe31yD50oKdj5UlRYW0c/"", ""Сводка!A:AA""), 5, FALSE)"),204)</f>
        <v>204</v>
      </c>
      <c r="H482" s="12" t="s">
        <v>165</v>
      </c>
      <c r="I482" s="10">
        <f ca="1">IFERROR(__xludf.DUMMYFUNCTION(" VLOOKUP(A479, IMPORTRANGE(""https://docs.google.com/spreadsheets/d/1QNLbnkR_AongFt22vMfNzfpjZ0CjpI8QI-w0wBnYA1w/"", ""Инфа!A:AA""), 6, FALSE)"),2024)</f>
        <v>2024</v>
      </c>
      <c r="J482" s="5">
        <f ca="1">ROUND((5000+G482*60),-2)</f>
        <v>17200</v>
      </c>
      <c r="K482" s="12" t="s">
        <v>440</v>
      </c>
      <c r="L482" s="15" t="s">
        <v>1917</v>
      </c>
    </row>
    <row r="483" spans="1:12" ht="67.5">
      <c r="A483" s="8" t="s">
        <v>1918</v>
      </c>
      <c r="B483" s="9" t="s">
        <v>12</v>
      </c>
      <c r="C483" s="10" t="s">
        <v>151</v>
      </c>
      <c r="D483" s="10" t="str">
        <f ca="1">IFERROR(__xludf.DUMMYFUNCTION(" VLOOKUP(A480, IMPORTRANGE(""https://docs.google.com/spreadsheets/d/1fj_Bhi2XPL3siwIh4sx4VRLAe31yD50oKdj5UlRYW0c/"", ""Сводка!A:AA""), 11, FALSE)"),"978-601-337-237-2")</f>
        <v>978-601-337-237-2</v>
      </c>
      <c r="E483" s="11" t="s">
        <v>1919</v>
      </c>
      <c r="F483" s="11" t="s">
        <v>1920</v>
      </c>
      <c r="G483" s="12">
        <f ca="1">IFERROR(__xludf.DUMMYFUNCTION(" VLOOKUP(A480, IMPORTRANGE(""https://docs.google.com/spreadsheets/d/1fj_Bhi2XPL3siwIh4sx4VRLAe31yD50oKdj5UlRYW0c/"", ""Сводка!A:AA""), 5, FALSE)"),180)</f>
        <v>180</v>
      </c>
      <c r="H483" s="12" t="s">
        <v>1921</v>
      </c>
      <c r="I483" s="10">
        <f ca="1">IFERROR(__xludf.DUMMYFUNCTION(" VLOOKUP(A480, IMPORTRANGE(""https://docs.google.com/spreadsheets/d/1QNLbnkR_AongFt22vMfNzfpjZ0CjpI8QI-w0wBnYA1w/"", ""Инфа!A:AA""), 6, FALSE)"),2024)</f>
        <v>2024</v>
      </c>
      <c r="J483" s="5">
        <f ca="1">ROUND((5000+G483*60),-2)</f>
        <v>15800</v>
      </c>
      <c r="K483" s="12" t="s">
        <v>488</v>
      </c>
      <c r="L483" s="15" t="s">
        <v>1923</v>
      </c>
    </row>
    <row r="484" spans="1:12" ht="67.5">
      <c r="A484" s="8" t="s">
        <v>1924</v>
      </c>
      <c r="B484" s="9" t="s">
        <v>12</v>
      </c>
      <c r="C484" s="10" t="s">
        <v>443</v>
      </c>
      <c r="D484" s="10" t="str">
        <f ca="1">IFERROR(__xludf.DUMMYFUNCTION(" VLOOKUP(A481, IMPORTRANGE(""https://docs.google.com/spreadsheets/d/1fj_Bhi2XPL3siwIh4sx4VRLAe31yD50oKdj5UlRYW0c/"", ""Сводка!A:AA""), 11, FALSE)"),"978-601-337-237-2")</f>
        <v>978-601-337-237-2</v>
      </c>
      <c r="E484" s="11" t="s">
        <v>1919</v>
      </c>
      <c r="F484" s="11" t="s">
        <v>1925</v>
      </c>
      <c r="G484" s="12">
        <f ca="1">IFERROR(__xludf.DUMMYFUNCTION(" VLOOKUP(A481, IMPORTRANGE(""https://docs.google.com/spreadsheets/d/1fj_Bhi2XPL3siwIh4sx4VRLAe31yD50oKdj5UlRYW0c/"", ""Сводка!A:AA""), 5, FALSE)"),176)</f>
        <v>176</v>
      </c>
      <c r="H484" s="12" t="s">
        <v>1926</v>
      </c>
      <c r="I484" s="10">
        <f ca="1">IFERROR(__xludf.DUMMYFUNCTION(" VLOOKUP(A481, IMPORTRANGE(""https://docs.google.com/spreadsheets/d/1QNLbnkR_AongFt22vMfNzfpjZ0CjpI8QI-w0wBnYA1w/"", ""Инфа!A:AA""), 6, FALSE)"),2024)</f>
        <v>2024</v>
      </c>
      <c r="J484" s="5">
        <f ca="1">ROUND((5000+G484*60),-2)</f>
        <v>15600</v>
      </c>
      <c r="K484" s="12" t="s">
        <v>1922</v>
      </c>
      <c r="L484" s="15" t="s">
        <v>1927</v>
      </c>
    </row>
    <row r="485" spans="1:12" ht="25.5">
      <c r="A485" s="8" t="s">
        <v>1928</v>
      </c>
      <c r="B485" s="9" t="s">
        <v>12</v>
      </c>
      <c r="C485" s="10" t="s">
        <v>151</v>
      </c>
      <c r="D485" s="10" t="str">
        <f ca="1">IFERROR(__xludf.DUMMYFUNCTION(" VLOOKUP(A482, IMPORTRANGE(""https://docs.google.com/spreadsheets/d/1fj_Bhi2XPL3siwIh4sx4VRLAe31yD50oKdj5UlRYW0c/"", ""Сводка!A:AA""), 11, FALSE)"),"978-601-310-646-5")</f>
        <v>978-601-310-646-5</v>
      </c>
      <c r="E485" s="19" t="s">
        <v>1929</v>
      </c>
      <c r="F485" s="19" t="s">
        <v>1930</v>
      </c>
      <c r="G485" s="12">
        <f ca="1">IFERROR(__xludf.DUMMYFUNCTION(" VLOOKUP(A482, IMPORTRANGE(""https://docs.google.com/spreadsheets/d/1fj_Bhi2XPL3siwIh4sx4VRLAe31yD50oKdj5UlRYW0c/"", ""Сводка!A:AA""), 5, FALSE)"),84)</f>
        <v>84</v>
      </c>
      <c r="H485" s="9" t="s">
        <v>47</v>
      </c>
      <c r="I485" s="10">
        <f ca="1">IFERROR(__xludf.DUMMYFUNCTION(" VLOOKUP(A482, IMPORTRANGE(""https://docs.google.com/spreadsheets/d/1QNLbnkR_AongFt22vMfNzfpjZ0CjpI8QI-w0wBnYA1w/"", ""Инфа!A:AA""), 6, FALSE)"),2024)</f>
        <v>2024</v>
      </c>
      <c r="J485" s="5">
        <f ca="1">ROUND(((5000+G485*60)*1.3),-2)</f>
        <v>13100</v>
      </c>
      <c r="K485" s="12" t="s">
        <v>213</v>
      </c>
      <c r="L485" s="15"/>
    </row>
    <row r="486" spans="1:12" ht="63.75">
      <c r="A486" s="8" t="s">
        <v>1931</v>
      </c>
      <c r="B486" s="9" t="s">
        <v>12</v>
      </c>
      <c r="C486" s="10" t="s">
        <v>151</v>
      </c>
      <c r="D486" s="10" t="str">
        <f ca="1">IFERROR(__xludf.DUMMYFUNCTION(" VLOOKUP(A483, IMPORTRANGE(""https://docs.google.com/spreadsheets/d/1fj_Bhi2XPL3siwIh4sx4VRLAe31yD50oKdj5UlRYW0c/"", ""Сводка!A:AA""), 11, FALSE)"),"978-601-310-623-6")</f>
        <v>978-601-310-623-6</v>
      </c>
      <c r="E486" s="19" t="s">
        <v>1929</v>
      </c>
      <c r="F486" s="19" t="s">
        <v>1932</v>
      </c>
      <c r="G486" s="12">
        <f ca="1">IFERROR(__xludf.DUMMYFUNCTION(" VLOOKUP(A483, IMPORTRANGE(""https://docs.google.com/spreadsheets/d/1fj_Bhi2XPL3siwIh4sx4VRLAe31yD50oKdj5UlRYW0c/"", ""Сводка!A:AA""), 5, FALSE)"),220)</f>
        <v>220</v>
      </c>
      <c r="H486" s="9" t="s">
        <v>47</v>
      </c>
      <c r="I486" s="10">
        <f ca="1">IFERROR(__xludf.DUMMYFUNCTION(" VLOOKUP(A483, IMPORTRANGE(""https://docs.google.com/spreadsheets/d/1QNLbnkR_AongFt22vMfNzfpjZ0CjpI8QI-w0wBnYA1w/"", ""Инфа!A:AA""), 6, FALSE)"),2024)</f>
        <v>2024</v>
      </c>
      <c r="J486" s="5">
        <f ca="1">ROUND(((5000+G486*60)*1.3),-2)</f>
        <v>23700</v>
      </c>
      <c r="K486" s="12" t="s">
        <v>213</v>
      </c>
      <c r="L486" s="15"/>
    </row>
    <row r="487" spans="1:12" ht="101.25">
      <c r="A487" s="8" t="s">
        <v>1933</v>
      </c>
      <c r="B487" s="9" t="s">
        <v>12</v>
      </c>
      <c r="C487" s="10" t="s">
        <v>151</v>
      </c>
      <c r="D487" s="10" t="str">
        <f ca="1">IFERROR(__xludf.DUMMYFUNCTION(" VLOOKUP(A484, IMPORTRANGE(""https://docs.google.com/spreadsheets/d/1fj_Bhi2XPL3siwIh4sx4VRLAe31yD50oKdj5UlRYW0c/"", ""Сводка!A:AA""), 11, FALSE)"),"978-601-310-553-6")</f>
        <v>978-601-310-553-6</v>
      </c>
      <c r="E487" s="11" t="s">
        <v>1934</v>
      </c>
      <c r="F487" s="11" t="s">
        <v>1935</v>
      </c>
      <c r="G487" s="12">
        <f ca="1">IFERROR(__xludf.DUMMYFUNCTION(" VLOOKUP(A484, IMPORTRANGE(""https://docs.google.com/spreadsheets/d/1fj_Bhi2XPL3siwIh4sx4VRLAe31yD50oKdj5UlRYW0c/"", ""Сводка!A:AA""), 5, FALSE)"),176)</f>
        <v>176</v>
      </c>
      <c r="H487" s="12" t="s">
        <v>106</v>
      </c>
      <c r="I487" s="10">
        <f ca="1">IFERROR(__xludf.DUMMYFUNCTION(" VLOOKUP(A484, IMPORTRANGE(""https://docs.google.com/spreadsheets/d/1QNLbnkR_AongFt22vMfNzfpjZ0CjpI8QI-w0wBnYA1w/"", ""Инфа!A:AA""), 6, FALSE)"),2024)</f>
        <v>2024</v>
      </c>
      <c r="J487" s="5">
        <f ca="1">ROUND((5000+G487*30),-2)</f>
        <v>10300</v>
      </c>
      <c r="K487" s="12" t="s">
        <v>440</v>
      </c>
      <c r="L487" s="15" t="s">
        <v>1936</v>
      </c>
    </row>
    <row r="488" spans="1:12" ht="146.25">
      <c r="A488" s="8" t="s">
        <v>1937</v>
      </c>
      <c r="B488" s="9" t="s">
        <v>12</v>
      </c>
      <c r="C488" s="10" t="s">
        <v>443</v>
      </c>
      <c r="D488" s="10" t="str">
        <f ca="1">IFERROR(__xludf.DUMMYFUNCTION(" VLOOKUP(A485, IMPORTRANGE(""https://docs.google.com/spreadsheets/d/1fj_Bhi2XPL3siwIh4sx4VRLAe31yD50oKdj5UlRYW0c/"", ""Сводка!A:AA""), 11, FALSE)"),"978-601-327-544-4")</f>
        <v>978-601-327-544-4</v>
      </c>
      <c r="E488" s="11" t="s">
        <v>1938</v>
      </c>
      <c r="F488" s="11" t="s">
        <v>1939</v>
      </c>
      <c r="G488" s="12">
        <f ca="1">IFERROR(__xludf.DUMMYFUNCTION(" VLOOKUP(A485, IMPORTRANGE(""https://docs.google.com/spreadsheets/d/1fj_Bhi2XPL3siwIh4sx4VRLAe31yD50oKdj5UlRYW0c/"", ""Сводка!A:AA""), 5, FALSE)"),124)</f>
        <v>124</v>
      </c>
      <c r="H488" s="12" t="s">
        <v>538</v>
      </c>
      <c r="I488" s="10">
        <f ca="1">IFERROR(__xludf.DUMMYFUNCTION(" VLOOKUP(A485, IMPORTRANGE(""https://docs.google.com/spreadsheets/d/1QNLbnkR_AongFt22vMfNzfpjZ0CjpI8QI-w0wBnYA1w/"", ""Инфа!A:AA""), 6, FALSE)"),2024)</f>
        <v>2024</v>
      </c>
      <c r="J488" s="5">
        <f t="shared" ref="J488:J493" ca="1" si="13">ROUND((5000+G488*60),-2)</f>
        <v>12400</v>
      </c>
      <c r="K488" s="12" t="s">
        <v>447</v>
      </c>
      <c r="L488" s="15" t="s">
        <v>1940</v>
      </c>
    </row>
    <row r="489" spans="1:12" ht="90">
      <c r="A489" s="8" t="s">
        <v>1941</v>
      </c>
      <c r="B489" s="9" t="s">
        <v>12</v>
      </c>
      <c r="C489" s="10" t="s">
        <v>443</v>
      </c>
      <c r="D489" s="10" t="str">
        <f ca="1">IFERROR(__xludf.DUMMYFUNCTION(" VLOOKUP(A486, IMPORTRANGE(""https://docs.google.com/spreadsheets/d/1fj_Bhi2XPL3siwIh4sx4VRLAe31yD50oKdj5UlRYW0c/"", ""Сводка!A:AA""), 11, FALSE)"),"978-601-327-693-9")</f>
        <v>978-601-327-693-9</v>
      </c>
      <c r="E489" s="11" t="s">
        <v>1938</v>
      </c>
      <c r="F489" s="11" t="s">
        <v>1942</v>
      </c>
      <c r="G489" s="12">
        <f ca="1">IFERROR(__xludf.DUMMYFUNCTION(" VLOOKUP(A486, IMPORTRANGE(""https://docs.google.com/spreadsheets/d/1fj_Bhi2XPL3siwIh4sx4VRLAe31yD50oKdj5UlRYW0c/"", ""Сводка!A:AA""), 5, FALSE)"),96)</f>
        <v>96</v>
      </c>
      <c r="H489" s="12" t="s">
        <v>538</v>
      </c>
      <c r="I489" s="10">
        <f ca="1">IFERROR(__xludf.DUMMYFUNCTION(" VLOOKUP(A486, IMPORTRANGE(""https://docs.google.com/spreadsheets/d/1QNLbnkR_AongFt22vMfNzfpjZ0CjpI8QI-w0wBnYA1w/"", ""Инфа!A:AA""), 6, FALSE)"),2024)</f>
        <v>2024</v>
      </c>
      <c r="J489" s="5">
        <f t="shared" ca="1" si="13"/>
        <v>10800</v>
      </c>
      <c r="K489" s="12" t="s">
        <v>447</v>
      </c>
      <c r="L489" s="15" t="s">
        <v>1943</v>
      </c>
    </row>
    <row r="490" spans="1:12" ht="51">
      <c r="A490" s="8" t="s">
        <v>1944</v>
      </c>
      <c r="B490" s="9" t="s">
        <v>12</v>
      </c>
      <c r="C490" s="10" t="s">
        <v>443</v>
      </c>
      <c r="D490" s="10" t="str">
        <f ca="1">IFERROR(__xludf.DUMMYFUNCTION(" VLOOKUP(A487, IMPORTRANGE(""https://docs.google.com/spreadsheets/d/1fj_Bhi2XPL3siwIh4sx4VRLAe31yD50oKdj5UlRYW0c/"", ""Сводка!A:AA""), 11, FALSE)"),"978-601-310-397-6")</f>
        <v>978-601-310-397-6</v>
      </c>
      <c r="E490" s="11" t="s">
        <v>1945</v>
      </c>
      <c r="F490" s="11" t="s">
        <v>1946</v>
      </c>
      <c r="G490" s="12">
        <f ca="1">IFERROR(__xludf.DUMMYFUNCTION(" VLOOKUP(A487, IMPORTRANGE(""https://docs.google.com/spreadsheets/d/1fj_Bhi2XPL3siwIh4sx4VRLAe31yD50oKdj5UlRYW0c/"", ""Сводка!A:AA""), 5, FALSE)"),144)</f>
        <v>144</v>
      </c>
      <c r="H490" s="12" t="s">
        <v>686</v>
      </c>
      <c r="I490" s="10">
        <f ca="1">IFERROR(__xludf.DUMMYFUNCTION(" VLOOKUP(A487, IMPORTRANGE(""https://docs.google.com/spreadsheets/d/1QNLbnkR_AongFt22vMfNzfpjZ0CjpI8QI-w0wBnYA1w/"", ""Инфа!A:AA""), 6, FALSE)"),2024)</f>
        <v>2024</v>
      </c>
      <c r="J490" s="5">
        <f t="shared" ca="1" si="13"/>
        <v>13600</v>
      </c>
      <c r="K490" s="12" t="s">
        <v>1947</v>
      </c>
      <c r="L490" s="15"/>
    </row>
    <row r="491" spans="1:12" ht="90">
      <c r="A491" s="8" t="s">
        <v>1948</v>
      </c>
      <c r="B491" s="9" t="s">
        <v>12</v>
      </c>
      <c r="C491" s="10" t="s">
        <v>151</v>
      </c>
      <c r="D491" s="10" t="str">
        <f ca="1">IFERROR(__xludf.DUMMYFUNCTION(" VLOOKUP(A488, IMPORTRANGE(""https://docs.google.com/spreadsheets/d/1fj_Bhi2XPL3siwIh4sx4VRLAe31yD50oKdj5UlRYW0c/"", ""Сводка!A:AA""), 11, FALSE)"),"978-601-310-396-9")</f>
        <v>978-601-310-396-9</v>
      </c>
      <c r="E491" s="11" t="s">
        <v>1945</v>
      </c>
      <c r="F491" s="11" t="s">
        <v>1949</v>
      </c>
      <c r="G491" s="12">
        <f ca="1">IFERROR(__xludf.DUMMYFUNCTION(" VLOOKUP(A488, IMPORTRANGE(""https://docs.google.com/spreadsheets/d/1fj_Bhi2XPL3siwIh4sx4VRLAe31yD50oKdj5UlRYW0c/"", ""Сводка!A:AA""), 5, FALSE)"),180)</f>
        <v>180</v>
      </c>
      <c r="H491" s="12" t="s">
        <v>1950</v>
      </c>
      <c r="I491" s="10">
        <f ca="1">IFERROR(__xludf.DUMMYFUNCTION(" VLOOKUP(A488, IMPORTRANGE(""https://docs.google.com/spreadsheets/d/1QNLbnkR_AongFt22vMfNzfpjZ0CjpI8QI-w0wBnYA1w/"", ""Инфа!A:AA""), 6, FALSE)"),2024)</f>
        <v>2024</v>
      </c>
      <c r="J491" s="5">
        <f t="shared" ca="1" si="13"/>
        <v>15800</v>
      </c>
      <c r="K491" s="12" t="s">
        <v>1947</v>
      </c>
      <c r="L491" s="15" t="s">
        <v>1951</v>
      </c>
    </row>
    <row r="492" spans="1:12" ht="51">
      <c r="A492" s="8" t="s">
        <v>1952</v>
      </c>
      <c r="B492" s="9" t="s">
        <v>12</v>
      </c>
      <c r="C492" s="10" t="s">
        <v>151</v>
      </c>
      <c r="D492" s="10" t="str">
        <f ca="1">IFERROR(__xludf.DUMMYFUNCTION(" VLOOKUP(A489, IMPORTRANGE(""https://docs.google.com/spreadsheets/d/1fj_Bhi2XPL3siwIh4sx4VRLAe31yD50oKdj5UlRYW0c/"", ""Сводка!A:AA""), 11, FALSE)"),"978-601-310-396-9")</f>
        <v>978-601-310-396-9</v>
      </c>
      <c r="E492" s="11" t="s">
        <v>1945</v>
      </c>
      <c r="F492" s="11" t="s">
        <v>1947</v>
      </c>
      <c r="G492" s="12">
        <f ca="1">IFERROR(__xludf.DUMMYFUNCTION(" VLOOKUP(A489, IMPORTRANGE(""https://docs.google.com/spreadsheets/d/1fj_Bhi2XPL3siwIh4sx4VRLAe31yD50oKdj5UlRYW0c/"", ""Сводка!A:AA""), 5, FALSE)"),236)</f>
        <v>236</v>
      </c>
      <c r="H492" s="12" t="s">
        <v>1950</v>
      </c>
      <c r="I492" s="10">
        <f ca="1">IFERROR(__xludf.DUMMYFUNCTION(" VLOOKUP(A489, IMPORTRANGE(""https://docs.google.com/spreadsheets/d/1QNLbnkR_AongFt22vMfNzfpjZ0CjpI8QI-w0wBnYA1w/"", ""Инфа!A:AA""), 6, FALSE)"),2024)</f>
        <v>2024</v>
      </c>
      <c r="J492" s="5">
        <f t="shared" ca="1" si="13"/>
        <v>19200</v>
      </c>
      <c r="K492" s="12" t="s">
        <v>1947</v>
      </c>
      <c r="L492" s="15"/>
    </row>
    <row r="493" spans="1:12" ht="225">
      <c r="A493" s="8" t="s">
        <v>1953</v>
      </c>
      <c r="B493" s="9" t="s">
        <v>12</v>
      </c>
      <c r="C493" s="10" t="s">
        <v>151</v>
      </c>
      <c r="D493" s="10" t="str">
        <f ca="1">IFERROR(__xludf.DUMMYFUNCTION(" VLOOKUP(A490, IMPORTRANGE(""https://docs.google.com/spreadsheets/d/1fj_Bhi2XPL3siwIh4sx4VRLAe31yD50oKdj5UlRYW0c/"", ""Сводка!A:AA""), 11, FALSE)"),"978-601-327-200-9")</f>
        <v>978-601-327-200-9</v>
      </c>
      <c r="E493" s="11" t="s">
        <v>1954</v>
      </c>
      <c r="F493" s="11" t="s">
        <v>1955</v>
      </c>
      <c r="G493" s="12">
        <f ca="1">IFERROR(__xludf.DUMMYFUNCTION(" VLOOKUP(A490, IMPORTRANGE(""https://docs.google.com/spreadsheets/d/1fj_Bhi2XPL3siwIh4sx4VRLAe31yD50oKdj5UlRYW0c/"", ""Сводка!A:AA""), 5, FALSE)"),200)</f>
        <v>200</v>
      </c>
      <c r="H493" s="12" t="s">
        <v>47</v>
      </c>
      <c r="I493" s="10">
        <f ca="1">IFERROR(__xludf.DUMMYFUNCTION(" VLOOKUP(A490, IMPORTRANGE(""https://docs.google.com/spreadsheets/d/1QNLbnkR_AongFt22vMfNzfpjZ0CjpI8QI-w0wBnYA1w/"", ""Инфа!A:AA""), 6, FALSE)"),2024)</f>
        <v>2024</v>
      </c>
      <c r="J493" s="5">
        <f t="shared" ca="1" si="13"/>
        <v>17000</v>
      </c>
      <c r="K493" s="12" t="s">
        <v>160</v>
      </c>
      <c r="L493" s="15" t="s">
        <v>1956</v>
      </c>
    </row>
    <row r="494" spans="1:12" ht="38.25">
      <c r="A494" s="8" t="s">
        <v>1957</v>
      </c>
      <c r="B494" s="9" t="s">
        <v>12</v>
      </c>
      <c r="C494" s="10" t="s">
        <v>443</v>
      </c>
      <c r="D494" s="10" t="str">
        <f ca="1">IFERROR(__xludf.DUMMYFUNCTION(" VLOOKUP(A491, IMPORTRANGE(""https://docs.google.com/spreadsheets/d/1fj_Bhi2XPL3siwIh4sx4VRLAe31yD50oKdj5UlRYW0c/"", ""Сводка!A:AA""), 11, FALSE)"),"978-601-310-042-5")</f>
        <v>978-601-310-042-5</v>
      </c>
      <c r="E494" s="11" t="s">
        <v>1958</v>
      </c>
      <c r="F494" s="11" t="s">
        <v>1959</v>
      </c>
      <c r="G494" s="12">
        <f ca="1">IFERROR(__xludf.DUMMYFUNCTION(" VLOOKUP(A491, IMPORTRANGE(""https://docs.google.com/spreadsheets/d/1fj_Bhi2XPL3siwIh4sx4VRLAe31yD50oKdj5UlRYW0c/"", ""Сводка!A:AA""), 5, FALSE)"),120)</f>
        <v>120</v>
      </c>
      <c r="H494" s="12" t="s">
        <v>777</v>
      </c>
      <c r="I494" s="10">
        <f ca="1">IFERROR(__xludf.DUMMYFUNCTION(" VLOOKUP(A491, IMPORTRANGE(""https://docs.google.com/spreadsheets/d/1QNLbnkR_AongFt22vMfNzfpjZ0CjpI8QI-w0wBnYA1w/"", ""Инфа!A:AA""), 6, FALSE)"),2024)</f>
        <v>2024</v>
      </c>
      <c r="J494" s="5">
        <f ca="1">ROUND((5000+G494*30),-2)</f>
        <v>8600</v>
      </c>
      <c r="K494" s="9" t="s">
        <v>619</v>
      </c>
      <c r="L494" s="15"/>
    </row>
    <row r="495" spans="1:12" ht="38.25">
      <c r="A495" s="8" t="s">
        <v>1960</v>
      </c>
      <c r="B495" s="9" t="s">
        <v>12</v>
      </c>
      <c r="C495" s="10" t="s">
        <v>443</v>
      </c>
      <c r="D495" s="10" t="str">
        <f ca="1">IFERROR(__xludf.DUMMYFUNCTION(" VLOOKUP(A492, IMPORTRANGE(""https://docs.google.com/spreadsheets/d/1fj_Bhi2XPL3siwIh4sx4VRLAe31yD50oKdj5UlRYW0c/"", ""Сводка!A:AA""), 11, FALSE)"),"9965 – 668 – 29 – 9")</f>
        <v>9965 – 668 – 29 – 9</v>
      </c>
      <c r="E495" s="11" t="s">
        <v>1958</v>
      </c>
      <c r="F495" s="11" t="s">
        <v>1961</v>
      </c>
      <c r="G495" s="12">
        <f ca="1">IFERROR(__xludf.DUMMYFUNCTION(" VLOOKUP(A492, IMPORTRANGE(""https://docs.google.com/spreadsheets/d/1fj_Bhi2XPL3siwIh4sx4VRLAe31yD50oKdj5UlRYW0c/"", ""Сводка!A:AA""), 5, FALSE)"),124)</f>
        <v>124</v>
      </c>
      <c r="H495" s="12" t="s">
        <v>511</v>
      </c>
      <c r="I495" s="10">
        <f ca="1">IFERROR(__xludf.DUMMYFUNCTION(" VLOOKUP(A492, IMPORTRANGE(""https://docs.google.com/spreadsheets/d/1QNLbnkR_AongFt22vMfNzfpjZ0CjpI8QI-w0wBnYA1w/"", ""Инфа!A:AA""), 6, FALSE)"),2024)</f>
        <v>2024</v>
      </c>
      <c r="J495" s="5">
        <f ca="1">ROUND((5000+G495*30),-2)</f>
        <v>8700</v>
      </c>
      <c r="K495" s="9" t="s">
        <v>619</v>
      </c>
      <c r="L495" s="15"/>
    </row>
    <row r="496" spans="1:12" ht="213.75">
      <c r="A496" s="8" t="s">
        <v>1962</v>
      </c>
      <c r="B496" s="9" t="s">
        <v>12</v>
      </c>
      <c r="C496" s="10" t="s">
        <v>151</v>
      </c>
      <c r="D496" s="10" t="str">
        <f ca="1">IFERROR(__xludf.DUMMYFUNCTION(" VLOOKUP(A493, IMPORTRANGE(""https://docs.google.com/spreadsheets/d/1fj_Bhi2XPL3siwIh4sx4VRLAe31yD50oKdj5UlRYW0c/"", ""Сводка!A:AA""), 11, FALSE)"),"978-601-310-341-9")</f>
        <v>978-601-310-341-9</v>
      </c>
      <c r="E496" s="11" t="s">
        <v>1963</v>
      </c>
      <c r="F496" s="11" t="s">
        <v>1964</v>
      </c>
      <c r="G496" s="12">
        <f ca="1">IFERROR(__xludf.DUMMYFUNCTION(" VLOOKUP(A493, IMPORTRANGE(""https://docs.google.com/spreadsheets/d/1fj_Bhi2XPL3siwIh4sx4VRLAe31yD50oKdj5UlRYW0c/"", ""Сводка!A:AA""), 5, FALSE)"),244)</f>
        <v>244</v>
      </c>
      <c r="H496" s="12" t="s">
        <v>47</v>
      </c>
      <c r="I496" s="10">
        <f ca="1">IFERROR(__xludf.DUMMYFUNCTION(" VLOOKUP(A493, IMPORTRANGE(""https://docs.google.com/spreadsheets/d/1QNLbnkR_AongFt22vMfNzfpjZ0CjpI8QI-w0wBnYA1w/"", ""Инфа!A:AA""), 6, FALSE)"),2024)</f>
        <v>2024</v>
      </c>
      <c r="J496" s="5">
        <f ca="1">ROUND((5000+G496*30),-2)</f>
        <v>12300</v>
      </c>
      <c r="K496" s="9" t="s">
        <v>625</v>
      </c>
      <c r="L496" s="15" t="s">
        <v>1965</v>
      </c>
    </row>
    <row r="497" spans="1:12" ht="326.25">
      <c r="A497" s="8" t="s">
        <v>1966</v>
      </c>
      <c r="B497" s="9" t="s">
        <v>12</v>
      </c>
      <c r="C497" s="10" t="s">
        <v>151</v>
      </c>
      <c r="D497" s="10" t="str">
        <f ca="1">IFERROR(__xludf.DUMMYFUNCTION(" VLOOKUP(A494, IMPORTRANGE(""https://docs.google.com/spreadsheets/d/1fj_Bhi2XPL3siwIh4sx4VRLAe31yD50oKdj5UlRYW0c/"", ""Сводка!A:AA""), 11, FALSE)"),"978-601-310-796-7")</f>
        <v>978-601-310-796-7</v>
      </c>
      <c r="E497" s="11" t="s">
        <v>1967</v>
      </c>
      <c r="F497" s="11" t="s">
        <v>1968</v>
      </c>
      <c r="G497" s="12">
        <f ca="1">IFERROR(__xludf.DUMMYFUNCTION(" VLOOKUP(A494, IMPORTRANGE(""https://docs.google.com/spreadsheets/d/1fj_Bhi2XPL3siwIh4sx4VRLAe31yD50oKdj5UlRYW0c/"", ""Сводка!A:AA""), 5, FALSE)"),280)</f>
        <v>280</v>
      </c>
      <c r="H497" s="12" t="s">
        <v>1969</v>
      </c>
      <c r="I497" s="10">
        <f ca="1">IFERROR(__xludf.DUMMYFUNCTION(" VLOOKUP(A494, IMPORTRANGE(""https://docs.google.com/spreadsheets/d/1QNLbnkR_AongFt22vMfNzfpjZ0CjpI8QI-w0wBnYA1w/"", ""Инфа!A:AA""), 6, FALSE)"),2024)</f>
        <v>2024</v>
      </c>
      <c r="J497" s="5">
        <f ca="1">ROUND((5000+G497*30),-2)</f>
        <v>13400</v>
      </c>
      <c r="K497" s="12" t="s">
        <v>160</v>
      </c>
      <c r="L497" s="15" t="s">
        <v>1970</v>
      </c>
    </row>
    <row r="498" spans="1:12" ht="25.5">
      <c r="A498" s="8" t="s">
        <v>1971</v>
      </c>
      <c r="B498" s="9" t="s">
        <v>12</v>
      </c>
      <c r="C498" s="10" t="s">
        <v>443</v>
      </c>
      <c r="D498" s="10" t="str">
        <f ca="1">IFERROR(__xludf.DUMMYFUNCTION(" VLOOKUP(A495, IMPORTRANGE(""https://docs.google.com/spreadsheets/d/1fj_Bhi2XPL3siwIh4sx4VRLAe31yD50oKdj5UlRYW0c/"", ""Сводка!A:AA""), 11, FALSE)"),"9965-573-27-1")</f>
        <v>9965-573-27-1</v>
      </c>
      <c r="E498" s="11" t="s">
        <v>1972</v>
      </c>
      <c r="F498" s="11" t="s">
        <v>1973</v>
      </c>
      <c r="G498" s="12">
        <f ca="1">IFERROR(__xludf.DUMMYFUNCTION(" VLOOKUP(A495, IMPORTRANGE(""https://docs.google.com/spreadsheets/d/1fj_Bhi2XPL3siwIh4sx4VRLAe31yD50oKdj5UlRYW0c/"", ""Сводка!A:AA""), 5, FALSE)"),104)</f>
        <v>104</v>
      </c>
      <c r="H498" s="12" t="s">
        <v>538</v>
      </c>
      <c r="I498" s="10">
        <f ca="1">IFERROR(__xludf.DUMMYFUNCTION(" VLOOKUP(A495, IMPORTRANGE(""https://docs.google.com/spreadsheets/d/1QNLbnkR_AongFt22vMfNzfpjZ0CjpI8QI-w0wBnYA1w/"", ""Инфа!A:AA""), 6, FALSE)"),2024)</f>
        <v>2024</v>
      </c>
      <c r="J498" s="5">
        <f ca="1">ROUND((5000+G498*60),-2)</f>
        <v>11200</v>
      </c>
      <c r="K498" s="12" t="s">
        <v>277</v>
      </c>
      <c r="L498" s="15"/>
    </row>
    <row r="499" spans="1:12" ht="38.25">
      <c r="A499" s="8" t="s">
        <v>1974</v>
      </c>
      <c r="B499" s="9" t="s">
        <v>12</v>
      </c>
      <c r="C499" s="10" t="s">
        <v>443</v>
      </c>
      <c r="D499" s="10" t="str">
        <f ca="1">IFERROR(__xludf.DUMMYFUNCTION(" VLOOKUP(A496, IMPORTRANGE(""https://docs.google.com/spreadsheets/d/1fj_Bhi2XPL3siwIh4sx4VRLAe31yD50oKdj5UlRYW0c/"", ""Сводка!A:AA""), 11, FALSE)"),"9965 – 580 – 32 - 4")</f>
        <v>9965 – 580 – 32 - 4</v>
      </c>
      <c r="E499" s="11" t="s">
        <v>1975</v>
      </c>
      <c r="F499" s="11" t="s">
        <v>1976</v>
      </c>
      <c r="G499" s="12">
        <f ca="1">IFERROR(__xludf.DUMMYFUNCTION(" VLOOKUP(A496, IMPORTRANGE(""https://docs.google.com/spreadsheets/d/1fj_Bhi2XPL3siwIh4sx4VRLAe31yD50oKdj5UlRYW0c/"", ""Сводка!A:AA""), 5, FALSE)"),144)</f>
        <v>144</v>
      </c>
      <c r="H499" s="12" t="s">
        <v>538</v>
      </c>
      <c r="I499" s="10">
        <f ca="1">IFERROR(__xludf.DUMMYFUNCTION(" VLOOKUP(A496, IMPORTRANGE(""https://docs.google.com/spreadsheets/d/1QNLbnkR_AongFt22vMfNzfpjZ0CjpI8QI-w0wBnYA1w/"", ""Инфа!A:AA""), 6, FALSE)"),2024)</f>
        <v>2024</v>
      </c>
      <c r="J499" s="5">
        <f ca="1">ROUND((5000+G499*60),-2)</f>
        <v>13600</v>
      </c>
      <c r="K499" s="12" t="s">
        <v>308</v>
      </c>
      <c r="L499" s="15"/>
    </row>
    <row r="500" spans="1:12" ht="78.75">
      <c r="A500" s="8" t="s">
        <v>1977</v>
      </c>
      <c r="B500" s="9" t="s">
        <v>12</v>
      </c>
      <c r="C500" s="10" t="s">
        <v>443</v>
      </c>
      <c r="D500" s="10" t="str">
        <f ca="1">IFERROR(__xludf.DUMMYFUNCTION(" VLOOKUP(A497, IMPORTRANGE(""https://docs.google.com/spreadsheets/d/1fj_Bhi2XPL3siwIh4sx4VRLAe31yD50oKdj5UlRYW0c/"", ""Сводка!A:AA""), 11, FALSE)"),"978-601-240-241-4")</f>
        <v>978-601-240-241-4</v>
      </c>
      <c r="E500" s="11" t="s">
        <v>1975</v>
      </c>
      <c r="F500" s="11" t="s">
        <v>1978</v>
      </c>
      <c r="G500" s="12">
        <f ca="1">IFERROR(__xludf.DUMMYFUNCTION(" VLOOKUP(A497, IMPORTRANGE(""https://docs.google.com/spreadsheets/d/1fj_Bhi2XPL3siwIh4sx4VRLAe31yD50oKdj5UlRYW0c/"", ""Сводка!A:AA""), 5, FALSE)"),128)</f>
        <v>128</v>
      </c>
      <c r="H500" s="12" t="s">
        <v>538</v>
      </c>
      <c r="I500" s="10">
        <f ca="1">IFERROR(__xludf.DUMMYFUNCTION(" VLOOKUP(A497, IMPORTRANGE(""https://docs.google.com/spreadsheets/d/1QNLbnkR_AongFt22vMfNzfpjZ0CjpI8QI-w0wBnYA1w/"", ""Инфа!A:AA""), 6, FALSE)"),2024)</f>
        <v>2024</v>
      </c>
      <c r="J500" s="5">
        <f ca="1">ROUND((5000+G500*60),-2)</f>
        <v>12700</v>
      </c>
      <c r="K500" s="12" t="s">
        <v>308</v>
      </c>
      <c r="L500" s="15" t="s">
        <v>1979</v>
      </c>
    </row>
    <row r="501" spans="1:12" ht="168.75">
      <c r="A501" s="8" t="s">
        <v>1980</v>
      </c>
      <c r="B501" s="9" t="s">
        <v>12</v>
      </c>
      <c r="C501" s="10" t="s">
        <v>151</v>
      </c>
      <c r="D501" s="10" t="str">
        <f ca="1">IFERROR(__xludf.DUMMYFUNCTION(" VLOOKUP(A498, IMPORTRANGE(""https://docs.google.com/spreadsheets/d/1fj_Bhi2XPL3siwIh4sx4VRLAe31yD50oKdj5UlRYW0c/"", ""Сводка!A:AA""), 11, FALSE)"),"978-601-240-306-0")</f>
        <v>978-601-240-306-0</v>
      </c>
      <c r="E501" s="11" t="s">
        <v>1975</v>
      </c>
      <c r="F501" s="11" t="s">
        <v>1981</v>
      </c>
      <c r="G501" s="12">
        <f ca="1">IFERROR(__xludf.DUMMYFUNCTION(" VLOOKUP(A498, IMPORTRANGE(""https://docs.google.com/spreadsheets/d/1fj_Bhi2XPL3siwIh4sx4VRLAe31yD50oKdj5UlRYW0c/"", ""Сводка!A:AA""), 5, FALSE)"),156)</f>
        <v>156</v>
      </c>
      <c r="H501" s="12" t="s">
        <v>47</v>
      </c>
      <c r="I501" s="10">
        <f ca="1">IFERROR(__xludf.DUMMYFUNCTION(" VLOOKUP(A498, IMPORTRANGE(""https://docs.google.com/spreadsheets/d/1QNLbnkR_AongFt22vMfNzfpjZ0CjpI8QI-w0wBnYA1w/"", ""Инфа!A:AA""), 6, FALSE)"),2024)</f>
        <v>2024</v>
      </c>
      <c r="J501" s="5">
        <f ca="1">ROUND((5000+G501*60),-2)</f>
        <v>14400</v>
      </c>
      <c r="K501" s="12" t="s">
        <v>308</v>
      </c>
      <c r="L501" s="15" t="s">
        <v>1982</v>
      </c>
    </row>
    <row r="502" spans="1:12" ht="258.75">
      <c r="A502" s="8" t="s">
        <v>1983</v>
      </c>
      <c r="B502" s="9" t="s">
        <v>12</v>
      </c>
      <c r="C502" s="10" t="s">
        <v>443</v>
      </c>
      <c r="D502" s="10" t="str">
        <f ca="1">IFERROR(__xludf.DUMMYFUNCTION(" VLOOKUP(A499, IMPORTRANGE(""https://docs.google.com/spreadsheets/d/1fj_Bhi2XPL3siwIh4sx4VRLAe31yD50oKdj5UlRYW0c/"", ""Сводка!A:AA""), 11, FALSE)"),"978-601-310-252-8")</f>
        <v>978-601-310-252-8</v>
      </c>
      <c r="E502" s="11" t="s">
        <v>1984</v>
      </c>
      <c r="F502" s="11" t="s">
        <v>1985</v>
      </c>
      <c r="G502" s="12">
        <f ca="1">IFERROR(__xludf.DUMMYFUNCTION(" VLOOKUP(A499, IMPORTRANGE(""https://docs.google.com/spreadsheets/d/1fj_Bhi2XPL3siwIh4sx4VRLAe31yD50oKdj5UlRYW0c/"", ""Сводка!A:AA""), 5, FALSE)"),112)</f>
        <v>112</v>
      </c>
      <c r="H502" s="12" t="s">
        <v>538</v>
      </c>
      <c r="I502" s="10">
        <f ca="1">IFERROR(__xludf.DUMMYFUNCTION(" VLOOKUP(A499, IMPORTRANGE(""https://docs.google.com/spreadsheets/d/1QNLbnkR_AongFt22vMfNzfpjZ0CjpI8QI-w0wBnYA1w/"", ""Инфа!A:AA""), 6, FALSE)"),2024)</f>
        <v>2024</v>
      </c>
      <c r="J502" s="5">
        <f ca="1">ROUND((5000+G502*60),-2)</f>
        <v>11700</v>
      </c>
      <c r="K502" s="12" t="s">
        <v>308</v>
      </c>
      <c r="L502" s="15" t="s">
        <v>1986</v>
      </c>
    </row>
    <row r="503" spans="1:12" ht="38.25">
      <c r="A503" s="8" t="s">
        <v>1987</v>
      </c>
      <c r="B503" s="9" t="s">
        <v>12</v>
      </c>
      <c r="C503" s="10" t="s">
        <v>151</v>
      </c>
      <c r="D503" s="10" t="str">
        <f ca="1">IFERROR(__xludf.DUMMYFUNCTION(" VLOOKUP(A500, IMPORTRANGE(""https://docs.google.com/spreadsheets/d/1fj_Bhi2XPL3siwIh4sx4VRLAe31yD50oKdj5UlRYW0c/"", ""Сводка!A:AA""), 11, FALSE)"),"9965-65-52-0")</f>
        <v>9965-65-52-0</v>
      </c>
      <c r="E503" s="11" t="s">
        <v>1988</v>
      </c>
      <c r="F503" s="11" t="s">
        <v>1989</v>
      </c>
      <c r="G503" s="12">
        <f ca="1">IFERROR(__xludf.DUMMYFUNCTION(" VLOOKUP(A500, IMPORTRANGE(""https://docs.google.com/spreadsheets/d/1fj_Bhi2XPL3siwIh4sx4VRLAe31yD50oKdj5UlRYW0c/"", ""Сводка!A:AA""), 5, FALSE)"),176)</f>
        <v>176</v>
      </c>
      <c r="H503" s="12" t="s">
        <v>47</v>
      </c>
      <c r="I503" s="10">
        <f ca="1">IFERROR(__xludf.DUMMYFUNCTION(" VLOOKUP(A500, IMPORTRANGE(""https://docs.google.com/spreadsheets/d/1QNLbnkR_AongFt22vMfNzfpjZ0CjpI8QI-w0wBnYA1w/"", ""Инфа!A:AA""), 6, FALSE)"),2024)</f>
        <v>2024</v>
      </c>
      <c r="J503" s="5">
        <f ca="1">ROUND((5000+G503*30),-2)</f>
        <v>10300</v>
      </c>
      <c r="K503" s="12" t="s">
        <v>308</v>
      </c>
      <c r="L503" s="15"/>
    </row>
    <row r="504" spans="1:12" ht="25.5">
      <c r="A504" s="8" t="s">
        <v>1990</v>
      </c>
      <c r="B504" s="9" t="s">
        <v>12</v>
      </c>
      <c r="C504" s="10" t="s">
        <v>443</v>
      </c>
      <c r="D504" s="10" t="str">
        <f ca="1">IFERROR(__xludf.DUMMYFUNCTION(" VLOOKUP(A501, IMPORTRANGE(""https://docs.google.com/spreadsheets/d/1fj_Bhi2XPL3siwIh4sx4VRLAe31yD50oKdj5UlRYW0c/"", ""Сводка!A:AA""), 11, FALSE)"),"978-601-310-540-6")</f>
        <v>978-601-310-540-6</v>
      </c>
      <c r="E504" s="11" t="s">
        <v>1991</v>
      </c>
      <c r="F504" s="11" t="s">
        <v>1992</v>
      </c>
      <c r="G504" s="12">
        <f ca="1">IFERROR(__xludf.DUMMYFUNCTION(" VLOOKUP(A501, IMPORTRANGE(""https://docs.google.com/spreadsheets/d/1fj_Bhi2XPL3siwIh4sx4VRLAe31yD50oKdj5UlRYW0c/"", ""Сводка!A:AA""), 5, FALSE)"),152)</f>
        <v>152</v>
      </c>
      <c r="H504" s="12" t="s">
        <v>538</v>
      </c>
      <c r="I504" s="10">
        <f ca="1">IFERROR(__xludf.DUMMYFUNCTION(" VLOOKUP(A501, IMPORTRANGE(""https://docs.google.com/spreadsheets/d/1QNLbnkR_AongFt22vMfNzfpjZ0CjpI8QI-w0wBnYA1w/"", ""Инфа!A:AA""), 6, FALSE)"),2024)</f>
        <v>2024</v>
      </c>
      <c r="J504" s="5">
        <f ca="1">ROUND((5000+G504*30),-2)</f>
        <v>9600</v>
      </c>
      <c r="K504" s="9" t="s">
        <v>575</v>
      </c>
      <c r="L504" s="15"/>
    </row>
    <row r="505" spans="1:12" ht="78.75">
      <c r="A505" s="8" t="s">
        <v>1993</v>
      </c>
      <c r="B505" s="9" t="s">
        <v>12</v>
      </c>
      <c r="C505" s="10" t="s">
        <v>443</v>
      </c>
      <c r="D505" s="10" t="str">
        <f ca="1">IFERROR(__xludf.DUMMYFUNCTION(" VLOOKUP(A502, IMPORTRANGE(""https://docs.google.com/spreadsheets/d/1fj_Bhi2XPL3siwIh4sx4VRLAe31yD50oKdj5UlRYW0c/"", ""Сводка!A:AA""), 11, FALSE)"),"978-601-310-629-8")</f>
        <v>978-601-310-629-8</v>
      </c>
      <c r="E505" s="11" t="s">
        <v>1994</v>
      </c>
      <c r="F505" s="11" t="s">
        <v>1995</v>
      </c>
      <c r="G505" s="12">
        <f ca="1">IFERROR(__xludf.DUMMYFUNCTION(" VLOOKUP(A502, IMPORTRANGE(""https://docs.google.com/spreadsheets/d/1fj_Bhi2XPL3siwIh4sx4VRLAe31yD50oKdj5UlRYW0c/"", ""Сводка!A:AA""), 5, FALSE)"),208)</f>
        <v>208</v>
      </c>
      <c r="H505" s="12" t="s">
        <v>538</v>
      </c>
      <c r="I505" s="10">
        <f ca="1">IFERROR(__xludf.DUMMYFUNCTION(" VLOOKUP(A502, IMPORTRANGE(""https://docs.google.com/spreadsheets/d/1QNLbnkR_AongFt22vMfNzfpjZ0CjpI8QI-w0wBnYA1w/"", ""Инфа!A:AA""), 6, FALSE)"),2024)</f>
        <v>2024</v>
      </c>
      <c r="J505" s="5">
        <f ca="1">ROUND((5000+G505*60),-2)</f>
        <v>17500</v>
      </c>
      <c r="K505" s="12" t="s">
        <v>440</v>
      </c>
      <c r="L505" s="15" t="s">
        <v>1996</v>
      </c>
    </row>
    <row r="506" spans="1:12" ht="38.25">
      <c r="A506" s="8" t="s">
        <v>1997</v>
      </c>
      <c r="B506" s="9" t="s">
        <v>12</v>
      </c>
      <c r="C506" s="10" t="s">
        <v>443</v>
      </c>
      <c r="D506" s="10" t="str">
        <f ca="1">IFERROR(__xludf.DUMMYFUNCTION(" VLOOKUP(A503, IMPORTRANGE(""https://docs.google.com/spreadsheets/d/1fj_Bhi2XPL3siwIh4sx4VRLAe31yD50oKdj5UlRYW0c/"", ""Сводка!A:AA""), 11, FALSE)"),"978-601-310-631-1")</f>
        <v>978-601-310-631-1</v>
      </c>
      <c r="E506" s="11" t="s">
        <v>1998</v>
      </c>
      <c r="F506" s="11" t="s">
        <v>1999</v>
      </c>
      <c r="G506" s="12">
        <f ca="1">IFERROR(__xludf.DUMMYFUNCTION(" VLOOKUP(A503, IMPORTRANGE(""https://docs.google.com/spreadsheets/d/1fj_Bhi2XPL3siwIh4sx4VRLAe31yD50oKdj5UlRYW0c/"", ""Сводка!A:AA""), 5, FALSE)"),148)</f>
        <v>148</v>
      </c>
      <c r="H506" s="12" t="s">
        <v>538</v>
      </c>
      <c r="I506" s="10">
        <f ca="1">IFERROR(__xludf.DUMMYFUNCTION(" VLOOKUP(A503, IMPORTRANGE(""https://docs.google.com/spreadsheets/d/1QNLbnkR_AongFt22vMfNzfpjZ0CjpI8QI-w0wBnYA1w/"", ""Инфа!A:AA""), 6, FALSE)"),2024)</f>
        <v>2024</v>
      </c>
      <c r="J506" s="5">
        <f ca="1">ROUND((5000+G506*30),-2)</f>
        <v>9400</v>
      </c>
      <c r="K506" s="9" t="s">
        <v>539</v>
      </c>
      <c r="L506" s="15"/>
    </row>
    <row r="507" spans="1:12" ht="112.5">
      <c r="A507" s="8" t="s">
        <v>2000</v>
      </c>
      <c r="B507" s="9" t="s">
        <v>12</v>
      </c>
      <c r="C507" s="10" t="s">
        <v>443</v>
      </c>
      <c r="D507" s="10" t="str">
        <f ca="1">IFERROR(__xludf.DUMMYFUNCTION(" VLOOKUP(A504, IMPORTRANGE(""https://docs.google.com/spreadsheets/d/1fj_Bhi2XPL3siwIh4sx4VRLAe31yD50oKdj5UlRYW0c/"", ""Сводка!A:AA""), 11, FALSE)"),"978-601-327-320-4")</f>
        <v>978-601-327-320-4</v>
      </c>
      <c r="E507" s="11" t="s">
        <v>2001</v>
      </c>
      <c r="F507" s="11" t="s">
        <v>2002</v>
      </c>
      <c r="G507" s="12">
        <f ca="1">IFERROR(__xludf.DUMMYFUNCTION(" VLOOKUP(A504, IMPORTRANGE(""https://docs.google.com/spreadsheets/d/1fj_Bhi2XPL3siwIh4sx4VRLAe31yD50oKdj5UlRYW0c/"", ""Сводка!A:AA""), 5, FALSE)"),144)</f>
        <v>144</v>
      </c>
      <c r="H507" s="12" t="s">
        <v>538</v>
      </c>
      <c r="I507" s="10">
        <f ca="1">IFERROR(__xludf.DUMMYFUNCTION(" VLOOKUP(A504, IMPORTRANGE(""https://docs.google.com/spreadsheets/d/1QNLbnkR_AongFt22vMfNzfpjZ0CjpI8QI-w0wBnYA1w/"", ""Инфа!A:AA""), 6, FALSE)"),2024)</f>
        <v>2024</v>
      </c>
      <c r="J507" s="5">
        <f ca="1">ROUND((5000+G507*30),-2)</f>
        <v>9300</v>
      </c>
      <c r="K507" s="12" t="s">
        <v>271</v>
      </c>
      <c r="L507" s="15" t="s">
        <v>2004</v>
      </c>
    </row>
    <row r="508" spans="1:12" ht="191.25">
      <c r="A508" s="8" t="s">
        <v>2005</v>
      </c>
      <c r="B508" s="9" t="s">
        <v>12</v>
      </c>
      <c r="C508" s="10" t="s">
        <v>443</v>
      </c>
      <c r="D508" s="10" t="str">
        <f ca="1">IFERROR(__xludf.DUMMYFUNCTION(" VLOOKUP(A505, IMPORTRANGE(""https://docs.google.com/spreadsheets/d/1fj_Bhi2XPL3siwIh4sx4VRLAe31yD50oKdj5UlRYW0c/"", ""Сводка!A:AA""), 11, FALSE)"),"978-601-327-932-9")</f>
        <v>978-601-327-932-9</v>
      </c>
      <c r="E508" s="11" t="s">
        <v>2006</v>
      </c>
      <c r="F508" s="11" t="s">
        <v>2007</v>
      </c>
      <c r="G508" s="12">
        <f ca="1">IFERROR(__xludf.DUMMYFUNCTION(" VLOOKUP(A505, IMPORTRANGE(""https://docs.google.com/spreadsheets/d/1fj_Bhi2XPL3siwIh4sx4VRLAe31yD50oKdj5UlRYW0c/"", ""Сводка!A:AA""), 5, FALSE)"),120)</f>
        <v>120</v>
      </c>
      <c r="H508" s="10" t="s">
        <v>538</v>
      </c>
      <c r="I508" s="10">
        <f ca="1">IFERROR(__xludf.DUMMYFUNCTION(" VLOOKUP(A505, IMPORTRANGE(""https://docs.google.com/spreadsheets/d/1QNLbnkR_AongFt22vMfNzfpjZ0CjpI8QI-w0wBnYA1w/"", ""Инфа!A:AA""), 6, FALSE)"),2024)</f>
        <v>2024</v>
      </c>
      <c r="J508" s="5">
        <f ca="1">ROUND((5000+G508*30),-2)</f>
        <v>8600</v>
      </c>
      <c r="K508" s="12" t="s">
        <v>160</v>
      </c>
      <c r="L508" s="15" t="s">
        <v>2008</v>
      </c>
    </row>
    <row r="509" spans="1:12" ht="146.25">
      <c r="A509" s="8" t="s">
        <v>2009</v>
      </c>
      <c r="B509" s="9" t="s">
        <v>12</v>
      </c>
      <c r="C509" s="10" t="s">
        <v>443</v>
      </c>
      <c r="D509" s="10" t="str">
        <f ca="1">IFERROR(__xludf.DUMMYFUNCTION(" VLOOKUP(A506, IMPORTRANGE(""https://docs.google.com/spreadsheets/d/1fj_Bhi2XPL3siwIh4sx4VRLAe31yD50oKdj5UlRYW0c/"", ""Сводка!A:AA""), 11, FALSE)"),"978-601-327-747-9")</f>
        <v>978-601-327-747-9</v>
      </c>
      <c r="E509" s="11" t="s">
        <v>2010</v>
      </c>
      <c r="F509" s="11" t="s">
        <v>2011</v>
      </c>
      <c r="G509" s="12">
        <f ca="1">IFERROR(__xludf.DUMMYFUNCTION(" VLOOKUP(A506, IMPORTRANGE(""https://docs.google.com/spreadsheets/d/1fj_Bhi2XPL3siwIh4sx4VRLAe31yD50oKdj5UlRYW0c/"", ""Сводка!A:AA""), 5, FALSE)"),172)</f>
        <v>172</v>
      </c>
      <c r="H509" s="12" t="s">
        <v>2012</v>
      </c>
      <c r="I509" s="10">
        <f ca="1">IFERROR(__xludf.DUMMYFUNCTION(" VLOOKUP(A506, IMPORTRANGE(""https://docs.google.com/spreadsheets/d/1QNLbnkR_AongFt22vMfNzfpjZ0CjpI8QI-w0wBnYA1w/"", ""Инфа!A:AA""), 6, FALSE)"),2024)</f>
        <v>2024</v>
      </c>
      <c r="J509" s="5">
        <f ca="1">ROUND((5000+G509*60),-2)</f>
        <v>15300</v>
      </c>
      <c r="K509" s="9" t="s">
        <v>408</v>
      </c>
      <c r="L509" s="15" t="s">
        <v>2013</v>
      </c>
    </row>
    <row r="510" spans="1:12" ht="38.25">
      <c r="A510" s="8" t="s">
        <v>2014</v>
      </c>
      <c r="B510" s="9" t="s">
        <v>12</v>
      </c>
      <c r="C510" s="10" t="s">
        <v>151</v>
      </c>
      <c r="D510" s="10" t="str">
        <f ca="1">IFERROR(__xludf.DUMMYFUNCTION(" VLOOKUP(A507, IMPORTRANGE(""https://docs.google.com/spreadsheets/d/1fj_Bhi2XPL3siwIh4sx4VRLAe31yD50oKdj5UlRYW0c/"", ""Сводка!A:AA""), 11, FALSE)"),"978-601-240-953-6")</f>
        <v>978-601-240-953-6</v>
      </c>
      <c r="E510" s="11" t="s">
        <v>2015</v>
      </c>
      <c r="F510" s="11" t="s">
        <v>2016</v>
      </c>
      <c r="G510" s="12">
        <f ca="1">IFERROR(__xludf.DUMMYFUNCTION(" VLOOKUP(A507, IMPORTRANGE(""https://docs.google.com/spreadsheets/d/1fj_Bhi2XPL3siwIh4sx4VRLAe31yD50oKdj5UlRYW0c/"", ""Сводка!A:AA""), 5, FALSE)"),192)</f>
        <v>192</v>
      </c>
      <c r="H510" s="12" t="s">
        <v>106</v>
      </c>
      <c r="I510" s="10">
        <f ca="1">IFERROR(__xludf.DUMMYFUNCTION(" VLOOKUP(A507, IMPORTRANGE(""https://docs.google.com/spreadsheets/d/1QNLbnkR_AongFt22vMfNzfpjZ0CjpI8QI-w0wBnYA1w/"", ""Инфа!A:AA""), 6, FALSE)"),2024)</f>
        <v>2024</v>
      </c>
      <c r="J510" s="5">
        <f ca="1">ROUND((5000+G510*30),-2)</f>
        <v>10800</v>
      </c>
      <c r="K510" s="12" t="s">
        <v>740</v>
      </c>
      <c r="L510" s="15"/>
    </row>
    <row r="511" spans="1:12" ht="123.75">
      <c r="A511" s="8" t="s">
        <v>2017</v>
      </c>
      <c r="B511" s="9" t="s">
        <v>12</v>
      </c>
      <c r="C511" s="10" t="s">
        <v>443</v>
      </c>
      <c r="D511" s="10" t="str">
        <f ca="1">IFERROR(__xludf.DUMMYFUNCTION(" VLOOKUP(A508, IMPORTRANGE(""https://docs.google.com/spreadsheets/d/1fj_Bhi2XPL3siwIh4sx4VRLAe31yD50oKdj5UlRYW0c/"", ""Сводка!A:AA""), 11, FALSE)"),"978-601-310-260-3")</f>
        <v>978-601-310-260-3</v>
      </c>
      <c r="E511" s="11" t="s">
        <v>2018</v>
      </c>
      <c r="F511" s="11" t="s">
        <v>2019</v>
      </c>
      <c r="G511" s="12">
        <f ca="1">IFERROR(__xludf.DUMMYFUNCTION(" VLOOKUP(A508, IMPORTRANGE(""https://docs.google.com/spreadsheets/d/1fj_Bhi2XPL3siwIh4sx4VRLAe31yD50oKdj5UlRYW0c/"", ""Сводка!A:AA""), 5, FALSE)"),208)</f>
        <v>208</v>
      </c>
      <c r="H511" s="12" t="s">
        <v>538</v>
      </c>
      <c r="I511" s="10">
        <f ca="1">IFERROR(__xludf.DUMMYFUNCTION(" VLOOKUP(A508, IMPORTRANGE(""https://docs.google.com/spreadsheets/d/1QNLbnkR_AongFt22vMfNzfpjZ0CjpI8QI-w0wBnYA1w/"", ""Инфа!A:AA""), 6, FALSE)"),2024)</f>
        <v>2024</v>
      </c>
      <c r="J511" s="5">
        <f ca="1">ROUND((5000+G511*30),-2)</f>
        <v>11200</v>
      </c>
      <c r="K511" s="9" t="s">
        <v>539</v>
      </c>
      <c r="L511" s="15" t="s">
        <v>2020</v>
      </c>
    </row>
    <row r="512" spans="1:12" ht="78.75">
      <c r="A512" s="8" t="s">
        <v>2021</v>
      </c>
      <c r="B512" s="9" t="s">
        <v>12</v>
      </c>
      <c r="C512" s="10" t="s">
        <v>21</v>
      </c>
      <c r="D512" s="10" t="str">
        <f ca="1">IFERROR(__xludf.DUMMYFUNCTION(" VLOOKUP(A509, IMPORTRANGE(""https://docs.google.com/spreadsheets/d/1fj_Bhi2XPL3siwIh4sx4VRLAe31yD50oKdj5UlRYW0c/"", ""Сводка!A:AA""), 11, FALSE)"),"978-601-342-389-0")</f>
        <v>978-601-342-389-0</v>
      </c>
      <c r="E512" s="11" t="s">
        <v>2022</v>
      </c>
      <c r="F512" s="11" t="s">
        <v>2023</v>
      </c>
      <c r="G512" s="12">
        <f ca="1">IFERROR(__xludf.DUMMYFUNCTION(" VLOOKUP(A509, IMPORTRANGE(""https://docs.google.com/spreadsheets/d/1fj_Bhi2XPL3siwIh4sx4VRLAe31yD50oKdj5UlRYW0c/"", ""Сводка!A:AA""), 5, FALSE)"),160)</f>
        <v>160</v>
      </c>
      <c r="H512" s="12" t="s">
        <v>165</v>
      </c>
      <c r="I512" s="10">
        <f ca="1">IFERROR(__xludf.DUMMYFUNCTION(" VLOOKUP(A509, IMPORTRANGE(""https://docs.google.com/spreadsheets/d/1QNLbnkR_AongFt22vMfNzfpjZ0CjpI8QI-w0wBnYA1w/"", ""Инфа!A:AA""), 6, FALSE)"),2024)</f>
        <v>2024</v>
      </c>
      <c r="J512" s="5">
        <f ca="1">ROUND((5000+G512*60),-2)</f>
        <v>14600</v>
      </c>
      <c r="K512" s="12" t="s">
        <v>25</v>
      </c>
      <c r="L512" s="16" t="s">
        <v>2024</v>
      </c>
    </row>
    <row r="513" spans="1:12" ht="270">
      <c r="A513" s="8" t="s">
        <v>2025</v>
      </c>
      <c r="B513" s="9" t="s">
        <v>12</v>
      </c>
      <c r="C513" s="10" t="s">
        <v>443</v>
      </c>
      <c r="D513" s="10" t="str">
        <f ca="1">IFERROR(__xludf.DUMMYFUNCTION(" VLOOKUP(A510, IMPORTRANGE(""https://docs.google.com/spreadsheets/d/1fj_Bhi2XPL3siwIh4sx4VRLAe31yD50oKdj5UlRYW0c/"", ""Сводка!A:AA""), 11, FALSE)"),"978-601-240-723-8")</f>
        <v>978-601-240-723-8</v>
      </c>
      <c r="E513" s="22" t="s">
        <v>2026</v>
      </c>
      <c r="F513" s="22" t="s">
        <v>2027</v>
      </c>
      <c r="G513" s="12">
        <f ca="1">IFERROR(__xludf.DUMMYFUNCTION(" VLOOKUP(A510, IMPORTRANGE(""https://docs.google.com/spreadsheets/d/1fj_Bhi2XPL3siwIh4sx4VRLAe31yD50oKdj5UlRYW0c/"", ""Сводка!A:AA""), 5, FALSE)"),304)</f>
        <v>304</v>
      </c>
      <c r="H513" s="10" t="s">
        <v>538</v>
      </c>
      <c r="I513" s="10">
        <f ca="1">IFERROR(__xludf.DUMMYFUNCTION(" VLOOKUP(A510, IMPORTRANGE(""https://docs.google.com/spreadsheets/d/1QNLbnkR_AongFt22vMfNzfpjZ0CjpI8QI-w0wBnYA1w/"", ""Инфа!A:AA""), 6, FALSE)"),2024)</f>
        <v>2024</v>
      </c>
      <c r="J513" s="5">
        <f ca="1">ROUND((5000+G513*30),-2)</f>
        <v>14100</v>
      </c>
      <c r="K513" s="10" t="s">
        <v>139</v>
      </c>
      <c r="L513" s="23" t="s">
        <v>2028</v>
      </c>
    </row>
    <row r="514" spans="1:12" ht="180">
      <c r="A514" s="8" t="s">
        <v>2029</v>
      </c>
      <c r="B514" s="9" t="s">
        <v>12</v>
      </c>
      <c r="C514" s="10" t="s">
        <v>443</v>
      </c>
      <c r="D514" s="10" t="str">
        <f ca="1">IFERROR(__xludf.DUMMYFUNCTION(" VLOOKUP(A511, IMPORTRANGE(""https://docs.google.com/spreadsheets/d/1fj_Bhi2XPL3siwIh4sx4VRLAe31yD50oKdj5UlRYW0c/"", ""Сводка!A:AA""), 11, FALSE)"),"978-601-240-295-7")</f>
        <v>978-601-240-295-7</v>
      </c>
      <c r="E514" s="11" t="s">
        <v>2030</v>
      </c>
      <c r="F514" s="11" t="s">
        <v>2031</v>
      </c>
      <c r="G514" s="12">
        <f ca="1">IFERROR(__xludf.DUMMYFUNCTION(" VLOOKUP(A511, IMPORTRANGE(""https://docs.google.com/spreadsheets/d/1fj_Bhi2XPL3siwIh4sx4VRLAe31yD50oKdj5UlRYW0c/"", ""Сводка!A:AA""), 5, FALSE)"),228)</f>
        <v>228</v>
      </c>
      <c r="H514" s="12" t="s">
        <v>538</v>
      </c>
      <c r="I514" s="10">
        <f ca="1">IFERROR(__xludf.DUMMYFUNCTION(" VLOOKUP(A511, IMPORTRANGE(""https://docs.google.com/spreadsheets/d/1QNLbnkR_AongFt22vMfNzfpjZ0CjpI8QI-w0wBnYA1w/"", ""Инфа!A:AA""), 6, FALSE)"),2024)</f>
        <v>2024</v>
      </c>
      <c r="J514" s="5">
        <f ca="1">ROUND((5000+G514*30),-2)</f>
        <v>11800</v>
      </c>
      <c r="K514" s="12" t="s">
        <v>139</v>
      </c>
      <c r="L514" s="15" t="s">
        <v>2032</v>
      </c>
    </row>
    <row r="515" spans="1:12" ht="168.75">
      <c r="A515" s="8" t="s">
        <v>2033</v>
      </c>
      <c r="B515" s="9" t="s">
        <v>12</v>
      </c>
      <c r="C515" s="10" t="s">
        <v>443</v>
      </c>
      <c r="D515" s="10" t="str">
        <f ca="1">IFERROR(__xludf.DUMMYFUNCTION(" VLOOKUP(A512, IMPORTRANGE(""https://docs.google.com/spreadsheets/d/1fj_Bhi2XPL3siwIh4sx4VRLAe31yD50oKdj5UlRYW0c/"", ""Сводка!A:AA""), 11, FALSE)"),"978-601-342-516-0")</f>
        <v>978-601-342-516-0</v>
      </c>
      <c r="E515" s="11" t="s">
        <v>2034</v>
      </c>
      <c r="F515" s="11" t="s">
        <v>2035</v>
      </c>
      <c r="G515" s="12">
        <f ca="1">IFERROR(__xludf.DUMMYFUNCTION(" VLOOKUP(A512, IMPORTRANGE(""https://docs.google.com/spreadsheets/d/1fj_Bhi2XPL3siwIh4sx4VRLAe31yD50oKdj5UlRYW0c/"", ""Сводка!A:AA""), 5, FALSE)"),188)</f>
        <v>188</v>
      </c>
      <c r="H515" s="12" t="s">
        <v>446</v>
      </c>
      <c r="I515" s="10">
        <f ca="1">IFERROR(__xludf.DUMMYFUNCTION(" VLOOKUP(A512, IMPORTRANGE(""https://docs.google.com/spreadsheets/d/1QNLbnkR_AongFt22vMfNzfpjZ0CjpI8QI-w0wBnYA1w/"", ""Инфа!A:AA""), 6, FALSE)"),2024)</f>
        <v>2024</v>
      </c>
      <c r="J515" s="5">
        <f ca="1">ROUND((5000+G515*60),-2)</f>
        <v>16300</v>
      </c>
      <c r="K515" s="12" t="s">
        <v>368</v>
      </c>
      <c r="L515" s="15" t="s">
        <v>2036</v>
      </c>
    </row>
    <row r="516" spans="1:12" ht="202.5">
      <c r="A516" s="8" t="s">
        <v>2037</v>
      </c>
      <c r="B516" s="9" t="s">
        <v>12</v>
      </c>
      <c r="C516" s="10" t="s">
        <v>443</v>
      </c>
      <c r="D516" s="10" t="str">
        <f ca="1">IFERROR(__xludf.DUMMYFUNCTION(" VLOOKUP(A513, IMPORTRANGE(""https://docs.google.com/spreadsheets/d/1fj_Bhi2XPL3siwIh4sx4VRLAe31yD50oKdj5UlRYW0c/"", ""Сводка!A:AA""), 11, FALSE)"),"978-601-310-905-3")</f>
        <v>978-601-310-905-3</v>
      </c>
      <c r="E516" s="11" t="s">
        <v>2038</v>
      </c>
      <c r="F516" s="11" t="s">
        <v>2039</v>
      </c>
      <c r="G516" s="12">
        <f ca="1">IFERROR(__xludf.DUMMYFUNCTION(" VLOOKUP(A513, IMPORTRANGE(""https://docs.google.com/spreadsheets/d/1fj_Bhi2XPL3siwIh4sx4VRLAe31yD50oKdj5UlRYW0c/"", ""Сводка!A:AA""), 5, FALSE)"),88)</f>
        <v>88</v>
      </c>
      <c r="H516" s="12" t="s">
        <v>538</v>
      </c>
      <c r="I516" s="10">
        <f ca="1">IFERROR(__xludf.DUMMYFUNCTION(" VLOOKUP(A513, IMPORTRANGE(""https://docs.google.com/spreadsheets/d/1QNLbnkR_AongFt22vMfNzfpjZ0CjpI8QI-w0wBnYA1w/"", ""Инфа!A:AA""), 6, FALSE)"),2024)</f>
        <v>2024</v>
      </c>
      <c r="J516" s="5">
        <f ca="1">ROUND((5000+G516*30),-2)</f>
        <v>7600</v>
      </c>
      <c r="K516" s="12" t="s">
        <v>1450</v>
      </c>
      <c r="L516" s="15" t="s">
        <v>2040</v>
      </c>
    </row>
    <row r="517" spans="1:12" ht="25.5">
      <c r="A517" s="8" t="s">
        <v>2041</v>
      </c>
      <c r="B517" s="9" t="s">
        <v>12</v>
      </c>
      <c r="C517" s="10" t="s">
        <v>443</v>
      </c>
      <c r="D517" s="10" t="str">
        <f ca="1">IFERROR(__xludf.DUMMYFUNCTION(" VLOOKUP(A514, IMPORTRANGE(""https://docs.google.com/spreadsheets/d/1fj_Bhi2XPL3siwIh4sx4VRLAe31yD50oKdj5UlRYW0c/"", ""Сводка!A:AA""), 11, FALSE)"),"9965-580-22-7")</f>
        <v>9965-580-22-7</v>
      </c>
      <c r="E517" s="11" t="s">
        <v>2042</v>
      </c>
      <c r="F517" s="11" t="s">
        <v>2043</v>
      </c>
      <c r="G517" s="12">
        <f ca="1">IFERROR(__xludf.DUMMYFUNCTION(" VLOOKUP(A514, IMPORTRANGE(""https://docs.google.com/spreadsheets/d/1fj_Bhi2XPL3siwIh4sx4VRLAe31yD50oKdj5UlRYW0c/"", ""Сводка!A:AA""), 5, FALSE)"),154)</f>
        <v>154</v>
      </c>
      <c r="H517" s="12" t="s">
        <v>538</v>
      </c>
      <c r="I517" s="10">
        <f ca="1">IFERROR(__xludf.DUMMYFUNCTION(" VLOOKUP(A514, IMPORTRANGE(""https://docs.google.com/spreadsheets/d/1QNLbnkR_AongFt22vMfNzfpjZ0CjpI8QI-w0wBnYA1w/"", ""Инфа!A:AA""), 6, FALSE)"),2024)</f>
        <v>2024</v>
      </c>
      <c r="J517" s="5">
        <f ca="1">ROUND((5000+G517*30),-2)</f>
        <v>9600</v>
      </c>
      <c r="K517" s="9" t="s">
        <v>271</v>
      </c>
      <c r="L517" s="15"/>
    </row>
    <row r="518" spans="1:12" ht="135">
      <c r="A518" s="8" t="s">
        <v>2044</v>
      </c>
      <c r="B518" s="9" t="s">
        <v>12</v>
      </c>
      <c r="C518" s="10" t="s">
        <v>151</v>
      </c>
      <c r="D518" s="10" t="str">
        <f ca="1">IFERROR(__xludf.DUMMYFUNCTION(" VLOOKUP(A515, IMPORTRANGE(""https://docs.google.com/spreadsheets/d/1fj_Bhi2XPL3siwIh4sx4VRLAe31yD50oKdj5UlRYW0c/"", ""Сводка!A:AA""), 11, FALSE)"),"9965-493 -04 -9")</f>
        <v>9965-493 -04 -9</v>
      </c>
      <c r="E518" s="11" t="s">
        <v>2042</v>
      </c>
      <c r="F518" s="11" t="s">
        <v>2045</v>
      </c>
      <c r="G518" s="12">
        <f ca="1">IFERROR(__xludf.DUMMYFUNCTION(" VLOOKUP(A515, IMPORTRANGE(""https://docs.google.com/spreadsheets/d/1fj_Bhi2XPL3siwIh4sx4VRLAe31yD50oKdj5UlRYW0c/"", ""Сводка!A:AA""), 5, FALSE)"),152)</f>
        <v>152</v>
      </c>
      <c r="H518" s="12" t="s">
        <v>47</v>
      </c>
      <c r="I518" s="10">
        <f ca="1">IFERROR(__xludf.DUMMYFUNCTION(" VLOOKUP(A515, IMPORTRANGE(""https://docs.google.com/spreadsheets/d/1QNLbnkR_AongFt22vMfNzfpjZ0CjpI8QI-w0wBnYA1w/"", ""Инфа!A:AA""), 6, FALSE)"),2024)</f>
        <v>2024</v>
      </c>
      <c r="J518" s="5">
        <f ca="1">ROUND((5000+G518*30),-2)</f>
        <v>9600</v>
      </c>
      <c r="K518" s="9" t="s">
        <v>2046</v>
      </c>
      <c r="L518" s="15" t="s">
        <v>2047</v>
      </c>
    </row>
    <row r="519" spans="1:12" ht="146.25">
      <c r="A519" s="8" t="s">
        <v>2048</v>
      </c>
      <c r="B519" s="9" t="s">
        <v>12</v>
      </c>
      <c r="C519" s="10" t="s">
        <v>443</v>
      </c>
      <c r="D519" s="10" t="str">
        <f ca="1">IFERROR(__xludf.DUMMYFUNCTION(" VLOOKUP(A516, IMPORTRANGE(""https://docs.google.com/spreadsheets/d/1fj_Bhi2XPL3siwIh4sx4VRLAe31yD50oKdj5UlRYW0c/"", ""Сводка!A:AA""), 11, FALSE)"),"978-601-310-581-9")</f>
        <v>978-601-310-581-9</v>
      </c>
      <c r="E519" s="19" t="s">
        <v>2049</v>
      </c>
      <c r="F519" s="19" t="s">
        <v>2050</v>
      </c>
      <c r="G519" s="12">
        <f ca="1">IFERROR(__xludf.DUMMYFUNCTION(" VLOOKUP(A516, IMPORTRANGE(""https://docs.google.com/spreadsheets/d/1fj_Bhi2XPL3siwIh4sx4VRLAe31yD50oKdj5UlRYW0c/"", ""Сводка!A:AA""), 5, FALSE)"),200)</f>
        <v>200</v>
      </c>
      <c r="H519" s="12" t="s">
        <v>538</v>
      </c>
      <c r="I519" s="10">
        <f ca="1">IFERROR(__xludf.DUMMYFUNCTION(" VLOOKUP(A516, IMPORTRANGE(""https://docs.google.com/spreadsheets/d/1QNLbnkR_AongFt22vMfNzfpjZ0CjpI8QI-w0wBnYA1w/"", ""Инфа!A:AA""), 6, FALSE)"),2024)</f>
        <v>2024</v>
      </c>
      <c r="J519" s="5">
        <f ca="1">ROUND((5000+G519*60),-2)</f>
        <v>17000</v>
      </c>
      <c r="K519" s="9" t="s">
        <v>171</v>
      </c>
      <c r="L519" s="15" t="s">
        <v>2051</v>
      </c>
    </row>
    <row r="520" spans="1:12" ht="168.75">
      <c r="A520" s="8" t="s">
        <v>2052</v>
      </c>
      <c r="B520" s="9" t="s">
        <v>12</v>
      </c>
      <c r="C520" s="10" t="s">
        <v>443</v>
      </c>
      <c r="D520" s="10" t="str">
        <f ca="1">IFERROR(__xludf.DUMMYFUNCTION(" VLOOKUP(A517, IMPORTRANGE(""https://docs.google.com/spreadsheets/d/1fj_Bhi2XPL3siwIh4sx4VRLAe31yD50oKdj5UlRYW0c/"", ""Сводка!A:AA""), 11, FALSE)"),"9965-620-48-2")</f>
        <v>9965-620-48-2</v>
      </c>
      <c r="E520" s="11" t="s">
        <v>2053</v>
      </c>
      <c r="F520" s="11" t="s">
        <v>2054</v>
      </c>
      <c r="G520" s="12">
        <f ca="1">IFERROR(__xludf.DUMMYFUNCTION(" VLOOKUP(A517, IMPORTRANGE(""https://docs.google.com/spreadsheets/d/1fj_Bhi2XPL3siwIh4sx4VRLAe31yD50oKdj5UlRYW0c/"", ""Сводка!A:AA""), 5, FALSE)"),248)</f>
        <v>248</v>
      </c>
      <c r="H520" s="12" t="s">
        <v>511</v>
      </c>
      <c r="I520" s="10">
        <f ca="1">IFERROR(__xludf.DUMMYFUNCTION(" VLOOKUP(A517, IMPORTRANGE(""https://docs.google.com/spreadsheets/d/1QNLbnkR_AongFt22vMfNzfpjZ0CjpI8QI-w0wBnYA1w/"", ""Инфа!A:AA""), 6, FALSE)"),2024)</f>
        <v>2024</v>
      </c>
      <c r="J520" s="5">
        <f ca="1">ROUND((5000+G520*30),-2)</f>
        <v>12400</v>
      </c>
      <c r="K520" s="12" t="s">
        <v>26</v>
      </c>
      <c r="L520" s="15" t="s">
        <v>2055</v>
      </c>
    </row>
    <row r="521" spans="1:12" ht="112.5">
      <c r="A521" s="8" t="s">
        <v>2056</v>
      </c>
      <c r="B521" s="9" t="s">
        <v>12</v>
      </c>
      <c r="C521" s="10" t="s">
        <v>151</v>
      </c>
      <c r="D521" s="10" t="str">
        <f ca="1">IFERROR(__xludf.DUMMYFUNCTION(" VLOOKUP(A518, IMPORTRANGE(""https://docs.google.com/spreadsheets/d/1fj_Bhi2XPL3siwIh4sx4VRLAe31yD50oKdj5UlRYW0c/"", ""Сводка!A:AA""), 11, FALSE)"),"978-601-240-883-6")</f>
        <v>978-601-240-883-6</v>
      </c>
      <c r="E521" s="11" t="s">
        <v>2057</v>
      </c>
      <c r="F521" s="11" t="s">
        <v>2058</v>
      </c>
      <c r="G521" s="12">
        <f ca="1">IFERROR(__xludf.DUMMYFUNCTION(" VLOOKUP(A518, IMPORTRANGE(""https://docs.google.com/spreadsheets/d/1fj_Bhi2XPL3siwIh4sx4VRLAe31yD50oKdj5UlRYW0c/"", ""Сводка!A:AA""), 5, FALSE)"),176)</f>
        <v>176</v>
      </c>
      <c r="H521" s="12" t="s">
        <v>47</v>
      </c>
      <c r="I521" s="10">
        <f ca="1">IFERROR(__xludf.DUMMYFUNCTION(" VLOOKUP(A518, IMPORTRANGE(""https://docs.google.com/spreadsheets/d/1QNLbnkR_AongFt22vMfNzfpjZ0CjpI8QI-w0wBnYA1w/"", ""Инфа!A:AA""), 6, FALSE)"),2024)</f>
        <v>2024</v>
      </c>
      <c r="J521" s="5">
        <f ca="1">ROUND(((5000+G521*30)*1.3),-2)</f>
        <v>13400</v>
      </c>
      <c r="K521" s="12" t="s">
        <v>213</v>
      </c>
      <c r="L521" s="15" t="s">
        <v>2059</v>
      </c>
    </row>
    <row r="522" spans="1:12" ht="38.25">
      <c r="A522" s="8" t="s">
        <v>2060</v>
      </c>
      <c r="B522" s="9" t="s">
        <v>12</v>
      </c>
      <c r="C522" s="10" t="s">
        <v>151</v>
      </c>
      <c r="D522" s="10" t="str">
        <f ca="1">IFERROR(__xludf.DUMMYFUNCTION(" VLOOKUP(A519, IMPORTRANGE(""https://docs.google.com/spreadsheets/d/1fj_Bhi2XPL3siwIh4sx4VRLAe31yD50oKdj5UlRYW0c/"", ""Сводка!A:AA""), 11, FALSE)"),"978-601-240-994-9")</f>
        <v>978-601-240-994-9</v>
      </c>
      <c r="E522" s="19" t="s">
        <v>2061</v>
      </c>
      <c r="F522" s="19" t="s">
        <v>2062</v>
      </c>
      <c r="G522" s="12">
        <f ca="1">IFERROR(__xludf.DUMMYFUNCTION(" VLOOKUP(A519, IMPORTRANGE(""https://docs.google.com/spreadsheets/d/1fj_Bhi2XPL3siwIh4sx4VRLAe31yD50oKdj5UlRYW0c/"", ""Сводка!A:AA""), 5, FALSE)"),104)</f>
        <v>104</v>
      </c>
      <c r="H522" s="9" t="s">
        <v>47</v>
      </c>
      <c r="I522" s="10">
        <f ca="1">IFERROR(__xludf.DUMMYFUNCTION(" VLOOKUP(A519, IMPORTRANGE(""https://docs.google.com/spreadsheets/d/1QNLbnkR_AongFt22vMfNzfpjZ0CjpI8QI-w0wBnYA1w/"", ""Инфа!A:AA""), 6, FALSE)"),2024)</f>
        <v>2024</v>
      </c>
      <c r="J522" s="5">
        <f ca="1">ROUND((5000+G522*30),-2)</f>
        <v>8100</v>
      </c>
      <c r="K522" s="12" t="s">
        <v>213</v>
      </c>
      <c r="L522" s="15"/>
    </row>
    <row r="523" spans="1:12" ht="38.25">
      <c r="A523" s="8" t="s">
        <v>2063</v>
      </c>
      <c r="B523" s="9" t="s">
        <v>12</v>
      </c>
      <c r="C523" s="10" t="s">
        <v>151</v>
      </c>
      <c r="D523" s="10" t="str">
        <f ca="1">IFERROR(__xludf.DUMMYFUNCTION(" VLOOKUP(A520, IMPORTRANGE(""https://docs.google.com/spreadsheets/d/1fj_Bhi2XPL3siwIh4sx4VRLAe31yD50oKdj5UlRYW0c/"", ""Сводка!A:AA""), 11, FALSE)"),"978-601-240-996-3")</f>
        <v>978-601-240-996-3</v>
      </c>
      <c r="E523" s="19" t="s">
        <v>2061</v>
      </c>
      <c r="F523" s="19" t="s">
        <v>2064</v>
      </c>
      <c r="G523" s="12">
        <f ca="1">IFERROR(__xludf.DUMMYFUNCTION(" VLOOKUP(A520, IMPORTRANGE(""https://docs.google.com/spreadsheets/d/1fj_Bhi2XPL3siwIh4sx4VRLAe31yD50oKdj5UlRYW0c/"", ""Сводка!A:AA""), 5, FALSE)"),76)</f>
        <v>76</v>
      </c>
      <c r="H523" s="9" t="s">
        <v>47</v>
      </c>
      <c r="I523" s="10">
        <f ca="1">IFERROR(__xludf.DUMMYFUNCTION(" VLOOKUP(A520, IMPORTRANGE(""https://docs.google.com/spreadsheets/d/1QNLbnkR_AongFt22vMfNzfpjZ0CjpI8QI-w0wBnYA1w/"", ""Инфа!A:AA""), 6, FALSE)"),2024)</f>
        <v>2024</v>
      </c>
      <c r="J523" s="5">
        <f ca="1">ROUND((5000+G523*30),-2)</f>
        <v>7300</v>
      </c>
      <c r="K523" s="12" t="s">
        <v>17</v>
      </c>
      <c r="L523" s="15"/>
    </row>
    <row r="524" spans="1:12" ht="38.25">
      <c r="A524" s="8" t="s">
        <v>2065</v>
      </c>
      <c r="B524" s="9" t="s">
        <v>12</v>
      </c>
      <c r="C524" s="10" t="s">
        <v>151</v>
      </c>
      <c r="D524" s="10" t="str">
        <f ca="1">IFERROR(__xludf.DUMMYFUNCTION(" VLOOKUP(A521, IMPORTRANGE(""https://docs.google.com/spreadsheets/d/1fj_Bhi2XPL3siwIh4sx4VRLAe31yD50oKdj5UlRYW0c/"", ""Сводка!A:AA""), 11, FALSE)"),"978-601-240-995-6")</f>
        <v>978-601-240-995-6</v>
      </c>
      <c r="E524" s="19" t="s">
        <v>2061</v>
      </c>
      <c r="F524" s="19" t="s">
        <v>2066</v>
      </c>
      <c r="G524" s="12">
        <f ca="1">IFERROR(__xludf.DUMMYFUNCTION(" VLOOKUP(A521, IMPORTRANGE(""https://docs.google.com/spreadsheets/d/1fj_Bhi2XPL3siwIh4sx4VRLAe31yD50oKdj5UlRYW0c/"", ""Сводка!A:AA""), 5, FALSE)"),108)</f>
        <v>108</v>
      </c>
      <c r="H524" s="9" t="s">
        <v>47</v>
      </c>
      <c r="I524" s="10">
        <f ca="1">IFERROR(__xludf.DUMMYFUNCTION(" VLOOKUP(A521, IMPORTRANGE(""https://docs.google.com/spreadsheets/d/1QNLbnkR_AongFt22vMfNzfpjZ0CjpI8QI-w0wBnYA1w/"", ""Инфа!A:AA""), 6, FALSE)"),2024)</f>
        <v>2024</v>
      </c>
      <c r="J524" s="5">
        <f ca="1">ROUND((5000+G524*30),-2)</f>
        <v>8200</v>
      </c>
      <c r="K524" s="12" t="s">
        <v>213</v>
      </c>
      <c r="L524" s="15"/>
    </row>
    <row r="525" spans="1:12" ht="225">
      <c r="A525" s="8" t="s">
        <v>2067</v>
      </c>
      <c r="B525" s="9" t="s">
        <v>12</v>
      </c>
      <c r="C525" s="10" t="s">
        <v>2068</v>
      </c>
      <c r="D525" s="10" t="str">
        <f ca="1">IFERROR(__xludf.DUMMYFUNCTION(" VLOOKUP(A522, IMPORTRANGE(""https://docs.google.com/spreadsheets/d/1fj_Bhi2XPL3siwIh4sx4VRLAe31yD50oKdj5UlRYW0c/"", ""Сводка!A:AA""), 11, FALSE)"),"978-601-327-423-2")</f>
        <v>978-601-327-423-2</v>
      </c>
      <c r="E525" s="11" t="s">
        <v>2061</v>
      </c>
      <c r="F525" s="39" t="s">
        <v>2069</v>
      </c>
      <c r="G525" s="12">
        <f ca="1">IFERROR(__xludf.DUMMYFUNCTION(" VLOOKUP(A522, IMPORTRANGE(""https://docs.google.com/spreadsheets/d/1fj_Bhi2XPL3siwIh4sx4VRLAe31yD50oKdj5UlRYW0c/"", ""Сводка!A:AA""), 5, FALSE)"),104)</f>
        <v>104</v>
      </c>
      <c r="H525" s="12" t="s">
        <v>47</v>
      </c>
      <c r="I525" s="10">
        <f ca="1">IFERROR(__xludf.DUMMYFUNCTION(" VLOOKUP(A522, IMPORTRANGE(""https://docs.google.com/spreadsheets/d/1QNLbnkR_AongFt22vMfNzfpjZ0CjpI8QI-w0wBnYA1w/"", ""Инфа!A:AA""), 6, FALSE)"),2024)</f>
        <v>2024</v>
      </c>
      <c r="J525" s="5">
        <f ca="1">ROUND((5000+G525*30),-2)</f>
        <v>8100</v>
      </c>
      <c r="K525" s="12" t="s">
        <v>213</v>
      </c>
      <c r="L525" s="15" t="s">
        <v>2070</v>
      </c>
    </row>
    <row r="526" spans="1:12" ht="315">
      <c r="A526" s="8" t="s">
        <v>2071</v>
      </c>
      <c r="B526" s="9" t="s">
        <v>12</v>
      </c>
      <c r="C526" s="10" t="s">
        <v>151</v>
      </c>
      <c r="D526" s="10" t="str">
        <f ca="1">IFERROR(__xludf.DUMMYFUNCTION(" VLOOKUP(A523, IMPORTRANGE(""https://docs.google.com/spreadsheets/d/1fj_Bhi2XPL3siwIh4sx4VRLAe31yD50oKdj5UlRYW0c/"", ""Сводка!A:AA""), 11, FALSE)"),"978-601-240-834-8")</f>
        <v>978-601-240-834-8</v>
      </c>
      <c r="E526" s="11" t="s">
        <v>2072</v>
      </c>
      <c r="F526" s="11" t="s">
        <v>2073</v>
      </c>
      <c r="G526" s="12">
        <f ca="1">IFERROR(__xludf.DUMMYFUNCTION(" VLOOKUP(A523, IMPORTRANGE(""https://docs.google.com/spreadsheets/d/1fj_Bhi2XPL3siwIh4sx4VRLAe31yD50oKdj5UlRYW0c/"", ""Сводка!A:AA""), 5, FALSE)"),160)</f>
        <v>160</v>
      </c>
      <c r="H526" s="12" t="s">
        <v>106</v>
      </c>
      <c r="I526" s="10">
        <f ca="1">IFERROR(__xludf.DUMMYFUNCTION(" VLOOKUP(A523, IMPORTRANGE(""https://docs.google.com/spreadsheets/d/1QNLbnkR_AongFt22vMfNzfpjZ0CjpI8QI-w0wBnYA1w/"", ""Инфа!A:AA""), 6, FALSE)"),2023)</f>
        <v>2023</v>
      </c>
      <c r="J526" s="5">
        <f ca="1">ROUND((5000+G526*60),-2)</f>
        <v>14600</v>
      </c>
      <c r="K526" s="12" t="s">
        <v>213</v>
      </c>
      <c r="L526" s="15" t="s">
        <v>2074</v>
      </c>
    </row>
    <row r="527" spans="1:12" ht="146.25">
      <c r="A527" s="8" t="s">
        <v>2075</v>
      </c>
      <c r="B527" s="9" t="s">
        <v>12</v>
      </c>
      <c r="C527" s="10" t="s">
        <v>2068</v>
      </c>
      <c r="D527" s="10" t="str">
        <f ca="1">IFERROR(__xludf.DUMMYFUNCTION(" VLOOKUP(A524, IMPORTRANGE(""https://docs.google.com/spreadsheets/d/1fj_Bhi2XPL3siwIh4sx4VRLAe31yD50oKdj5UlRYW0c/"", ""Сводка!A:AA""), 11, FALSE)"),"978-601-327-424-9")</f>
        <v>978-601-327-424-9</v>
      </c>
      <c r="E527" s="11" t="s">
        <v>2076</v>
      </c>
      <c r="F527" s="39" t="s">
        <v>2077</v>
      </c>
      <c r="G527" s="12">
        <f ca="1">IFERROR(__xludf.DUMMYFUNCTION(" VLOOKUP(A524, IMPORTRANGE(""https://docs.google.com/spreadsheets/d/1fj_Bhi2XPL3siwIh4sx4VRLAe31yD50oKdj5UlRYW0c/"", ""Сводка!A:AA""), 5, FALSE)"),112)</f>
        <v>112</v>
      </c>
      <c r="H527" s="29" t="s">
        <v>47</v>
      </c>
      <c r="I527" s="10">
        <f ca="1">IFERROR(__xludf.DUMMYFUNCTION(" VLOOKUP(A524, IMPORTRANGE(""https://docs.google.com/spreadsheets/d/1QNLbnkR_AongFt22vMfNzfpjZ0CjpI8QI-w0wBnYA1w/"", ""Инфа!A:AA""), 6, FALSE)"),2024)</f>
        <v>2024</v>
      </c>
      <c r="J527" s="5">
        <f ca="1">ROUND((5000+G527*60),-2)</f>
        <v>11700</v>
      </c>
      <c r="K527" s="12" t="s">
        <v>213</v>
      </c>
      <c r="L527" s="15" t="s">
        <v>2078</v>
      </c>
    </row>
    <row r="528" spans="1:12" ht="168.75">
      <c r="A528" s="8" t="s">
        <v>2079</v>
      </c>
      <c r="B528" s="9" t="s">
        <v>12</v>
      </c>
      <c r="C528" s="10" t="s">
        <v>151</v>
      </c>
      <c r="D528" s="10" t="str">
        <f ca="1">IFERROR(__xludf.DUMMYFUNCTION(" VLOOKUP(A525, IMPORTRANGE(""https://docs.google.com/spreadsheets/d/1fj_Bhi2XPL3siwIh4sx4VRLAe31yD50oKdj5UlRYW0c/"", ""Сводка!A:AA""), 11, FALSE)"),"978-9965-851-38-4")</f>
        <v>978-9965-851-38-4</v>
      </c>
      <c r="E528" s="11" t="s">
        <v>2080</v>
      </c>
      <c r="F528" s="11" t="s">
        <v>2081</v>
      </c>
      <c r="G528" s="12">
        <f ca="1">IFERROR(__xludf.DUMMYFUNCTION(" VLOOKUP(A525, IMPORTRANGE(""https://docs.google.com/spreadsheets/d/1fj_Bhi2XPL3siwIh4sx4VRLAe31yD50oKdj5UlRYW0c/"", ""Сводка!A:AA""), 5, FALSE)"),272)</f>
        <v>272</v>
      </c>
      <c r="H528" s="12" t="s">
        <v>47</v>
      </c>
      <c r="I528" s="10">
        <f ca="1">IFERROR(__xludf.DUMMYFUNCTION(" VLOOKUP(A525, IMPORTRANGE(""https://docs.google.com/spreadsheets/d/1QNLbnkR_AongFt22vMfNzfpjZ0CjpI8QI-w0wBnYA1w/"", ""Инфа!A:AA""), 6, FALSE)"),2024)</f>
        <v>2024</v>
      </c>
      <c r="J528" s="5">
        <f ca="1">ROUND((5000+G528*30),-2)</f>
        <v>13200</v>
      </c>
      <c r="K528" s="12" t="s">
        <v>302</v>
      </c>
      <c r="L528" s="15" t="s">
        <v>2082</v>
      </c>
    </row>
    <row r="529" spans="1:12" ht="168.75">
      <c r="A529" s="8" t="s">
        <v>2083</v>
      </c>
      <c r="B529" s="9" t="s">
        <v>12</v>
      </c>
      <c r="C529" s="10" t="s">
        <v>151</v>
      </c>
      <c r="D529" s="10" t="str">
        <f ca="1">IFERROR(__xludf.DUMMYFUNCTION(" VLOOKUP(A526, IMPORTRANGE(""https://docs.google.com/spreadsheets/d/1fj_Bhi2XPL3siwIh4sx4VRLAe31yD50oKdj5UlRYW0c/"", ""Сводка!A:AA""), 11, FALSE)"),"978-9965-851-76-6")</f>
        <v>978-9965-851-76-6</v>
      </c>
      <c r="E529" s="11" t="s">
        <v>2084</v>
      </c>
      <c r="F529" s="11" t="s">
        <v>2085</v>
      </c>
      <c r="G529" s="12">
        <f ca="1">IFERROR(__xludf.DUMMYFUNCTION(" VLOOKUP(A526, IMPORTRANGE(""https://docs.google.com/spreadsheets/d/1fj_Bhi2XPL3siwIh4sx4VRLAe31yD50oKdj5UlRYW0c/"", ""Сводка!A:AA""), 5, FALSE)"),204)</f>
        <v>204</v>
      </c>
      <c r="H529" s="12" t="s">
        <v>47</v>
      </c>
      <c r="I529" s="10">
        <f ca="1">IFERROR(__xludf.DUMMYFUNCTION(" VLOOKUP(A526, IMPORTRANGE(""https://docs.google.com/spreadsheets/d/1QNLbnkR_AongFt22vMfNzfpjZ0CjpI8QI-w0wBnYA1w/"", ""Инфа!A:AA""), 6, FALSE)"),2024)</f>
        <v>2024</v>
      </c>
      <c r="J529" s="5">
        <f ca="1">ROUND((5000+G529*30),-2)</f>
        <v>11100</v>
      </c>
      <c r="K529" s="12" t="s">
        <v>302</v>
      </c>
      <c r="L529" s="15" t="s">
        <v>2086</v>
      </c>
    </row>
    <row r="530" spans="1:12" ht="180">
      <c r="A530" s="8" t="s">
        <v>2087</v>
      </c>
      <c r="B530" s="9" t="s">
        <v>12</v>
      </c>
      <c r="C530" s="10" t="s">
        <v>151</v>
      </c>
      <c r="D530" s="10" t="str">
        <f ca="1">IFERROR(__xludf.DUMMYFUNCTION(" VLOOKUP(A527, IMPORTRANGE(""https://docs.google.com/spreadsheets/d/1fj_Bhi2XPL3siwIh4sx4VRLAe31yD50oKdj5UlRYW0c/"", ""Сводка!A:AA""), 11, FALSE)"),"978-601-301-985-7")</f>
        <v>978-601-301-985-7</v>
      </c>
      <c r="E530" s="11" t="s">
        <v>2088</v>
      </c>
      <c r="F530" s="11" t="s">
        <v>2089</v>
      </c>
      <c r="G530" s="12">
        <f ca="1">IFERROR(__xludf.DUMMYFUNCTION(" VLOOKUP(A527, IMPORTRANGE(""https://docs.google.com/spreadsheets/d/1fj_Bhi2XPL3siwIh4sx4VRLAe31yD50oKdj5UlRYW0c/"", ""Сводка!A:AA""), 5, FALSE)"),104)</f>
        <v>104</v>
      </c>
      <c r="H530" s="12" t="s">
        <v>165</v>
      </c>
      <c r="I530" s="10">
        <f ca="1">IFERROR(__xludf.DUMMYFUNCTION(" VLOOKUP(A527, IMPORTRANGE(""https://docs.google.com/spreadsheets/d/1QNLbnkR_AongFt22vMfNzfpjZ0CjpI8QI-w0wBnYA1w/"", ""Инфа!A:AA""), 6, FALSE)"),2024)</f>
        <v>2024</v>
      </c>
      <c r="J530" s="5">
        <f ca="1">ROUND((5000+G530*30),-2)</f>
        <v>8100</v>
      </c>
      <c r="K530" s="12" t="s">
        <v>1240</v>
      </c>
      <c r="L530" s="15" t="s">
        <v>2090</v>
      </c>
    </row>
    <row r="531" spans="1:12" ht="146.25">
      <c r="A531" s="8" t="s">
        <v>2091</v>
      </c>
      <c r="B531" s="9" t="s">
        <v>12</v>
      </c>
      <c r="C531" s="10" t="s">
        <v>443</v>
      </c>
      <c r="D531" s="10" t="str">
        <f ca="1">IFERROR(__xludf.DUMMYFUNCTION(" VLOOKUP(A528, IMPORTRANGE(""https://docs.google.com/spreadsheets/d/1fj_Bhi2XPL3siwIh4sx4VRLAe31yD50oKdj5UlRYW0c/"", ""Сводка!A:AA""), 11, FALSE)"),"978-601-301-689-4")</f>
        <v>978-601-301-689-4</v>
      </c>
      <c r="E531" s="11" t="s">
        <v>2092</v>
      </c>
      <c r="F531" s="11" t="s">
        <v>2093</v>
      </c>
      <c r="G531" s="12">
        <f ca="1">IFERROR(__xludf.DUMMYFUNCTION(" VLOOKUP(A528, IMPORTRANGE(""https://docs.google.com/spreadsheets/d/1fj_Bhi2XPL3siwIh4sx4VRLAe31yD50oKdj5UlRYW0c/"", ""Сводка!A:AA""), 5, FALSE)"),216)</f>
        <v>216</v>
      </c>
      <c r="H531" s="12" t="s">
        <v>511</v>
      </c>
      <c r="I531" s="10">
        <f ca="1">IFERROR(__xludf.DUMMYFUNCTION(" VLOOKUP(A528, IMPORTRANGE(""https://docs.google.com/spreadsheets/d/1QNLbnkR_AongFt22vMfNzfpjZ0CjpI8QI-w0wBnYA1w/"", ""Инфа!A:AA""), 6, FALSE)"),2024)</f>
        <v>2024</v>
      </c>
      <c r="J531" s="5">
        <f ca="1">ROUND((5000+G531*60),-2)</f>
        <v>18000</v>
      </c>
      <c r="K531" s="12" t="s">
        <v>1240</v>
      </c>
      <c r="L531" s="15" t="s">
        <v>2094</v>
      </c>
    </row>
    <row r="532" spans="1:12" ht="25.5">
      <c r="A532" s="8" t="s">
        <v>2095</v>
      </c>
      <c r="B532" s="9" t="s">
        <v>12</v>
      </c>
      <c r="C532" s="10" t="s">
        <v>443</v>
      </c>
      <c r="D532" s="10" t="str">
        <f ca="1">IFERROR(__xludf.DUMMYFUNCTION(" VLOOKUP(A529, IMPORTRANGE(""https://docs.google.com/spreadsheets/d/1fj_Bhi2XPL3siwIh4sx4VRLAe31yD50oKdj5UlRYW0c/"", ""Сводка!A:AA""), 11, FALSE)"),"978-601-281-014-1")</f>
        <v>978-601-281-014-1</v>
      </c>
      <c r="E532" s="11" t="s">
        <v>2096</v>
      </c>
      <c r="F532" s="11" t="s">
        <v>2097</v>
      </c>
      <c r="G532" s="12">
        <f ca="1">IFERROR(__xludf.DUMMYFUNCTION(" VLOOKUP(A529, IMPORTRANGE(""https://docs.google.com/spreadsheets/d/1fj_Bhi2XPL3siwIh4sx4VRLAe31yD50oKdj5UlRYW0c/"", ""Сводка!A:AA""), 5, FALSE)"),264)</f>
        <v>264</v>
      </c>
      <c r="H532" s="12" t="s">
        <v>47</v>
      </c>
      <c r="I532" s="10">
        <f ca="1">IFERROR(__xludf.DUMMYFUNCTION(" VLOOKUP(A529, IMPORTRANGE(""https://docs.google.com/spreadsheets/d/1QNLbnkR_AongFt22vMfNzfpjZ0CjpI8QI-w0wBnYA1w/"", ""Инфа!A:AA""), 6, FALSE)"),2024)</f>
        <v>2024</v>
      </c>
      <c r="J532" s="5">
        <f ca="1">ROUND((5000+G532*30),-2)</f>
        <v>12900</v>
      </c>
      <c r="K532" s="12" t="s">
        <v>25</v>
      </c>
      <c r="L532" s="15"/>
    </row>
    <row r="533" spans="1:12" ht="135">
      <c r="A533" s="8" t="s">
        <v>2098</v>
      </c>
      <c r="B533" s="9" t="s">
        <v>12</v>
      </c>
      <c r="C533" s="10" t="s">
        <v>443</v>
      </c>
      <c r="D533" s="10" t="str">
        <f ca="1">IFERROR(__xludf.DUMMYFUNCTION(" VLOOKUP(A530, IMPORTRANGE(""https://docs.google.com/spreadsheets/d/1fj_Bhi2XPL3siwIh4sx4VRLAe31yD50oKdj5UlRYW0c/"", ""Сводка!A:AA""), 11, FALSE)"),"978-601-240-249-0")</f>
        <v>978-601-240-249-0</v>
      </c>
      <c r="E533" s="11" t="s">
        <v>2099</v>
      </c>
      <c r="F533" s="11" t="s">
        <v>2100</v>
      </c>
      <c r="G533" s="12">
        <f ca="1">IFERROR(__xludf.DUMMYFUNCTION(" VLOOKUP(A530, IMPORTRANGE(""https://docs.google.com/spreadsheets/d/1fj_Bhi2XPL3siwIh4sx4VRLAe31yD50oKdj5UlRYW0c/"", ""Сводка!A:AA""), 5, FALSE)"),208)</f>
        <v>208</v>
      </c>
      <c r="H533" s="12" t="s">
        <v>538</v>
      </c>
      <c r="I533" s="10">
        <f ca="1">IFERROR(__xludf.DUMMYFUNCTION(" VLOOKUP(A530, IMPORTRANGE(""https://docs.google.com/spreadsheets/d/1QNLbnkR_AongFt22vMfNzfpjZ0CjpI8QI-w0wBnYA1w/"", ""Инфа!A:AA""), 6, FALSE)"),2024)</f>
        <v>2024</v>
      </c>
      <c r="J533" s="5">
        <f ca="1">ROUND((5000+G533*30),-2)</f>
        <v>11200</v>
      </c>
      <c r="K533" s="12" t="s">
        <v>368</v>
      </c>
      <c r="L533" s="15" t="s">
        <v>2101</v>
      </c>
    </row>
    <row r="534" spans="1:12" ht="202.5">
      <c r="A534" s="8" t="s">
        <v>2102</v>
      </c>
      <c r="B534" s="9" t="s">
        <v>12</v>
      </c>
      <c r="C534" s="10" t="s">
        <v>443</v>
      </c>
      <c r="D534" s="10" t="str">
        <f ca="1">IFERROR(__xludf.DUMMYFUNCTION(" VLOOKUP(A531, IMPORTRANGE(""https://docs.google.com/spreadsheets/d/1fj_Bhi2XPL3siwIh4sx4VRLAe31yD50oKdj5UlRYW0c/"", ""Сводка!A:AA""), 11, FALSE)"),"978-601-240-260-5")</f>
        <v>978-601-240-260-5</v>
      </c>
      <c r="E534" s="11" t="s">
        <v>2099</v>
      </c>
      <c r="F534" s="11" t="s">
        <v>2103</v>
      </c>
      <c r="G534" s="12">
        <f ca="1">IFERROR(__xludf.DUMMYFUNCTION(" VLOOKUP(A531, IMPORTRANGE(""https://docs.google.com/spreadsheets/d/1fj_Bhi2XPL3siwIh4sx4VRLAe31yD50oKdj5UlRYW0c/"", ""Сводка!A:AA""), 5, FALSE)"),152)</f>
        <v>152</v>
      </c>
      <c r="H534" s="12" t="s">
        <v>538</v>
      </c>
      <c r="I534" s="10">
        <f ca="1">IFERROR(__xludf.DUMMYFUNCTION(" VLOOKUP(A531, IMPORTRANGE(""https://docs.google.com/spreadsheets/d/1QNLbnkR_AongFt22vMfNzfpjZ0CjpI8QI-w0wBnYA1w/"", ""Инфа!A:AA""), 6, FALSE)"),2024)</f>
        <v>2024</v>
      </c>
      <c r="J534" s="5">
        <f ca="1">ROUND((5000+G534*30),-2)</f>
        <v>9600</v>
      </c>
      <c r="K534" s="12" t="s">
        <v>368</v>
      </c>
      <c r="L534" s="15" t="s">
        <v>2104</v>
      </c>
    </row>
    <row r="535" spans="1:12" ht="38.25">
      <c r="A535" s="8" t="s">
        <v>2105</v>
      </c>
      <c r="B535" s="9" t="s">
        <v>12</v>
      </c>
      <c r="C535" s="10" t="s">
        <v>443</v>
      </c>
      <c r="D535" s="10" t="str">
        <f ca="1">IFERROR(__xludf.DUMMYFUNCTION(" VLOOKUP(A532, IMPORTRANGE(""https://docs.google.com/spreadsheets/d/1fj_Bhi2XPL3siwIh4sx4VRLAe31yD50oKdj5UlRYW0c/"", ""Сводка!A:AA""), 11, FALSE)"),"978-601-310-041-8")</f>
        <v>978-601-310-041-8</v>
      </c>
      <c r="E535" s="11" t="s">
        <v>2106</v>
      </c>
      <c r="F535" s="11" t="s">
        <v>2107</v>
      </c>
      <c r="G535" s="12">
        <f ca="1">IFERROR(__xludf.DUMMYFUNCTION(" VLOOKUP(A532, IMPORTRANGE(""https://docs.google.com/spreadsheets/d/1fj_Bhi2XPL3siwIh4sx4VRLAe31yD50oKdj5UlRYW0c/"", ""Сводка!A:AA""), 5, FALSE)"),236)</f>
        <v>236</v>
      </c>
      <c r="H535" s="12" t="s">
        <v>538</v>
      </c>
      <c r="I535" s="10">
        <f ca="1">IFERROR(__xludf.DUMMYFUNCTION(" VLOOKUP(A532, IMPORTRANGE(""https://docs.google.com/spreadsheets/d/1QNLbnkR_AongFt22vMfNzfpjZ0CjpI8QI-w0wBnYA1w/"", ""Инфа!A:AA""), 6, FALSE)"),2024)</f>
        <v>2024</v>
      </c>
      <c r="J535" s="5">
        <f ca="1">ROUND((5000+G535*60),-2)</f>
        <v>19200</v>
      </c>
      <c r="K535" s="12" t="s">
        <v>1147</v>
      </c>
      <c r="L535" s="15"/>
    </row>
    <row r="536" spans="1:12" ht="56.25">
      <c r="A536" s="8" t="s">
        <v>2108</v>
      </c>
      <c r="B536" s="9" t="s">
        <v>12</v>
      </c>
      <c r="C536" s="10" t="s">
        <v>443</v>
      </c>
      <c r="D536" s="10" t="str">
        <f ca="1">IFERROR(__xludf.DUMMYFUNCTION(" VLOOKUP(A533, IMPORTRANGE(""https://docs.google.com/spreadsheets/d/1fj_Bhi2XPL3siwIh4sx4VRLAe31yD50oKdj5UlRYW0c/"", ""Сводка!A:AA""), 11, FALSE)"),"978-601-327-369-3")</f>
        <v>978-601-327-369-3</v>
      </c>
      <c r="E536" s="11" t="s">
        <v>2109</v>
      </c>
      <c r="F536" s="11" t="s">
        <v>2110</v>
      </c>
      <c r="G536" s="12">
        <f ca="1">IFERROR(__xludf.DUMMYFUNCTION(" VLOOKUP(A533, IMPORTRANGE(""https://docs.google.com/spreadsheets/d/1fj_Bhi2XPL3siwIh4sx4VRLAe31yD50oKdj5UlRYW0c/"", ""Сводка!A:AA""), 5, FALSE)"),308)</f>
        <v>308</v>
      </c>
      <c r="H536" s="12" t="s">
        <v>538</v>
      </c>
      <c r="I536" s="10">
        <f ca="1">IFERROR(__xludf.DUMMYFUNCTION(" VLOOKUP(A533, IMPORTRANGE(""https://docs.google.com/spreadsheets/d/1QNLbnkR_AongFt22vMfNzfpjZ0CjpI8QI-w0wBnYA1w/"", ""Инфа!A:AA""), 6, FALSE)"),2024)</f>
        <v>2024</v>
      </c>
      <c r="J536" s="5">
        <f ca="1">ROUND(((5000+G536*30)*1.3),-2)</f>
        <v>18500</v>
      </c>
      <c r="K536" s="12" t="s">
        <v>139</v>
      </c>
      <c r="L536" s="15" t="s">
        <v>2111</v>
      </c>
    </row>
    <row r="537" spans="1:12" ht="56.25">
      <c r="A537" s="8" t="s">
        <v>2112</v>
      </c>
      <c r="B537" s="9" t="s">
        <v>12</v>
      </c>
      <c r="C537" s="10" t="s">
        <v>443</v>
      </c>
      <c r="D537" s="10" t="str">
        <f ca="1">IFERROR(__xludf.DUMMYFUNCTION(" VLOOKUP(A534, IMPORTRANGE(""https://docs.google.com/spreadsheets/d/1fj_Bhi2XPL3siwIh4sx4VRLAe31yD50oKdj5UlRYW0c/"", ""Сводка!A:AA""), 11, FALSE)"),"9965-573-19-0")</f>
        <v>9965-573-19-0</v>
      </c>
      <c r="E537" s="11" t="s">
        <v>2109</v>
      </c>
      <c r="F537" s="11" t="s">
        <v>2113</v>
      </c>
      <c r="G537" s="12">
        <f ca="1">IFERROR(__xludf.DUMMYFUNCTION(" VLOOKUP(A534, IMPORTRANGE(""https://docs.google.com/spreadsheets/d/1fj_Bhi2XPL3siwIh4sx4VRLAe31yD50oKdj5UlRYW0c/"", ""Сводка!A:AA""), 5, FALSE)"),204)</f>
        <v>204</v>
      </c>
      <c r="H537" s="12" t="s">
        <v>538</v>
      </c>
      <c r="I537" s="10">
        <f ca="1">IFERROR(__xludf.DUMMYFUNCTION(" VLOOKUP(A534, IMPORTRANGE(""https://docs.google.com/spreadsheets/d/1QNLbnkR_AongFt22vMfNzfpjZ0CjpI8QI-w0wBnYA1w/"", ""Инфа!A:AA""), 6, FALSE)"),2024)</f>
        <v>2024</v>
      </c>
      <c r="J537" s="5">
        <f ca="1">ROUND((5000+G537*30),-2)</f>
        <v>11100</v>
      </c>
      <c r="K537" s="12" t="s">
        <v>139</v>
      </c>
      <c r="L537" s="15" t="s">
        <v>2114</v>
      </c>
    </row>
    <row r="538" spans="1:12" ht="191.25">
      <c r="A538" s="8" t="s">
        <v>2115</v>
      </c>
      <c r="B538" s="9" t="s">
        <v>12</v>
      </c>
      <c r="C538" s="10" t="s">
        <v>443</v>
      </c>
      <c r="D538" s="10" t="str">
        <f ca="1">IFERROR(__xludf.DUMMYFUNCTION(" VLOOKUP(A535, IMPORTRANGE(""https://docs.google.com/spreadsheets/d/1fj_Bhi2XPL3siwIh4sx4VRLAe31yD50oKdj5UlRYW0c/"", ""Сводка!A:AA""), 11, FALSE)"),"9965-573-19-0")</f>
        <v>9965-573-19-0</v>
      </c>
      <c r="E538" s="11" t="s">
        <v>2116</v>
      </c>
      <c r="F538" s="11" t="s">
        <v>2117</v>
      </c>
      <c r="G538" s="12">
        <f ca="1">IFERROR(__xludf.DUMMYFUNCTION(" VLOOKUP(A535, IMPORTRANGE(""https://docs.google.com/spreadsheets/d/1fj_Bhi2XPL3siwIh4sx4VRLAe31yD50oKdj5UlRYW0c/"", ""Сводка!A:AA""), 5, FALSE)"),196)</f>
        <v>196</v>
      </c>
      <c r="H538" s="12" t="s">
        <v>106</v>
      </c>
      <c r="I538" s="10">
        <f ca="1">IFERROR(__xludf.DUMMYFUNCTION(" VLOOKUP(A535, IMPORTRANGE(""https://docs.google.com/spreadsheets/d/1QNLbnkR_AongFt22vMfNzfpjZ0CjpI8QI-w0wBnYA1w/"", ""Инфа!A:AA""), 6, FALSE)"),2024)</f>
        <v>2024</v>
      </c>
      <c r="J538" s="5">
        <f ca="1">ROUND((5000+G538*30),-2)</f>
        <v>10900</v>
      </c>
      <c r="K538" s="12" t="s">
        <v>570</v>
      </c>
      <c r="L538" s="15" t="s">
        <v>2118</v>
      </c>
    </row>
    <row r="539" spans="1:12" ht="90">
      <c r="A539" s="8" t="s">
        <v>2119</v>
      </c>
      <c r="B539" s="9" t="s">
        <v>12</v>
      </c>
      <c r="C539" s="10" t="s">
        <v>443</v>
      </c>
      <c r="D539" s="10" t="str">
        <f ca="1">IFERROR(__xludf.DUMMYFUNCTION(" VLOOKUP(A536, IMPORTRANGE(""https://docs.google.com/spreadsheets/d/1fj_Bhi2XPL3siwIh4sx4VRLAe31yD50oKdj5UlRYW0c/"", ""Сводка!A:AA""), 11, FALSE)"),"9965-573-19-0")</f>
        <v>9965-573-19-0</v>
      </c>
      <c r="E539" s="11" t="s">
        <v>2120</v>
      </c>
      <c r="F539" s="11" t="s">
        <v>2121</v>
      </c>
      <c r="G539" s="12">
        <f ca="1">IFERROR(__xludf.DUMMYFUNCTION(" VLOOKUP(A536, IMPORTRANGE(""https://docs.google.com/spreadsheets/d/1fj_Bhi2XPL3siwIh4sx4VRLAe31yD50oKdj5UlRYW0c/"", ""Сводка!A:AA""), 5, FALSE)"),124)</f>
        <v>124</v>
      </c>
      <c r="H539" s="12" t="s">
        <v>511</v>
      </c>
      <c r="I539" s="10">
        <f ca="1">IFERROR(__xludf.DUMMYFUNCTION(" VLOOKUP(A536, IMPORTRANGE(""https://docs.google.com/spreadsheets/d/1QNLbnkR_AongFt22vMfNzfpjZ0CjpI8QI-w0wBnYA1w/"", ""Инфа!A:AA""), 6, FALSE)"),2024)</f>
        <v>2024</v>
      </c>
      <c r="J539" s="5">
        <f ca="1">ROUND((5000+G539*30),-2)</f>
        <v>8700</v>
      </c>
      <c r="K539" s="12" t="s">
        <v>139</v>
      </c>
      <c r="L539" s="15" t="s">
        <v>2122</v>
      </c>
    </row>
    <row r="540" spans="1:12" ht="168.75">
      <c r="A540" s="8" t="s">
        <v>2123</v>
      </c>
      <c r="B540" s="9" t="s">
        <v>12</v>
      </c>
      <c r="C540" s="10" t="s">
        <v>151</v>
      </c>
      <c r="D540" s="10" t="str">
        <f ca="1">IFERROR(__xludf.DUMMYFUNCTION(" VLOOKUP(A537, IMPORTRANGE(""https://docs.google.com/spreadsheets/d/1fj_Bhi2XPL3siwIh4sx4VRLAe31yD50oKdj5UlRYW0c/"", ""Сводка!A:AA""), 11, FALSE)"),"978-601-7160-94-4")</f>
        <v>978-601-7160-94-4</v>
      </c>
      <c r="E540" s="11" t="s">
        <v>2124</v>
      </c>
      <c r="F540" s="11" t="s">
        <v>2125</v>
      </c>
      <c r="G540" s="12">
        <f ca="1">IFERROR(__xludf.DUMMYFUNCTION(" VLOOKUP(A537, IMPORTRANGE(""https://docs.google.com/spreadsheets/d/1fj_Bhi2XPL3siwIh4sx4VRLAe31yD50oKdj5UlRYW0c/"", ""Сводка!A:AA""), 5, FALSE)"),144)</f>
        <v>144</v>
      </c>
      <c r="H540" s="12" t="s">
        <v>24</v>
      </c>
      <c r="I540" s="10">
        <f ca="1">IFERROR(__xludf.DUMMYFUNCTION(" VLOOKUP(A537, IMPORTRANGE(""https://docs.google.com/spreadsheets/d/1QNLbnkR_AongFt22vMfNzfpjZ0CjpI8QI-w0wBnYA1w/"", ""Инфа!A:AA""), 6, FALSE)"),2024)</f>
        <v>2024</v>
      </c>
      <c r="J540" s="5">
        <f ca="1">ROUND((5000+G540*30),-2)</f>
        <v>9300</v>
      </c>
      <c r="K540" s="12" t="s">
        <v>2126</v>
      </c>
      <c r="L540" s="15" t="s">
        <v>2127</v>
      </c>
    </row>
    <row r="541" spans="1:12" ht="191.25">
      <c r="A541" s="8" t="s">
        <v>2128</v>
      </c>
      <c r="B541" s="9" t="s">
        <v>12</v>
      </c>
      <c r="C541" s="10" t="s">
        <v>151</v>
      </c>
      <c r="D541" s="10" t="str">
        <f ca="1">IFERROR(__xludf.DUMMYFUNCTION(" VLOOKUP(A538, IMPORTRANGE(""https://docs.google.com/spreadsheets/d/1fj_Bhi2XPL3siwIh4sx4VRLAe31yD50oKdj5UlRYW0c/"", ""Сводка!A:AA""), 11, FALSE)"),"978-601-7160-90-6")</f>
        <v>978-601-7160-90-6</v>
      </c>
      <c r="E541" s="11" t="s">
        <v>2129</v>
      </c>
      <c r="F541" s="11" t="s">
        <v>2130</v>
      </c>
      <c r="G541" s="12">
        <f ca="1">IFERROR(__xludf.DUMMYFUNCTION(" VLOOKUP(A538, IMPORTRANGE(""https://docs.google.com/spreadsheets/d/1fj_Bhi2XPL3siwIh4sx4VRLAe31yD50oKdj5UlRYW0c/"", ""Сводка!A:AA""), 5, FALSE)"),116)</f>
        <v>116</v>
      </c>
      <c r="H541" s="12" t="s">
        <v>106</v>
      </c>
      <c r="I541" s="10">
        <f ca="1">IFERROR(__xludf.DUMMYFUNCTION(" VLOOKUP(A538, IMPORTRANGE(""https://docs.google.com/spreadsheets/d/1QNLbnkR_AongFt22vMfNzfpjZ0CjpI8QI-w0wBnYA1w/"", ""Инфа!A:AA""), 6, FALSE)"),2024)</f>
        <v>2024</v>
      </c>
      <c r="J541" s="5">
        <f ca="1">ROUND((5000+G541*60),-2)</f>
        <v>12000</v>
      </c>
      <c r="K541" s="12" t="s">
        <v>1581</v>
      </c>
      <c r="L541" s="15" t="s">
        <v>2131</v>
      </c>
    </row>
    <row r="542" spans="1:12" ht="146.25">
      <c r="A542" s="8" t="s">
        <v>2132</v>
      </c>
      <c r="B542" s="9" t="s">
        <v>12</v>
      </c>
      <c r="C542" s="10" t="s">
        <v>13</v>
      </c>
      <c r="D542" s="10" t="str">
        <f ca="1">IFERROR(__xludf.DUMMYFUNCTION(" VLOOKUP(A539, IMPORTRANGE(""https://docs.google.com/spreadsheets/d/1fj_Bhi2XPL3siwIh4sx4VRLAe31yD50oKdj5UlRYW0c/"", ""Сводка!A:AA""), 11, FALSE)"),"978-601-310-987-9")</f>
        <v>978-601-310-987-9</v>
      </c>
      <c r="E542" s="11" t="s">
        <v>2133</v>
      </c>
      <c r="F542" s="11" t="s">
        <v>2134</v>
      </c>
      <c r="G542" s="12">
        <f ca="1">IFERROR(__xludf.DUMMYFUNCTION(" VLOOKUP(A539, IMPORTRANGE(""https://docs.google.com/spreadsheets/d/1fj_Bhi2XPL3siwIh4sx4VRLAe31yD50oKdj5UlRYW0c/"", ""Сводка!A:AA""), 5, FALSE)"),236)</f>
        <v>236</v>
      </c>
      <c r="H542" s="12" t="s">
        <v>2135</v>
      </c>
      <c r="I542" s="10">
        <f ca="1">IFERROR(__xludf.DUMMYFUNCTION(" VLOOKUP(A539, IMPORTRANGE(""https://docs.google.com/spreadsheets/d/1QNLbnkR_AongFt22vMfNzfpjZ0CjpI8QI-w0wBnYA1w/"", ""Инфа!A:AA""), 6, FALSE)"),2024)</f>
        <v>2024</v>
      </c>
      <c r="J542" s="5">
        <f ca="1">ROUND((5000+G542*60),-2)</f>
        <v>19200</v>
      </c>
      <c r="K542" s="12" t="s">
        <v>2136</v>
      </c>
      <c r="L542" s="15" t="s">
        <v>2137</v>
      </c>
    </row>
    <row r="543" spans="1:12" ht="112.5">
      <c r="A543" s="8" t="s">
        <v>2138</v>
      </c>
      <c r="B543" s="9" t="s">
        <v>12</v>
      </c>
      <c r="C543" s="10" t="s">
        <v>443</v>
      </c>
      <c r="D543" s="10" t="str">
        <f ca="1">IFERROR(__xludf.DUMMYFUNCTION(" VLOOKUP(A540, IMPORTRANGE(""https://docs.google.com/spreadsheets/d/1fj_Bhi2XPL3siwIh4sx4VRLAe31yD50oKdj5UlRYW0c/"", ""Сводка!A:AA""), 11, FALSE)"),"978-601-310-192-7")</f>
        <v>978-601-310-192-7</v>
      </c>
      <c r="E543" s="11" t="s">
        <v>2139</v>
      </c>
      <c r="F543" s="11" t="s">
        <v>2140</v>
      </c>
      <c r="G543" s="12">
        <f ca="1">IFERROR(__xludf.DUMMYFUNCTION(" VLOOKUP(A540, IMPORTRANGE(""https://docs.google.com/spreadsheets/d/1fj_Bhi2XPL3siwIh4sx4VRLAe31yD50oKdj5UlRYW0c/"", ""Сводка!A:AA""), 5, FALSE)"),284)</f>
        <v>284</v>
      </c>
      <c r="H543" s="12" t="s">
        <v>511</v>
      </c>
      <c r="I543" s="10">
        <f ca="1">IFERROR(__xludf.DUMMYFUNCTION(" VLOOKUP(A540, IMPORTRANGE(""https://docs.google.com/spreadsheets/d/1QNLbnkR_AongFt22vMfNzfpjZ0CjpI8QI-w0wBnYA1w/"", ""Инфа!A:AA""), 6, FALSE)"),2024)</f>
        <v>2024</v>
      </c>
      <c r="J543" s="5">
        <f ca="1">ROUND((5000+G543*60),-2)</f>
        <v>22000</v>
      </c>
      <c r="K543" s="12" t="s">
        <v>440</v>
      </c>
      <c r="L543" s="15" t="s">
        <v>2141</v>
      </c>
    </row>
    <row r="544" spans="1:12" ht="112.5">
      <c r="A544" s="8" t="s">
        <v>2142</v>
      </c>
      <c r="B544" s="9" t="s">
        <v>12</v>
      </c>
      <c r="C544" s="10" t="s">
        <v>443</v>
      </c>
      <c r="D544" s="10" t="str">
        <f ca="1">IFERROR(__xludf.DUMMYFUNCTION(" VLOOKUP(A541, IMPORTRANGE(""https://docs.google.com/spreadsheets/d/1fj_Bhi2XPL3siwIh4sx4VRLAe31yD50oKdj5UlRYW0c/"", ""Сводка!A:AA""), 11, FALSE)"),"978-601-240-898-0")</f>
        <v>978-601-240-898-0</v>
      </c>
      <c r="E544" s="11" t="s">
        <v>2139</v>
      </c>
      <c r="F544" s="11" t="s">
        <v>2143</v>
      </c>
      <c r="G544" s="12">
        <f ca="1">IFERROR(__xludf.DUMMYFUNCTION(" VLOOKUP(A541, IMPORTRANGE(""https://docs.google.com/spreadsheets/d/1fj_Bhi2XPL3siwIh4sx4VRLAe31yD50oKdj5UlRYW0c/"", ""Сводка!A:AA""), 5, FALSE)"),280)</f>
        <v>280</v>
      </c>
      <c r="H544" s="12" t="s">
        <v>511</v>
      </c>
      <c r="I544" s="10">
        <f ca="1">IFERROR(__xludf.DUMMYFUNCTION(" VLOOKUP(A541, IMPORTRANGE(""https://docs.google.com/spreadsheets/d/1QNLbnkR_AongFt22vMfNzfpjZ0CjpI8QI-w0wBnYA1w/"", ""Инфа!A:AA""), 6, FALSE)"),2024)</f>
        <v>2024</v>
      </c>
      <c r="J544" s="5">
        <f ca="1">ROUND((5000+G544*60),-2)</f>
        <v>21800</v>
      </c>
      <c r="K544" s="12" t="s">
        <v>440</v>
      </c>
      <c r="L544" s="15" t="s">
        <v>2144</v>
      </c>
    </row>
    <row r="545" spans="1:12" ht="112.5">
      <c r="A545" s="8" t="s">
        <v>2145</v>
      </c>
      <c r="B545" s="9" t="s">
        <v>12</v>
      </c>
      <c r="C545" s="10" t="s">
        <v>443</v>
      </c>
      <c r="D545" s="10" t="str">
        <f ca="1">IFERROR(__xludf.DUMMYFUNCTION(" VLOOKUP(A542, IMPORTRANGE(""https://docs.google.com/spreadsheets/d/1fj_Bhi2XPL3siwIh4sx4VRLAe31yD50oKdj5UlRYW0c/"", ""Сводка!A:AA""), 11, FALSE)"),"978-601-342-642-6")</f>
        <v>978-601-342-642-6</v>
      </c>
      <c r="E545" s="11" t="s">
        <v>2146</v>
      </c>
      <c r="F545" s="11" t="s">
        <v>2147</v>
      </c>
      <c r="G545" s="12">
        <f ca="1">IFERROR(__xludf.DUMMYFUNCTION(" VLOOKUP(A542, IMPORTRANGE(""https://docs.google.com/spreadsheets/d/1fj_Bhi2XPL3siwIh4sx4VRLAe31yD50oKdj5UlRYW0c/"", ""Сводка!A:AA""), 5, FALSE)"),260)</f>
        <v>260</v>
      </c>
      <c r="H545" s="12" t="s">
        <v>446</v>
      </c>
      <c r="I545" s="10">
        <f ca="1">IFERROR(__xludf.DUMMYFUNCTION(" VLOOKUP(A542, IMPORTRANGE(""https://docs.google.com/spreadsheets/d/1QNLbnkR_AongFt22vMfNzfpjZ0CjpI8QI-w0wBnYA1w/"", ""Инфа!A:AA""), 6, FALSE)"),2024)</f>
        <v>2024</v>
      </c>
      <c r="J545" s="5">
        <f t="shared" ref="J545:J552" ca="1" si="14">ROUND((5000+G545*30),-2)</f>
        <v>12800</v>
      </c>
      <c r="K545" s="12" t="s">
        <v>63</v>
      </c>
      <c r="L545" s="15" t="s">
        <v>2148</v>
      </c>
    </row>
    <row r="546" spans="1:12" ht="56.25">
      <c r="A546" s="8" t="s">
        <v>2149</v>
      </c>
      <c r="B546" s="9" t="s">
        <v>12</v>
      </c>
      <c r="C546" s="10" t="s">
        <v>443</v>
      </c>
      <c r="D546" s="10" t="str">
        <f ca="1">IFERROR(__xludf.DUMMYFUNCTION(" VLOOKUP(A543, IMPORTRANGE(""https://docs.google.com/spreadsheets/d/1fj_Bhi2XPL3siwIh4sx4VRLAe31yD50oKdj5UlRYW0c/"", ""Сводка!A:AA""), 11, FALSE)"),"978-601-327-869-8")</f>
        <v>978-601-327-869-8</v>
      </c>
      <c r="E546" s="11" t="s">
        <v>2150</v>
      </c>
      <c r="F546" s="11" t="s">
        <v>2151</v>
      </c>
      <c r="G546" s="12">
        <f ca="1">IFERROR(__xludf.DUMMYFUNCTION(" VLOOKUP(A543, IMPORTRANGE(""https://docs.google.com/spreadsheets/d/1fj_Bhi2XPL3siwIh4sx4VRLAe31yD50oKdj5UlRYW0c/"", ""Сводка!A:AA""), 5, FALSE)"),208)</f>
        <v>208</v>
      </c>
      <c r="H546" s="12" t="s">
        <v>538</v>
      </c>
      <c r="I546" s="10">
        <f ca="1">IFERROR(__xludf.DUMMYFUNCTION(" VLOOKUP(A543, IMPORTRANGE(""https://docs.google.com/spreadsheets/d/1QNLbnkR_AongFt22vMfNzfpjZ0CjpI8QI-w0wBnYA1w/"", ""Инфа!A:AA""), 6, FALSE)"),2024)</f>
        <v>2024</v>
      </c>
      <c r="J546" s="5">
        <f t="shared" ca="1" si="14"/>
        <v>11200</v>
      </c>
      <c r="K546" s="12" t="s">
        <v>740</v>
      </c>
      <c r="L546" s="15" t="s">
        <v>2152</v>
      </c>
    </row>
    <row r="547" spans="1:12" ht="281.25">
      <c r="A547" s="8" t="s">
        <v>2153</v>
      </c>
      <c r="B547" s="9" t="s">
        <v>12</v>
      </c>
      <c r="C547" s="10" t="s">
        <v>443</v>
      </c>
      <c r="D547" s="10" t="str">
        <f ca="1">IFERROR(__xludf.DUMMYFUNCTION(" VLOOKUP(A544, IMPORTRANGE(""https://docs.google.com/spreadsheets/d/1fj_Bhi2XPL3siwIh4sx4VRLAe31yD50oKdj5UlRYW0c/"", ""Сводка!A:AA""), 11, FALSE)"),"978-601-342-472-9")</f>
        <v>978-601-342-472-9</v>
      </c>
      <c r="E547" s="11" t="s">
        <v>2154</v>
      </c>
      <c r="F547" s="11" t="s">
        <v>2155</v>
      </c>
      <c r="G547" s="12">
        <f ca="1">IFERROR(__xludf.DUMMYFUNCTION(" VLOOKUP(A544, IMPORTRANGE(""https://docs.google.com/spreadsheets/d/1fj_Bhi2XPL3siwIh4sx4VRLAe31yD50oKdj5UlRYW0c/"", ""Сводка!A:AA""), 5, FALSE)"),232)</f>
        <v>232</v>
      </c>
      <c r="H547" s="12" t="s">
        <v>511</v>
      </c>
      <c r="I547" s="10">
        <f ca="1">IFERROR(__xludf.DUMMYFUNCTION(" VLOOKUP(A544, IMPORTRANGE(""https://docs.google.com/spreadsheets/d/1QNLbnkR_AongFt22vMfNzfpjZ0CjpI8QI-w0wBnYA1w/"", ""Инфа!A:AA""), 6, FALSE)"),2024)</f>
        <v>2024</v>
      </c>
      <c r="J547" s="5">
        <f t="shared" ca="1" si="14"/>
        <v>12000</v>
      </c>
      <c r="K547" s="12" t="s">
        <v>213</v>
      </c>
      <c r="L547" s="15" t="s">
        <v>2156</v>
      </c>
    </row>
    <row r="548" spans="1:12" ht="303.75">
      <c r="A548" s="8" t="s">
        <v>2157</v>
      </c>
      <c r="B548" s="9" t="s">
        <v>12</v>
      </c>
      <c r="C548" s="12" t="s">
        <v>443</v>
      </c>
      <c r="D548" s="10" t="str">
        <f ca="1">IFERROR(__xludf.DUMMYFUNCTION(" VLOOKUP(A545, IMPORTRANGE(""https://docs.google.com/spreadsheets/d/1fj_Bhi2XPL3siwIh4sx4VRLAe31yD50oKdj5UlRYW0c/"", ""Сводка!A:AA""), 11, FALSE)"),"978-601-352-809-0")</f>
        <v>978-601-352-809-0</v>
      </c>
      <c r="E548" s="11" t="s">
        <v>2158</v>
      </c>
      <c r="F548" s="11" t="s">
        <v>2159</v>
      </c>
      <c r="G548" s="12">
        <f ca="1">IFERROR(__xludf.DUMMYFUNCTION(" VLOOKUP(A545, IMPORTRANGE(""https://docs.google.com/spreadsheets/d/1fj_Bhi2XPL3siwIh4sx4VRLAe31yD50oKdj5UlRYW0c/"", ""Сводка!A:AA""), 5, FALSE)"),176)</f>
        <v>176</v>
      </c>
      <c r="H548" s="12" t="s">
        <v>538</v>
      </c>
      <c r="I548" s="10">
        <f ca="1">IFERROR(__xludf.DUMMYFUNCTION(" VLOOKUP(A545, IMPORTRANGE(""https://docs.google.com/spreadsheets/d/1QNLbnkR_AongFt22vMfNzfpjZ0CjpI8QI-w0wBnYA1w/"", ""Инфа!A:AA""), 6, FALSE)"),2024)</f>
        <v>2024</v>
      </c>
      <c r="J548" s="5">
        <f t="shared" ca="1" si="14"/>
        <v>10300</v>
      </c>
      <c r="K548" s="12" t="s">
        <v>2160</v>
      </c>
      <c r="L548" s="15" t="s">
        <v>2161</v>
      </c>
    </row>
    <row r="549" spans="1:12" ht="303.75">
      <c r="A549" s="8" t="s">
        <v>2162</v>
      </c>
      <c r="B549" s="9" t="s">
        <v>12</v>
      </c>
      <c r="C549" s="12" t="s">
        <v>443</v>
      </c>
      <c r="D549" s="10" t="str">
        <f ca="1">IFERROR(__xludf.DUMMYFUNCTION(" VLOOKUP(A546, IMPORTRANGE(""https://docs.google.com/spreadsheets/d/1fj_Bhi2XPL3siwIh4sx4VRLAe31yD50oKdj5UlRYW0c/"", ""Сводка!A:AA""), 11, FALSE)"),"978-601-352-809-0")</f>
        <v>978-601-352-809-0</v>
      </c>
      <c r="E549" s="11" t="s">
        <v>2158</v>
      </c>
      <c r="F549" s="11" t="s">
        <v>2163</v>
      </c>
      <c r="G549" s="12">
        <f ca="1">IFERROR(__xludf.DUMMYFUNCTION(" VLOOKUP(A546, IMPORTRANGE(""https://docs.google.com/spreadsheets/d/1fj_Bhi2XPL3siwIh4sx4VRLAe31yD50oKdj5UlRYW0c/"", ""Сводка!A:AA""), 5, FALSE)"),240)</f>
        <v>240</v>
      </c>
      <c r="H549" s="12" t="s">
        <v>538</v>
      </c>
      <c r="I549" s="10">
        <f ca="1">IFERROR(__xludf.DUMMYFUNCTION(" VLOOKUP(A546, IMPORTRANGE(""https://docs.google.com/spreadsheets/d/1QNLbnkR_AongFt22vMfNzfpjZ0CjpI8QI-w0wBnYA1w/"", ""Инфа!A:AA""), 6, FALSE)"),2024)</f>
        <v>2024</v>
      </c>
      <c r="J549" s="5">
        <f t="shared" ca="1" si="14"/>
        <v>12200</v>
      </c>
      <c r="K549" s="12" t="s">
        <v>2160</v>
      </c>
      <c r="L549" s="15" t="s">
        <v>2161</v>
      </c>
    </row>
    <row r="550" spans="1:12" ht="78.75">
      <c r="A550" s="8" t="s">
        <v>2164</v>
      </c>
      <c r="B550" s="9" t="s">
        <v>12</v>
      </c>
      <c r="C550" s="12" t="s">
        <v>151</v>
      </c>
      <c r="D550" s="10" t="str">
        <f ca="1">IFERROR(__xludf.DUMMYFUNCTION(" VLOOKUP(A547, IMPORTRANGE(""https://docs.google.com/spreadsheets/d/1fj_Bhi2XPL3siwIh4sx4VRLAe31yD50oKdj5UlRYW0c/"", ""Сводка!A:AA""), 11, FALSE)"),"978-601-7543-94-5")</f>
        <v>978-601-7543-94-5</v>
      </c>
      <c r="E550" s="11" t="s">
        <v>2165</v>
      </c>
      <c r="F550" s="11" t="s">
        <v>2166</v>
      </c>
      <c r="G550" s="12">
        <f ca="1">IFERROR(__xludf.DUMMYFUNCTION(" VLOOKUP(A547, IMPORTRANGE(""https://docs.google.com/spreadsheets/d/1fj_Bhi2XPL3siwIh4sx4VRLAe31yD50oKdj5UlRYW0c/"", ""Сводка!A:AA""), 5, FALSE)"),128)</f>
        <v>128</v>
      </c>
      <c r="H550" s="12" t="s">
        <v>47</v>
      </c>
      <c r="I550" s="10">
        <f ca="1">IFERROR(__xludf.DUMMYFUNCTION(" VLOOKUP(A547, IMPORTRANGE(""https://docs.google.com/spreadsheets/d/1QNLbnkR_AongFt22vMfNzfpjZ0CjpI8QI-w0wBnYA1w/"", ""Инфа!A:AA""), 6, FALSE)"),2024)</f>
        <v>2024</v>
      </c>
      <c r="J550" s="5">
        <f t="shared" ca="1" si="14"/>
        <v>8800</v>
      </c>
      <c r="K550" s="12" t="s">
        <v>2167</v>
      </c>
      <c r="L550" s="15" t="s">
        <v>2168</v>
      </c>
    </row>
    <row r="551" spans="1:12" ht="168.75">
      <c r="A551" s="8" t="s">
        <v>2169</v>
      </c>
      <c r="B551" s="9" t="s">
        <v>12</v>
      </c>
      <c r="C551" s="12" t="s">
        <v>151</v>
      </c>
      <c r="D551" s="10" t="str">
        <f ca="1">IFERROR(__xludf.DUMMYFUNCTION(" VLOOKUP(A548, IMPORTRANGE(""https://docs.google.com/spreadsheets/d/1fj_Bhi2XPL3siwIh4sx4VRLAe31yD50oKdj5UlRYW0c/"", ""Сводка!A:AA""), 11, FALSE)"),"")</f>
        <v/>
      </c>
      <c r="E551" s="11" t="s">
        <v>2165</v>
      </c>
      <c r="F551" s="11" t="s">
        <v>2170</v>
      </c>
      <c r="G551" s="12">
        <f ca="1">IFERROR(__xludf.DUMMYFUNCTION(" VLOOKUP(A548, IMPORTRANGE(""https://docs.google.com/spreadsheets/d/1fj_Bhi2XPL3siwIh4sx4VRLAe31yD50oKdj5UlRYW0c/"", ""Сводка!A:AA""), 5, FALSE)"),136)</f>
        <v>136</v>
      </c>
      <c r="H551" s="12" t="s">
        <v>47</v>
      </c>
      <c r="I551" s="10">
        <f ca="1">IFERROR(__xludf.DUMMYFUNCTION(" VLOOKUP(A548, IMPORTRANGE(""https://docs.google.com/spreadsheets/d/1QNLbnkR_AongFt22vMfNzfpjZ0CjpI8QI-w0wBnYA1w/"", ""Инфа!A:AA""), 6, FALSE)"),2024)</f>
        <v>2024</v>
      </c>
      <c r="J551" s="5">
        <f t="shared" ca="1" si="14"/>
        <v>9100</v>
      </c>
      <c r="K551" s="12" t="s">
        <v>2167</v>
      </c>
      <c r="L551" s="15" t="s">
        <v>2171</v>
      </c>
    </row>
    <row r="552" spans="1:12" ht="101.25">
      <c r="A552" s="8" t="s">
        <v>2172</v>
      </c>
      <c r="B552" s="9" t="s">
        <v>12</v>
      </c>
      <c r="C552" s="12" t="s">
        <v>151</v>
      </c>
      <c r="D552" s="10" t="str">
        <f ca="1">IFERROR(__xludf.DUMMYFUNCTION(" VLOOKUP(A549, IMPORTRANGE(""https://docs.google.com/spreadsheets/d/1fj_Bhi2XPL3siwIh4sx4VRLAe31yD50oKdj5UlRYW0c/"", ""Сводка!A:AA""), 11, FALSE)"),"")</f>
        <v/>
      </c>
      <c r="E552" s="11" t="s">
        <v>2165</v>
      </c>
      <c r="F552" s="11" t="s">
        <v>2173</v>
      </c>
      <c r="G552" s="12">
        <f ca="1">IFERROR(__xludf.DUMMYFUNCTION(" VLOOKUP(A549, IMPORTRANGE(""https://docs.google.com/spreadsheets/d/1fj_Bhi2XPL3siwIh4sx4VRLAe31yD50oKdj5UlRYW0c/"", ""Сводка!A:AA""), 5, FALSE)"),180)</f>
        <v>180</v>
      </c>
      <c r="H552" s="12" t="s">
        <v>47</v>
      </c>
      <c r="I552" s="10">
        <f ca="1">IFERROR(__xludf.DUMMYFUNCTION(" VLOOKUP(A549, IMPORTRANGE(""https://docs.google.com/spreadsheets/d/1QNLbnkR_AongFt22vMfNzfpjZ0CjpI8QI-w0wBnYA1w/"", ""Инфа!A:AA""), 6, FALSE)"),2024)</f>
        <v>2024</v>
      </c>
      <c r="J552" s="5">
        <f t="shared" ca="1" si="14"/>
        <v>10400</v>
      </c>
      <c r="K552" s="12" t="s">
        <v>2167</v>
      </c>
      <c r="L552" s="15" t="s">
        <v>2174</v>
      </c>
    </row>
    <row r="553" spans="1:12" ht="202.5">
      <c r="A553" s="8" t="s">
        <v>2175</v>
      </c>
      <c r="B553" s="9" t="s">
        <v>12</v>
      </c>
      <c r="C553" s="12" t="s">
        <v>151</v>
      </c>
      <c r="D553" s="10" t="str">
        <f ca="1">IFERROR(__xludf.DUMMYFUNCTION(" VLOOKUP(A550, IMPORTRANGE(""https://docs.google.com/spreadsheets/d/1fj_Bhi2XPL3siwIh4sx4VRLAe31yD50oKdj5UlRYW0c/"", ""Сводка!A:AA""), 11, FALSE)"),"978-601-7529-08-06")</f>
        <v>978-601-7529-08-06</v>
      </c>
      <c r="E553" s="11" t="s">
        <v>2165</v>
      </c>
      <c r="F553" s="11" t="s">
        <v>2176</v>
      </c>
      <c r="G553" s="12">
        <f ca="1">IFERROR(__xludf.DUMMYFUNCTION(" VLOOKUP(A550, IMPORTRANGE(""https://docs.google.com/spreadsheets/d/1fj_Bhi2XPL3siwIh4sx4VRLAe31yD50oKdj5UlRYW0c/"", ""Сводка!A:AA""), 5, FALSE)"),244)</f>
        <v>244</v>
      </c>
      <c r="H553" s="12" t="s">
        <v>498</v>
      </c>
      <c r="I553" s="10">
        <f ca="1">IFERROR(__xludf.DUMMYFUNCTION(" VLOOKUP(A550, IMPORTRANGE(""https://docs.google.com/spreadsheets/d/1QNLbnkR_AongFt22vMfNzfpjZ0CjpI8QI-w0wBnYA1w/"", ""Инфа!A:AA""), 6, FALSE)"),2024)</f>
        <v>2024</v>
      </c>
      <c r="J553" s="5">
        <f ca="1">ROUND((5000+G553*60),-2)</f>
        <v>19600</v>
      </c>
      <c r="K553" s="12" t="s">
        <v>2167</v>
      </c>
      <c r="L553" s="15" t="s">
        <v>2177</v>
      </c>
    </row>
    <row r="554" spans="1:12" ht="281.25">
      <c r="A554" s="8" t="s">
        <v>2178</v>
      </c>
      <c r="B554" s="9" t="s">
        <v>12</v>
      </c>
      <c r="C554" s="12" t="s">
        <v>443</v>
      </c>
      <c r="D554" s="10" t="str">
        <f ca="1">IFERROR(__xludf.DUMMYFUNCTION(" VLOOKUP(A551, IMPORTRANGE(""https://docs.google.com/spreadsheets/d/1fj_Bhi2XPL3siwIh4sx4VRLAe31yD50oKdj5UlRYW0c/"", ""Сводка!A:AA""), 11, FALSE)"),"978-601-352-402-3")</f>
        <v>978-601-352-402-3</v>
      </c>
      <c r="E554" s="11" t="s">
        <v>2179</v>
      </c>
      <c r="F554" s="11" t="s">
        <v>2180</v>
      </c>
      <c r="G554" s="12">
        <f ca="1">IFERROR(__xludf.DUMMYFUNCTION(" VLOOKUP(A551, IMPORTRANGE(""https://docs.google.com/spreadsheets/d/1fj_Bhi2XPL3siwIh4sx4VRLAe31yD50oKdj5UlRYW0c/"", ""Сводка!A:AA""), 5, FALSE)"),280)</f>
        <v>280</v>
      </c>
      <c r="H554" s="12" t="s">
        <v>538</v>
      </c>
      <c r="I554" s="10">
        <f ca="1">IFERROR(__xludf.DUMMYFUNCTION(" VLOOKUP(A551, IMPORTRANGE(""https://docs.google.com/spreadsheets/d/1QNLbnkR_AongFt22vMfNzfpjZ0CjpI8QI-w0wBnYA1w/"", ""Инфа!A:AA""), 6, FALSE)"),2024)</f>
        <v>2024</v>
      </c>
      <c r="J554" s="5">
        <f ca="1">ROUND((5000+G554*30),-2)</f>
        <v>13400</v>
      </c>
      <c r="K554" s="12" t="s">
        <v>1332</v>
      </c>
      <c r="L554" s="16" t="s">
        <v>2181</v>
      </c>
    </row>
    <row r="555" spans="1:12" ht="191.25">
      <c r="A555" s="8" t="s">
        <v>2182</v>
      </c>
      <c r="B555" s="9" t="s">
        <v>12</v>
      </c>
      <c r="C555" s="12" t="s">
        <v>151</v>
      </c>
      <c r="D555" s="10" t="str">
        <f ca="1">IFERROR(__xludf.DUMMYFUNCTION(" VLOOKUP(A552, IMPORTRANGE(""https://docs.google.com/spreadsheets/d/1fj_Bhi2XPL3siwIh4sx4VRLAe31yD50oKdj5UlRYW0c/"", ""Сводка!A:AA""), 11, FALSE)"),"978-601-352-615-7")</f>
        <v>978-601-352-615-7</v>
      </c>
      <c r="E555" s="22" t="s">
        <v>2183</v>
      </c>
      <c r="F555" s="11" t="s">
        <v>2184</v>
      </c>
      <c r="G555" s="12">
        <f ca="1">IFERROR(__xludf.DUMMYFUNCTION(" VLOOKUP(A552, IMPORTRANGE(""https://docs.google.com/spreadsheets/d/1fj_Bhi2XPL3siwIh4sx4VRLAe31yD50oKdj5UlRYW0c/"", ""Сводка!A:AA""), 5, FALSE)"),288)</f>
        <v>288</v>
      </c>
      <c r="H555" s="12" t="s">
        <v>47</v>
      </c>
      <c r="I555" s="10">
        <f ca="1">IFERROR(__xludf.DUMMYFUNCTION(" VLOOKUP(A552, IMPORTRANGE(""https://docs.google.com/spreadsheets/d/1QNLbnkR_AongFt22vMfNzfpjZ0CjpI8QI-w0wBnYA1w/"", ""Инфа!A:AA""), 6, FALSE)"),2024)</f>
        <v>2024</v>
      </c>
      <c r="J555" s="5">
        <f ca="1">ROUND((5000+G555*60),-2)</f>
        <v>22300</v>
      </c>
      <c r="K555" s="12" t="s">
        <v>2185</v>
      </c>
      <c r="L555" s="15" t="s">
        <v>2186</v>
      </c>
    </row>
    <row r="556" spans="1:12" ht="326.25">
      <c r="A556" s="8" t="s">
        <v>2187</v>
      </c>
      <c r="B556" s="9" t="s">
        <v>12</v>
      </c>
      <c r="C556" s="12" t="s">
        <v>151</v>
      </c>
      <c r="D556" s="10" t="str">
        <f ca="1">IFERROR(__xludf.DUMMYFUNCTION(" VLOOKUP(A553, IMPORTRANGE(""https://docs.google.com/spreadsheets/d/1fj_Bhi2XPL3siwIh4sx4VRLAe31yD50oKdj5UlRYW0c/"", ""Сводка!A:AA""), 11, FALSE)"),"978-601-352-732-1")</f>
        <v>978-601-352-732-1</v>
      </c>
      <c r="E556" s="11" t="s">
        <v>2188</v>
      </c>
      <c r="F556" s="11" t="s">
        <v>2189</v>
      </c>
      <c r="G556" s="12">
        <f ca="1">IFERROR(__xludf.DUMMYFUNCTION(" VLOOKUP(A553, IMPORTRANGE(""https://docs.google.com/spreadsheets/d/1fj_Bhi2XPL3siwIh4sx4VRLAe31yD50oKdj5UlRYW0c/"", ""Сводка!A:AA""), 5, FALSE)"),220)</f>
        <v>220</v>
      </c>
      <c r="H556" s="12" t="s">
        <v>106</v>
      </c>
      <c r="I556" s="10">
        <f ca="1">IFERROR(__xludf.DUMMYFUNCTION(" VLOOKUP(A553, IMPORTRANGE(""https://docs.google.com/spreadsheets/d/1QNLbnkR_AongFt22vMfNzfpjZ0CjpI8QI-w0wBnYA1w/"", ""Инфа!A:AA""), 6, FALSE)"),2024)</f>
        <v>2024</v>
      </c>
      <c r="J556" s="5">
        <f ca="1">ROUND((5000+G556*30),-2)</f>
        <v>11600</v>
      </c>
      <c r="K556" s="12" t="s">
        <v>1603</v>
      </c>
      <c r="L556" s="15" t="s">
        <v>2190</v>
      </c>
    </row>
    <row r="557" spans="1:12" ht="326.25">
      <c r="A557" s="8" t="s">
        <v>2191</v>
      </c>
      <c r="B557" s="9" t="s">
        <v>12</v>
      </c>
      <c r="C557" s="12" t="s">
        <v>151</v>
      </c>
      <c r="D557" s="10" t="str">
        <f ca="1">IFERROR(__xludf.DUMMYFUNCTION(" VLOOKUP(A554, IMPORTRANGE(""https://docs.google.com/spreadsheets/d/1fj_Bhi2XPL3siwIh4sx4VRLAe31yD50oKdj5UlRYW0c/"", ""Сводка!A:AA""), 11, FALSE)"),"978-601-352-732-1")</f>
        <v>978-601-352-732-1</v>
      </c>
      <c r="E557" s="11" t="s">
        <v>2188</v>
      </c>
      <c r="F557" s="11" t="s">
        <v>2192</v>
      </c>
      <c r="G557" s="12">
        <f ca="1">IFERROR(__xludf.DUMMYFUNCTION(" VLOOKUP(A554, IMPORTRANGE(""https://docs.google.com/spreadsheets/d/1fj_Bhi2XPL3siwIh4sx4VRLAe31yD50oKdj5UlRYW0c/"", ""Сводка!A:AA""), 5, FALSE)"),176)</f>
        <v>176</v>
      </c>
      <c r="H557" s="12" t="s">
        <v>106</v>
      </c>
      <c r="I557" s="10">
        <f ca="1">IFERROR(__xludf.DUMMYFUNCTION(" VLOOKUP(A554, IMPORTRANGE(""https://docs.google.com/spreadsheets/d/1QNLbnkR_AongFt22vMfNzfpjZ0CjpI8QI-w0wBnYA1w/"", ""Инфа!A:AA""), 6, FALSE)"),2024)</f>
        <v>2024</v>
      </c>
      <c r="J557" s="5">
        <f ca="1">ROUND((5000+G557*30),-2)</f>
        <v>10300</v>
      </c>
      <c r="K557" s="12" t="s">
        <v>1603</v>
      </c>
      <c r="L557" s="15" t="s">
        <v>2190</v>
      </c>
    </row>
    <row r="558" spans="1:12" ht="236.25">
      <c r="A558" s="8" t="s">
        <v>2193</v>
      </c>
      <c r="B558" s="9" t="s">
        <v>12</v>
      </c>
      <c r="C558" s="12" t="s">
        <v>443</v>
      </c>
      <c r="D558" s="10" t="str">
        <f ca="1">IFERROR(__xludf.DUMMYFUNCTION(" VLOOKUP(A555, IMPORTRANGE(""https://docs.google.com/spreadsheets/d/1fj_Bhi2XPL3siwIh4sx4VRLAe31yD50oKdj5UlRYW0c/"", ""Сводка!A:AA""), 11, FALSE)"),"978-601-352-597-6")</f>
        <v>978-601-352-597-6</v>
      </c>
      <c r="E558" s="11" t="s">
        <v>2194</v>
      </c>
      <c r="F558" s="11" t="s">
        <v>2195</v>
      </c>
      <c r="G558" s="12">
        <f ca="1">IFERROR(__xludf.DUMMYFUNCTION(" VLOOKUP(A555, IMPORTRANGE(""https://docs.google.com/spreadsheets/d/1fj_Bhi2XPL3siwIh4sx4VRLAe31yD50oKdj5UlRYW0c/"", ""Сводка!A:AA""), 5, FALSE)"),284)</f>
        <v>284</v>
      </c>
      <c r="H558" s="12" t="s">
        <v>446</v>
      </c>
      <c r="I558" s="10">
        <f ca="1">IFERROR(__xludf.DUMMYFUNCTION(" VLOOKUP(A555, IMPORTRANGE(""https://docs.google.com/spreadsheets/d/1QNLbnkR_AongFt22vMfNzfpjZ0CjpI8QI-w0wBnYA1w/"", ""Инфа!A:AA""), 6, FALSE)"),2024)</f>
        <v>2024</v>
      </c>
      <c r="J558" s="5">
        <f ca="1">ROUND((5000+G558*60),-2)</f>
        <v>22000</v>
      </c>
      <c r="K558" s="12" t="s">
        <v>1603</v>
      </c>
      <c r="L558" s="15" t="s">
        <v>2196</v>
      </c>
    </row>
    <row r="559" spans="1:12" ht="247.5">
      <c r="A559" s="8" t="s">
        <v>2197</v>
      </c>
      <c r="B559" s="9" t="s">
        <v>12</v>
      </c>
      <c r="C559" s="12" t="s">
        <v>443</v>
      </c>
      <c r="D559" s="10" t="str">
        <f ca="1">IFERROR(__xludf.DUMMYFUNCTION(" VLOOKUP(A556, IMPORTRANGE(""https://docs.google.com/spreadsheets/d/1fj_Bhi2XPL3siwIh4sx4VRLAe31yD50oKdj5UlRYW0c/"", ""Сводка!A:AA""), 11, FALSE)"),"978-601-310-372-3")</f>
        <v>978-601-310-372-3</v>
      </c>
      <c r="E559" s="11" t="s">
        <v>2198</v>
      </c>
      <c r="F559" s="11" t="s">
        <v>2199</v>
      </c>
      <c r="G559" s="12">
        <f ca="1">IFERROR(__xludf.DUMMYFUNCTION(" VLOOKUP(A556, IMPORTRANGE(""https://docs.google.com/spreadsheets/d/1fj_Bhi2XPL3siwIh4sx4VRLAe31yD50oKdj5UlRYW0c/"", ""Сводка!A:AA""), 5, FALSE)"),284)</f>
        <v>284</v>
      </c>
      <c r="H559" s="12" t="s">
        <v>446</v>
      </c>
      <c r="I559" s="10">
        <f ca="1">IFERROR(__xludf.DUMMYFUNCTION(" VLOOKUP(A556, IMPORTRANGE(""https://docs.google.com/spreadsheets/d/1QNLbnkR_AongFt22vMfNzfpjZ0CjpI8QI-w0wBnYA1w/"", ""Инфа!A:AA""), 6, FALSE)"),2024)</f>
        <v>2024</v>
      </c>
      <c r="J559" s="5">
        <f ca="1">ROUND((5000+G559*60),-2)</f>
        <v>22000</v>
      </c>
      <c r="K559" s="12" t="s">
        <v>37</v>
      </c>
      <c r="L559" s="15" t="s">
        <v>2200</v>
      </c>
    </row>
    <row r="560" spans="1:12" ht="101.25">
      <c r="A560" s="8" t="s">
        <v>2201</v>
      </c>
      <c r="B560" s="9" t="s">
        <v>12</v>
      </c>
      <c r="C560" s="13" t="s">
        <v>443</v>
      </c>
      <c r="D560" s="10" t="str">
        <f ca="1">IFERROR(__xludf.DUMMYFUNCTION(" VLOOKUP(A557, IMPORTRANGE(""https://docs.google.com/spreadsheets/d/1fj_Bhi2XPL3siwIh4sx4VRLAe31yD50oKdj5UlRYW0c/"", ""Сводка!A:AA""), 11, FALSE)"),"978-601-310-647-2")</f>
        <v>978-601-310-647-2</v>
      </c>
      <c r="E560" s="19" t="s">
        <v>2202</v>
      </c>
      <c r="F560" s="19" t="s">
        <v>2203</v>
      </c>
      <c r="G560" s="12">
        <f ca="1">IFERROR(__xludf.DUMMYFUNCTION(" VLOOKUP(A557, IMPORTRANGE(""https://docs.google.com/spreadsheets/d/1fj_Bhi2XPL3siwIh4sx4VRLAe31yD50oKdj5UlRYW0c/"", ""Сводка!A:AA""), 5, FALSE)"),164)</f>
        <v>164</v>
      </c>
      <c r="H560" s="9" t="s">
        <v>511</v>
      </c>
      <c r="I560" s="10">
        <f ca="1">IFERROR(__xludf.DUMMYFUNCTION(" VLOOKUP(A557, IMPORTRANGE(""https://docs.google.com/spreadsheets/d/1QNLbnkR_AongFt22vMfNzfpjZ0CjpI8QI-w0wBnYA1w/"", ""Инфа!A:AA""), 6, FALSE)"),2024)</f>
        <v>2024</v>
      </c>
      <c r="J560" s="5">
        <f ca="1">ROUND((5000+G560*30),-2)</f>
        <v>9900</v>
      </c>
      <c r="K560" s="12" t="s">
        <v>243</v>
      </c>
      <c r="L560" s="21" t="s">
        <v>2204</v>
      </c>
    </row>
    <row r="561" spans="1:12" ht="236.25">
      <c r="A561" s="8" t="s">
        <v>2205</v>
      </c>
      <c r="B561" s="9" t="s">
        <v>12</v>
      </c>
      <c r="C561" s="12" t="s">
        <v>151</v>
      </c>
      <c r="D561" s="10" t="str">
        <f ca="1">IFERROR(__xludf.DUMMYFUNCTION(" VLOOKUP(A558, IMPORTRANGE(""https://docs.google.com/spreadsheets/d/1fj_Bhi2XPL3siwIh4sx4VRLAe31yD50oKdj5UlRYW0c/"", ""Сводка!A:AA""), 11, FALSE)"),"")</f>
        <v/>
      </c>
      <c r="E561" s="11" t="s">
        <v>2206</v>
      </c>
      <c r="F561" s="11" t="s">
        <v>2207</v>
      </c>
      <c r="G561" s="12">
        <f ca="1">IFERROR(__xludf.DUMMYFUNCTION(" VLOOKUP(A558, IMPORTRANGE(""https://docs.google.com/spreadsheets/d/1fj_Bhi2XPL3siwIh4sx4VRLAe31yD50oKdj5UlRYW0c/"", ""Сводка!A:AA""), 5, FALSE)"),140)</f>
        <v>140</v>
      </c>
      <c r="H561" s="12" t="s">
        <v>106</v>
      </c>
      <c r="I561" s="10">
        <f ca="1">IFERROR(__xludf.DUMMYFUNCTION(" VLOOKUP(A558, IMPORTRANGE(""https://docs.google.com/spreadsheets/d/1QNLbnkR_AongFt22vMfNzfpjZ0CjpI8QI-w0wBnYA1w/"", ""Инфа!A:AA""), 6, FALSE)"),2024)</f>
        <v>2024</v>
      </c>
      <c r="J561" s="5">
        <f ca="1">ROUND((5000+G561*60),-2)</f>
        <v>13400</v>
      </c>
      <c r="K561" s="12" t="s">
        <v>1603</v>
      </c>
      <c r="L561" s="15" t="s">
        <v>2208</v>
      </c>
    </row>
    <row r="562" spans="1:12" ht="67.5">
      <c r="A562" s="8" t="s">
        <v>2209</v>
      </c>
      <c r="B562" s="9" t="s">
        <v>12</v>
      </c>
      <c r="C562" s="12" t="s">
        <v>151</v>
      </c>
      <c r="D562" s="10" t="str">
        <f ca="1">IFERROR(__xludf.DUMMYFUNCTION(" VLOOKUP(A559, IMPORTRANGE(""https://docs.google.com/spreadsheets/d/1fj_Bhi2XPL3siwIh4sx4VRLAe31yD50oKdj5UlRYW0c/"", ""Сводка!A:AA""), 11, FALSE)"),"978-601-352-890-8")</f>
        <v>978-601-352-890-8</v>
      </c>
      <c r="E562" s="11" t="s">
        <v>2210</v>
      </c>
      <c r="F562" s="11" t="s">
        <v>2211</v>
      </c>
      <c r="G562" s="12">
        <f ca="1">IFERROR(__xludf.DUMMYFUNCTION(" VLOOKUP(A559, IMPORTRANGE(""https://docs.google.com/spreadsheets/d/1fj_Bhi2XPL3siwIh4sx4VRLAe31yD50oKdj5UlRYW0c/"", ""Сводка!A:AA""), 5, FALSE)"),264)</f>
        <v>264</v>
      </c>
      <c r="H562" s="12" t="s">
        <v>165</v>
      </c>
      <c r="I562" s="10">
        <f ca="1">IFERROR(__xludf.DUMMYFUNCTION(" VLOOKUP(A559, IMPORTRANGE(""https://docs.google.com/spreadsheets/d/1QNLbnkR_AongFt22vMfNzfpjZ0CjpI8QI-w0wBnYA1w/"", ""Инфа!A:AA""), 6, FALSE)"),2024)</f>
        <v>2024</v>
      </c>
      <c r="J562" s="5">
        <f ca="1">ROUND((5000+G562*60),-2)</f>
        <v>20800</v>
      </c>
      <c r="K562" s="12" t="s">
        <v>1603</v>
      </c>
      <c r="L562" s="15" t="s">
        <v>2212</v>
      </c>
    </row>
    <row r="563" spans="1:12" ht="51">
      <c r="A563" s="8" t="s">
        <v>2213</v>
      </c>
      <c r="B563" s="9" t="s">
        <v>12</v>
      </c>
      <c r="C563" s="12" t="s">
        <v>151</v>
      </c>
      <c r="D563" s="10" t="str">
        <f ca="1">IFERROR(__xludf.DUMMYFUNCTION(" VLOOKUP(A560, IMPORTRANGE(""https://docs.google.com/spreadsheets/d/1fj_Bhi2XPL3siwIh4sx4VRLAe31yD50oKdj5UlRYW0c/"", ""Сводка!A:AA""), 11, FALSE)"),"978-601-342-130-8")</f>
        <v>978-601-342-130-8</v>
      </c>
      <c r="E563" s="11" t="s">
        <v>2214</v>
      </c>
      <c r="F563" s="11" t="s">
        <v>2215</v>
      </c>
      <c r="G563" s="12">
        <f ca="1">IFERROR(__xludf.DUMMYFUNCTION(" VLOOKUP(A560, IMPORTRANGE(""https://docs.google.com/spreadsheets/d/1fj_Bhi2XPL3siwIh4sx4VRLAe31yD50oKdj5UlRYW0c/"", ""Сводка!A:AA""), 5, FALSE)"),108)</f>
        <v>108</v>
      </c>
      <c r="H563" s="12" t="s">
        <v>2216</v>
      </c>
      <c r="I563" s="10">
        <f ca="1">IFERROR(__xludf.DUMMYFUNCTION(" VLOOKUP(A560, IMPORTRANGE(""https://docs.google.com/spreadsheets/d/1QNLbnkR_AongFt22vMfNzfpjZ0CjpI8QI-w0wBnYA1w/"", ""Инфа!A:AA""), 6, FALSE)"),2023)</f>
        <v>2023</v>
      </c>
      <c r="J563" s="5">
        <f ca="1">ROUND((5000+G563*60),-2)</f>
        <v>11500</v>
      </c>
      <c r="K563" s="12" t="s">
        <v>2217</v>
      </c>
      <c r="L563" s="15" t="s">
        <v>2218</v>
      </c>
    </row>
    <row r="564" spans="1:12" ht="247.5">
      <c r="A564" s="8" t="s">
        <v>2219</v>
      </c>
      <c r="B564" s="9" t="s">
        <v>12</v>
      </c>
      <c r="C564" s="12" t="s">
        <v>443</v>
      </c>
      <c r="D564" s="10" t="str">
        <f ca="1">IFERROR(__xludf.DUMMYFUNCTION(" VLOOKUP(A561, IMPORTRANGE(""https://docs.google.com/spreadsheets/d/1fj_Bhi2XPL3siwIh4sx4VRLAe31yD50oKdj5UlRYW0c/"", ""Сводка!A:AA""), 11, FALSE)"),"978-601-352-700-0")</f>
        <v>978-601-352-700-0</v>
      </c>
      <c r="E564" s="11" t="s">
        <v>2220</v>
      </c>
      <c r="F564" s="11" t="s">
        <v>2221</v>
      </c>
      <c r="G564" s="12">
        <f ca="1">IFERROR(__xludf.DUMMYFUNCTION(" VLOOKUP(A561, IMPORTRANGE(""https://docs.google.com/spreadsheets/d/1fj_Bhi2XPL3siwIh4sx4VRLAe31yD50oKdj5UlRYW0c/"", ""Сводка!A:AA""), 5, FALSE)"),300)</f>
        <v>300</v>
      </c>
      <c r="H564" s="12" t="s">
        <v>446</v>
      </c>
      <c r="I564" s="10">
        <f ca="1">IFERROR(__xludf.DUMMYFUNCTION(" VLOOKUP(A561, IMPORTRANGE(""https://docs.google.com/spreadsheets/d/1QNLbnkR_AongFt22vMfNzfpjZ0CjpI8QI-w0wBnYA1w/"", ""Инфа!A:AA""), 6, FALSE)"),2024)</f>
        <v>2024</v>
      </c>
      <c r="J564" s="5">
        <f ca="1">ROUND((5000+G564*30),-2)</f>
        <v>14000</v>
      </c>
      <c r="K564" s="12" t="s">
        <v>2222</v>
      </c>
      <c r="L564" s="15" t="s">
        <v>2223</v>
      </c>
    </row>
    <row r="565" spans="1:12" ht="247.5">
      <c r="A565" s="8" t="s">
        <v>2224</v>
      </c>
      <c r="B565" s="9" t="s">
        <v>12</v>
      </c>
      <c r="C565" s="12" t="s">
        <v>443</v>
      </c>
      <c r="D565" s="40" t="s">
        <v>2225</v>
      </c>
      <c r="E565" s="11" t="s">
        <v>2226</v>
      </c>
      <c r="F565" s="11" t="s">
        <v>2227</v>
      </c>
      <c r="G565" s="12">
        <f ca="1">IFERROR(__xludf.DUMMYFUNCTION(" VLOOKUP(A562, IMPORTRANGE(""https://docs.google.com/spreadsheets/d/1fj_Bhi2XPL3siwIh4sx4VRLAe31yD50oKdj5UlRYW0c/"", ""Сводка!A:AA""), 5, FALSE)"),196)</f>
        <v>196</v>
      </c>
      <c r="H565" s="12" t="s">
        <v>446</v>
      </c>
      <c r="I565" s="10">
        <f ca="1">IFERROR(__xludf.DUMMYFUNCTION(" VLOOKUP(A562, IMPORTRANGE(""https://docs.google.com/spreadsheets/d/1QNLbnkR_AongFt22vMfNzfpjZ0CjpI8QI-w0wBnYA1w/"", ""Инфа!A:AA""), 6, FALSE)"),2024)</f>
        <v>2024</v>
      </c>
      <c r="J565" s="5">
        <f ca="1">ROUND((5000+G565*30),-2)</f>
        <v>10900</v>
      </c>
      <c r="K565" s="12" t="s">
        <v>2228</v>
      </c>
      <c r="L565" s="15" t="s">
        <v>2229</v>
      </c>
    </row>
    <row r="566" spans="1:12" ht="67.5">
      <c r="A566" s="8" t="s">
        <v>2230</v>
      </c>
      <c r="B566" s="9" t="s">
        <v>2231</v>
      </c>
      <c r="C566" s="12" t="s">
        <v>13</v>
      </c>
      <c r="D566" s="10" t="str">
        <f ca="1">IFERROR(__xludf.DUMMYFUNCTION(" VLOOKUP(A563, IMPORTRANGE(""https://docs.google.com/spreadsheets/d/1fj_Bhi2XPL3siwIh4sx4VRLAe31yD50oKdj5UlRYW0c/"", ""Сводка!A:AA""), 11, FALSE)"),"978-601-352-738-3")</f>
        <v>978-601-352-738-3</v>
      </c>
      <c r="E566" s="11" t="s">
        <v>2232</v>
      </c>
      <c r="F566" s="11" t="s">
        <v>2233</v>
      </c>
      <c r="G566" s="12">
        <f ca="1">IFERROR(__xludf.DUMMYFUNCTION(" VLOOKUP(A563, IMPORTRANGE(""https://docs.google.com/spreadsheets/d/1fj_Bhi2XPL3siwIh4sx4VRLAe31yD50oKdj5UlRYW0c/"", ""Сводка!A:AA""), 5, FALSE)"),124)</f>
        <v>124</v>
      </c>
      <c r="H566" s="12" t="s">
        <v>307</v>
      </c>
      <c r="I566" s="10">
        <f ca="1">IFERROR(__xludf.DUMMYFUNCTION(" VLOOKUP(A563, IMPORTRANGE(""https://docs.google.com/spreadsheets/d/1QNLbnkR_AongFt22vMfNzfpjZ0CjpI8QI-w0wBnYA1w/"", ""Инфа!A:AA""), 6, FALSE)"),2024)</f>
        <v>2024</v>
      </c>
      <c r="J566" s="5">
        <f ca="1">ROUND(((5000+G566*30)*1.3),-2)</f>
        <v>11300</v>
      </c>
      <c r="K566" s="12"/>
      <c r="L566" s="15" t="s">
        <v>2234</v>
      </c>
    </row>
    <row r="567" spans="1:12" ht="292.5">
      <c r="A567" s="8" t="s">
        <v>2235</v>
      </c>
      <c r="B567" s="9" t="s">
        <v>12</v>
      </c>
      <c r="C567" s="12" t="s">
        <v>151</v>
      </c>
      <c r="D567" s="10" t="str">
        <f ca="1">IFERROR(__xludf.DUMMYFUNCTION(" VLOOKUP(A564, IMPORTRANGE(""https://docs.google.com/spreadsheets/d/1fj_Bhi2XPL3siwIh4sx4VRLAe31yD50oKdj5UlRYW0c/"", ""Сводка!A:AA""), 11, FALSE)"),"")</f>
        <v/>
      </c>
      <c r="E567" s="11" t="s">
        <v>2236</v>
      </c>
      <c r="F567" s="11" t="s">
        <v>2237</v>
      </c>
      <c r="G567" s="12">
        <f ca="1">IFERROR(__xludf.DUMMYFUNCTION(" VLOOKUP(A564, IMPORTRANGE(""https://docs.google.com/spreadsheets/d/1fj_Bhi2XPL3siwIh4sx4VRLAe31yD50oKdj5UlRYW0c/"", ""Сводка!A:AA""), 5, FALSE)"),236)</f>
        <v>236</v>
      </c>
      <c r="H567" s="12" t="s">
        <v>2238</v>
      </c>
      <c r="I567" s="10">
        <f ca="1">IFERROR(__xludf.DUMMYFUNCTION(" VLOOKUP(A564, IMPORTRANGE(""https://docs.google.com/spreadsheets/d/1QNLbnkR_AongFt22vMfNzfpjZ0CjpI8QI-w0wBnYA1w/"", ""Инфа!A:AA""), 6, FALSE)"),2024)</f>
        <v>2024</v>
      </c>
      <c r="J567" s="5">
        <f ca="1">ROUND((5000+G567*30),-2)</f>
        <v>12100</v>
      </c>
      <c r="K567" s="12" t="s">
        <v>2239</v>
      </c>
      <c r="L567" s="15" t="s">
        <v>2240</v>
      </c>
    </row>
    <row r="568" spans="1:12" ht="213.75">
      <c r="A568" s="8" t="s">
        <v>2241</v>
      </c>
      <c r="B568" s="9" t="s">
        <v>12</v>
      </c>
      <c r="C568" s="12" t="s">
        <v>443</v>
      </c>
      <c r="D568" s="10" t="str">
        <f ca="1">IFERROR(__xludf.DUMMYFUNCTION(" VLOOKUP(A565, IMPORTRANGE(""https://docs.google.com/spreadsheets/d/1fj_Bhi2XPL3siwIh4sx4VRLAe31yD50oKdj5UlRYW0c/"", ""Сводка!A:AA""), 11, FALSE)"),"978-601-330-102-0")</f>
        <v>978-601-330-102-0</v>
      </c>
      <c r="E568" s="11" t="s">
        <v>2242</v>
      </c>
      <c r="F568" s="11" t="s">
        <v>2243</v>
      </c>
      <c r="G568" s="12">
        <f ca="1">IFERROR(__xludf.DUMMYFUNCTION(" VLOOKUP(A565, IMPORTRANGE(""https://docs.google.com/spreadsheets/d/1fj_Bhi2XPL3siwIh4sx4VRLAe31yD50oKdj5UlRYW0c/"", ""Сводка!A:AA""), 5, FALSE)"),128)</f>
        <v>128</v>
      </c>
      <c r="H568" s="12" t="s">
        <v>538</v>
      </c>
      <c r="I568" s="10">
        <f ca="1">IFERROR(__xludf.DUMMYFUNCTION(" VLOOKUP(A565, IMPORTRANGE(""https://docs.google.com/spreadsheets/d/1QNLbnkR_AongFt22vMfNzfpjZ0CjpI8QI-w0wBnYA1w/"", ""Инфа!A:AA""), 6, FALSE)"),2024)</f>
        <v>2024</v>
      </c>
      <c r="J568" s="5">
        <f ca="1">ROUND((5000+G568*30),-2)</f>
        <v>8800</v>
      </c>
      <c r="K568" s="12" t="s">
        <v>2244</v>
      </c>
      <c r="L568" s="15" t="s">
        <v>2245</v>
      </c>
    </row>
    <row r="569" spans="1:12" ht="135">
      <c r="A569" s="8" t="s">
        <v>2246</v>
      </c>
      <c r="B569" s="9" t="s">
        <v>12</v>
      </c>
      <c r="C569" s="12" t="s">
        <v>151</v>
      </c>
      <c r="D569" s="10" t="str">
        <f ca="1">IFERROR(__xludf.DUMMYFUNCTION(" VLOOKUP(A566, IMPORTRANGE(""https://docs.google.com/spreadsheets/d/1fj_Bhi2XPL3siwIh4sx4VRLAe31yD50oKdj5UlRYW0c/"", ""Сводка!A:AA""), 11, FALSE)"),"978-601-330-110-5")</f>
        <v>978-601-330-110-5</v>
      </c>
      <c r="E569" s="11" t="s">
        <v>2247</v>
      </c>
      <c r="F569" s="11" t="s">
        <v>2248</v>
      </c>
      <c r="G569" s="12">
        <f ca="1">IFERROR(__xludf.DUMMYFUNCTION(" VLOOKUP(A566, IMPORTRANGE(""https://docs.google.com/spreadsheets/d/1fj_Bhi2XPL3siwIh4sx4VRLAe31yD50oKdj5UlRYW0c/"", ""Сводка!A:AA""), 5, FALSE)"),200)</f>
        <v>200</v>
      </c>
      <c r="H569" s="12" t="s">
        <v>47</v>
      </c>
      <c r="I569" s="10">
        <f ca="1">IFERROR(__xludf.DUMMYFUNCTION(" VLOOKUP(A566, IMPORTRANGE(""https://docs.google.com/spreadsheets/d/1QNLbnkR_AongFt22vMfNzfpjZ0CjpI8QI-w0wBnYA1w/"", ""Инфа!A:AA""), 6, FALSE)"),2023)</f>
        <v>2023</v>
      </c>
      <c r="J569" s="5">
        <f ca="1">ROUND((5000+G569*60),-2)</f>
        <v>17000</v>
      </c>
      <c r="K569" s="12" t="s">
        <v>2249</v>
      </c>
      <c r="L569" s="15" t="s">
        <v>2250</v>
      </c>
    </row>
    <row r="570" spans="1:12" ht="202.5">
      <c r="A570" s="8" t="s">
        <v>2251</v>
      </c>
      <c r="B570" s="9" t="s">
        <v>2231</v>
      </c>
      <c r="C570" s="12" t="s">
        <v>443</v>
      </c>
      <c r="D570" s="10" t="str">
        <f ca="1">IFERROR(__xludf.DUMMYFUNCTION(" VLOOKUP(A567, IMPORTRANGE(""https://docs.google.com/spreadsheets/d/1fj_Bhi2XPL3siwIh4sx4VRLAe31yD50oKdj5UlRYW0c/"", ""Сводка!A:AA""), 11, FALSE)"),"")</f>
        <v/>
      </c>
      <c r="E570" s="11" t="s">
        <v>2252</v>
      </c>
      <c r="F570" s="11" t="s">
        <v>2253</v>
      </c>
      <c r="G570" s="12">
        <f ca="1">IFERROR(__xludf.DUMMYFUNCTION(" VLOOKUP(A567, IMPORTRANGE(""https://docs.google.com/spreadsheets/d/1fj_Bhi2XPL3siwIh4sx4VRLAe31yD50oKdj5UlRYW0c/"", ""Сводка!A:AA""), 5, FALSE)"),60)</f>
        <v>60</v>
      </c>
      <c r="H570" s="12" t="s">
        <v>777</v>
      </c>
      <c r="I570" s="10">
        <f ca="1">IFERROR(__xludf.DUMMYFUNCTION(" VLOOKUP(A567, IMPORTRANGE(""https://docs.google.com/spreadsheets/d/1QNLbnkR_AongFt22vMfNzfpjZ0CjpI8QI-w0wBnYA1w/"", ""Инфа!A:AA""), 6, FALSE)"),2024)</f>
        <v>2024</v>
      </c>
      <c r="J570" s="5">
        <f ca="1">ROUND((5000+G570*30),-2)</f>
        <v>6800</v>
      </c>
      <c r="K570" s="12" t="s">
        <v>2254</v>
      </c>
      <c r="L570" s="15" t="s">
        <v>2255</v>
      </c>
    </row>
    <row r="571" spans="1:12" ht="90">
      <c r="A571" s="8" t="s">
        <v>2256</v>
      </c>
      <c r="B571" s="9" t="s">
        <v>12</v>
      </c>
      <c r="C571" s="13" t="s">
        <v>443</v>
      </c>
      <c r="D571" s="10" t="str">
        <f ca="1">IFERROR(__xludf.DUMMYFUNCTION(" VLOOKUP(A568, IMPORTRANGE(""https://docs.google.com/spreadsheets/d/1fj_Bhi2XPL3siwIh4sx4VRLAe31yD50oKdj5UlRYW0c/"", ""Сводка!A:AA""), 11, FALSE)"),"978-601-310-603-8")</f>
        <v>978-601-310-603-8</v>
      </c>
      <c r="E571" s="19" t="s">
        <v>2202</v>
      </c>
      <c r="F571" s="19" t="s">
        <v>2257</v>
      </c>
      <c r="G571" s="12">
        <f ca="1">IFERROR(__xludf.DUMMYFUNCTION(" VLOOKUP(A568, IMPORTRANGE(""https://docs.google.com/spreadsheets/d/1fj_Bhi2XPL3siwIh4sx4VRLAe31yD50oKdj5UlRYW0c/"", ""Сводка!A:AA""), 5, FALSE)"),116)</f>
        <v>116</v>
      </c>
      <c r="H571" s="9" t="s">
        <v>686</v>
      </c>
      <c r="I571" s="10">
        <f ca="1">IFERROR(__xludf.DUMMYFUNCTION(" VLOOKUP(A568, IMPORTRANGE(""https://docs.google.com/spreadsheets/d/1QNLbnkR_AongFt22vMfNzfpjZ0CjpI8QI-w0wBnYA1w/"", ""Инфа!A:AA""), 6, FALSE)"),2024)</f>
        <v>2024</v>
      </c>
      <c r="J571" s="5">
        <f ca="1">ROUND((5000+G571*30),-2)</f>
        <v>8500</v>
      </c>
      <c r="K571" s="12" t="s">
        <v>243</v>
      </c>
      <c r="L571" s="21" t="s">
        <v>2258</v>
      </c>
    </row>
    <row r="572" spans="1:12" ht="101.25">
      <c r="A572" s="8" t="s">
        <v>2259</v>
      </c>
      <c r="B572" s="9" t="s">
        <v>2231</v>
      </c>
      <c r="C572" s="12" t="s">
        <v>443</v>
      </c>
      <c r="D572" s="10" t="str">
        <f ca="1">IFERROR(__xludf.DUMMYFUNCTION(" VLOOKUP(A569, IMPORTRANGE(""https://docs.google.com/spreadsheets/d/1fj_Bhi2XPL3siwIh4sx4VRLAe31yD50oKdj5UlRYW0c/"", ""Сводка!A:AA""), 11, FALSE)"),"978-601-330-694-0")</f>
        <v>978-601-330-694-0</v>
      </c>
      <c r="E572" s="11" t="s">
        <v>2252</v>
      </c>
      <c r="F572" s="11" t="s">
        <v>2260</v>
      </c>
      <c r="G572" s="12">
        <f ca="1">IFERROR(__xludf.DUMMYFUNCTION(" VLOOKUP(A569, IMPORTRANGE(""https://docs.google.com/spreadsheets/d/1fj_Bhi2XPL3siwIh4sx4VRLAe31yD50oKdj5UlRYW0c/"", ""Сводка!A:AA""), 5, FALSE)"),124)</f>
        <v>124</v>
      </c>
      <c r="H572" s="12" t="s">
        <v>538</v>
      </c>
      <c r="I572" s="10">
        <f ca="1">IFERROR(__xludf.DUMMYFUNCTION(" VLOOKUP(A569, IMPORTRANGE(""https://docs.google.com/spreadsheets/d/1QNLbnkR_AongFt22vMfNzfpjZ0CjpI8QI-w0wBnYA1w/"", ""Инфа!A:AA""), 6, FALSE)"),2023)</f>
        <v>2023</v>
      </c>
      <c r="J572" s="5">
        <f ca="1">ROUND((5000+G572*30),-2)</f>
        <v>8700</v>
      </c>
      <c r="K572" s="12" t="s">
        <v>2254</v>
      </c>
      <c r="L572" s="15" t="s">
        <v>2261</v>
      </c>
    </row>
    <row r="573" spans="1:12" ht="315">
      <c r="A573" s="8" t="s">
        <v>2262</v>
      </c>
      <c r="B573" s="9" t="s">
        <v>2231</v>
      </c>
      <c r="C573" s="12" t="s">
        <v>151</v>
      </c>
      <c r="D573" s="10" t="s">
        <v>2263</v>
      </c>
      <c r="E573" s="11" t="s">
        <v>2264</v>
      </c>
      <c r="F573" s="11" t="s">
        <v>2265</v>
      </c>
      <c r="G573" s="12">
        <f ca="1">IFERROR(__xludf.DUMMYFUNCTION(" VLOOKUP(A570, IMPORTRANGE(""https://docs.google.com/spreadsheets/d/1fj_Bhi2XPL3siwIh4sx4VRLAe31yD50oKdj5UlRYW0c/"", ""Сводка!A:AA""), 5, FALSE)"),100)</f>
        <v>100</v>
      </c>
      <c r="H573" s="12" t="s">
        <v>24</v>
      </c>
      <c r="I573" s="10">
        <f ca="1">IFERROR(__xludf.DUMMYFUNCTION(" VLOOKUP(A570, IMPORTRANGE(""https://docs.google.com/spreadsheets/d/1QNLbnkR_AongFt22vMfNzfpjZ0CjpI8QI-w0wBnYA1w/"", ""Инфа!A:AA""), 6, FALSE)"),2024)</f>
        <v>2024</v>
      </c>
      <c r="J573" s="5">
        <f ca="1">ROUND((5000+G573*30),-2)</f>
        <v>8000</v>
      </c>
      <c r="K573" s="12"/>
      <c r="L573" s="15" t="s">
        <v>2266</v>
      </c>
    </row>
    <row r="574" spans="1:12" ht="135">
      <c r="A574" s="8" t="s">
        <v>2267</v>
      </c>
      <c r="B574" s="9" t="s">
        <v>12</v>
      </c>
      <c r="C574" s="12" t="s">
        <v>151</v>
      </c>
      <c r="D574" s="10" t="str">
        <f ca="1">IFERROR(__xludf.DUMMYFUNCTION(" VLOOKUP(A571, IMPORTRANGE(""https://docs.google.com/spreadsheets/d/1fj_Bhi2XPL3siwIh4sx4VRLAe31yD50oKdj5UlRYW0c/"", ""Сводка!A:AA""), 11, FALSE)"),"978-601-352-805-2")</f>
        <v>978-601-352-805-2</v>
      </c>
      <c r="E574" s="11" t="s">
        <v>2268</v>
      </c>
      <c r="F574" s="11" t="s">
        <v>2269</v>
      </c>
      <c r="G574" s="12">
        <f ca="1">IFERROR(__xludf.DUMMYFUNCTION(" VLOOKUP(A571, IMPORTRANGE(""https://docs.google.com/spreadsheets/d/1fj_Bhi2XPL3siwIh4sx4VRLAe31yD50oKdj5UlRYW0c/"", ""Сводка!A:AA""), 5, FALSE)"),220)</f>
        <v>220</v>
      </c>
      <c r="H574" s="12" t="s">
        <v>47</v>
      </c>
      <c r="I574" s="10">
        <f ca="1">IFERROR(__xludf.DUMMYFUNCTION(" VLOOKUP(A571, IMPORTRANGE(""https://docs.google.com/spreadsheets/d/1QNLbnkR_AongFt22vMfNzfpjZ0CjpI8QI-w0wBnYA1w/"", ""Инфа!A:AA""), 6, FALSE)"),2024)</f>
        <v>2024</v>
      </c>
      <c r="J574" s="5">
        <f ca="1">ROUND((5000+G574*60),-2)</f>
        <v>18200</v>
      </c>
      <c r="K574" s="12" t="s">
        <v>2270</v>
      </c>
      <c r="L574" s="16" t="s">
        <v>2271</v>
      </c>
    </row>
    <row r="575" spans="1:12" ht="315">
      <c r="A575" s="8" t="s">
        <v>2272</v>
      </c>
      <c r="B575" s="9" t="s">
        <v>12</v>
      </c>
      <c r="C575" s="12" t="s">
        <v>151</v>
      </c>
      <c r="D575" s="10" t="str">
        <f ca="1">IFERROR(__xludf.DUMMYFUNCTION(" VLOOKUP(A572, IMPORTRANGE(""https://docs.google.com/spreadsheets/d/1fj_Bhi2XPL3siwIh4sx4VRLAe31yD50oKdj5UlRYW0c/"", ""Сводка!A:AA""), 11, FALSE)"),"978-601-241-682-4")</f>
        <v>978-601-241-682-4</v>
      </c>
      <c r="E575" s="11" t="s">
        <v>2273</v>
      </c>
      <c r="F575" s="11" t="s">
        <v>2274</v>
      </c>
      <c r="G575" s="12">
        <f ca="1">IFERROR(__xludf.DUMMYFUNCTION(" VLOOKUP(A572, IMPORTRANGE(""https://docs.google.com/spreadsheets/d/1fj_Bhi2XPL3siwIh4sx4VRLAe31yD50oKdj5UlRYW0c/"", ""Сводка!A:AA""), 5, FALSE)"),148)</f>
        <v>148</v>
      </c>
      <c r="H575" s="12" t="s">
        <v>47</v>
      </c>
      <c r="I575" s="10">
        <f ca="1">IFERROR(__xludf.DUMMYFUNCTION(" VLOOKUP(A572, IMPORTRANGE(""https://docs.google.com/spreadsheets/d/1QNLbnkR_AongFt22vMfNzfpjZ0CjpI8QI-w0wBnYA1w/"", ""Инфа!A:AA""), 6, FALSE)"),2024)</f>
        <v>2024</v>
      </c>
      <c r="J575" s="5">
        <f ca="1">ROUND((5000+G575*30),-2)</f>
        <v>9400</v>
      </c>
      <c r="K575" s="12" t="s">
        <v>2275</v>
      </c>
      <c r="L575" s="16" t="s">
        <v>2276</v>
      </c>
    </row>
    <row r="576" spans="1:12" ht="292.5">
      <c r="A576" s="8" t="s">
        <v>2277</v>
      </c>
      <c r="B576" s="9" t="s">
        <v>12</v>
      </c>
      <c r="C576" s="12" t="s">
        <v>885</v>
      </c>
      <c r="D576" s="10" t="str">
        <f ca="1">IFERROR(__xludf.DUMMYFUNCTION(" VLOOKUP(A573, IMPORTRANGE(""https://docs.google.com/spreadsheets/d/1fj_Bhi2XPL3siwIh4sx4VRLAe31yD50oKdj5UlRYW0c/"", ""Сводка!A:AA""), 11, FALSE)"),"978-601-241-742-5")</f>
        <v>978-601-241-742-5</v>
      </c>
      <c r="E576" s="11" t="s">
        <v>2273</v>
      </c>
      <c r="F576" s="11" t="s">
        <v>2278</v>
      </c>
      <c r="G576" s="12">
        <f ca="1">IFERROR(__xludf.DUMMYFUNCTION(" VLOOKUP(A573, IMPORTRANGE(""https://docs.google.com/spreadsheets/d/1fj_Bhi2XPL3siwIh4sx4VRLAe31yD50oKdj5UlRYW0c/"", ""Сводка!A:AA""), 5, FALSE)"),148)</f>
        <v>148</v>
      </c>
      <c r="H576" s="12" t="s">
        <v>446</v>
      </c>
      <c r="I576" s="10">
        <f ca="1">IFERROR(__xludf.DUMMYFUNCTION(" VLOOKUP(A573, IMPORTRANGE(""https://docs.google.com/spreadsheets/d/1QNLbnkR_AongFt22vMfNzfpjZ0CjpI8QI-w0wBnYA1w/"", ""Инфа!A:AA""), 6, FALSE)"),2024)</f>
        <v>2024</v>
      </c>
      <c r="J576" s="5">
        <f ca="1">ROUND((5000+G576*30),-2)</f>
        <v>9400</v>
      </c>
      <c r="K576" s="12" t="s">
        <v>2275</v>
      </c>
      <c r="L576" s="16" t="s">
        <v>2279</v>
      </c>
    </row>
    <row r="577" spans="1:12" ht="146.25">
      <c r="A577" s="8" t="s">
        <v>2280</v>
      </c>
      <c r="B577" s="9" t="s">
        <v>12</v>
      </c>
      <c r="C577" s="12" t="s">
        <v>885</v>
      </c>
      <c r="D577" s="10" t="str">
        <f ca="1">IFERROR(__xludf.DUMMYFUNCTION(" VLOOKUP(A574, IMPORTRANGE(""https://docs.google.com/spreadsheets/d/1fj_Bhi2XPL3siwIh4sx4VRLAe31yD50oKdj5UlRYW0c/"", ""Сводка!A:AA""), 11, FALSE)"),"978-601-352-690-4")</f>
        <v>978-601-352-690-4</v>
      </c>
      <c r="E577" s="11" t="s">
        <v>2281</v>
      </c>
      <c r="F577" s="11" t="s">
        <v>2282</v>
      </c>
      <c r="G577" s="12">
        <f ca="1">IFERROR(__xludf.DUMMYFUNCTION(" VLOOKUP(A574, IMPORTRANGE(""https://docs.google.com/spreadsheets/d/1fj_Bhi2XPL3siwIh4sx4VRLAe31yD50oKdj5UlRYW0c/"", ""Сводка!A:AA""), 5, FALSE)"),120)</f>
        <v>120</v>
      </c>
      <c r="H577" s="12" t="s">
        <v>671</v>
      </c>
      <c r="I577" s="10">
        <f ca="1">IFERROR(__xludf.DUMMYFUNCTION(" VLOOKUP(A574, IMPORTRANGE(""https://docs.google.com/spreadsheets/d/1QNLbnkR_AongFt22vMfNzfpjZ0CjpI8QI-w0wBnYA1w/"", ""Инфа!A:AA""), 6, FALSE)"),2023)</f>
        <v>2023</v>
      </c>
      <c r="J577" s="5">
        <f ca="1">ROUND((5000+G577*60),-2)</f>
        <v>12200</v>
      </c>
      <c r="K577" s="12" t="s">
        <v>2283</v>
      </c>
      <c r="L577" s="16" t="s">
        <v>2284</v>
      </c>
    </row>
    <row r="578" spans="1:12" ht="146.25">
      <c r="A578" s="8" t="s">
        <v>2285</v>
      </c>
      <c r="B578" s="9" t="s">
        <v>12</v>
      </c>
      <c r="C578" s="12" t="s">
        <v>885</v>
      </c>
      <c r="D578" s="10" t="str">
        <f ca="1">IFERROR(__xludf.DUMMYFUNCTION(" VLOOKUP(A575, IMPORTRANGE(""https://docs.google.com/spreadsheets/d/1fj_Bhi2XPL3siwIh4sx4VRLAe31yD50oKdj5UlRYW0c/"", ""Сводка!A:AA""), 11, FALSE)"),"978-601-352-689-8")</f>
        <v>978-601-352-689-8</v>
      </c>
      <c r="E578" s="11" t="s">
        <v>2281</v>
      </c>
      <c r="F578" s="11" t="s">
        <v>2286</v>
      </c>
      <c r="G578" s="12">
        <f ca="1">IFERROR(__xludf.DUMMYFUNCTION(" VLOOKUP(A575, IMPORTRANGE(""https://docs.google.com/spreadsheets/d/1fj_Bhi2XPL3siwIh4sx4VRLAe31yD50oKdj5UlRYW0c/"", ""Сводка!A:AA""), 5, FALSE)"),280)</f>
        <v>280</v>
      </c>
      <c r="H578" s="12" t="s">
        <v>671</v>
      </c>
      <c r="I578" s="10">
        <f ca="1">IFERROR(__xludf.DUMMYFUNCTION(" VLOOKUP(A575, IMPORTRANGE(""https://docs.google.com/spreadsheets/d/1QNLbnkR_AongFt22vMfNzfpjZ0CjpI8QI-w0wBnYA1w/"", ""Инфа!A:AA""), 6, FALSE)"),2023)</f>
        <v>2023</v>
      </c>
      <c r="J578" s="5">
        <f ca="1">ROUND((5000+G578*30),-2)</f>
        <v>13400</v>
      </c>
      <c r="K578" s="12" t="s">
        <v>2283</v>
      </c>
      <c r="L578" s="16" t="s">
        <v>2287</v>
      </c>
    </row>
    <row r="579" spans="1:12" ht="213.75">
      <c r="A579" s="8" t="s">
        <v>2288</v>
      </c>
      <c r="B579" s="9" t="s">
        <v>12</v>
      </c>
      <c r="C579" s="12" t="s">
        <v>151</v>
      </c>
      <c r="D579" s="10" t="str">
        <f ca="1">IFERROR(__xludf.DUMMYFUNCTION(" VLOOKUP(A576, IMPORTRANGE(""https://docs.google.com/spreadsheets/d/1fj_Bhi2XPL3siwIh4sx4VRLAe31yD50oKdj5UlRYW0c/"", ""Сводка!A:AA""), 11, FALSE)"),"978-601-352-682-9")</f>
        <v>978-601-352-682-9</v>
      </c>
      <c r="E579" s="11" t="s">
        <v>2289</v>
      </c>
      <c r="F579" s="11" t="s">
        <v>2290</v>
      </c>
      <c r="G579" s="12">
        <f ca="1">IFERROR(__xludf.DUMMYFUNCTION(" VLOOKUP(A576, IMPORTRANGE(""https://docs.google.com/spreadsheets/d/1fj_Bhi2XPL3siwIh4sx4VRLAe31yD50oKdj5UlRYW0c/"", ""Сводка!A:AA""), 5, FALSE)"),248)</f>
        <v>248</v>
      </c>
      <c r="H579" s="10" t="s">
        <v>952</v>
      </c>
      <c r="I579" s="10">
        <f ca="1">IFERROR(__xludf.DUMMYFUNCTION(" VLOOKUP(A576, IMPORTRANGE(""https://docs.google.com/spreadsheets/d/1QNLbnkR_AongFt22vMfNzfpjZ0CjpI8QI-w0wBnYA1w/"", ""Инфа!A:AA""), 6, FALSE)"),2024)</f>
        <v>2024</v>
      </c>
      <c r="J579" s="5">
        <f ca="1">ROUND((5000+G579*30),-2)</f>
        <v>12400</v>
      </c>
      <c r="K579" s="12" t="s">
        <v>2283</v>
      </c>
      <c r="L579" s="15" t="s">
        <v>2291</v>
      </c>
    </row>
    <row r="580" spans="1:12" ht="303.75">
      <c r="A580" s="8" t="s">
        <v>2292</v>
      </c>
      <c r="B580" s="9" t="s">
        <v>12</v>
      </c>
      <c r="C580" s="12" t="s">
        <v>151</v>
      </c>
      <c r="D580" s="10" t="str">
        <f ca="1">IFERROR(__xludf.DUMMYFUNCTION(" VLOOKUP(A577, IMPORTRANGE(""https://docs.google.com/spreadsheets/d/1fj_Bhi2XPL3siwIh4sx4VRLAe31yD50oKdj5UlRYW0c/"", ""Сводка!A:AA""), 11, FALSE)"),"978-601-352-636-2")</f>
        <v>978-601-352-636-2</v>
      </c>
      <c r="E580" s="11" t="s">
        <v>2293</v>
      </c>
      <c r="F580" s="11" t="s">
        <v>2294</v>
      </c>
      <c r="G580" s="12">
        <f ca="1">IFERROR(__xludf.DUMMYFUNCTION(" VLOOKUP(A577, IMPORTRANGE(""https://docs.google.com/spreadsheets/d/1fj_Bhi2XPL3siwIh4sx4VRLAe31yD50oKdj5UlRYW0c/"", ""Сводка!A:AA""), 5, FALSE)"),232)</f>
        <v>232</v>
      </c>
      <c r="H580" s="12" t="s">
        <v>24</v>
      </c>
      <c r="I580" s="10">
        <f ca="1">IFERROR(__xludf.DUMMYFUNCTION(" VLOOKUP(A577, IMPORTRANGE(""https://docs.google.com/spreadsheets/d/1QNLbnkR_AongFt22vMfNzfpjZ0CjpI8QI-w0wBnYA1w/"", ""Инфа!A:AA""), 6, FALSE)"),2024)</f>
        <v>2024</v>
      </c>
      <c r="J580" s="5">
        <f ca="1">ROUND((5000+G580*30),-2)</f>
        <v>12000</v>
      </c>
      <c r="K580" s="12" t="s">
        <v>2295</v>
      </c>
      <c r="L580" s="16" t="s">
        <v>2296</v>
      </c>
    </row>
    <row r="581" spans="1:12" ht="114.75">
      <c r="A581" s="8" t="s">
        <v>2297</v>
      </c>
      <c r="B581" s="9" t="s">
        <v>12</v>
      </c>
      <c r="C581" s="12" t="s">
        <v>151</v>
      </c>
      <c r="D581" s="10" t="str">
        <f ca="1">IFERROR(__xludf.DUMMYFUNCTION(" VLOOKUP(A578, IMPORTRANGE(""https://docs.google.com/spreadsheets/d/1fj_Bhi2XPL3siwIh4sx4VRLAe31yD50oKdj5UlRYW0c/"", ""Сводка!A:AA""), 11, FALSE)"),"978-601-330-194-5")</f>
        <v>978-601-330-194-5</v>
      </c>
      <c r="E581" s="11" t="s">
        <v>2298</v>
      </c>
      <c r="F581" s="11" t="s">
        <v>2299</v>
      </c>
      <c r="G581" s="12">
        <f ca="1">IFERROR(__xludf.DUMMYFUNCTION(" VLOOKUP(A578, IMPORTRANGE(""https://docs.google.com/spreadsheets/d/1fj_Bhi2XPL3siwIh4sx4VRLAe31yD50oKdj5UlRYW0c/"", ""Сводка!A:AA""), 5, FALSE)"),144)</f>
        <v>144</v>
      </c>
      <c r="H581" s="12" t="s">
        <v>24</v>
      </c>
      <c r="I581" s="10">
        <v>2023</v>
      </c>
      <c r="J581" s="5">
        <f ca="1">ROUND((5000+G581*30),-2)</f>
        <v>9300</v>
      </c>
      <c r="K581" s="12" t="s">
        <v>2300</v>
      </c>
      <c r="L581" s="16" t="s">
        <v>2301</v>
      </c>
    </row>
    <row r="582" spans="1:12" ht="112.5">
      <c r="A582" s="8" t="s">
        <v>2302</v>
      </c>
      <c r="B582" s="9" t="s">
        <v>12</v>
      </c>
      <c r="C582" s="10" t="s">
        <v>13</v>
      </c>
      <c r="D582" s="10" t="str">
        <f ca="1">IFERROR(__xludf.DUMMYFUNCTION(" VLOOKUP(A579, IMPORTRANGE(""https://docs.google.com/spreadsheets/d/1fj_Bhi2XPL3siwIh4sx4VRLAe31yD50oKdj5UlRYW0c/"", ""Сводка!A:AA""), 11, FALSE)"),"978-601-263-294-1")</f>
        <v>978-601-263-294-1</v>
      </c>
      <c r="E582" s="11" t="s">
        <v>2303</v>
      </c>
      <c r="F582" s="11" t="s">
        <v>2304</v>
      </c>
      <c r="G582" s="12">
        <f ca="1">IFERROR(__xludf.DUMMYFUNCTION(" VLOOKUP(A579, IMPORTRANGE(""https://docs.google.com/spreadsheets/d/1fj_Bhi2XPL3siwIh4sx4VRLAe31yD50oKdj5UlRYW0c/"", ""Сводка!A:AA""), 5, FALSE)"),120)</f>
        <v>120</v>
      </c>
      <c r="H582" s="12" t="s">
        <v>2305</v>
      </c>
      <c r="I582" s="10">
        <f ca="1">IFERROR(__xludf.DUMMYFUNCTION(" VLOOKUP(A579, IMPORTRANGE(""https://docs.google.com/spreadsheets/d/1QNLbnkR_AongFt22vMfNzfpjZ0CjpI8QI-w0wBnYA1w/"", ""Инфа!A:AA""), 6, FALSE)"),2024)</f>
        <v>2024</v>
      </c>
      <c r="J582" s="5">
        <f ca="1">ROUND((5000+G582*30),-2)</f>
        <v>8600</v>
      </c>
      <c r="K582" s="12" t="s">
        <v>243</v>
      </c>
      <c r="L582" s="15" t="s">
        <v>2306</v>
      </c>
    </row>
    <row r="583" spans="1:12" ht="123.75">
      <c r="A583" s="8" t="s">
        <v>2307</v>
      </c>
      <c r="B583" s="9" t="s">
        <v>12</v>
      </c>
      <c r="C583" s="12" t="s">
        <v>151</v>
      </c>
      <c r="D583" s="10" t="s">
        <v>2308</v>
      </c>
      <c r="E583" s="11" t="s">
        <v>2309</v>
      </c>
      <c r="F583" s="11" t="s">
        <v>2310</v>
      </c>
      <c r="G583" s="12">
        <f ca="1">IFERROR(__xludf.DUMMYFUNCTION(" VLOOKUP(A580, IMPORTRANGE(""https://docs.google.com/spreadsheets/d/1fj_Bhi2XPL3siwIh4sx4VRLAe31yD50oKdj5UlRYW0c/"", ""Сводка!A:AA""), 5, FALSE)"),116)</f>
        <v>116</v>
      </c>
      <c r="H583" s="12" t="s">
        <v>47</v>
      </c>
      <c r="I583" s="10">
        <f ca="1">IFERROR(__xludf.DUMMYFUNCTION(" VLOOKUP(A580, IMPORTRANGE(""https://docs.google.com/spreadsheets/d/1QNLbnkR_AongFt22vMfNzfpjZ0CjpI8QI-w0wBnYA1w/"", ""Инфа!A:AA""), 6, FALSE)"),2024)</f>
        <v>2024</v>
      </c>
      <c r="J583" s="5">
        <f ca="1">ROUND((5000+G583*60),-2)</f>
        <v>12000</v>
      </c>
      <c r="K583" s="12" t="s">
        <v>2311</v>
      </c>
      <c r="L583" s="15" t="s">
        <v>2312</v>
      </c>
    </row>
    <row r="584" spans="1:12" ht="191.25">
      <c r="A584" s="8" t="s">
        <v>2313</v>
      </c>
      <c r="B584" s="9" t="s">
        <v>12</v>
      </c>
      <c r="C584" s="12" t="s">
        <v>443</v>
      </c>
      <c r="D584" s="10" t="str">
        <f ca="1">IFERROR(__xludf.DUMMYFUNCTION(" VLOOKUP(A581, IMPORTRANGE(""https://docs.google.com/spreadsheets/d/1fj_Bhi2XPL3siwIh4sx4VRLAe31yD50oKdj5UlRYW0c/"", ""Сводка!A:AA""), 11, FALSE)"),"978-601-352-665-2")</f>
        <v>978-601-352-665-2</v>
      </c>
      <c r="E584" s="11" t="s">
        <v>2314</v>
      </c>
      <c r="F584" s="11" t="s">
        <v>2315</v>
      </c>
      <c r="G584" s="12">
        <f ca="1">IFERROR(__xludf.DUMMYFUNCTION(" VLOOKUP(A581, IMPORTRANGE(""https://docs.google.com/spreadsheets/d/1fj_Bhi2XPL3siwIh4sx4VRLAe31yD50oKdj5UlRYW0c/"", ""Сводка!A:AA""), 5, FALSE)"),104)</f>
        <v>104</v>
      </c>
      <c r="H584" s="12" t="s">
        <v>2316</v>
      </c>
      <c r="I584" s="10">
        <f ca="1">IFERROR(__xludf.DUMMYFUNCTION(" VLOOKUP(A581, IMPORTRANGE(""https://docs.google.com/spreadsheets/d/1QNLbnkR_AongFt22vMfNzfpjZ0CjpI8QI-w0wBnYA1w/"", ""Инфа!A:AA""), 6, FALSE)"),2024)</f>
        <v>2024</v>
      </c>
      <c r="J584" s="5">
        <f ca="1">ROUND((5000+G584*30),-2)</f>
        <v>8100</v>
      </c>
      <c r="K584" s="12" t="s">
        <v>2317</v>
      </c>
      <c r="L584" s="15" t="s">
        <v>2318</v>
      </c>
    </row>
    <row r="585" spans="1:12" ht="146.25">
      <c r="A585" s="8" t="s">
        <v>2319</v>
      </c>
      <c r="B585" s="9" t="s">
        <v>12</v>
      </c>
      <c r="C585" s="12" t="s">
        <v>443</v>
      </c>
      <c r="D585" s="10" t="str">
        <f ca="1">IFERROR(__xludf.DUMMYFUNCTION(" VLOOKUP(A582, IMPORTRANGE(""https://docs.google.com/spreadsheets/d/1fj_Bhi2XPL3siwIh4sx4VRLAe31yD50oKdj5UlRYW0c/"", ""Сводка!A:AA""), 11, FALSE)"),"978-601-352-759-8")</f>
        <v>978-601-352-759-8</v>
      </c>
      <c r="E585" s="11" t="s">
        <v>2320</v>
      </c>
      <c r="F585" s="11" t="s">
        <v>2321</v>
      </c>
      <c r="G585" s="12">
        <f ca="1">IFERROR(__xludf.DUMMYFUNCTION(" VLOOKUP(A582, IMPORTRANGE(""https://docs.google.com/spreadsheets/d/1fj_Bhi2XPL3siwIh4sx4VRLAe31yD50oKdj5UlRYW0c/"", ""Сводка!A:AA""), 5, FALSE)"),160)</f>
        <v>160</v>
      </c>
      <c r="H585" s="12" t="s">
        <v>2316</v>
      </c>
      <c r="I585" s="10">
        <f ca="1">IFERROR(__xludf.DUMMYFUNCTION(" VLOOKUP(A582, IMPORTRANGE(""https://docs.google.com/spreadsheets/d/1QNLbnkR_AongFt22vMfNzfpjZ0CjpI8QI-w0wBnYA1w/"", ""Инфа!A:AA""), 6, FALSE)"),2023)</f>
        <v>2023</v>
      </c>
      <c r="J585" s="5">
        <f ca="1">ROUND((5000+G585*30),-2)</f>
        <v>9800</v>
      </c>
      <c r="K585" s="12" t="s">
        <v>2322</v>
      </c>
      <c r="L585" s="15" t="s">
        <v>2323</v>
      </c>
    </row>
    <row r="586" spans="1:12" ht="315">
      <c r="A586" s="8" t="s">
        <v>2324</v>
      </c>
      <c r="B586" s="9" t="s">
        <v>12</v>
      </c>
      <c r="C586" s="12" t="s">
        <v>443</v>
      </c>
      <c r="D586" s="10" t="str">
        <f ca="1">IFERROR(__xludf.DUMMYFUNCTION(" VLOOKUP(A583, IMPORTRANGE(""https://docs.google.com/spreadsheets/d/1fj_Bhi2XPL3siwIh4sx4VRLAe31yD50oKdj5UlRYW0c/"", ""Сводка!A:AA""), 11, FALSE)"),"978-601-352-664-5")</f>
        <v>978-601-352-664-5</v>
      </c>
      <c r="E586" s="11" t="s">
        <v>2320</v>
      </c>
      <c r="F586" s="11" t="s">
        <v>960</v>
      </c>
      <c r="G586" s="12">
        <f ca="1">IFERROR(__xludf.DUMMYFUNCTION(" VLOOKUP(A583, IMPORTRANGE(""https://docs.google.com/spreadsheets/d/1fj_Bhi2XPL3siwIh4sx4VRLAe31yD50oKdj5UlRYW0c/"", ""Сводка!A:AA""), 5, FALSE)"),112)</f>
        <v>112</v>
      </c>
      <c r="H586" s="12" t="s">
        <v>2316</v>
      </c>
      <c r="I586" s="10">
        <f ca="1">IFERROR(__xludf.DUMMYFUNCTION(" VLOOKUP(A583, IMPORTRANGE(""https://docs.google.com/spreadsheets/d/1QNLbnkR_AongFt22vMfNzfpjZ0CjpI8QI-w0wBnYA1w/"", ""Инфа!A:AA""), 6, FALSE)"),2023)</f>
        <v>2023</v>
      </c>
      <c r="J586" s="5">
        <f ca="1">ROUND((5000+G586*30),-2)</f>
        <v>8400</v>
      </c>
      <c r="K586" s="12" t="s">
        <v>2325</v>
      </c>
      <c r="L586" s="15" t="s">
        <v>2326</v>
      </c>
    </row>
    <row r="587" spans="1:12" ht="213.75">
      <c r="A587" s="8" t="s">
        <v>2327</v>
      </c>
      <c r="B587" s="9" t="s">
        <v>12</v>
      </c>
      <c r="C587" s="12" t="s">
        <v>151</v>
      </c>
      <c r="D587" s="10" t="str">
        <f ca="1">IFERROR(__xludf.DUMMYFUNCTION(" VLOOKUP(A584, IMPORTRANGE(""https://docs.google.com/spreadsheets/d/1fj_Bhi2XPL3siwIh4sx4VRLAe31yD50oKdj5UlRYW0c/"", ""Сводка!A:AA""), 11, FALSE)"),"978-601-352-772-7")</f>
        <v>978-601-352-772-7</v>
      </c>
      <c r="E587" s="11" t="s">
        <v>2328</v>
      </c>
      <c r="F587" s="11" t="s">
        <v>2329</v>
      </c>
      <c r="G587" s="12">
        <f ca="1">IFERROR(__xludf.DUMMYFUNCTION(" VLOOKUP(A584, IMPORTRANGE(""https://docs.google.com/spreadsheets/d/1fj_Bhi2XPL3siwIh4sx4VRLAe31yD50oKdj5UlRYW0c/"", ""Сводка!A:AA""), 5, FALSE)"),136)</f>
        <v>136</v>
      </c>
      <c r="H587" s="12" t="s">
        <v>282</v>
      </c>
      <c r="I587" s="10">
        <f ca="1">IFERROR(__xludf.DUMMYFUNCTION(" VLOOKUP(A584, IMPORTRANGE(""https://docs.google.com/spreadsheets/d/1QNLbnkR_AongFt22vMfNzfpjZ0CjpI8QI-w0wBnYA1w/"", ""Инфа!A:AA""), 6, FALSE)"),2024)</f>
        <v>2024</v>
      </c>
      <c r="J587" s="5">
        <f ca="1">ROUND((5000+G587*30),-2)</f>
        <v>9100</v>
      </c>
      <c r="K587" s="12" t="s">
        <v>2330</v>
      </c>
      <c r="L587" s="15" t="s">
        <v>2331</v>
      </c>
    </row>
    <row r="588" spans="1:12" ht="270">
      <c r="A588" s="8" t="s">
        <v>2332</v>
      </c>
      <c r="B588" s="9" t="s">
        <v>12</v>
      </c>
      <c r="C588" s="12" t="s">
        <v>151</v>
      </c>
      <c r="D588" s="10" t="s">
        <v>2333</v>
      </c>
      <c r="E588" s="11" t="s">
        <v>2334</v>
      </c>
      <c r="F588" s="11" t="s">
        <v>2335</v>
      </c>
      <c r="G588" s="12">
        <f ca="1">IFERROR(__xludf.DUMMYFUNCTION(" VLOOKUP(A585, IMPORTRANGE(""https://docs.google.com/spreadsheets/d/1fj_Bhi2XPL3siwIh4sx4VRLAe31yD50oKdj5UlRYW0c/"", ""Сводка!A:AA""), 5, FALSE)"),212)</f>
        <v>212</v>
      </c>
      <c r="H588" s="12" t="s">
        <v>47</v>
      </c>
      <c r="I588" s="10">
        <f ca="1">IFERROR(__xludf.DUMMYFUNCTION(" VLOOKUP(A585, IMPORTRANGE(""https://docs.google.com/spreadsheets/d/1QNLbnkR_AongFt22vMfNzfpjZ0CjpI8QI-w0wBnYA1w/"", ""Инфа!A:AA""), 6, FALSE)"),2024)</f>
        <v>2024</v>
      </c>
      <c r="J588" s="5">
        <f ca="1">ROUND((5000+G588*60),-2)</f>
        <v>17700</v>
      </c>
      <c r="K588" s="12" t="s">
        <v>2330</v>
      </c>
      <c r="L588" s="16" t="s">
        <v>2336</v>
      </c>
    </row>
    <row r="589" spans="1:12" ht="202.5">
      <c r="A589" s="8" t="s">
        <v>2337</v>
      </c>
      <c r="B589" s="9" t="s">
        <v>12</v>
      </c>
      <c r="C589" s="12" t="s">
        <v>151</v>
      </c>
      <c r="D589" s="10" t="str">
        <f ca="1">IFERROR(__xludf.DUMMYFUNCTION(" VLOOKUP(A586, IMPORTRANGE(""https://docs.google.com/spreadsheets/d/1fj_Bhi2XPL3siwIh4sx4VRLAe31yD50oKdj5UlRYW0c/"", ""Сводка!A:AA""), 11, FALSE)"),"978-601-330-187-7")</f>
        <v>978-601-330-187-7</v>
      </c>
      <c r="E589" s="11" t="s">
        <v>2338</v>
      </c>
      <c r="F589" s="11" t="s">
        <v>2339</v>
      </c>
      <c r="G589" s="12">
        <f ca="1">IFERROR(__xludf.DUMMYFUNCTION(" VLOOKUP(A586, IMPORTRANGE(""https://docs.google.com/spreadsheets/d/1fj_Bhi2XPL3siwIh4sx4VRLAe31yD50oKdj5UlRYW0c/"", ""Сводка!A:AA""), 5, FALSE)"),124)</f>
        <v>124</v>
      </c>
      <c r="H589" s="12" t="s">
        <v>47</v>
      </c>
      <c r="I589" s="10">
        <f ca="1">IFERROR(__xludf.DUMMYFUNCTION(" VLOOKUP(A586, IMPORTRANGE(""https://docs.google.com/spreadsheets/d/1QNLbnkR_AongFt22vMfNzfpjZ0CjpI8QI-w0wBnYA1w/"", ""Инфа!A:AA""), 6, FALSE)"),2023)</f>
        <v>2023</v>
      </c>
      <c r="J589" s="5">
        <f t="shared" ref="J589:J594" ca="1" si="15">ROUND((5000+G589*30),-2)</f>
        <v>8700</v>
      </c>
      <c r="K589" s="12" t="s">
        <v>2330</v>
      </c>
      <c r="L589" s="15" t="s">
        <v>2340</v>
      </c>
    </row>
    <row r="590" spans="1:12" ht="315">
      <c r="A590" s="8" t="s">
        <v>2341</v>
      </c>
      <c r="B590" s="9" t="s">
        <v>2231</v>
      </c>
      <c r="C590" s="12" t="s">
        <v>2342</v>
      </c>
      <c r="D590" s="10" t="str">
        <f ca="1">IFERROR(__xludf.DUMMYFUNCTION(" VLOOKUP(A587, IMPORTRANGE(""https://docs.google.com/spreadsheets/d/1fj_Bhi2XPL3siwIh4sx4VRLAe31yD50oKdj5UlRYW0c/"", ""Сводка!A:AA""), 11, FALSE)"),"978-601-246-438-2")</f>
        <v>978-601-246-438-2</v>
      </c>
      <c r="E590" s="11" t="s">
        <v>2343</v>
      </c>
      <c r="F590" s="11" t="s">
        <v>2344</v>
      </c>
      <c r="G590" s="12">
        <f ca="1">IFERROR(__xludf.DUMMYFUNCTION(" VLOOKUP(A587, IMPORTRANGE(""https://docs.google.com/spreadsheets/d/1fj_Bhi2XPL3siwIh4sx4VRLAe31yD50oKdj5UlRYW0c/"", ""Сводка!A:AA""), 5, FALSE)"),192)</f>
        <v>192</v>
      </c>
      <c r="H590" s="12" t="s">
        <v>47</v>
      </c>
      <c r="I590" s="10">
        <f ca="1">IFERROR(__xludf.DUMMYFUNCTION(" VLOOKUP(A587, IMPORTRANGE(""https://docs.google.com/spreadsheets/d/1QNLbnkR_AongFt22vMfNzfpjZ0CjpI8QI-w0wBnYA1w/"", ""Инфа!A:AA""), 6, FALSE)"),2024)</f>
        <v>2024</v>
      </c>
      <c r="J590" s="5">
        <f t="shared" ca="1" si="15"/>
        <v>10800</v>
      </c>
      <c r="K590" s="12" t="s">
        <v>2345</v>
      </c>
      <c r="L590" s="15" t="s">
        <v>2346</v>
      </c>
    </row>
    <row r="591" spans="1:12" ht="281.25">
      <c r="A591" s="8" t="s">
        <v>2347</v>
      </c>
      <c r="B591" s="9" t="s">
        <v>12</v>
      </c>
      <c r="C591" s="12" t="s">
        <v>13</v>
      </c>
      <c r="D591" s="10" t="s">
        <v>2348</v>
      </c>
      <c r="E591" s="11" t="s">
        <v>2349</v>
      </c>
      <c r="F591" s="11" t="s">
        <v>2350</v>
      </c>
      <c r="G591" s="12">
        <f ca="1">IFERROR(__xludf.DUMMYFUNCTION(" VLOOKUP(A588, IMPORTRANGE(""https://docs.google.com/spreadsheets/d/1fj_Bhi2XPL3siwIh4sx4VRLAe31yD50oKdj5UlRYW0c/"", ""Сводка!A:AA""), 5, FALSE)"),234)</f>
        <v>234</v>
      </c>
      <c r="H591" s="12" t="s">
        <v>42</v>
      </c>
      <c r="I591" s="10">
        <f ca="1">IFERROR(__xludf.DUMMYFUNCTION(" VLOOKUP(A588, IMPORTRANGE(""https://docs.google.com/spreadsheets/d/1QNLbnkR_AongFt22vMfNzfpjZ0CjpI8QI-w0wBnYA1w/"", ""Инфа!A:AA""), 6, FALSE)"),2024)</f>
        <v>2024</v>
      </c>
      <c r="J591" s="5">
        <f t="shared" ca="1" si="15"/>
        <v>12000</v>
      </c>
      <c r="K591" s="12" t="s">
        <v>2351</v>
      </c>
      <c r="L591" s="15" t="s">
        <v>2352</v>
      </c>
    </row>
    <row r="592" spans="1:12" ht="281.25">
      <c r="A592" s="8" t="s">
        <v>2353</v>
      </c>
      <c r="B592" s="9" t="s">
        <v>12</v>
      </c>
      <c r="C592" s="12" t="s">
        <v>13</v>
      </c>
      <c r="D592" s="10" t="s">
        <v>2354</v>
      </c>
      <c r="E592" s="11" t="s">
        <v>2349</v>
      </c>
      <c r="F592" s="11" t="s">
        <v>2355</v>
      </c>
      <c r="G592" s="12">
        <f ca="1">IFERROR(__xludf.DUMMYFUNCTION(" VLOOKUP(A589, IMPORTRANGE(""https://docs.google.com/spreadsheets/d/1fj_Bhi2XPL3siwIh4sx4VRLAe31yD50oKdj5UlRYW0c/"", ""Сводка!A:AA""), 5, FALSE)"),208)</f>
        <v>208</v>
      </c>
      <c r="H592" s="12" t="s">
        <v>42</v>
      </c>
      <c r="I592" s="10">
        <f ca="1">IFERROR(__xludf.DUMMYFUNCTION(" VLOOKUP(A589, IMPORTRANGE(""https://docs.google.com/spreadsheets/d/1QNLbnkR_AongFt22vMfNzfpjZ0CjpI8QI-w0wBnYA1w/"", ""Инфа!A:AA""), 6, FALSE)"),2024)</f>
        <v>2024</v>
      </c>
      <c r="J592" s="5">
        <f t="shared" ca="1" si="15"/>
        <v>11200</v>
      </c>
      <c r="K592" s="12" t="s">
        <v>2351</v>
      </c>
      <c r="L592" s="15" t="s">
        <v>2352</v>
      </c>
    </row>
    <row r="593" spans="1:12" ht="112.5">
      <c r="A593" s="8" t="s">
        <v>2356</v>
      </c>
      <c r="B593" s="9" t="s">
        <v>12</v>
      </c>
      <c r="C593" s="13" t="s">
        <v>151</v>
      </c>
      <c r="D593" s="10" t="str">
        <f ca="1">IFERROR(__xludf.DUMMYFUNCTION(" VLOOKUP(A590, IMPORTRANGE(""https://docs.google.com/spreadsheets/d/1fj_Bhi2XPL3siwIh4sx4VRLAe31yD50oKdj5UlRYW0c/"", ""Сводка!A:AA""), 11, FALSE)"),"978-601-310-604-5")</f>
        <v>978-601-310-604-5</v>
      </c>
      <c r="E593" s="19" t="s">
        <v>2357</v>
      </c>
      <c r="F593" s="19" t="s">
        <v>2358</v>
      </c>
      <c r="G593" s="12">
        <f ca="1">IFERROR(__xludf.DUMMYFUNCTION(" VLOOKUP(A590, IMPORTRANGE(""https://docs.google.com/spreadsheets/d/1fj_Bhi2XPL3siwIh4sx4VRLAe31yD50oKdj5UlRYW0c/"", ""Сводка!A:AA""), 5, FALSE)"),124)</f>
        <v>124</v>
      </c>
      <c r="H593" s="9" t="s">
        <v>1950</v>
      </c>
      <c r="I593" s="10">
        <f ca="1">IFERROR(__xludf.DUMMYFUNCTION(" VLOOKUP(A590, IMPORTRANGE(""https://docs.google.com/spreadsheets/d/1QNLbnkR_AongFt22vMfNzfpjZ0CjpI8QI-w0wBnYA1w/"", ""Инфа!A:AA""), 6, FALSE)"),2024)</f>
        <v>2024</v>
      </c>
      <c r="J593" s="5">
        <f t="shared" ca="1" si="15"/>
        <v>8700</v>
      </c>
      <c r="K593" s="12" t="s">
        <v>243</v>
      </c>
      <c r="L593" s="21" t="s">
        <v>2359</v>
      </c>
    </row>
    <row r="594" spans="1:12" ht="101.25">
      <c r="A594" s="8" t="s">
        <v>2360</v>
      </c>
      <c r="B594" s="9" t="s">
        <v>12</v>
      </c>
      <c r="C594" s="12" t="s">
        <v>443</v>
      </c>
      <c r="D594" s="10" t="str">
        <f ca="1">IFERROR(__xludf.DUMMYFUNCTION(" VLOOKUP(A591, IMPORTRANGE(""https://docs.google.com/spreadsheets/d/1fj_Bhi2XPL3siwIh4sx4VRLAe31yD50oKdj5UlRYW0c/"", ""Сводка!A:AA""), 11, FALSE)"),"978-601-337-132-0")</f>
        <v>978-601-337-132-0</v>
      </c>
      <c r="E594" s="11" t="s">
        <v>2361</v>
      </c>
      <c r="F594" s="11" t="s">
        <v>2362</v>
      </c>
      <c r="G594" s="12">
        <f ca="1">IFERROR(__xludf.DUMMYFUNCTION(" VLOOKUP(A591, IMPORTRANGE(""https://docs.google.com/spreadsheets/d/1fj_Bhi2XPL3siwIh4sx4VRLAe31yD50oKdj5UlRYW0c/"", ""Сводка!A:AA""), 5, FALSE)"),192)</f>
        <v>192</v>
      </c>
      <c r="H594" s="12" t="s">
        <v>24</v>
      </c>
      <c r="I594" s="10">
        <f ca="1">IFERROR(__xludf.DUMMYFUNCTION(" VLOOKUP(A591, IMPORTRANGE(""https://docs.google.com/spreadsheets/d/1QNLbnkR_AongFt22vMfNzfpjZ0CjpI8QI-w0wBnYA1w/"", ""Инфа!A:AA""), 6, FALSE)"),2024)</f>
        <v>2024</v>
      </c>
      <c r="J594" s="5">
        <f t="shared" ca="1" si="15"/>
        <v>10800</v>
      </c>
      <c r="K594" s="12" t="s">
        <v>2363</v>
      </c>
      <c r="L594" s="15" t="s">
        <v>2364</v>
      </c>
    </row>
    <row r="595" spans="1:12" ht="123.75">
      <c r="A595" s="8" t="s">
        <v>2365</v>
      </c>
      <c r="B595" s="9" t="s">
        <v>12</v>
      </c>
      <c r="C595" s="12" t="s">
        <v>443</v>
      </c>
      <c r="D595" s="10" t="str">
        <f ca="1">IFERROR(__xludf.DUMMYFUNCTION(" VLOOKUP(A592, IMPORTRANGE(""https://docs.google.com/spreadsheets/d/1fj_Bhi2XPL3siwIh4sx4VRLAe31yD50oKdj5UlRYW0c/"", ""Сводка!A:AA""), 11, FALSE)"),"978-9965-31-849-8")</f>
        <v>978-9965-31-849-8</v>
      </c>
      <c r="E595" s="11" t="s">
        <v>2361</v>
      </c>
      <c r="F595" s="11" t="s">
        <v>2366</v>
      </c>
      <c r="G595" s="12">
        <f ca="1">IFERROR(__xludf.DUMMYFUNCTION(" VLOOKUP(A592, IMPORTRANGE(""https://docs.google.com/spreadsheets/d/1fj_Bhi2XPL3siwIh4sx4VRLAe31yD50oKdj5UlRYW0c/"", ""Сводка!A:AA""), 5, FALSE)"),124)</f>
        <v>124</v>
      </c>
      <c r="H595" s="12" t="s">
        <v>446</v>
      </c>
      <c r="I595" s="10">
        <f ca="1">IFERROR(__xludf.DUMMYFUNCTION(" VLOOKUP(A592, IMPORTRANGE(""https://docs.google.com/spreadsheets/d/1QNLbnkR_AongFt22vMfNzfpjZ0CjpI8QI-w0wBnYA1w/"", ""Инфа!A:AA""), 6, FALSE)"),2024)</f>
        <v>2024</v>
      </c>
      <c r="J595" s="5">
        <f ca="1">ROUND((5000+G595*60),-2)</f>
        <v>12400</v>
      </c>
      <c r="K595" s="12" t="s">
        <v>2363</v>
      </c>
      <c r="L595" s="15" t="s">
        <v>2367</v>
      </c>
    </row>
    <row r="596" spans="1:12" ht="101.25">
      <c r="A596" s="8" t="s">
        <v>2368</v>
      </c>
      <c r="B596" s="9" t="s">
        <v>12</v>
      </c>
      <c r="C596" s="12" t="s">
        <v>151</v>
      </c>
      <c r="D596" s="10" t="str">
        <f ca="1">IFERROR(__xludf.DUMMYFUNCTION(" VLOOKUP(A593, IMPORTRANGE(""https://docs.google.com/spreadsheets/d/1fj_Bhi2XPL3siwIh4sx4VRLAe31yD50oKdj5UlRYW0c/"", ""Сводка!A:AA""), 11, FALSE)"),"978-9965-31-848-1")</f>
        <v>978-9965-31-848-1</v>
      </c>
      <c r="E596" s="11" t="s">
        <v>2361</v>
      </c>
      <c r="F596" s="11" t="s">
        <v>2369</v>
      </c>
      <c r="G596" s="12">
        <f ca="1">IFERROR(__xludf.DUMMYFUNCTION(" VLOOKUP(A593, IMPORTRANGE(""https://docs.google.com/spreadsheets/d/1fj_Bhi2XPL3siwIh4sx4VRLAe31yD50oKdj5UlRYW0c/"", ""Сводка!A:AA""), 5, FALSE)"),112)</f>
        <v>112</v>
      </c>
      <c r="H596" s="12" t="s">
        <v>165</v>
      </c>
      <c r="I596" s="10">
        <f ca="1">IFERROR(__xludf.DUMMYFUNCTION(" VLOOKUP(A593, IMPORTRANGE(""https://docs.google.com/spreadsheets/d/1QNLbnkR_AongFt22vMfNzfpjZ0CjpI8QI-w0wBnYA1w/"", ""Инфа!A:AA""), 6, FALSE)"),2024)</f>
        <v>2024</v>
      </c>
      <c r="J596" s="5">
        <f ca="1">ROUND((5000+G596*60),-2)</f>
        <v>11700</v>
      </c>
      <c r="K596" s="12" t="s">
        <v>2363</v>
      </c>
      <c r="L596" s="15" t="s">
        <v>2370</v>
      </c>
    </row>
    <row r="597" spans="1:12" ht="90">
      <c r="A597" s="8" t="s">
        <v>2371</v>
      </c>
      <c r="B597" s="9" t="s">
        <v>12</v>
      </c>
      <c r="C597" s="12" t="s">
        <v>151</v>
      </c>
      <c r="D597" s="10" t="str">
        <f ca="1">IFERROR(__xludf.DUMMYFUNCTION(" VLOOKUP(A594, IMPORTRANGE(""https://docs.google.com/spreadsheets/d/1fj_Bhi2XPL3siwIh4sx4VRLAe31yD50oKdj5UlRYW0c/"", ""Сводка!A:AA""), 11, FALSE)"),"978-601-352-723-9")</f>
        <v>978-601-352-723-9</v>
      </c>
      <c r="E597" s="11" t="s">
        <v>2372</v>
      </c>
      <c r="F597" s="11" t="s">
        <v>2373</v>
      </c>
      <c r="G597" s="12">
        <f ca="1">IFERROR(__xludf.DUMMYFUNCTION(" VLOOKUP(A594, IMPORTRANGE(""https://docs.google.com/spreadsheets/d/1fj_Bhi2XPL3siwIh4sx4VRLAe31yD50oKdj5UlRYW0c/"", ""Сводка!A:AA""), 5, FALSE)"),76)</f>
        <v>76</v>
      </c>
      <c r="H597" s="12" t="s">
        <v>2374</v>
      </c>
      <c r="I597" s="10">
        <f ca="1">IFERROR(__xludf.DUMMYFUNCTION(" VLOOKUP(A594, IMPORTRANGE(""https://docs.google.com/spreadsheets/d/1QNLbnkR_AongFt22vMfNzfpjZ0CjpI8QI-w0wBnYA1w/"", ""Инфа!A:AA""), 6, FALSE)"),2024)</f>
        <v>2024</v>
      </c>
      <c r="J597" s="5">
        <f ca="1">ROUND((5000+G597*30),-2)</f>
        <v>7300</v>
      </c>
      <c r="K597" s="12" t="s">
        <v>1332</v>
      </c>
      <c r="L597" s="15" t="s">
        <v>2375</v>
      </c>
    </row>
    <row r="598" spans="1:12" ht="135">
      <c r="A598" s="8" t="s">
        <v>2376</v>
      </c>
      <c r="B598" s="9" t="s">
        <v>12</v>
      </c>
      <c r="C598" s="12" t="s">
        <v>151</v>
      </c>
      <c r="D598" s="10" t="str">
        <f ca="1">IFERROR(__xludf.DUMMYFUNCTION(" VLOOKUP(A595, IMPORTRANGE(""https://docs.google.com/spreadsheets/d/1fj_Bhi2XPL3siwIh4sx4VRLAe31yD50oKdj5UlRYW0c/"", ""Сводка!A:AA""), 11, FALSE)"),"978-601-352-726-0")</f>
        <v>978-601-352-726-0</v>
      </c>
      <c r="E598" s="11" t="s">
        <v>2372</v>
      </c>
      <c r="F598" s="11" t="s">
        <v>1336</v>
      </c>
      <c r="G598" s="12">
        <f ca="1">IFERROR(__xludf.DUMMYFUNCTION(" VLOOKUP(A595, IMPORTRANGE(""https://docs.google.com/spreadsheets/d/1fj_Bhi2XPL3siwIh4sx4VRLAe31yD50oKdj5UlRYW0c/"", ""Сводка!A:AA""), 5, FALSE)"),212)</f>
        <v>212</v>
      </c>
      <c r="H598" s="12" t="s">
        <v>47</v>
      </c>
      <c r="I598" s="10">
        <f ca="1">IFERROR(__xludf.DUMMYFUNCTION(" VLOOKUP(A595, IMPORTRANGE(""https://docs.google.com/spreadsheets/d/1QNLbnkR_AongFt22vMfNzfpjZ0CjpI8QI-w0wBnYA1w/"", ""Инфа!A:AA""), 6, FALSE)"),2024)</f>
        <v>2024</v>
      </c>
      <c r="J598" s="5">
        <f ca="1">ROUND((5000+G598*30),-2)</f>
        <v>11400</v>
      </c>
      <c r="K598" s="12" t="s">
        <v>1332</v>
      </c>
      <c r="L598" s="15" t="s">
        <v>2377</v>
      </c>
    </row>
    <row r="599" spans="1:12" ht="303.75">
      <c r="A599" s="8" t="s">
        <v>2378</v>
      </c>
      <c r="B599" s="9" t="s">
        <v>12</v>
      </c>
      <c r="C599" s="12" t="s">
        <v>151</v>
      </c>
      <c r="D599" s="10" t="str">
        <f ca="1">IFERROR(__xludf.DUMMYFUNCTION(" VLOOKUP(A596, IMPORTRANGE(""https://docs.google.com/spreadsheets/d/1fj_Bhi2XPL3siwIh4sx4VRLAe31yD50oKdj5UlRYW0c/"", ""Сводка!A:AA""), 11, FALSE)"),"978-601-352-724-6")</f>
        <v>978-601-352-724-6</v>
      </c>
      <c r="E599" s="11" t="s">
        <v>2372</v>
      </c>
      <c r="F599" s="11" t="s">
        <v>2379</v>
      </c>
      <c r="G599" s="12">
        <f ca="1">IFERROR(__xludf.DUMMYFUNCTION(" VLOOKUP(A596, IMPORTRANGE(""https://docs.google.com/spreadsheets/d/1fj_Bhi2XPL3siwIh4sx4VRLAe31yD50oKdj5UlRYW0c/"", ""Сводка!A:AA""), 5, FALSE)"),64)</f>
        <v>64</v>
      </c>
      <c r="H599" s="12" t="s">
        <v>556</v>
      </c>
      <c r="I599" s="10">
        <f ca="1">IFERROR(__xludf.DUMMYFUNCTION(" VLOOKUP(A596, IMPORTRANGE(""https://docs.google.com/spreadsheets/d/1QNLbnkR_AongFt22vMfNzfpjZ0CjpI8QI-w0wBnYA1w/"", ""Инфа!A:AA""), 6, FALSE)"),2024)</f>
        <v>2024</v>
      </c>
      <c r="J599" s="5">
        <f ca="1">ROUND((5000+G599*30),-2)</f>
        <v>6900</v>
      </c>
      <c r="K599" s="12" t="s">
        <v>1332</v>
      </c>
      <c r="L599" s="41" t="s">
        <v>2380</v>
      </c>
    </row>
    <row r="600" spans="1:12" ht="180">
      <c r="A600" s="8" t="s">
        <v>2381</v>
      </c>
      <c r="B600" s="9" t="s">
        <v>12</v>
      </c>
      <c r="C600" s="12" t="s">
        <v>151</v>
      </c>
      <c r="D600" s="10" t="str">
        <f ca="1">IFERROR(__xludf.DUMMYFUNCTION(" VLOOKUP(A597, IMPORTRANGE(""https://docs.google.com/spreadsheets/d/1fj_Bhi2XPL3siwIh4sx4VRLAe31yD50oKdj5UlRYW0c/"", ""Сводка!A:AA""), 11, FALSE)"),"978-601-342-520-7")</f>
        <v>978-601-342-520-7</v>
      </c>
      <c r="E600" s="11" t="s">
        <v>2382</v>
      </c>
      <c r="F600" s="11" t="s">
        <v>2383</v>
      </c>
      <c r="G600" s="12">
        <f ca="1">IFERROR(__xludf.DUMMYFUNCTION(" VLOOKUP(A597, IMPORTRANGE(""https://docs.google.com/spreadsheets/d/1fj_Bhi2XPL3siwIh4sx4VRLAe31yD50oKdj5UlRYW0c/"", ""Сводка!A:AA""), 5, FALSE)"),288)</f>
        <v>288</v>
      </c>
      <c r="H600" s="12" t="s">
        <v>47</v>
      </c>
      <c r="I600" s="10">
        <f ca="1">IFERROR(__xludf.DUMMYFUNCTION(" VLOOKUP(A597, IMPORTRANGE(""https://docs.google.com/spreadsheets/d/1QNLbnkR_AongFt22vMfNzfpjZ0CjpI8QI-w0wBnYA1w/"", ""Инфа!A:AA""), 6, FALSE)"),2024)</f>
        <v>2024</v>
      </c>
      <c r="J600" s="5">
        <f ca="1">ROUND((5000+G600*30),-2)</f>
        <v>13600</v>
      </c>
      <c r="K600" s="12" t="s">
        <v>1332</v>
      </c>
      <c r="L600" s="15" t="s">
        <v>2384</v>
      </c>
    </row>
    <row r="601" spans="1:12" ht="191.25">
      <c r="A601" s="8" t="s">
        <v>2385</v>
      </c>
      <c r="B601" s="9" t="s">
        <v>12</v>
      </c>
      <c r="C601" s="12" t="s">
        <v>151</v>
      </c>
      <c r="D601" s="10" t="str">
        <f ca="1">IFERROR(__xludf.DUMMYFUNCTION(" VLOOKUP(A598, IMPORTRANGE(""https://docs.google.com/spreadsheets/d/1fj_Bhi2XPL3siwIh4sx4VRLAe31yD50oKdj5UlRYW0c/"", ""Сводка!A:AA""), 11, FALSE)"),"978-601-352-895-3")</f>
        <v>978-601-352-895-3</v>
      </c>
      <c r="E601" s="11" t="s">
        <v>2386</v>
      </c>
      <c r="F601" s="11" t="s">
        <v>2387</v>
      </c>
      <c r="G601" s="12">
        <f ca="1">IFERROR(__xludf.DUMMYFUNCTION(" VLOOKUP(A598, IMPORTRANGE(""https://docs.google.com/spreadsheets/d/1fj_Bhi2XPL3siwIh4sx4VRLAe31yD50oKdj5UlRYW0c/"", ""Сводка!A:AA""), 5, FALSE)"),224)</f>
        <v>224</v>
      </c>
      <c r="H601" s="12" t="s">
        <v>47</v>
      </c>
      <c r="I601" s="10">
        <f ca="1">IFERROR(__xludf.DUMMYFUNCTION(" VLOOKUP(A598, IMPORTRANGE(""https://docs.google.com/spreadsheets/d/1QNLbnkR_AongFt22vMfNzfpjZ0CjpI8QI-w0wBnYA1w/"", ""Инфа!A:AA""), 6, FALSE)"),2024)</f>
        <v>2024</v>
      </c>
      <c r="J601" s="5">
        <f ca="1">ROUND((5000+G601*60),-2)</f>
        <v>18400</v>
      </c>
      <c r="K601" s="12" t="s">
        <v>1332</v>
      </c>
      <c r="L601" s="15" t="s">
        <v>2388</v>
      </c>
    </row>
    <row r="602" spans="1:12" ht="112.5">
      <c r="A602" s="8" t="s">
        <v>2389</v>
      </c>
      <c r="B602" s="9" t="s">
        <v>12</v>
      </c>
      <c r="C602" s="12" t="s">
        <v>443</v>
      </c>
      <c r="D602" s="10" t="s">
        <v>2390</v>
      </c>
      <c r="E602" s="11" t="s">
        <v>2391</v>
      </c>
      <c r="F602" s="11" t="s">
        <v>2392</v>
      </c>
      <c r="G602" s="12">
        <f ca="1">IFERROR(__xludf.DUMMYFUNCTION(" VLOOKUP(A599, IMPORTRANGE(""https://docs.google.com/spreadsheets/d/1fj_Bhi2XPL3siwIh4sx4VRLAe31yD50oKdj5UlRYW0c/"", ""Сводка!A:AA""), 5, FALSE)"),196)</f>
        <v>196</v>
      </c>
      <c r="H602" s="12" t="s">
        <v>538</v>
      </c>
      <c r="I602" s="10">
        <f ca="1">IFERROR(__xludf.DUMMYFUNCTION(" VLOOKUP(A599, IMPORTRANGE(""https://docs.google.com/spreadsheets/d/1QNLbnkR_AongFt22vMfNzfpjZ0CjpI8QI-w0wBnYA1w/"", ""Инфа!A:AA""), 6, FALSE)"),2024)</f>
        <v>2024</v>
      </c>
      <c r="J602" s="5">
        <f ca="1">ROUND((5000+G602*30),-2)</f>
        <v>10900</v>
      </c>
      <c r="K602" s="12" t="s">
        <v>2393</v>
      </c>
      <c r="L602" s="15" t="s">
        <v>2394</v>
      </c>
    </row>
    <row r="603" spans="1:12" ht="135">
      <c r="A603" s="8" t="s">
        <v>2395</v>
      </c>
      <c r="B603" s="9" t="s">
        <v>12</v>
      </c>
      <c r="C603" s="12" t="s">
        <v>443</v>
      </c>
      <c r="D603" s="10" t="str">
        <f ca="1">IFERROR(__xludf.DUMMYFUNCTION(" VLOOKUP(A600, IMPORTRANGE(""https://docs.google.com/spreadsheets/d/1fj_Bhi2XPL3siwIh4sx4VRLAe31yD50oKdj5UlRYW0c/"", ""Сводка!A:AA""), 11, FALSE)"),"978-601-352-462-7")</f>
        <v>978-601-352-462-7</v>
      </c>
      <c r="E603" s="11" t="s">
        <v>2396</v>
      </c>
      <c r="F603" s="11" t="s">
        <v>2397</v>
      </c>
      <c r="G603" s="12">
        <f ca="1">IFERROR(__xludf.DUMMYFUNCTION(" VLOOKUP(A600, IMPORTRANGE(""https://docs.google.com/spreadsheets/d/1fj_Bhi2XPL3siwIh4sx4VRLAe31yD50oKdj5UlRYW0c/"", ""Сводка!A:AA""), 5, FALSE)"),324)</f>
        <v>324</v>
      </c>
      <c r="H603" s="12" t="s">
        <v>538</v>
      </c>
      <c r="I603" s="10">
        <f ca="1">IFERROR(__xludf.DUMMYFUNCTION(" VLOOKUP(A600, IMPORTRANGE(""https://docs.google.com/spreadsheets/d/1QNLbnkR_AongFt22vMfNzfpjZ0CjpI8QI-w0wBnYA1w/"", ""Инфа!A:AA""), 6, FALSE)"),2024)</f>
        <v>2024</v>
      </c>
      <c r="J603" s="5">
        <f ca="1">ROUND((5000+G603*60),-2)</f>
        <v>24400</v>
      </c>
      <c r="K603" s="12" t="s">
        <v>2398</v>
      </c>
      <c r="L603" s="16" t="s">
        <v>2399</v>
      </c>
    </row>
    <row r="604" spans="1:12" ht="90">
      <c r="A604" s="8" t="s">
        <v>2400</v>
      </c>
      <c r="B604" s="9" t="s">
        <v>12</v>
      </c>
      <c r="C604" s="13" t="s">
        <v>443</v>
      </c>
      <c r="D604" s="10" t="str">
        <f ca="1">IFERROR(__xludf.DUMMYFUNCTION(" VLOOKUP(A601, IMPORTRANGE(""https://docs.google.com/spreadsheets/d/1fj_Bhi2XPL3siwIh4sx4VRLAe31yD50oKdj5UlRYW0c/"", ""Сводка!A:AA""), 11, FALSE)"),"978-601-310-602-1")</f>
        <v>978-601-310-602-1</v>
      </c>
      <c r="E604" s="19" t="s">
        <v>2401</v>
      </c>
      <c r="F604" s="19" t="s">
        <v>2402</v>
      </c>
      <c r="G604" s="12">
        <f ca="1">IFERROR(__xludf.DUMMYFUNCTION(" VLOOKUP(A601, IMPORTRANGE(""https://docs.google.com/spreadsheets/d/1fj_Bhi2XPL3siwIh4sx4VRLAe31yD50oKdj5UlRYW0c/"", ""Сводка!A:AA""), 5, FALSE)"),104)</f>
        <v>104</v>
      </c>
      <c r="H604" s="9" t="s">
        <v>686</v>
      </c>
      <c r="I604" s="10">
        <f ca="1">IFERROR(__xludf.DUMMYFUNCTION(" VLOOKUP(A601, IMPORTRANGE(""https://docs.google.com/spreadsheets/d/1QNLbnkR_AongFt22vMfNzfpjZ0CjpI8QI-w0wBnYA1w/"", ""Инфа!A:AA""), 6, FALSE)"),2024)</f>
        <v>2024</v>
      </c>
      <c r="J604" s="5">
        <f ca="1">ROUND((5000+G604*30),-2)</f>
        <v>8100</v>
      </c>
      <c r="K604" s="12" t="s">
        <v>243</v>
      </c>
      <c r="L604" s="21" t="s">
        <v>2403</v>
      </c>
    </row>
    <row r="605" spans="1:12" ht="112.5">
      <c r="A605" s="8" t="s">
        <v>2404</v>
      </c>
      <c r="B605" s="9" t="s">
        <v>12</v>
      </c>
      <c r="C605" s="12" t="s">
        <v>151</v>
      </c>
      <c r="D605" s="10" t="str">
        <f ca="1">IFERROR(__xludf.DUMMYFUNCTION(" VLOOKUP(A602, IMPORTRANGE(""https://docs.google.com/spreadsheets/d/1fj_Bhi2XPL3siwIh4sx4VRLAe31yD50oKdj5UlRYW0c/"", ""Сводка!A:AA""), 11, FALSE)"),"978-601-352-731-4")</f>
        <v>978-601-352-731-4</v>
      </c>
      <c r="E605" s="11" t="s">
        <v>2405</v>
      </c>
      <c r="F605" s="11" t="s">
        <v>2406</v>
      </c>
      <c r="G605" s="12">
        <f ca="1">IFERROR(__xludf.DUMMYFUNCTION(" VLOOKUP(A602, IMPORTRANGE(""https://docs.google.com/spreadsheets/d/1fj_Bhi2XPL3siwIh4sx4VRLAe31yD50oKdj5UlRYW0c/"", ""Сводка!A:AA""), 5, FALSE)"),168)</f>
        <v>168</v>
      </c>
      <c r="H605" s="12" t="s">
        <v>538</v>
      </c>
      <c r="I605" s="10">
        <f ca="1">IFERROR(__xludf.DUMMYFUNCTION(" VLOOKUP(A602, IMPORTRANGE(""https://docs.google.com/spreadsheets/d/1QNLbnkR_AongFt22vMfNzfpjZ0CjpI8QI-w0wBnYA1w/"", ""Инфа!A:AA""), 6, FALSE)"),2024)</f>
        <v>2024</v>
      </c>
      <c r="J605" s="5">
        <f ca="1">ROUND((5000+G605*60),-2)</f>
        <v>15100</v>
      </c>
      <c r="K605" s="12" t="s">
        <v>2398</v>
      </c>
      <c r="L605" s="15" t="s">
        <v>2407</v>
      </c>
    </row>
    <row r="606" spans="1:12" ht="101.25">
      <c r="A606" s="8" t="s">
        <v>2408</v>
      </c>
      <c r="B606" s="9" t="s">
        <v>12</v>
      </c>
      <c r="C606" s="12" t="s">
        <v>151</v>
      </c>
      <c r="D606" s="40" t="s">
        <v>2409</v>
      </c>
      <c r="E606" s="11" t="s">
        <v>2410</v>
      </c>
      <c r="F606" s="11" t="s">
        <v>2411</v>
      </c>
      <c r="G606" s="12">
        <f ca="1">IFERROR(__xludf.DUMMYFUNCTION(" VLOOKUP(A603, IMPORTRANGE(""https://docs.google.com/spreadsheets/d/1fj_Bhi2XPL3siwIh4sx4VRLAe31yD50oKdj5UlRYW0c/"", ""Сводка!A:AA""), 5, FALSE)"),120)</f>
        <v>120</v>
      </c>
      <c r="H606" s="12" t="s">
        <v>47</v>
      </c>
      <c r="I606" s="10">
        <f ca="1">IFERROR(__xludf.DUMMYFUNCTION(" VLOOKUP(A603, IMPORTRANGE(""https://docs.google.com/spreadsheets/d/1QNLbnkR_AongFt22vMfNzfpjZ0CjpI8QI-w0wBnYA1w/"", ""Инфа!A:AA""), 6, FALSE)"),2024)</f>
        <v>2024</v>
      </c>
      <c r="J606" s="5">
        <f ca="1">ROUND((5000+G606*30),-2)</f>
        <v>8600</v>
      </c>
      <c r="K606" s="12" t="s">
        <v>2412</v>
      </c>
      <c r="L606" s="15" t="s">
        <v>2413</v>
      </c>
    </row>
    <row r="607" spans="1:12" ht="112.5">
      <c r="A607" s="8" t="s">
        <v>2414</v>
      </c>
      <c r="B607" s="9" t="s">
        <v>12</v>
      </c>
      <c r="C607" s="12" t="s">
        <v>151</v>
      </c>
      <c r="D607" s="40" t="s">
        <v>2415</v>
      </c>
      <c r="E607" s="11" t="s">
        <v>2410</v>
      </c>
      <c r="F607" s="11" t="s">
        <v>2416</v>
      </c>
      <c r="G607" s="12">
        <f ca="1">IFERROR(__xludf.DUMMYFUNCTION(" VLOOKUP(A604, IMPORTRANGE(""https://docs.google.com/spreadsheets/d/1fj_Bhi2XPL3siwIh4sx4VRLAe31yD50oKdj5UlRYW0c/"", ""Сводка!A:AA""), 5, FALSE)"),124)</f>
        <v>124</v>
      </c>
      <c r="H607" s="12" t="s">
        <v>47</v>
      </c>
      <c r="I607" s="10">
        <f ca="1">IFERROR(__xludf.DUMMYFUNCTION(" VLOOKUP(A604, IMPORTRANGE(""https://docs.google.com/spreadsheets/d/1QNLbnkR_AongFt22vMfNzfpjZ0CjpI8QI-w0wBnYA1w/"", ""Инфа!A:AA""), 6, FALSE)"),2024)</f>
        <v>2024</v>
      </c>
      <c r="J607" s="5">
        <f ca="1">ROUND((5000+G607*30),-2)</f>
        <v>8700</v>
      </c>
      <c r="K607" s="12" t="s">
        <v>2412</v>
      </c>
      <c r="L607" s="15" t="s">
        <v>2417</v>
      </c>
    </row>
    <row r="608" spans="1:12" ht="123.75">
      <c r="A608" s="8" t="s">
        <v>2418</v>
      </c>
      <c r="B608" s="9" t="s">
        <v>12</v>
      </c>
      <c r="C608" s="12" t="s">
        <v>151</v>
      </c>
      <c r="D608" s="10" t="s">
        <v>2419</v>
      </c>
      <c r="E608" s="11" t="s">
        <v>2410</v>
      </c>
      <c r="F608" s="11" t="s">
        <v>2420</v>
      </c>
      <c r="G608" s="12">
        <f ca="1">IFERROR(__xludf.DUMMYFUNCTION(" VLOOKUP(A605, IMPORTRANGE(""https://docs.google.com/spreadsheets/d/1fj_Bhi2XPL3siwIh4sx4VRLAe31yD50oKdj5UlRYW0c/"", ""Сводка!A:AA""), 5, FALSE)"),160)</f>
        <v>160</v>
      </c>
      <c r="H608" s="12" t="s">
        <v>2374</v>
      </c>
      <c r="I608" s="10">
        <f ca="1">IFERROR(__xludf.DUMMYFUNCTION(" VLOOKUP(A605, IMPORTRANGE(""https://docs.google.com/spreadsheets/d/1QNLbnkR_AongFt22vMfNzfpjZ0CjpI8QI-w0wBnYA1w/"", ""Инфа!A:AA""), 6, FALSE)"),2024)</f>
        <v>2024</v>
      </c>
      <c r="J608" s="5">
        <f ca="1">ROUND((5000+G608*30),-2)</f>
        <v>9800</v>
      </c>
      <c r="K608" s="12" t="s">
        <v>2421</v>
      </c>
      <c r="L608" s="15" t="s">
        <v>2422</v>
      </c>
    </row>
    <row r="609" spans="1:12" ht="292.5">
      <c r="A609" s="8" t="s">
        <v>2423</v>
      </c>
      <c r="B609" s="9" t="s">
        <v>12</v>
      </c>
      <c r="C609" s="12" t="s">
        <v>443</v>
      </c>
      <c r="D609" s="10" t="str">
        <f ca="1">IFERROR(__xludf.DUMMYFUNCTION(" VLOOKUP(A606, IMPORTRANGE(""https://docs.google.com/spreadsheets/d/1fj_Bhi2XPL3siwIh4sx4VRLAe31yD50oKdj5UlRYW0c/"", ""Сводка!A:AA""), 11, FALSE)"),"978-601-352-769-7")</f>
        <v>978-601-352-769-7</v>
      </c>
      <c r="E609" s="11" t="s">
        <v>2424</v>
      </c>
      <c r="F609" s="11" t="s">
        <v>2425</v>
      </c>
      <c r="G609" s="12">
        <f ca="1">IFERROR(__xludf.DUMMYFUNCTION(" VLOOKUP(A606, IMPORTRANGE(""https://docs.google.com/spreadsheets/d/1fj_Bhi2XPL3siwIh4sx4VRLAe31yD50oKdj5UlRYW0c/"", ""Сводка!A:AA""), 5, FALSE)"),240)</f>
        <v>240</v>
      </c>
      <c r="H609" s="12" t="s">
        <v>538</v>
      </c>
      <c r="I609" s="10">
        <f ca="1">IFERROR(__xludf.DUMMYFUNCTION(" VLOOKUP(A606, IMPORTRANGE(""https://docs.google.com/spreadsheets/d/1QNLbnkR_AongFt22vMfNzfpjZ0CjpI8QI-w0wBnYA1w/"", ""Инфа!A:AA""), 6, FALSE)"),2024)</f>
        <v>2024</v>
      </c>
      <c r="J609" s="5">
        <f ca="1">ROUND((5000+G609*60),-2)</f>
        <v>19400</v>
      </c>
      <c r="K609" s="12" t="s">
        <v>2412</v>
      </c>
      <c r="L609" s="15" t="s">
        <v>2426</v>
      </c>
    </row>
    <row r="610" spans="1:12" ht="67.5">
      <c r="A610" s="8" t="s">
        <v>2427</v>
      </c>
      <c r="B610" s="9" t="s">
        <v>12</v>
      </c>
      <c r="C610" s="12" t="s">
        <v>443</v>
      </c>
      <c r="D610" s="10" t="str">
        <f ca="1">IFERROR(__xludf.DUMMYFUNCTION(" VLOOKUP(A607, IMPORTRANGE(""https://docs.google.com/spreadsheets/d/1fj_Bhi2XPL3siwIh4sx4VRLAe31yD50oKdj5UlRYW0c/"", ""Сводка!A:AA""), 11, FALSE)"),"978-601-330-204-1")</f>
        <v>978-601-330-204-1</v>
      </c>
      <c r="E610" s="11" t="s">
        <v>2424</v>
      </c>
      <c r="F610" s="11" t="s">
        <v>2428</v>
      </c>
      <c r="G610" s="12">
        <f ca="1">IFERROR(__xludf.DUMMYFUNCTION(" VLOOKUP(A607, IMPORTRANGE(""https://docs.google.com/spreadsheets/d/1fj_Bhi2XPL3siwIh4sx4VRLAe31yD50oKdj5UlRYW0c/"", ""Сводка!A:AA""), 5, FALSE)"),160)</f>
        <v>160</v>
      </c>
      <c r="H610" s="12" t="s">
        <v>106</v>
      </c>
      <c r="I610" s="10">
        <f ca="1">IFERROR(__xludf.DUMMYFUNCTION(" VLOOKUP(A607, IMPORTRANGE(""https://docs.google.com/spreadsheets/d/1QNLbnkR_AongFt22vMfNzfpjZ0CjpI8QI-w0wBnYA1w/"", ""Инфа!A:AA""), 6, FALSE)"),2024)</f>
        <v>2024</v>
      </c>
      <c r="J610" s="5">
        <f ca="1">ROUND((5000+G610*60),-2)</f>
        <v>14600</v>
      </c>
      <c r="K610" s="12" t="s">
        <v>2412</v>
      </c>
      <c r="L610" s="15" t="s">
        <v>2429</v>
      </c>
    </row>
    <row r="611" spans="1:12" ht="236.25">
      <c r="A611" s="8" t="s">
        <v>2430</v>
      </c>
      <c r="B611" s="9" t="s">
        <v>12</v>
      </c>
      <c r="C611" s="12" t="s">
        <v>151</v>
      </c>
      <c r="D611" s="10" t="str">
        <f ca="1">IFERROR(__xludf.DUMMYFUNCTION(" VLOOKUP(A608, IMPORTRANGE(""https://docs.google.com/spreadsheets/d/1fj_Bhi2XPL3siwIh4sx4VRLAe31yD50oKdj5UlRYW0c/"", ""Сводка!A:AA""), 11, FALSE)"),"978-601-352-727-7")</f>
        <v>978-601-352-727-7</v>
      </c>
      <c r="E611" s="11" t="s">
        <v>2431</v>
      </c>
      <c r="F611" s="11" t="s">
        <v>2432</v>
      </c>
      <c r="G611" s="12">
        <f ca="1">IFERROR(__xludf.DUMMYFUNCTION(" VLOOKUP(A608, IMPORTRANGE(""https://docs.google.com/spreadsheets/d/1fj_Bhi2XPL3siwIh4sx4VRLAe31yD50oKdj5UlRYW0c/"", ""Сводка!A:AA""), 5, FALSE)"),188)</f>
        <v>188</v>
      </c>
      <c r="H611" s="12" t="s">
        <v>47</v>
      </c>
      <c r="I611" s="10">
        <f ca="1">IFERROR(__xludf.DUMMYFUNCTION(" VLOOKUP(A608, IMPORTRANGE(""https://docs.google.com/spreadsheets/d/1QNLbnkR_AongFt22vMfNzfpjZ0CjpI8QI-w0wBnYA1w/"", ""Инфа!A:AA""), 6, FALSE)"),2024)</f>
        <v>2024</v>
      </c>
      <c r="J611" s="5">
        <f ca="1">ROUND((5000+G611*30),-2)</f>
        <v>10600</v>
      </c>
      <c r="K611" s="12" t="s">
        <v>2412</v>
      </c>
      <c r="L611" s="15" t="s">
        <v>2433</v>
      </c>
    </row>
    <row r="612" spans="1:12" ht="102">
      <c r="A612" s="8" t="s">
        <v>2434</v>
      </c>
      <c r="B612" s="9" t="s">
        <v>2231</v>
      </c>
      <c r="C612" s="12" t="s">
        <v>443</v>
      </c>
      <c r="D612" s="10" t="str">
        <f ca="1">IFERROR(__xludf.DUMMYFUNCTION(" VLOOKUP(A609, IMPORTRANGE(""https://docs.google.com/spreadsheets/d/1fj_Bhi2XPL3siwIh4sx4VRLAe31yD50oKdj5UlRYW0c/"", ""Сводка!A:AA""), 11, FALSE)"),"978-601-08-1728-9")</f>
        <v>978-601-08-1728-9</v>
      </c>
      <c r="E612" s="38" t="s">
        <v>2435</v>
      </c>
      <c r="F612" s="38" t="s">
        <v>2436</v>
      </c>
      <c r="G612" s="12">
        <f ca="1">IFERROR(__xludf.DUMMYFUNCTION(" VLOOKUP(A609, IMPORTRANGE(""https://docs.google.com/spreadsheets/d/1fj_Bhi2XPL3siwIh4sx4VRLAe31yD50oKdj5UlRYW0c/"", ""Сводка!A:AA""), 5, FALSE)"),156)</f>
        <v>156</v>
      </c>
      <c r="H612" s="12" t="s">
        <v>446</v>
      </c>
      <c r="I612" s="10">
        <f ca="1">IFERROR(__xludf.DUMMYFUNCTION(" VLOOKUP(A609, IMPORTRANGE(""https://docs.google.com/spreadsheets/d/1QNLbnkR_AongFt22vMfNzfpjZ0CjpI8QI-w0wBnYA1w/"", ""Инфа!A:AA""), 6, FALSE)"),2024)</f>
        <v>2024</v>
      </c>
      <c r="J612" s="5">
        <f ca="1">ROUND((5000+G612*60),-2)</f>
        <v>14400</v>
      </c>
      <c r="K612" s="12" t="s">
        <v>2437</v>
      </c>
      <c r="L612" s="15" t="s">
        <v>2438</v>
      </c>
    </row>
    <row r="613" spans="1:12" ht="56.25">
      <c r="A613" s="8" t="s">
        <v>2439</v>
      </c>
      <c r="B613" s="9" t="s">
        <v>12</v>
      </c>
      <c r="C613" s="12" t="s">
        <v>443</v>
      </c>
      <c r="D613" s="10" t="str">
        <f ca="1">IFERROR(__xludf.DUMMYFUNCTION(" VLOOKUP(A610, IMPORTRANGE(""https://docs.google.com/spreadsheets/d/1fj_Bhi2XPL3siwIh4sx4VRLAe31yD50oKdj5UlRYW0c/"", ""Сводка!A:AA""), 11, FALSE)"),"978-601-352-789-5")</f>
        <v>978-601-352-789-5</v>
      </c>
      <c r="E613" s="11" t="s">
        <v>2440</v>
      </c>
      <c r="F613" s="11" t="s">
        <v>2441</v>
      </c>
      <c r="G613" s="12">
        <f ca="1">IFERROR(__xludf.DUMMYFUNCTION(" VLOOKUP(A610, IMPORTRANGE(""https://docs.google.com/spreadsheets/d/1fj_Bhi2XPL3siwIh4sx4VRLAe31yD50oKdj5UlRYW0c/"", ""Сводка!A:AA""), 5, FALSE)"),120)</f>
        <v>120</v>
      </c>
      <c r="H613" s="12" t="s">
        <v>2442</v>
      </c>
      <c r="I613" s="10">
        <f ca="1">IFERROR(__xludf.DUMMYFUNCTION(" VLOOKUP(A610, IMPORTRANGE(""https://docs.google.com/spreadsheets/d/1QNLbnkR_AongFt22vMfNzfpjZ0CjpI8QI-w0wBnYA1w/"", ""Инфа!A:AA""), 6, FALSE)"),2024)</f>
        <v>2024</v>
      </c>
      <c r="J613" s="5">
        <f t="shared" ref="J613:J619" ca="1" si="16">ROUND((5000+G613*30),-2)</f>
        <v>8600</v>
      </c>
      <c r="K613" s="12" t="s">
        <v>2412</v>
      </c>
      <c r="L613" s="15" t="s">
        <v>2443</v>
      </c>
    </row>
    <row r="614" spans="1:12" ht="76.5">
      <c r="A614" s="8" t="s">
        <v>2444</v>
      </c>
      <c r="B614" s="9" t="s">
        <v>12</v>
      </c>
      <c r="C614" s="12" t="s">
        <v>443</v>
      </c>
      <c r="D614" s="10" t="str">
        <f ca="1">IFERROR(__xludf.DUMMYFUNCTION(" VLOOKUP(A611, IMPORTRANGE(""https://docs.google.com/spreadsheets/d/1fj_Bhi2XPL3siwIh4sx4VRLAe31yD50oKdj5UlRYW0c/"", ""Сводка!A:AA""), 11, FALSE)"),"978-601-352-734-5")</f>
        <v>978-601-352-734-5</v>
      </c>
      <c r="E614" s="11" t="s">
        <v>2445</v>
      </c>
      <c r="F614" s="11" t="s">
        <v>2446</v>
      </c>
      <c r="G614" s="12">
        <f ca="1">IFERROR(__xludf.DUMMYFUNCTION(" VLOOKUP(A611, IMPORTRANGE(""https://docs.google.com/spreadsheets/d/1fj_Bhi2XPL3siwIh4sx4VRLAe31yD50oKdj5UlRYW0c/"", ""Сводка!A:AA""), 5, FALSE)"),156)</f>
        <v>156</v>
      </c>
      <c r="H614" s="12" t="s">
        <v>538</v>
      </c>
      <c r="I614" s="10">
        <f ca="1">IFERROR(__xludf.DUMMYFUNCTION(" VLOOKUP(A611, IMPORTRANGE(""https://docs.google.com/spreadsheets/d/1QNLbnkR_AongFt22vMfNzfpjZ0CjpI8QI-w0wBnYA1w/"", ""Инфа!A:AA""), 6, FALSE)"),2024)</f>
        <v>2024</v>
      </c>
      <c r="J614" s="5">
        <f t="shared" ca="1" si="16"/>
        <v>9700</v>
      </c>
      <c r="K614" s="12" t="s">
        <v>2447</v>
      </c>
      <c r="L614" s="15" t="s">
        <v>2448</v>
      </c>
    </row>
    <row r="615" spans="1:12" ht="101.25">
      <c r="A615" s="8" t="s">
        <v>2449</v>
      </c>
      <c r="B615" s="9" t="s">
        <v>12</v>
      </c>
      <c r="C615" s="13" t="s">
        <v>151</v>
      </c>
      <c r="D615" s="10" t="str">
        <f ca="1">IFERROR(__xludf.DUMMYFUNCTION(" VLOOKUP(A612, IMPORTRANGE(""https://docs.google.com/spreadsheets/d/1fj_Bhi2XPL3siwIh4sx4VRLAe31yD50oKdj5UlRYW0c/"", ""Сводка!A:AA""), 11, FALSE)"),"978-601-310-605-2")</f>
        <v>978-601-310-605-2</v>
      </c>
      <c r="E615" s="19" t="s">
        <v>2450</v>
      </c>
      <c r="F615" s="19" t="s">
        <v>2451</v>
      </c>
      <c r="G615" s="12">
        <f ca="1">IFERROR(__xludf.DUMMYFUNCTION(" VLOOKUP(A612, IMPORTRANGE(""https://docs.google.com/spreadsheets/d/1fj_Bhi2XPL3siwIh4sx4VRLAe31yD50oKdj5UlRYW0c/"", ""Сводка!A:AA""), 5, FALSE)"),108)</f>
        <v>108</v>
      </c>
      <c r="H615" s="9" t="s">
        <v>1950</v>
      </c>
      <c r="I615" s="10">
        <f ca="1">IFERROR(__xludf.DUMMYFUNCTION(" VLOOKUP(A612, IMPORTRANGE(""https://docs.google.com/spreadsheets/d/1QNLbnkR_AongFt22vMfNzfpjZ0CjpI8QI-w0wBnYA1w/"", ""Инфа!A:AA""), 6, FALSE)"),2024)</f>
        <v>2024</v>
      </c>
      <c r="J615" s="5">
        <f t="shared" ca="1" si="16"/>
        <v>8200</v>
      </c>
      <c r="K615" s="12" t="s">
        <v>243</v>
      </c>
      <c r="L615" s="21" t="s">
        <v>2452</v>
      </c>
    </row>
    <row r="616" spans="1:12" ht="202.5">
      <c r="A616" s="8" t="s">
        <v>2453</v>
      </c>
      <c r="B616" s="9" t="s">
        <v>12</v>
      </c>
      <c r="C616" s="12" t="s">
        <v>443</v>
      </c>
      <c r="D616" s="10" t="str">
        <f ca="1">IFERROR(__xludf.DUMMYFUNCTION(" VLOOKUP(A613, IMPORTRANGE(""https://docs.google.com/spreadsheets/d/1fj_Bhi2XPL3siwIh4sx4VRLAe31yD50oKdj5UlRYW0c/"", ""Сводка!A:AA""), 11, FALSE)"),"978-601-330-114-3")</f>
        <v>978-601-330-114-3</v>
      </c>
      <c r="E616" s="11" t="s">
        <v>2158</v>
      </c>
      <c r="F616" s="11" t="s">
        <v>2454</v>
      </c>
      <c r="G616" s="12">
        <f ca="1">IFERROR(__xludf.DUMMYFUNCTION(" VLOOKUP(A613, IMPORTRANGE(""https://docs.google.com/spreadsheets/d/1fj_Bhi2XPL3siwIh4sx4VRLAe31yD50oKdj5UlRYW0c/"", ""Сводка!A:AA""), 5, FALSE)"),332)</f>
        <v>332</v>
      </c>
      <c r="H616" s="12" t="s">
        <v>538</v>
      </c>
      <c r="I616" s="10">
        <f ca="1">IFERROR(__xludf.DUMMYFUNCTION(" VLOOKUP(A613, IMPORTRANGE(""https://docs.google.com/spreadsheets/d/1QNLbnkR_AongFt22vMfNzfpjZ0CjpI8QI-w0wBnYA1w/"", ""Инфа!A:AA""), 6, FALSE)"),2024)</f>
        <v>2024</v>
      </c>
      <c r="J616" s="5">
        <f t="shared" ca="1" si="16"/>
        <v>15000</v>
      </c>
      <c r="K616" s="12" t="s">
        <v>2455</v>
      </c>
      <c r="L616" s="15" t="s">
        <v>2456</v>
      </c>
    </row>
    <row r="617" spans="1:12" ht="202.5">
      <c r="A617" s="8" t="s">
        <v>2457</v>
      </c>
      <c r="B617" s="9" t="s">
        <v>12</v>
      </c>
      <c r="C617" s="12" t="s">
        <v>443</v>
      </c>
      <c r="D617" s="10" t="str">
        <f ca="1">IFERROR(__xludf.DUMMYFUNCTION(" VLOOKUP(A614, IMPORTRANGE(""https://docs.google.com/spreadsheets/d/1fj_Bhi2XPL3siwIh4sx4VRLAe31yD50oKdj5UlRYW0c/"", ""Сводка!A:AA""), 11, FALSE)"),"978-601-330-114-3")</f>
        <v>978-601-330-114-3</v>
      </c>
      <c r="E617" s="11" t="s">
        <v>2158</v>
      </c>
      <c r="F617" s="11" t="s">
        <v>2458</v>
      </c>
      <c r="G617" s="12">
        <f ca="1">IFERROR(__xludf.DUMMYFUNCTION(" VLOOKUP(A614, IMPORTRANGE(""https://docs.google.com/spreadsheets/d/1fj_Bhi2XPL3siwIh4sx4VRLAe31yD50oKdj5UlRYW0c/"", ""Сводка!A:AA""), 5, FALSE)"),228)</f>
        <v>228</v>
      </c>
      <c r="H617" s="12" t="s">
        <v>538</v>
      </c>
      <c r="I617" s="10">
        <f ca="1">IFERROR(__xludf.DUMMYFUNCTION(" VLOOKUP(A614, IMPORTRANGE(""https://docs.google.com/spreadsheets/d/1QNLbnkR_AongFt22vMfNzfpjZ0CjpI8QI-w0wBnYA1w/"", ""Инфа!A:AA""), 6, FALSE)"),2024)</f>
        <v>2024</v>
      </c>
      <c r="J617" s="5">
        <f t="shared" ca="1" si="16"/>
        <v>11800</v>
      </c>
      <c r="K617" s="12" t="s">
        <v>2455</v>
      </c>
      <c r="L617" s="15" t="s">
        <v>2456</v>
      </c>
    </row>
    <row r="618" spans="1:12" ht="225">
      <c r="A618" s="8" t="s">
        <v>2459</v>
      </c>
      <c r="B618" s="9" t="s">
        <v>12</v>
      </c>
      <c r="C618" s="12" t="s">
        <v>151</v>
      </c>
      <c r="D618" s="10" t="str">
        <f ca="1">IFERROR(__xludf.DUMMYFUNCTION(" VLOOKUP(A615, IMPORTRANGE(""https://docs.google.com/spreadsheets/d/1fj_Bhi2XPL3siwIh4sx4VRLAe31yD50oKdj5UlRYW0c/"", ""Сводка!A:AA""), 11, FALSE)"),"978-601-352-639-3")</f>
        <v>978-601-352-639-3</v>
      </c>
      <c r="E618" s="11" t="s">
        <v>2460</v>
      </c>
      <c r="F618" s="11" t="s">
        <v>2461</v>
      </c>
      <c r="G618" s="12">
        <f ca="1">IFERROR(__xludf.DUMMYFUNCTION(" VLOOKUP(A615, IMPORTRANGE(""https://docs.google.com/spreadsheets/d/1fj_Bhi2XPL3siwIh4sx4VRLAe31yD50oKdj5UlRYW0c/"", ""Сводка!A:AA""), 5, FALSE)"),148)</f>
        <v>148</v>
      </c>
      <c r="H618" s="12" t="s">
        <v>47</v>
      </c>
      <c r="I618" s="10">
        <f ca="1">IFERROR(__xludf.DUMMYFUNCTION(" VLOOKUP(A615, IMPORTRANGE(""https://docs.google.com/spreadsheets/d/1QNLbnkR_AongFt22vMfNzfpjZ0CjpI8QI-w0wBnYA1w/"", ""Инфа!A:AA""), 6, FALSE)"),2023)</f>
        <v>2023</v>
      </c>
      <c r="J618" s="5">
        <f t="shared" ca="1" si="16"/>
        <v>9400</v>
      </c>
      <c r="K618" s="12" t="s">
        <v>2421</v>
      </c>
      <c r="L618" s="15" t="s">
        <v>2462</v>
      </c>
    </row>
    <row r="619" spans="1:12" ht="315">
      <c r="A619" s="8" t="s">
        <v>2463</v>
      </c>
      <c r="B619" s="9" t="s">
        <v>2231</v>
      </c>
      <c r="C619" s="12" t="s">
        <v>151</v>
      </c>
      <c r="D619" s="10" t="str">
        <f ca="1">IFERROR(__xludf.DUMMYFUNCTION(" VLOOKUP(A616, IMPORTRANGE(""https://docs.google.com/spreadsheets/d/1fj_Bhi2XPL3siwIh4sx4VRLAe31yD50oKdj5UlRYW0c/"", ""Сводка!A:AA""), 11, FALSE)"),"978-601-305-073-7")</f>
        <v>978-601-305-073-7</v>
      </c>
      <c r="E619" s="11" t="s">
        <v>2464</v>
      </c>
      <c r="F619" s="11" t="s">
        <v>2465</v>
      </c>
      <c r="G619" s="12">
        <f ca="1">IFERROR(__xludf.DUMMYFUNCTION(" VLOOKUP(A616, IMPORTRANGE(""https://docs.google.com/spreadsheets/d/1fj_Bhi2XPL3siwIh4sx4VRLAe31yD50oKdj5UlRYW0c/"", ""Сводка!A:AA""), 5, FALSE)"),156)</f>
        <v>156</v>
      </c>
      <c r="H619" s="12" t="s">
        <v>106</v>
      </c>
      <c r="I619" s="10">
        <f ca="1">IFERROR(__xludf.DUMMYFUNCTION(" VLOOKUP(A616, IMPORTRANGE(""https://docs.google.com/spreadsheets/d/1QNLbnkR_AongFt22vMfNzfpjZ0CjpI8QI-w0wBnYA1w/"", ""Инфа!A:AA""), 6, FALSE)"),2024)</f>
        <v>2024</v>
      </c>
      <c r="J619" s="5">
        <f t="shared" ca="1" si="16"/>
        <v>9700</v>
      </c>
      <c r="K619" s="12" t="s">
        <v>2466</v>
      </c>
      <c r="L619" s="15" t="s">
        <v>2467</v>
      </c>
    </row>
    <row r="620" spans="1:12" ht="191.25">
      <c r="A620" s="8" t="s">
        <v>2468</v>
      </c>
      <c r="B620" s="9" t="s">
        <v>12</v>
      </c>
      <c r="C620" s="10" t="s">
        <v>151</v>
      </c>
      <c r="D620" s="10" t="s">
        <v>2469</v>
      </c>
      <c r="E620" s="22" t="s">
        <v>2470</v>
      </c>
      <c r="F620" s="22" t="s">
        <v>2471</v>
      </c>
      <c r="G620" s="12">
        <f ca="1">IFERROR(__xludf.DUMMYFUNCTION(" VLOOKUP(A617, IMPORTRANGE(""https://docs.google.com/spreadsheets/d/1fj_Bhi2XPL3siwIh4sx4VRLAe31yD50oKdj5UlRYW0c/"", ""Сводка!A:AA""), 5, FALSE)"),136)</f>
        <v>136</v>
      </c>
      <c r="H620" s="10" t="s">
        <v>47</v>
      </c>
      <c r="I620" s="10">
        <f ca="1">IFERROR(__xludf.DUMMYFUNCTION(" VLOOKUP(A617, IMPORTRANGE(""https://docs.google.com/spreadsheets/d/1QNLbnkR_AongFt22vMfNzfpjZ0CjpI8QI-w0wBnYA1w/"", ""Инфа!A:AA""), 6, FALSE)"),2024)</f>
        <v>2024</v>
      </c>
      <c r="J620" s="5">
        <f ca="1">ROUND((5000+G620*60),-2)</f>
        <v>13200</v>
      </c>
      <c r="K620" s="10" t="s">
        <v>2472</v>
      </c>
      <c r="L620" s="23" t="s">
        <v>2473</v>
      </c>
    </row>
    <row r="621" spans="1:12" ht="191.25">
      <c r="A621" s="8" t="s">
        <v>2474</v>
      </c>
      <c r="B621" s="9" t="s">
        <v>12</v>
      </c>
      <c r="C621" s="10" t="s">
        <v>443</v>
      </c>
      <c r="D621" s="10" t="str">
        <f ca="1">IFERROR(__xludf.DUMMYFUNCTION(" VLOOKUP(A618, IMPORTRANGE(""https://docs.google.com/spreadsheets/d/1fj_Bhi2XPL3siwIh4sx4VRLAe31yD50oKdj5UlRYW0c/"", ""Сводка!A:AA""), 11, FALSE)"),"978-601-330-072-6")</f>
        <v>978-601-330-072-6</v>
      </c>
      <c r="E621" s="22" t="s">
        <v>2475</v>
      </c>
      <c r="F621" s="22" t="s">
        <v>2476</v>
      </c>
      <c r="G621" s="12">
        <f ca="1">IFERROR(__xludf.DUMMYFUNCTION(" VLOOKUP(A618, IMPORTRANGE(""https://docs.google.com/spreadsheets/d/1fj_Bhi2XPL3siwIh4sx4VRLAe31yD50oKdj5UlRYW0c/"", ""Сводка!A:AA""), 5, FALSE)"),128)</f>
        <v>128</v>
      </c>
      <c r="H621" s="10" t="s">
        <v>446</v>
      </c>
      <c r="I621" s="10">
        <f ca="1">IFERROR(__xludf.DUMMYFUNCTION(" VLOOKUP(A618, IMPORTRANGE(""https://docs.google.com/spreadsheets/d/1QNLbnkR_AongFt22vMfNzfpjZ0CjpI8QI-w0wBnYA1w/"", ""Инфа!A:AA""), 6, FALSE)"),2024)</f>
        <v>2024</v>
      </c>
      <c r="J621" s="5">
        <f ca="1">ROUND((5000+G621*30),-2)</f>
        <v>8800</v>
      </c>
      <c r="K621" s="10" t="s">
        <v>2477</v>
      </c>
      <c r="L621" s="23" t="s">
        <v>2478</v>
      </c>
    </row>
    <row r="622" spans="1:12" ht="157.5">
      <c r="A622" s="8" t="s">
        <v>2479</v>
      </c>
      <c r="B622" s="9" t="s">
        <v>12</v>
      </c>
      <c r="C622" s="10" t="s">
        <v>443</v>
      </c>
      <c r="D622" s="10" t="str">
        <f ca="1">IFERROR(__xludf.DUMMYFUNCTION(" VLOOKUP(A619, IMPORTRANGE(""https://docs.google.com/spreadsheets/d/1fj_Bhi2XPL3siwIh4sx4VRLAe31yD50oKdj5UlRYW0c/"", ""Сводка!A:AA""), 11, FALSE)"),"978-601-352-693-5")</f>
        <v>978-601-352-693-5</v>
      </c>
      <c r="E622" s="22" t="s">
        <v>2480</v>
      </c>
      <c r="F622" s="22" t="s">
        <v>2481</v>
      </c>
      <c r="G622" s="12">
        <f ca="1">IFERROR(__xludf.DUMMYFUNCTION(" VLOOKUP(A619, IMPORTRANGE(""https://docs.google.com/spreadsheets/d/1fj_Bhi2XPL3siwIh4sx4VRLAe31yD50oKdj5UlRYW0c/"", ""Сводка!A:AA""), 5, FALSE)"),304)</f>
        <v>304</v>
      </c>
      <c r="H622" s="10" t="s">
        <v>538</v>
      </c>
      <c r="I622" s="10">
        <f ca="1">IFERROR(__xludf.DUMMYFUNCTION(" VLOOKUP(A619, IMPORTRANGE(""https://docs.google.com/spreadsheets/d/1QNLbnkR_AongFt22vMfNzfpjZ0CjpI8QI-w0wBnYA1w/"", ""Инфа!A:AA""), 6, FALSE)"),2024)</f>
        <v>2024</v>
      </c>
      <c r="J622" s="5">
        <f ca="1">ROUND((5000+G622*60),-2)</f>
        <v>23200</v>
      </c>
      <c r="K622" s="10" t="s">
        <v>1387</v>
      </c>
      <c r="L622" s="23" t="s">
        <v>2482</v>
      </c>
    </row>
    <row r="623" spans="1:12" ht="135">
      <c r="A623" s="8" t="s">
        <v>2483</v>
      </c>
      <c r="B623" s="9" t="s">
        <v>12</v>
      </c>
      <c r="C623" s="10" t="s">
        <v>151</v>
      </c>
      <c r="D623" s="10" t="str">
        <f ca="1">IFERROR(__xludf.DUMMYFUNCTION(" VLOOKUP(A620, IMPORTRANGE(""https://docs.google.com/spreadsheets/d/1fj_Bhi2XPL3siwIh4sx4VRLAe31yD50oKdj5UlRYW0c/"", ""Сводка!A:AA""), 11, FALSE)"),"978-601-330-153-2")</f>
        <v>978-601-330-153-2</v>
      </c>
      <c r="E623" s="22" t="s">
        <v>2484</v>
      </c>
      <c r="F623" s="22" t="s">
        <v>2485</v>
      </c>
      <c r="G623" s="12">
        <f ca="1">IFERROR(__xludf.DUMMYFUNCTION(" VLOOKUP(A620, IMPORTRANGE(""https://docs.google.com/spreadsheets/d/1fj_Bhi2XPL3siwIh4sx4VRLAe31yD50oKdj5UlRYW0c/"", ""Сводка!A:AA""), 5, FALSE)"),180)</f>
        <v>180</v>
      </c>
      <c r="H623" s="10" t="s">
        <v>47</v>
      </c>
      <c r="I623" s="10">
        <f ca="1">IFERROR(__xludf.DUMMYFUNCTION(" VLOOKUP(A620, IMPORTRANGE(""https://docs.google.com/spreadsheets/d/1QNLbnkR_AongFt22vMfNzfpjZ0CjpI8QI-w0wBnYA1w/"", ""Инфа!A:AA""), 6, FALSE)"),2024)</f>
        <v>2024</v>
      </c>
      <c r="J623" s="5">
        <f ca="1">ROUND((5000+G623*60),-2)</f>
        <v>15800</v>
      </c>
      <c r="K623" s="10" t="s">
        <v>1387</v>
      </c>
      <c r="L623" s="23" t="s">
        <v>2486</v>
      </c>
    </row>
    <row r="624" spans="1:12" ht="202.5">
      <c r="A624" s="8" t="s">
        <v>2487</v>
      </c>
      <c r="B624" s="9" t="s">
        <v>12</v>
      </c>
      <c r="C624" s="10" t="s">
        <v>151</v>
      </c>
      <c r="D624" s="10" t="str">
        <f ca="1">IFERROR(__xludf.DUMMYFUNCTION(" VLOOKUP(A621, IMPORTRANGE(""https://docs.google.com/spreadsheets/d/1fj_Bhi2XPL3siwIh4sx4VRLAe31yD50oKdj5UlRYW0c/"", ""Сводка!A:AA""), 11, FALSE)"),"978-601-330-262-1")</f>
        <v>978-601-330-262-1</v>
      </c>
      <c r="E624" s="22" t="s">
        <v>2488</v>
      </c>
      <c r="F624" s="22" t="s">
        <v>2489</v>
      </c>
      <c r="G624" s="12">
        <f ca="1">IFERROR(__xludf.DUMMYFUNCTION(" VLOOKUP(A621, IMPORTRANGE(""https://docs.google.com/spreadsheets/d/1fj_Bhi2XPL3siwIh4sx4VRLAe31yD50oKdj5UlRYW0c/"", ""Сводка!A:AA""), 5, FALSE)"),264)</f>
        <v>264</v>
      </c>
      <c r="H624" s="10" t="s">
        <v>47</v>
      </c>
      <c r="I624" s="10">
        <f ca="1">IFERROR(__xludf.DUMMYFUNCTION(" VLOOKUP(A621, IMPORTRANGE(""https://docs.google.com/spreadsheets/d/1QNLbnkR_AongFt22vMfNzfpjZ0CjpI8QI-w0wBnYA1w/"", ""Инфа!A:AA""), 6, FALSE)"),2023)</f>
        <v>2023</v>
      </c>
      <c r="J624" s="5">
        <f ca="1">ROUND((5000+G624*30),-2)</f>
        <v>12900</v>
      </c>
      <c r="K624" s="10" t="s">
        <v>139</v>
      </c>
      <c r="L624" s="23" t="s">
        <v>2490</v>
      </c>
    </row>
    <row r="625" spans="1:12" ht="191.25">
      <c r="A625" s="8" t="s">
        <v>2491</v>
      </c>
      <c r="B625" s="9" t="s">
        <v>12</v>
      </c>
      <c r="C625" s="10" t="s">
        <v>443</v>
      </c>
      <c r="D625" s="10" t="str">
        <f ca="1">IFERROR(__xludf.DUMMYFUNCTION(" VLOOKUP(A622, IMPORTRANGE(""https://docs.google.com/spreadsheets/d/1fj_Bhi2XPL3siwIh4sx4VRLAe31yD50oKdj5UlRYW0c/"", ""Сводка!A:AA""), 11, FALSE)"),"978-601-352-702-4")</f>
        <v>978-601-352-702-4</v>
      </c>
      <c r="E625" s="22" t="s">
        <v>2492</v>
      </c>
      <c r="F625" s="22" t="s">
        <v>2493</v>
      </c>
      <c r="G625" s="12">
        <f ca="1">IFERROR(__xludf.DUMMYFUNCTION(" VLOOKUP(A622, IMPORTRANGE(""https://docs.google.com/spreadsheets/d/1fj_Bhi2XPL3siwIh4sx4VRLAe31yD50oKdj5UlRYW0c/"", ""Сводка!A:AA""), 5, FALSE)"),284)</f>
        <v>284</v>
      </c>
      <c r="H625" s="10" t="s">
        <v>777</v>
      </c>
      <c r="I625" s="10">
        <f ca="1">IFERROR(__xludf.DUMMYFUNCTION(" VLOOKUP(A622, IMPORTRANGE(""https://docs.google.com/spreadsheets/d/1QNLbnkR_AongFt22vMfNzfpjZ0CjpI8QI-w0wBnYA1w/"", ""Инфа!A:AA""), 6, FALSE)"),2024)</f>
        <v>2024</v>
      </c>
      <c r="J625" s="5">
        <f ca="1">ROUND((5000+G625*60),-2)</f>
        <v>22000</v>
      </c>
      <c r="K625" s="10" t="s">
        <v>48</v>
      </c>
      <c r="L625" s="23" t="s">
        <v>2473</v>
      </c>
    </row>
    <row r="626" spans="1:12" ht="112.5">
      <c r="A626" s="8" t="s">
        <v>2494</v>
      </c>
      <c r="B626" s="9" t="s">
        <v>12</v>
      </c>
      <c r="C626" s="10" t="s">
        <v>13</v>
      </c>
      <c r="D626" s="10" t="str">
        <f ca="1">IFERROR(__xludf.DUMMYFUNCTION(" VLOOKUP(A623, IMPORTRANGE(""https://docs.google.com/spreadsheets/d/1fj_Bhi2XPL3siwIh4sx4VRLAe31yD50oKdj5UlRYW0c/"", ""Сводка!A:AA""), 11, FALSE)"),"978-601-342-223-8")</f>
        <v>978-601-342-223-8</v>
      </c>
      <c r="E626" s="11" t="s">
        <v>2495</v>
      </c>
      <c r="F626" s="11" t="s">
        <v>2496</v>
      </c>
      <c r="G626" s="12">
        <f ca="1">IFERROR(__xludf.DUMMYFUNCTION(" VLOOKUP(A623, IMPORTRANGE(""https://docs.google.com/spreadsheets/d/1fj_Bhi2XPL3siwIh4sx4VRLAe31yD50oKdj5UlRYW0c/"", ""Сводка!A:AA""), 5, FALSE)"),160)</f>
        <v>160</v>
      </c>
      <c r="H626" s="12" t="s">
        <v>2497</v>
      </c>
      <c r="I626" s="10">
        <f ca="1">IFERROR(__xludf.DUMMYFUNCTION(" VLOOKUP(A623, IMPORTRANGE(""https://docs.google.com/spreadsheets/d/1QNLbnkR_AongFt22vMfNzfpjZ0CjpI8QI-w0wBnYA1w/"", ""Инфа!A:AA""), 6, FALSE)"),2024)</f>
        <v>2024</v>
      </c>
      <c r="J626" s="5">
        <f ca="1">ROUND((5000+G626*30),-2)</f>
        <v>9800</v>
      </c>
      <c r="K626" s="12" t="s">
        <v>139</v>
      </c>
      <c r="L626" s="15" t="s">
        <v>2498</v>
      </c>
    </row>
    <row r="627" spans="1:12" ht="78.75">
      <c r="A627" s="8" t="s">
        <v>2499</v>
      </c>
      <c r="B627" s="9" t="s">
        <v>2231</v>
      </c>
      <c r="C627" s="12" t="s">
        <v>443</v>
      </c>
      <c r="D627" s="10" t="str">
        <f ca="1">IFERROR(__xludf.DUMMYFUNCTION(" VLOOKUP(A624, IMPORTRANGE(""https://docs.google.com/spreadsheets/d/1fj_Bhi2XPL3siwIh4sx4VRLAe31yD50oKdj5UlRYW0c/"", ""Сводка!A:AA""), 11, FALSE)"),"978-601-352-737-8")</f>
        <v>978-601-352-737-8</v>
      </c>
      <c r="E627" s="11" t="s">
        <v>2500</v>
      </c>
      <c r="F627" s="11" t="s">
        <v>2501</v>
      </c>
      <c r="G627" s="12">
        <f ca="1">IFERROR(__xludf.DUMMYFUNCTION(" VLOOKUP(A624, IMPORTRANGE(""https://docs.google.com/spreadsheets/d/1fj_Bhi2XPL3siwIh4sx4VRLAe31yD50oKdj5UlRYW0c/"", ""Сводка!A:AA""), 5, FALSE)"),308)</f>
        <v>308</v>
      </c>
      <c r="H627" s="12" t="s">
        <v>538</v>
      </c>
      <c r="I627" s="10">
        <f ca="1">IFERROR(__xludf.DUMMYFUNCTION(" VLOOKUP(A624, IMPORTRANGE(""https://docs.google.com/spreadsheets/d/1QNLbnkR_AongFt22vMfNzfpjZ0CjpI8QI-w0wBnYA1w/"", ""Инфа!A:AA""), 6, FALSE)"),2024)</f>
        <v>2024</v>
      </c>
      <c r="J627" s="5">
        <f ca="1">ROUND((5000+G627*60),-2)</f>
        <v>23500</v>
      </c>
      <c r="K627" s="12" t="s">
        <v>2502</v>
      </c>
      <c r="L627" s="15" t="s">
        <v>2503</v>
      </c>
    </row>
    <row r="628" spans="1:12" ht="168.75">
      <c r="A628" s="8" t="s">
        <v>2504</v>
      </c>
      <c r="B628" s="9" t="s">
        <v>2231</v>
      </c>
      <c r="C628" s="12" t="s">
        <v>443</v>
      </c>
      <c r="D628" s="10" t="str">
        <f ca="1">IFERROR(__xludf.DUMMYFUNCTION(" VLOOKUP(A625, IMPORTRANGE(""https://docs.google.com/spreadsheets/d/1fj_Bhi2XPL3siwIh4sx4VRLAe31yD50oKdj5UlRYW0c/"", ""Сводка!A:AA""), 11, FALSE)"),"978-601-352-517-4")</f>
        <v>978-601-352-517-4</v>
      </c>
      <c r="E628" s="11" t="s">
        <v>2505</v>
      </c>
      <c r="F628" s="11" t="s">
        <v>2506</v>
      </c>
      <c r="G628" s="12">
        <f ca="1">IFERROR(__xludf.DUMMYFUNCTION(" VLOOKUP(A625, IMPORTRANGE(""https://docs.google.com/spreadsheets/d/1fj_Bhi2XPL3siwIh4sx4VRLAe31yD50oKdj5UlRYW0c/"", ""Сводка!A:AA""), 5, FALSE)"),252)</f>
        <v>252</v>
      </c>
      <c r="H628" s="12" t="s">
        <v>671</v>
      </c>
      <c r="I628" s="10">
        <f ca="1">IFERROR(__xludf.DUMMYFUNCTION(" VLOOKUP(A625, IMPORTRANGE(""https://docs.google.com/spreadsheets/d/1QNLbnkR_AongFt22vMfNzfpjZ0CjpI8QI-w0wBnYA1w/"", ""Инфа!A:AA""), 6, FALSE)"),2024)</f>
        <v>2024</v>
      </c>
      <c r="J628" s="5">
        <f ca="1">ROUND((5000+G628*60),-2)</f>
        <v>20100</v>
      </c>
      <c r="K628" s="12" t="s">
        <v>2502</v>
      </c>
      <c r="L628" s="15" t="s">
        <v>2507</v>
      </c>
    </row>
    <row r="629" spans="1:12" ht="168.75">
      <c r="A629" s="8" t="s">
        <v>2508</v>
      </c>
      <c r="B629" s="9" t="s">
        <v>2231</v>
      </c>
      <c r="C629" s="12" t="s">
        <v>443</v>
      </c>
      <c r="D629" s="10" t="str">
        <f ca="1">IFERROR(__xludf.DUMMYFUNCTION(" VLOOKUP(A626, IMPORTRANGE(""https://docs.google.com/spreadsheets/d/1fj_Bhi2XPL3siwIh4sx4VRLAe31yD50oKdj5UlRYW0c/"", ""Сводка!A:AA""), 11, FALSE)"),"978-601-352-511-2")</f>
        <v>978-601-352-511-2</v>
      </c>
      <c r="E629" s="11" t="s">
        <v>2505</v>
      </c>
      <c r="F629" s="11" t="s">
        <v>2509</v>
      </c>
      <c r="G629" s="12">
        <f ca="1">IFERROR(__xludf.DUMMYFUNCTION(" VLOOKUP(A626, IMPORTRANGE(""https://docs.google.com/spreadsheets/d/1fj_Bhi2XPL3siwIh4sx4VRLAe31yD50oKdj5UlRYW0c/"", ""Сводка!A:AA""), 5, FALSE)"),264)</f>
        <v>264</v>
      </c>
      <c r="H629" s="12" t="s">
        <v>671</v>
      </c>
      <c r="I629" s="10">
        <f ca="1">IFERROR(__xludf.DUMMYFUNCTION(" VLOOKUP(A626, IMPORTRANGE(""https://docs.google.com/spreadsheets/d/1QNLbnkR_AongFt22vMfNzfpjZ0CjpI8QI-w0wBnYA1w/"", ""Инфа!A:AA""), 6, FALSE)"),2024)</f>
        <v>2024</v>
      </c>
      <c r="J629" s="5">
        <f ca="1">ROUND((5000+G629*60),-2)</f>
        <v>20800</v>
      </c>
      <c r="K629" s="12" t="s">
        <v>2502</v>
      </c>
      <c r="L629" s="15" t="s">
        <v>2507</v>
      </c>
    </row>
    <row r="630" spans="1:12" ht="90">
      <c r="A630" s="8" t="s">
        <v>2510</v>
      </c>
      <c r="B630" s="9" t="s">
        <v>2231</v>
      </c>
      <c r="C630" s="12" t="s">
        <v>443</v>
      </c>
      <c r="D630" s="10" t="s">
        <v>2511</v>
      </c>
      <c r="E630" s="22" t="s">
        <v>2512</v>
      </c>
      <c r="F630" s="22" t="s">
        <v>2513</v>
      </c>
      <c r="G630" s="12">
        <f ca="1">IFERROR(__xludf.DUMMYFUNCTION(" VLOOKUP(A627, IMPORTRANGE(""https://docs.google.com/spreadsheets/d/1fj_Bhi2XPL3siwIh4sx4VRLAe31yD50oKdj5UlRYW0c/"", ""Сводка!A:AA""), 5, FALSE)"),124)</f>
        <v>124</v>
      </c>
      <c r="H630" s="12" t="s">
        <v>24</v>
      </c>
      <c r="I630" s="10">
        <f ca="1">IFERROR(__xludf.DUMMYFUNCTION(" VLOOKUP(A627, IMPORTRANGE(""https://docs.google.com/spreadsheets/d/1QNLbnkR_AongFt22vMfNzfpjZ0CjpI8QI-w0wBnYA1w/"", ""Инфа!A:AA""), 6, FALSE)"),2024)</f>
        <v>2024</v>
      </c>
      <c r="J630" s="5">
        <f ca="1">ROUND((5000+G630*30),-2)</f>
        <v>8700</v>
      </c>
      <c r="K630" s="12" t="s">
        <v>2514</v>
      </c>
      <c r="L630" s="15" t="s">
        <v>2515</v>
      </c>
    </row>
    <row r="631" spans="1:12" ht="292.5">
      <c r="A631" s="8" t="s">
        <v>2516</v>
      </c>
      <c r="B631" s="9" t="s">
        <v>12</v>
      </c>
      <c r="C631" s="12" t="s">
        <v>2517</v>
      </c>
      <c r="D631" s="10" t="str">
        <f ca="1">IFERROR(__xludf.DUMMYFUNCTION(" VLOOKUP(A628, IMPORTRANGE(""https://docs.google.com/spreadsheets/d/1fj_Bhi2XPL3siwIh4sx4VRLAe31yD50oKdj5UlRYW0c/"", ""Сводка!A:AA""), 11, FALSE)"),"978-601-330-101-3")</f>
        <v>978-601-330-101-3</v>
      </c>
      <c r="E631" s="11" t="s">
        <v>2518</v>
      </c>
      <c r="F631" s="11" t="s">
        <v>2519</v>
      </c>
      <c r="G631" s="12">
        <f ca="1">IFERROR(__xludf.DUMMYFUNCTION(" VLOOKUP(A628, IMPORTRANGE(""https://docs.google.com/spreadsheets/d/1fj_Bhi2XPL3siwIh4sx4VRLAe31yD50oKdj5UlRYW0c/"", ""Сводка!A:AA""), 5, FALSE)"),100)</f>
        <v>100</v>
      </c>
      <c r="H631" s="12" t="s">
        <v>498</v>
      </c>
      <c r="I631" s="10">
        <f ca="1">IFERROR(__xludf.DUMMYFUNCTION(" VLOOKUP(A628, IMPORTRANGE(""https://docs.google.com/spreadsheets/d/1QNLbnkR_AongFt22vMfNzfpjZ0CjpI8QI-w0wBnYA1w/"", ""Инфа!A:AA""), 6, FALSE)"),2024)</f>
        <v>2024</v>
      </c>
      <c r="J631" s="5">
        <f ca="1">ROUND((5000+G631*30),-2)</f>
        <v>8000</v>
      </c>
      <c r="K631" s="12" t="s">
        <v>2520</v>
      </c>
      <c r="L631" s="15" t="s">
        <v>2521</v>
      </c>
    </row>
    <row r="632" spans="1:12" ht="236.25">
      <c r="A632" s="8" t="s">
        <v>2522</v>
      </c>
      <c r="B632" s="9" t="s">
        <v>12</v>
      </c>
      <c r="C632" s="12" t="s">
        <v>535</v>
      </c>
      <c r="D632" s="10" t="str">
        <f ca="1">IFERROR(__xludf.DUMMYFUNCTION(" VLOOKUP(A629, IMPORTRANGE(""https://docs.google.com/spreadsheets/d/1fj_Bhi2XPL3siwIh4sx4VRLAe31yD50oKdj5UlRYW0c/"", ""Сводка!A:AA""), 11, FALSE)"),"978-601-352-631-7")</f>
        <v>978-601-352-631-7</v>
      </c>
      <c r="E632" s="11" t="s">
        <v>2523</v>
      </c>
      <c r="F632" s="11" t="s">
        <v>2524</v>
      </c>
      <c r="G632" s="12">
        <f ca="1">IFERROR(__xludf.DUMMYFUNCTION(" VLOOKUP(A629, IMPORTRANGE(""https://docs.google.com/spreadsheets/d/1fj_Bhi2XPL3siwIh4sx4VRLAe31yD50oKdj5UlRYW0c/"", ""Сводка!A:AA""), 5, FALSE)"),348)</f>
        <v>348</v>
      </c>
      <c r="H632" s="12" t="s">
        <v>511</v>
      </c>
      <c r="I632" s="10">
        <f ca="1">IFERROR(__xludf.DUMMYFUNCTION(" VLOOKUP(A629, IMPORTRANGE(""https://docs.google.com/spreadsheets/d/1QNLbnkR_AongFt22vMfNzfpjZ0CjpI8QI-w0wBnYA1w/"", ""Инфа!A:AA""), 6, FALSE)"),2024)</f>
        <v>2024</v>
      </c>
      <c r="J632" s="5">
        <f ca="1">ROUND((5000+G632*60),-2)</f>
        <v>25900</v>
      </c>
      <c r="K632" s="12" t="s">
        <v>488</v>
      </c>
      <c r="L632" s="15" t="s">
        <v>2525</v>
      </c>
    </row>
    <row r="633" spans="1:12" ht="123.75">
      <c r="A633" s="8" t="s">
        <v>2526</v>
      </c>
      <c r="B633" s="9" t="s">
        <v>12</v>
      </c>
      <c r="C633" s="12" t="s">
        <v>151</v>
      </c>
      <c r="D633" s="10" t="str">
        <f ca="1">IFERROR(__xludf.DUMMYFUNCTION(" VLOOKUP(A630, IMPORTRANGE(""https://docs.google.com/spreadsheets/d/1fj_Bhi2XPL3siwIh4sx4VRLAe31yD50oKdj5UlRYW0c/"", ""Сводка!A:AA""), 11, FALSE)"),"978-601-330-264-5")</f>
        <v>978-601-330-264-5</v>
      </c>
      <c r="E633" s="11" t="s">
        <v>2527</v>
      </c>
      <c r="F633" s="11" t="s">
        <v>2528</v>
      </c>
      <c r="G633" s="12">
        <f ca="1">IFERROR(__xludf.DUMMYFUNCTION(" VLOOKUP(A630, IMPORTRANGE(""https://docs.google.com/spreadsheets/d/1fj_Bhi2XPL3siwIh4sx4VRLAe31yD50oKdj5UlRYW0c/"", ""Сводка!A:AA""), 5, FALSE)"),176)</f>
        <v>176</v>
      </c>
      <c r="H633" s="12" t="s">
        <v>106</v>
      </c>
      <c r="I633" s="10">
        <f ca="1">IFERROR(__xludf.DUMMYFUNCTION(" VLOOKUP(A630, IMPORTRANGE(""https://docs.google.com/spreadsheets/d/1QNLbnkR_AongFt22vMfNzfpjZ0CjpI8QI-w0wBnYA1w/"", ""Инфа!A:AA""), 6, FALSE)"),2023)</f>
        <v>2023</v>
      </c>
      <c r="J633" s="5">
        <f ca="1">ROUND((5000+G633*30),-2)</f>
        <v>10300</v>
      </c>
      <c r="K633" s="12" t="s">
        <v>2529</v>
      </c>
      <c r="L633" s="15" t="s">
        <v>2530</v>
      </c>
    </row>
    <row r="634" spans="1:12" ht="247.5">
      <c r="A634" s="8" t="s">
        <v>2531</v>
      </c>
      <c r="B634" s="9" t="s">
        <v>12</v>
      </c>
      <c r="C634" s="12" t="s">
        <v>66</v>
      </c>
      <c r="D634" s="10" t="str">
        <f ca="1">IFERROR(__xludf.DUMMYFUNCTION(" VLOOKUP(A631, IMPORTRANGE(""https://docs.google.com/spreadsheets/d/1fj_Bhi2XPL3siwIh4sx4VRLAe31yD50oKdj5UlRYW0c/"", ""Сводка!A:AA""), 11, FALSE)"),"978-301-330-221-8")</f>
        <v>978-301-330-221-8</v>
      </c>
      <c r="E634" s="11" t="s">
        <v>2532</v>
      </c>
      <c r="F634" s="11" t="s">
        <v>2533</v>
      </c>
      <c r="G634" s="12">
        <f ca="1">IFERROR(__xludf.DUMMYFUNCTION(" VLOOKUP(A631, IMPORTRANGE(""https://docs.google.com/spreadsheets/d/1fj_Bhi2XPL3siwIh4sx4VRLAe31yD50oKdj5UlRYW0c/"", ""Сводка!A:AA""), 5, FALSE)"),180)</f>
        <v>180</v>
      </c>
      <c r="H634" s="12" t="s">
        <v>325</v>
      </c>
      <c r="I634" s="10">
        <f ca="1">IFERROR(__xludf.DUMMYFUNCTION(" VLOOKUP(A631, IMPORTRANGE(""https://docs.google.com/spreadsheets/d/1QNLbnkR_AongFt22vMfNzfpjZ0CjpI8QI-w0wBnYA1w/"", ""Инфа!A:AA""), 6, FALSE)"),2024)</f>
        <v>2024</v>
      </c>
      <c r="J634" s="5">
        <f ca="1">ROUND((5000+G634*30),-2)</f>
        <v>10400</v>
      </c>
      <c r="K634" s="12" t="s">
        <v>2529</v>
      </c>
      <c r="L634" s="15" t="s">
        <v>2534</v>
      </c>
    </row>
    <row r="635" spans="1:12" ht="146.25">
      <c r="A635" s="8" t="s">
        <v>2535</v>
      </c>
      <c r="B635" s="9" t="s">
        <v>12</v>
      </c>
      <c r="C635" s="12" t="s">
        <v>535</v>
      </c>
      <c r="D635" s="10" t="str">
        <f ca="1">IFERROR(__xludf.DUMMYFUNCTION(" VLOOKUP(A632, IMPORTRANGE(""https://docs.google.com/spreadsheets/d/1fj_Bhi2XPL3siwIh4sx4VRLAe31yD50oKdj5UlRYW0c/"", ""Сводка!A:AA""), 11, FALSE)"),"978-601-352-762-8")</f>
        <v>978-601-352-762-8</v>
      </c>
      <c r="E635" s="11" t="s">
        <v>2536</v>
      </c>
      <c r="F635" s="11" t="s">
        <v>2537</v>
      </c>
      <c r="G635" s="12">
        <f ca="1">IFERROR(__xludf.DUMMYFUNCTION(" VLOOKUP(A632, IMPORTRANGE(""https://docs.google.com/spreadsheets/d/1fj_Bhi2XPL3siwIh4sx4VRLAe31yD50oKdj5UlRYW0c/"", ""Сводка!A:AA""), 5, FALSE)"),172)</f>
        <v>172</v>
      </c>
      <c r="H635" s="12" t="s">
        <v>106</v>
      </c>
      <c r="I635" s="10">
        <f ca="1">IFERROR(__xludf.DUMMYFUNCTION(" VLOOKUP(A632, IMPORTRANGE(""https://docs.google.com/spreadsheets/d/1QNLbnkR_AongFt22vMfNzfpjZ0CjpI8QI-w0wBnYA1w/"", ""Инфа!A:AA""), 6, FALSE)"),2024)</f>
        <v>2024</v>
      </c>
      <c r="J635" s="5">
        <f ca="1">ROUND((5000+G635*60),-2)</f>
        <v>15300</v>
      </c>
      <c r="K635" s="12" t="s">
        <v>2421</v>
      </c>
      <c r="L635" s="15" t="s">
        <v>2538</v>
      </c>
    </row>
    <row r="636" spans="1:12" ht="157.5">
      <c r="A636" s="8" t="s">
        <v>2539</v>
      </c>
      <c r="B636" s="9" t="s">
        <v>12</v>
      </c>
      <c r="C636" s="12" t="s">
        <v>535</v>
      </c>
      <c r="D636" s="10" t="str">
        <f ca="1">IFERROR(__xludf.DUMMYFUNCTION(" VLOOKUP(A633, IMPORTRANGE(""https://docs.google.com/spreadsheets/d/1fj_Bhi2XPL3siwIh4sx4VRLAe31yD50oKdj5UlRYW0c/"", ""Сводка!A:AA""), 11, FALSE)"),"978-601-330-196-9")</f>
        <v>978-601-330-196-9</v>
      </c>
      <c r="E636" s="11" t="s">
        <v>2540</v>
      </c>
      <c r="F636" s="11" t="s">
        <v>2541</v>
      </c>
      <c r="G636" s="12">
        <f ca="1">IFERROR(__xludf.DUMMYFUNCTION(" VLOOKUP(A633, IMPORTRANGE(""https://docs.google.com/spreadsheets/d/1fj_Bhi2XPL3siwIh4sx4VRLAe31yD50oKdj5UlRYW0c/"", ""Сводка!A:AA""), 5, FALSE)"),208)</f>
        <v>208</v>
      </c>
      <c r="H636" s="12" t="s">
        <v>538</v>
      </c>
      <c r="I636" s="10">
        <f ca="1">IFERROR(__xludf.DUMMYFUNCTION(" VLOOKUP(A633, IMPORTRANGE(""https://docs.google.com/spreadsheets/d/1QNLbnkR_AongFt22vMfNzfpjZ0CjpI8QI-w0wBnYA1w/"", ""Инфа!A:AA""), 6, FALSE)"),2024)</f>
        <v>2024</v>
      </c>
      <c r="J636" s="5">
        <f ca="1">ROUND((5000+G636*60),-2)</f>
        <v>17500</v>
      </c>
      <c r="K636" s="12" t="s">
        <v>2542</v>
      </c>
      <c r="L636" s="15" t="s">
        <v>2543</v>
      </c>
    </row>
    <row r="637" spans="1:12" ht="78.75">
      <c r="A637" s="8" t="s">
        <v>2544</v>
      </c>
      <c r="B637" s="9" t="s">
        <v>12</v>
      </c>
      <c r="C637" s="12" t="s">
        <v>151</v>
      </c>
      <c r="D637" s="10" t="str">
        <f ca="1">IFERROR(__xludf.DUMMYFUNCTION(" VLOOKUP(A634, IMPORTRANGE(""https://docs.google.com/spreadsheets/d/1fj_Bhi2XPL3siwIh4sx4VRLAe31yD50oKdj5UlRYW0c/"", ""Сводка!A:AA""), 11, FALSE)"),"978-601-330-100-6")</f>
        <v>978-601-330-100-6</v>
      </c>
      <c r="E637" s="11" t="s">
        <v>2545</v>
      </c>
      <c r="F637" s="11" t="s">
        <v>2546</v>
      </c>
      <c r="G637" s="12">
        <f ca="1">IFERROR(__xludf.DUMMYFUNCTION(" VLOOKUP(A634, IMPORTRANGE(""https://docs.google.com/spreadsheets/d/1fj_Bhi2XPL3siwIh4sx4VRLAe31yD50oKdj5UlRYW0c/"", ""Сводка!A:AA""), 5, FALSE)"),124)</f>
        <v>124</v>
      </c>
      <c r="H637" s="12" t="s">
        <v>106</v>
      </c>
      <c r="I637" s="10">
        <f ca="1">IFERROR(__xludf.DUMMYFUNCTION(" VLOOKUP(A634, IMPORTRANGE(""https://docs.google.com/spreadsheets/d/1QNLbnkR_AongFt22vMfNzfpjZ0CjpI8QI-w0wBnYA1w/"", ""Инфа!A:AA""), 6, FALSE)"),2023)</f>
        <v>2023</v>
      </c>
      <c r="J637" s="5">
        <f ca="1">ROUND((5000+G637*30),-2)</f>
        <v>8700</v>
      </c>
      <c r="K637" s="12" t="s">
        <v>2547</v>
      </c>
      <c r="L637" s="15" t="s">
        <v>2548</v>
      </c>
    </row>
    <row r="638" spans="1:12" ht="168.75">
      <c r="A638" s="8" t="s">
        <v>2549</v>
      </c>
      <c r="B638" s="9" t="s">
        <v>12</v>
      </c>
      <c r="C638" s="12" t="s">
        <v>443</v>
      </c>
      <c r="D638" s="10" t="str">
        <f ca="1">IFERROR(__xludf.DUMMYFUNCTION(" VLOOKUP(A635, IMPORTRANGE(""https://docs.google.com/spreadsheets/d/1fj_Bhi2XPL3siwIh4sx4VRLAe31yD50oKdj5UlRYW0c/"", ""Сводка!A:AA""), 11, FALSE)"),"978-601-330-098-6")</f>
        <v>978-601-330-098-6</v>
      </c>
      <c r="E638" s="11" t="s">
        <v>2545</v>
      </c>
      <c r="F638" s="11" t="s">
        <v>2550</v>
      </c>
      <c r="G638" s="12">
        <f ca="1">IFERROR(__xludf.DUMMYFUNCTION(" VLOOKUP(A635, IMPORTRANGE(""https://docs.google.com/spreadsheets/d/1fj_Bhi2XPL3siwIh4sx4VRLAe31yD50oKdj5UlRYW0c/"", ""Сводка!A:AA""), 5, FALSE)"),188)</f>
        <v>188</v>
      </c>
      <c r="H638" s="12" t="s">
        <v>106</v>
      </c>
      <c r="I638" s="10">
        <f ca="1">IFERROR(__xludf.DUMMYFUNCTION(" VLOOKUP(A635, IMPORTRANGE(""https://docs.google.com/spreadsheets/d/1QNLbnkR_AongFt22vMfNzfpjZ0CjpI8QI-w0wBnYA1w/"", ""Инфа!A:AA""), 6, FALSE)"),2024)</f>
        <v>2024</v>
      </c>
      <c r="J638" s="5">
        <f ca="1">ROUND((5000+G638*30),-2)</f>
        <v>10600</v>
      </c>
      <c r="K638" s="12" t="s">
        <v>2551</v>
      </c>
      <c r="L638" s="15" t="s">
        <v>2552</v>
      </c>
    </row>
    <row r="639" spans="1:12" ht="123.75">
      <c r="A639" s="8" t="s">
        <v>2553</v>
      </c>
      <c r="B639" s="9" t="s">
        <v>12</v>
      </c>
      <c r="C639" s="10" t="s">
        <v>443</v>
      </c>
      <c r="D639" s="10" t="str">
        <f ca="1">IFERROR(__xludf.DUMMYFUNCTION(" VLOOKUP(A636, IMPORTRANGE(""https://docs.google.com/spreadsheets/d/1fj_Bhi2XPL3siwIh4sx4VRLAe31yD50oKdj5UlRYW0c/"", ""Сводка!A:AA""), 11, FALSE)"),"978-601-352-675-1")</f>
        <v>978-601-352-675-1</v>
      </c>
      <c r="E639" s="22" t="s">
        <v>2554</v>
      </c>
      <c r="F639" s="22" t="s">
        <v>2555</v>
      </c>
      <c r="G639" s="12">
        <f ca="1">IFERROR(__xludf.DUMMYFUNCTION(" VLOOKUP(A636, IMPORTRANGE(""https://docs.google.com/spreadsheets/d/1fj_Bhi2XPL3siwIh4sx4VRLAe31yD50oKdj5UlRYW0c/"", ""Сводка!A:AA""), 5, FALSE)"),224)</f>
        <v>224</v>
      </c>
      <c r="H639" s="10" t="s">
        <v>671</v>
      </c>
      <c r="I639" s="10">
        <f ca="1">IFERROR(__xludf.DUMMYFUNCTION(" VLOOKUP(A636, IMPORTRANGE(""https://docs.google.com/spreadsheets/d/1QNLbnkR_AongFt22vMfNzfpjZ0CjpI8QI-w0wBnYA1w/"", ""Инфа!A:AA""), 6, FALSE)"),2023)</f>
        <v>2023</v>
      </c>
      <c r="J639" s="5">
        <f ca="1">ROUND((5000+G639*60),-2)</f>
        <v>18400</v>
      </c>
      <c r="K639" s="10" t="s">
        <v>248</v>
      </c>
      <c r="L639" s="23" t="s">
        <v>2556</v>
      </c>
    </row>
    <row r="640" spans="1:12" ht="123.75">
      <c r="A640" s="8" t="s">
        <v>2557</v>
      </c>
      <c r="B640" s="9" t="s">
        <v>12</v>
      </c>
      <c r="C640" s="10" t="s">
        <v>443</v>
      </c>
      <c r="D640" s="10" t="str">
        <f ca="1">IFERROR(__xludf.DUMMYFUNCTION(" VLOOKUP(A637, IMPORTRANGE(""https://docs.google.com/spreadsheets/d/1fj_Bhi2XPL3siwIh4sx4VRLAe31yD50oKdj5UlRYW0c/"", ""Сводка!A:AA""), 11, FALSE)"),"978-601-352-675-1")</f>
        <v>978-601-352-675-1</v>
      </c>
      <c r="E640" s="22" t="s">
        <v>2554</v>
      </c>
      <c r="F640" s="22" t="s">
        <v>2558</v>
      </c>
      <c r="G640" s="12">
        <f ca="1">IFERROR(__xludf.DUMMYFUNCTION(" VLOOKUP(A637, IMPORTRANGE(""https://docs.google.com/spreadsheets/d/1fj_Bhi2XPL3siwIh4sx4VRLAe31yD50oKdj5UlRYW0c/"", ""Сводка!A:AA""), 5, FALSE)"),164)</f>
        <v>164</v>
      </c>
      <c r="H640" s="10" t="s">
        <v>671</v>
      </c>
      <c r="I640" s="10">
        <f ca="1">IFERROR(__xludf.DUMMYFUNCTION(" VLOOKUP(A637, IMPORTRANGE(""https://docs.google.com/spreadsheets/d/1QNLbnkR_AongFt22vMfNzfpjZ0CjpI8QI-w0wBnYA1w/"", ""Инфа!A:AA""), 6, FALSE)"),2023)</f>
        <v>2023</v>
      </c>
      <c r="J640" s="5">
        <f ca="1">ROUND((5000+G640*60),-2)</f>
        <v>14800</v>
      </c>
      <c r="K640" s="10" t="s">
        <v>248</v>
      </c>
      <c r="L640" s="23" t="s">
        <v>2556</v>
      </c>
    </row>
    <row r="641" spans="1:12" ht="281.25">
      <c r="A641" s="8" t="s">
        <v>2559</v>
      </c>
      <c r="B641" s="9" t="s">
        <v>12</v>
      </c>
      <c r="C641" s="12" t="s">
        <v>151</v>
      </c>
      <c r="D641" s="10" t="s">
        <v>2560</v>
      </c>
      <c r="E641" s="11" t="s">
        <v>2561</v>
      </c>
      <c r="F641" s="11" t="s">
        <v>2562</v>
      </c>
      <c r="G641" s="12">
        <f ca="1">IFERROR(__xludf.DUMMYFUNCTION(" VLOOKUP(A638, IMPORTRANGE(""https://docs.google.com/spreadsheets/d/1fj_Bhi2XPL3siwIh4sx4VRLAe31yD50oKdj5UlRYW0c/"", ""Сводка!A:AA""), 5, FALSE)"),208)</f>
        <v>208</v>
      </c>
      <c r="H641" s="12" t="s">
        <v>47</v>
      </c>
      <c r="I641" s="10">
        <f ca="1">IFERROR(__xludf.DUMMYFUNCTION(" VLOOKUP(A638, IMPORTRANGE(""https://docs.google.com/spreadsheets/d/1QNLbnkR_AongFt22vMfNzfpjZ0CjpI8QI-w0wBnYA1w/"", ""Инфа!A:AA""), 6, FALSE)"),2024)</f>
        <v>2024</v>
      </c>
      <c r="J641" s="5">
        <f ca="1">ROUND((5000+G641*30),-2)</f>
        <v>11200</v>
      </c>
      <c r="K641" s="12" t="s">
        <v>2563</v>
      </c>
      <c r="L641" s="15" t="s">
        <v>2564</v>
      </c>
    </row>
    <row r="642" spans="1:12" ht="191.25">
      <c r="A642" s="8" t="s">
        <v>2565</v>
      </c>
      <c r="B642" s="9" t="s">
        <v>12</v>
      </c>
      <c r="C642" s="12" t="s">
        <v>151</v>
      </c>
      <c r="D642" s="10" t="str">
        <f ca="1">IFERROR(__xludf.DUMMYFUNCTION(" VLOOKUP(A639, IMPORTRANGE(""https://docs.google.com/spreadsheets/d/1fj_Bhi2XPL3siwIh4sx4VRLAe31yD50oKdj5UlRYW0c/"", ""Сводка!A:AA""), 11, FALSE)"),"978-601-352-913-4")</f>
        <v>978-601-352-913-4</v>
      </c>
      <c r="E642" s="11" t="s">
        <v>2566</v>
      </c>
      <c r="F642" s="22" t="s">
        <v>2567</v>
      </c>
      <c r="G642" s="12">
        <f ca="1">IFERROR(__xludf.DUMMYFUNCTION(" VLOOKUP(A639, IMPORTRANGE(""https://docs.google.com/spreadsheets/d/1fj_Bhi2XPL3siwIh4sx4VRLAe31yD50oKdj5UlRYW0c/"", ""Сводка!A:AA""), 5, FALSE)"),276)</f>
        <v>276</v>
      </c>
      <c r="H642" s="12" t="s">
        <v>47</v>
      </c>
      <c r="I642" s="10">
        <f ca="1">IFERROR(__xludf.DUMMYFUNCTION(" VLOOKUP(A639, IMPORTRANGE(""https://docs.google.com/spreadsheets/d/1QNLbnkR_AongFt22vMfNzfpjZ0CjpI8QI-w0wBnYA1w/"", ""Инфа!A:AA""), 6, FALSE)"),2024)</f>
        <v>2024</v>
      </c>
      <c r="J642" s="5">
        <f ca="1">ROUND((5000+G642*60),-2)</f>
        <v>21600</v>
      </c>
      <c r="K642" s="12" t="s">
        <v>2568</v>
      </c>
      <c r="L642" s="15" t="s">
        <v>2569</v>
      </c>
    </row>
    <row r="643" spans="1:12" ht="191.25">
      <c r="A643" s="8" t="s">
        <v>2570</v>
      </c>
      <c r="B643" s="9" t="s">
        <v>12</v>
      </c>
      <c r="C643" s="12" t="s">
        <v>151</v>
      </c>
      <c r="D643" s="10" t="s">
        <v>2571</v>
      </c>
      <c r="E643" s="11" t="s">
        <v>2566</v>
      </c>
      <c r="F643" s="22" t="s">
        <v>2572</v>
      </c>
      <c r="G643" s="12">
        <f ca="1">IFERROR(__xludf.DUMMYFUNCTION(" VLOOKUP(A640, IMPORTRANGE(""https://docs.google.com/spreadsheets/d/1fj_Bhi2XPL3siwIh4sx4VRLAe31yD50oKdj5UlRYW0c/"", ""Сводка!A:AA""), 5, FALSE)"),236)</f>
        <v>236</v>
      </c>
      <c r="H643" s="12" t="s">
        <v>47</v>
      </c>
      <c r="I643" s="10">
        <f ca="1">IFERROR(__xludf.DUMMYFUNCTION(" VLOOKUP(A640, IMPORTRANGE(""https://docs.google.com/spreadsheets/d/1QNLbnkR_AongFt22vMfNzfpjZ0CjpI8QI-w0wBnYA1w/"", ""Инфа!A:AA""), 6, FALSE)"),2024)</f>
        <v>2024</v>
      </c>
      <c r="J643" s="5">
        <f ca="1">ROUND((5000+G643*60),-2)</f>
        <v>19200</v>
      </c>
      <c r="K643" s="12" t="s">
        <v>2568</v>
      </c>
      <c r="L643" s="15" t="s">
        <v>2569</v>
      </c>
    </row>
    <row r="644" spans="1:12" ht="180">
      <c r="A644" s="8" t="s">
        <v>2573</v>
      </c>
      <c r="B644" s="9" t="s">
        <v>12</v>
      </c>
      <c r="C644" s="10" t="s">
        <v>151</v>
      </c>
      <c r="D644" s="10" t="str">
        <f ca="1">IFERROR(__xludf.DUMMYFUNCTION(" VLOOKUP(A641, IMPORTRANGE(""https://docs.google.com/spreadsheets/d/1fj_Bhi2XPL3siwIh4sx4VRLAe31yD50oKdj5UlRYW0c/"", ""Сводка!A:AA""), 11, FALSE)"),"978-601-330-244-7")</f>
        <v>978-601-330-244-7</v>
      </c>
      <c r="E644" s="22" t="s">
        <v>2574</v>
      </c>
      <c r="F644" s="22" t="s">
        <v>2575</v>
      </c>
      <c r="G644" s="12">
        <f ca="1">IFERROR(__xludf.DUMMYFUNCTION(" VLOOKUP(A641, IMPORTRANGE(""https://docs.google.com/spreadsheets/d/1fj_Bhi2XPL3siwIh4sx4VRLAe31yD50oKdj5UlRYW0c/"", ""Сводка!A:AA""), 5, FALSE)"),264)</f>
        <v>264</v>
      </c>
      <c r="H644" s="10" t="s">
        <v>165</v>
      </c>
      <c r="I644" s="10">
        <f ca="1">IFERROR(__xludf.DUMMYFUNCTION(" VLOOKUP(A641, IMPORTRANGE(""https://docs.google.com/spreadsheets/d/1QNLbnkR_AongFt22vMfNzfpjZ0CjpI8QI-w0wBnYA1w/"", ""Инфа!A:AA""), 6, FALSE)"),2023)</f>
        <v>2023</v>
      </c>
      <c r="J644" s="5">
        <f ca="1">ROUND((5000+G644*60),-2)</f>
        <v>20800</v>
      </c>
      <c r="K644" s="10" t="s">
        <v>48</v>
      </c>
      <c r="L644" s="23" t="s">
        <v>2576</v>
      </c>
    </row>
    <row r="645" spans="1:12" ht="67.5">
      <c r="A645" s="8" t="s">
        <v>2577</v>
      </c>
      <c r="B645" s="9" t="s">
        <v>12</v>
      </c>
      <c r="C645" s="10" t="s">
        <v>443</v>
      </c>
      <c r="D645" s="10" t="str">
        <f ca="1">IFERROR(__xludf.DUMMYFUNCTION(" VLOOKUP(A642, IMPORTRANGE(""https://docs.google.com/spreadsheets/d/1fj_Bhi2XPL3siwIh4sx4VRLAe31yD50oKdj5UlRYW0c/"", ""Сводка!A:AA""), 11, FALSE)"),"9965-31-236-2")</f>
        <v>9965-31-236-2</v>
      </c>
      <c r="E645" s="19" t="s">
        <v>2578</v>
      </c>
      <c r="F645" s="19" t="s">
        <v>2579</v>
      </c>
      <c r="G645" s="12">
        <f ca="1">IFERROR(__xludf.DUMMYFUNCTION(" VLOOKUP(A642, IMPORTRANGE(""https://docs.google.com/spreadsheets/d/1fj_Bhi2XPL3siwIh4sx4VRLAe31yD50oKdj5UlRYW0c/"", ""Сводка!A:AA""), 5, FALSE)"),160)</f>
        <v>160</v>
      </c>
      <c r="H645" s="9" t="s">
        <v>538</v>
      </c>
      <c r="I645" s="10">
        <f ca="1">IFERROR(__xludf.DUMMYFUNCTION(" VLOOKUP(A642, IMPORTRANGE(""https://docs.google.com/spreadsheets/d/1QNLbnkR_AongFt22vMfNzfpjZ0CjpI8QI-w0wBnYA1w/"", ""Инфа!A:AA""), 6, FALSE)"),2024)</f>
        <v>2024</v>
      </c>
      <c r="J645" s="5">
        <f ca="1">ROUND((5000+G645*60),-2)</f>
        <v>14600</v>
      </c>
      <c r="K645" s="9" t="s">
        <v>758</v>
      </c>
      <c r="L645" s="15" t="s">
        <v>2580</v>
      </c>
    </row>
    <row r="646" spans="1:12" ht="180">
      <c r="A646" s="8" t="s">
        <v>2581</v>
      </c>
      <c r="B646" s="9" t="s">
        <v>12</v>
      </c>
      <c r="C646" s="10" t="s">
        <v>151</v>
      </c>
      <c r="D646" s="10" t="str">
        <f ca="1">IFERROR(__xludf.DUMMYFUNCTION(" VLOOKUP(A643, IMPORTRANGE(""https://docs.google.com/spreadsheets/d/1fj_Bhi2XPL3siwIh4sx4VRLAe31yD50oKdj5UlRYW0c/"", ""Сводка!A:AA""), 11, FALSE)"),"978-601-330-243-0")</f>
        <v>978-601-330-243-0</v>
      </c>
      <c r="E646" s="22" t="s">
        <v>2574</v>
      </c>
      <c r="F646" s="22" t="s">
        <v>2582</v>
      </c>
      <c r="G646" s="12">
        <f ca="1">IFERROR(__xludf.DUMMYFUNCTION(" VLOOKUP(A643, IMPORTRANGE(""https://docs.google.com/spreadsheets/d/1fj_Bhi2XPL3siwIh4sx4VRLAe31yD50oKdj5UlRYW0c/"", ""Сводка!A:AA""), 5, FALSE)"),208)</f>
        <v>208</v>
      </c>
      <c r="H646" s="10" t="s">
        <v>165</v>
      </c>
      <c r="I646" s="10">
        <f ca="1">IFERROR(__xludf.DUMMYFUNCTION(" VLOOKUP(A643, IMPORTRANGE(""https://docs.google.com/spreadsheets/d/1QNLbnkR_AongFt22vMfNzfpjZ0CjpI8QI-w0wBnYA1w/"", ""Инфа!A:AA""), 6, FALSE)"),2023)</f>
        <v>2023</v>
      </c>
      <c r="J646" s="5">
        <f ca="1">ROUND((5000+G646*60),-2)</f>
        <v>17500</v>
      </c>
      <c r="K646" s="10" t="s">
        <v>48</v>
      </c>
      <c r="L646" s="23" t="s">
        <v>2583</v>
      </c>
    </row>
    <row r="647" spans="1:12" ht="135">
      <c r="A647" s="8" t="s">
        <v>2584</v>
      </c>
      <c r="B647" s="9" t="s">
        <v>12</v>
      </c>
      <c r="C647" s="12" t="s">
        <v>443</v>
      </c>
      <c r="D647" s="10" t="str">
        <f ca="1">IFERROR(__xludf.DUMMYFUNCTION(" VLOOKUP(A644, IMPORTRANGE(""https://docs.google.com/spreadsheets/d/1fj_Bhi2XPL3siwIh4sx4VRLAe31yD50oKdj5UlRYW0c/"", ""Сводка!A:AA""), 11, FALSE)"),"978-601-330-260-7")</f>
        <v>978-601-330-260-7</v>
      </c>
      <c r="E647" s="22" t="s">
        <v>2585</v>
      </c>
      <c r="F647" s="22" t="s">
        <v>2586</v>
      </c>
      <c r="G647" s="12">
        <f ca="1">IFERROR(__xludf.DUMMYFUNCTION(" VLOOKUP(A644, IMPORTRANGE(""https://docs.google.com/spreadsheets/d/1fj_Bhi2XPL3siwIh4sx4VRLAe31yD50oKdj5UlRYW0c/"", ""Сводка!A:AA""), 5, FALSE)"),120)</f>
        <v>120</v>
      </c>
      <c r="H647" s="10" t="s">
        <v>671</v>
      </c>
      <c r="I647" s="10">
        <f ca="1">IFERROR(__xludf.DUMMYFUNCTION(" VLOOKUP(A644, IMPORTRANGE(""https://docs.google.com/spreadsheets/d/1QNLbnkR_AongFt22vMfNzfpjZ0CjpI8QI-w0wBnYA1w/"", ""Инфа!A:AA""), 6, FALSE)"),2023)</f>
        <v>2023</v>
      </c>
      <c r="J647" s="5">
        <f t="shared" ref="J647:J652" ca="1" si="17">ROUND((5000+G647*30),-2)</f>
        <v>8600</v>
      </c>
      <c r="K647" s="12" t="s">
        <v>160</v>
      </c>
      <c r="L647" s="15" t="s">
        <v>2587</v>
      </c>
    </row>
    <row r="648" spans="1:12" ht="157.5">
      <c r="A648" s="8" t="s">
        <v>2588</v>
      </c>
      <c r="B648" s="9" t="s">
        <v>12</v>
      </c>
      <c r="C648" s="12" t="s">
        <v>443</v>
      </c>
      <c r="D648" s="10" t="str">
        <f ca="1">IFERROR(__xludf.DUMMYFUNCTION(" VLOOKUP(A645, IMPORTRANGE(""https://docs.google.com/spreadsheets/d/1fj_Bhi2XPL3siwIh4sx4VRLAe31yD50oKdj5UlRYW0c/"", ""Сводка!A:AA""), 11, FALSE)"),"978-601-330-261-4")</f>
        <v>978-601-330-261-4</v>
      </c>
      <c r="E648" s="22" t="s">
        <v>2589</v>
      </c>
      <c r="F648" s="22" t="s">
        <v>2590</v>
      </c>
      <c r="G648" s="12">
        <f ca="1">IFERROR(__xludf.DUMMYFUNCTION(" VLOOKUP(A645, IMPORTRANGE(""https://docs.google.com/spreadsheets/d/1fj_Bhi2XPL3siwIh4sx4VRLAe31yD50oKdj5UlRYW0c/"", ""Сводка!A:AA""), 5, FALSE)"),100)</f>
        <v>100</v>
      </c>
      <c r="H648" s="10" t="s">
        <v>671</v>
      </c>
      <c r="I648" s="10">
        <f ca="1">IFERROR(__xludf.DUMMYFUNCTION(" VLOOKUP(A645, IMPORTRANGE(""https://docs.google.com/spreadsheets/d/1QNLbnkR_AongFt22vMfNzfpjZ0CjpI8QI-w0wBnYA1w/"", ""Инфа!A:AA""), 6, FALSE)"),2023)</f>
        <v>2023</v>
      </c>
      <c r="J648" s="5">
        <f t="shared" ca="1" si="17"/>
        <v>8000</v>
      </c>
      <c r="K648" s="12" t="s">
        <v>160</v>
      </c>
      <c r="L648" s="15" t="s">
        <v>2591</v>
      </c>
    </row>
    <row r="649" spans="1:12" ht="157.5">
      <c r="A649" s="8" t="s">
        <v>2592</v>
      </c>
      <c r="B649" s="9" t="s">
        <v>12</v>
      </c>
      <c r="C649" s="12" t="s">
        <v>443</v>
      </c>
      <c r="D649" s="10" t="str">
        <f ca="1">IFERROR(__xludf.DUMMYFUNCTION(" VLOOKUP(A646, IMPORTRANGE(""https://docs.google.com/spreadsheets/d/1fj_Bhi2XPL3siwIh4sx4VRLAe31yD50oKdj5UlRYW0c/"", ""Сводка!A:AA""), 11, FALSE)"),"978-601-352-670-6")</f>
        <v>978-601-352-670-6</v>
      </c>
      <c r="E649" s="22" t="s">
        <v>2593</v>
      </c>
      <c r="F649" s="22" t="s">
        <v>2594</v>
      </c>
      <c r="G649" s="12">
        <f ca="1">IFERROR(__xludf.DUMMYFUNCTION(" VLOOKUP(A646, IMPORTRANGE(""https://docs.google.com/spreadsheets/d/1fj_Bhi2XPL3siwIh4sx4VRLAe31yD50oKdj5UlRYW0c/"", ""Сводка!A:AA""), 5, FALSE)"),116)</f>
        <v>116</v>
      </c>
      <c r="H649" s="10" t="s">
        <v>671</v>
      </c>
      <c r="I649" s="10">
        <f ca="1">IFERROR(__xludf.DUMMYFUNCTION(" VLOOKUP(A646, IMPORTRANGE(""https://docs.google.com/spreadsheets/d/1QNLbnkR_AongFt22vMfNzfpjZ0CjpI8QI-w0wBnYA1w/"", ""Инфа!A:AA""), 6, FALSE)"),2023)</f>
        <v>2023</v>
      </c>
      <c r="J649" s="5">
        <f t="shared" ca="1" si="17"/>
        <v>8500</v>
      </c>
      <c r="K649" s="12" t="s">
        <v>2595</v>
      </c>
      <c r="L649" s="15" t="s">
        <v>2596</v>
      </c>
    </row>
    <row r="650" spans="1:12" ht="33.75">
      <c r="A650" s="8" t="s">
        <v>2597</v>
      </c>
      <c r="B650" s="9" t="s">
        <v>12</v>
      </c>
      <c r="C650" s="12" t="s">
        <v>443</v>
      </c>
      <c r="D650" s="10" t="str">
        <f ca="1">IFERROR(__xludf.DUMMYFUNCTION(" VLOOKUP(A647, IMPORTRANGE(""https://docs.google.com/spreadsheets/d/1fj_Bhi2XPL3siwIh4sx4VRLAe31yD50oKdj5UlRYW0c/"", ""Сводка!A:AA""), 11, FALSE)"),"978-601-7195-51-9")</f>
        <v>978-601-7195-51-9</v>
      </c>
      <c r="E650" s="22" t="s">
        <v>2598</v>
      </c>
      <c r="F650" s="22" t="s">
        <v>2599</v>
      </c>
      <c r="G650" s="12">
        <f ca="1">IFERROR(__xludf.DUMMYFUNCTION(" VLOOKUP(A647, IMPORTRANGE(""https://docs.google.com/spreadsheets/d/1fj_Bhi2XPL3siwIh4sx4VRLAe31yD50oKdj5UlRYW0c/"", ""Сводка!A:AA""), 5, FALSE)"),116)</f>
        <v>116</v>
      </c>
      <c r="H650" s="10" t="s">
        <v>511</v>
      </c>
      <c r="I650" s="10">
        <f ca="1">IFERROR(__xludf.DUMMYFUNCTION(" VLOOKUP(A647, IMPORTRANGE(""https://docs.google.com/spreadsheets/d/1QNLbnkR_AongFt22vMfNzfpjZ0CjpI8QI-w0wBnYA1w/"", ""Инфа!A:AA""), 6, FALSE)"),2023)</f>
        <v>2023</v>
      </c>
      <c r="J650" s="5">
        <f t="shared" ca="1" si="17"/>
        <v>8500</v>
      </c>
      <c r="K650" s="12" t="s">
        <v>2600</v>
      </c>
      <c r="L650" s="15" t="s">
        <v>2601</v>
      </c>
    </row>
    <row r="651" spans="1:12" ht="112.5">
      <c r="A651" s="8" t="s">
        <v>2602</v>
      </c>
      <c r="B651" s="9" t="s">
        <v>12</v>
      </c>
      <c r="C651" s="12" t="s">
        <v>443</v>
      </c>
      <c r="D651" s="10" t="str">
        <f ca="1">IFERROR(__xludf.DUMMYFUNCTION(" VLOOKUP(A648, IMPORTRANGE(""https://docs.google.com/spreadsheets/d/1fj_Bhi2XPL3siwIh4sx4VRLAe31yD50oKdj5UlRYW0c/"", ""Сводка!A:AA""), 11, FALSE)"),"978-601-7195-40-3")</f>
        <v>978-601-7195-40-3</v>
      </c>
      <c r="E651" s="22" t="s">
        <v>2603</v>
      </c>
      <c r="F651" s="22" t="s">
        <v>2604</v>
      </c>
      <c r="G651" s="12">
        <f ca="1">IFERROR(__xludf.DUMMYFUNCTION(" VLOOKUP(A648, IMPORTRANGE(""https://docs.google.com/spreadsheets/d/1fj_Bhi2XPL3siwIh4sx4VRLAe31yD50oKdj5UlRYW0c/"", ""Сводка!A:AA""), 5, FALSE)"),156)</f>
        <v>156</v>
      </c>
      <c r="H651" s="10" t="s">
        <v>671</v>
      </c>
      <c r="I651" s="10">
        <f ca="1">IFERROR(__xludf.DUMMYFUNCTION(" VLOOKUP(A648, IMPORTRANGE(""https://docs.google.com/spreadsheets/d/1QNLbnkR_AongFt22vMfNzfpjZ0CjpI8QI-w0wBnYA1w/"", ""Инфа!A:AA""), 6, FALSE)"),2024)</f>
        <v>2024</v>
      </c>
      <c r="J651" s="5">
        <f t="shared" ca="1" si="17"/>
        <v>9700</v>
      </c>
      <c r="K651" s="12" t="s">
        <v>1387</v>
      </c>
      <c r="L651" s="15" t="s">
        <v>2605</v>
      </c>
    </row>
    <row r="652" spans="1:12" ht="123.75">
      <c r="A652" s="8" t="s">
        <v>2606</v>
      </c>
      <c r="B652" s="9" t="s">
        <v>12</v>
      </c>
      <c r="C652" s="12" t="s">
        <v>443</v>
      </c>
      <c r="D652" s="10" t="str">
        <f ca="1">IFERROR(__xludf.DUMMYFUNCTION(" VLOOKUP(A649, IMPORTRANGE(""https://docs.google.com/spreadsheets/d/1fj_Bhi2XPL3siwIh4sx4VRLAe31yD50oKdj5UlRYW0c/"", ""Сводка!A:AA""), 11, FALSE)"),"978-601-352-852-6")</f>
        <v>978-601-352-852-6</v>
      </c>
      <c r="E652" s="22" t="s">
        <v>2607</v>
      </c>
      <c r="F652" s="22" t="s">
        <v>2608</v>
      </c>
      <c r="G652" s="12">
        <f ca="1">IFERROR(__xludf.DUMMYFUNCTION(" VLOOKUP(A649, IMPORTRANGE(""https://docs.google.com/spreadsheets/d/1fj_Bhi2XPL3siwIh4sx4VRLAe31yD50oKdj5UlRYW0c/"", ""Сводка!A:AA""), 5, FALSE)"),152)</f>
        <v>152</v>
      </c>
      <c r="H652" s="10" t="s">
        <v>538</v>
      </c>
      <c r="I652" s="10">
        <f ca="1">IFERROR(__xludf.DUMMYFUNCTION(" VLOOKUP(A649, IMPORTRANGE(""https://docs.google.com/spreadsheets/d/1QNLbnkR_AongFt22vMfNzfpjZ0CjpI8QI-w0wBnYA1w/"", ""Инфа!A:AA""), 6, FALSE)"),2024)</f>
        <v>2024</v>
      </c>
      <c r="J652" s="5">
        <f t="shared" ca="1" si="17"/>
        <v>9600</v>
      </c>
      <c r="K652" s="12" t="s">
        <v>2609</v>
      </c>
      <c r="L652" s="15" t="s">
        <v>2610</v>
      </c>
    </row>
    <row r="653" spans="1:12" ht="123.75">
      <c r="A653" s="8" t="s">
        <v>2611</v>
      </c>
      <c r="B653" s="9" t="s">
        <v>12</v>
      </c>
      <c r="C653" s="12" t="s">
        <v>151</v>
      </c>
      <c r="D653" s="10" t="str">
        <f ca="1">IFERROR(__xludf.DUMMYFUNCTION(" VLOOKUP(A650, IMPORTRANGE(""https://docs.google.com/spreadsheets/d/1fj_Bhi2XPL3siwIh4sx4VRLAe31yD50oKdj5UlRYW0c/"", ""Сводка!A:AA""), 11, FALSE)"),"978-601-352-456-6")</f>
        <v>978-601-352-456-6</v>
      </c>
      <c r="E653" s="22" t="s">
        <v>2612</v>
      </c>
      <c r="F653" s="22" t="s">
        <v>2613</v>
      </c>
      <c r="G653" s="12">
        <f ca="1">IFERROR(__xludf.DUMMYFUNCTION(" VLOOKUP(A650, IMPORTRANGE(""https://docs.google.com/spreadsheets/d/1fj_Bhi2XPL3siwIh4sx4VRLAe31yD50oKdj5UlRYW0c/"", ""Сводка!A:AA""), 5, FALSE)"),104)</f>
        <v>104</v>
      </c>
      <c r="H653" s="10" t="s">
        <v>106</v>
      </c>
      <c r="I653" s="10">
        <f ca="1">IFERROR(__xludf.DUMMYFUNCTION(" VLOOKUP(A650, IMPORTRANGE(""https://docs.google.com/spreadsheets/d/1QNLbnkR_AongFt22vMfNzfpjZ0CjpI8QI-w0wBnYA1w/"", ""Инфа!A:AA""), 6, FALSE)"),2024)</f>
        <v>2024</v>
      </c>
      <c r="J653" s="5">
        <f ca="1">ROUND((5000+G653*60),-2)</f>
        <v>11200</v>
      </c>
      <c r="K653" s="12" t="s">
        <v>2614</v>
      </c>
      <c r="L653" s="15" t="s">
        <v>2615</v>
      </c>
    </row>
    <row r="654" spans="1:12" ht="123.75">
      <c r="A654" s="8" t="s">
        <v>2616</v>
      </c>
      <c r="B654" s="9" t="s">
        <v>12</v>
      </c>
      <c r="C654" s="12" t="s">
        <v>151</v>
      </c>
      <c r="D654" s="10" t="str">
        <f ca="1">IFERROR(__xludf.DUMMYFUNCTION(" VLOOKUP(A651, IMPORTRANGE(""https://docs.google.com/spreadsheets/d/1fj_Bhi2XPL3siwIh4sx4VRLAe31yD50oKdj5UlRYW0c/"", ""Сводка!A:AA""), 11, FALSE)"),"978-601-352-457-3")</f>
        <v>978-601-352-457-3</v>
      </c>
      <c r="E654" s="22" t="s">
        <v>2617</v>
      </c>
      <c r="F654" s="22" t="s">
        <v>2618</v>
      </c>
      <c r="G654" s="12">
        <f ca="1">IFERROR(__xludf.DUMMYFUNCTION(" VLOOKUP(A651, IMPORTRANGE(""https://docs.google.com/spreadsheets/d/1fj_Bhi2XPL3siwIh4sx4VRLAe31yD50oKdj5UlRYW0c/"", ""Сводка!A:AA""), 5, FALSE)"),104)</f>
        <v>104</v>
      </c>
      <c r="H654" s="10" t="s">
        <v>106</v>
      </c>
      <c r="I654" s="10">
        <f ca="1">IFERROR(__xludf.DUMMYFUNCTION(" VLOOKUP(A651, IMPORTRANGE(""https://docs.google.com/spreadsheets/d/1QNLbnkR_AongFt22vMfNzfpjZ0CjpI8QI-w0wBnYA1w/"", ""Инфа!A:AA""), 6, FALSE)"),2024)</f>
        <v>2024</v>
      </c>
      <c r="J654" s="5">
        <f ca="1">ROUND((5000+G654*60),-2)</f>
        <v>11200</v>
      </c>
      <c r="K654" s="12" t="s">
        <v>2614</v>
      </c>
      <c r="L654" s="15" t="s">
        <v>2619</v>
      </c>
    </row>
    <row r="655" spans="1:12" ht="78.75">
      <c r="A655" s="8" t="s">
        <v>2620</v>
      </c>
      <c r="B655" s="9" t="s">
        <v>12</v>
      </c>
      <c r="C655" s="12" t="s">
        <v>443</v>
      </c>
      <c r="D655" s="10" t="str">
        <f ca="1">IFERROR(__xludf.DUMMYFUNCTION(" VLOOKUP(A652, IMPORTRANGE(""https://docs.google.com/spreadsheets/d/1fj_Bhi2XPL3siwIh4sx4VRLAe31yD50oKdj5UlRYW0c/"", ""Сводка!A:AA""), 11, FALSE)"),"978-601-356-001-4")</f>
        <v>978-601-356-001-4</v>
      </c>
      <c r="E655" s="22" t="s">
        <v>2621</v>
      </c>
      <c r="F655" s="22" t="s">
        <v>2622</v>
      </c>
      <c r="G655" s="12">
        <f ca="1">IFERROR(__xludf.DUMMYFUNCTION(" VLOOKUP(A652, IMPORTRANGE(""https://docs.google.com/spreadsheets/d/1fj_Bhi2XPL3siwIh4sx4VRLAe31yD50oKdj5UlRYW0c/"", ""Сводка!A:AA""), 5, FALSE)"),144)</f>
        <v>144</v>
      </c>
      <c r="H655" s="10" t="s">
        <v>538</v>
      </c>
      <c r="I655" s="10">
        <f ca="1">IFERROR(__xludf.DUMMYFUNCTION(" VLOOKUP(A652, IMPORTRANGE(""https://docs.google.com/spreadsheets/d/1QNLbnkR_AongFt22vMfNzfpjZ0CjpI8QI-w0wBnYA1w/"", ""Инфа!A:AA""), 6, FALSE)"),2024)</f>
        <v>2024</v>
      </c>
      <c r="J655" s="5">
        <f ca="1">ROUND((5000+G655*30),-2)</f>
        <v>9300</v>
      </c>
      <c r="K655" s="12" t="s">
        <v>2217</v>
      </c>
      <c r="L655" s="15" t="s">
        <v>2623</v>
      </c>
    </row>
    <row r="656" spans="1:12" ht="191.25">
      <c r="A656" s="8" t="s">
        <v>2624</v>
      </c>
      <c r="B656" s="9" t="s">
        <v>12</v>
      </c>
      <c r="C656" s="12" t="s">
        <v>443</v>
      </c>
      <c r="D656" s="10" t="str">
        <f ca="1">IFERROR(__xludf.DUMMYFUNCTION(" VLOOKUP(A653, IMPORTRANGE(""https://docs.google.com/spreadsheets/d/1fj_Bhi2XPL3siwIh4sx4VRLAe31yD50oKdj5UlRYW0c/"", ""Сводка!A:AA""), 11, FALSE)"),"978-601-310-760-8")</f>
        <v>978-601-310-760-8</v>
      </c>
      <c r="E656" s="22" t="s">
        <v>2625</v>
      </c>
      <c r="F656" s="22" t="s">
        <v>2626</v>
      </c>
      <c r="G656" s="12">
        <f ca="1">IFERROR(__xludf.DUMMYFUNCTION(" VLOOKUP(A653, IMPORTRANGE(""https://docs.google.com/spreadsheets/d/1fj_Bhi2XPL3siwIh4sx4VRLAe31yD50oKdj5UlRYW0c/"", ""Сводка!A:AA""), 5, FALSE)"),108)</f>
        <v>108</v>
      </c>
      <c r="H656" s="10" t="s">
        <v>538</v>
      </c>
      <c r="I656" s="10">
        <f ca="1">IFERROR(__xludf.DUMMYFUNCTION(" VLOOKUP(A653, IMPORTRANGE(""https://docs.google.com/spreadsheets/d/1QNLbnkR_AongFt22vMfNzfpjZ0CjpI8QI-w0wBnYA1w/"", ""Инфа!A:AA""), 6, FALSE)"),2024)</f>
        <v>2024</v>
      </c>
      <c r="J656" s="5">
        <f ca="1">ROUND((5000+G656*60),-2)</f>
        <v>11500</v>
      </c>
      <c r="K656" s="12" t="s">
        <v>2614</v>
      </c>
      <c r="L656" s="15" t="s">
        <v>2627</v>
      </c>
    </row>
    <row r="657" spans="1:12" ht="123.75">
      <c r="A657" s="8" t="s">
        <v>2628</v>
      </c>
      <c r="B657" s="9" t="s">
        <v>12</v>
      </c>
      <c r="C657" s="12" t="s">
        <v>151</v>
      </c>
      <c r="D657" s="10" t="str">
        <f ca="1">IFERROR(__xludf.DUMMYFUNCTION(" VLOOKUP(A654, IMPORTRANGE(""https://docs.google.com/spreadsheets/d/1fj_Bhi2XPL3siwIh4sx4VRLAe31yD50oKdj5UlRYW0c/"", ""Сводка!A:AA""), 11, FALSE)"),"978-9965-851-78-0")</f>
        <v>978-9965-851-78-0</v>
      </c>
      <c r="E657" s="22" t="s">
        <v>2629</v>
      </c>
      <c r="F657" s="22" t="s">
        <v>2630</v>
      </c>
      <c r="G657" s="12">
        <f ca="1">IFERROR(__xludf.DUMMYFUNCTION(" VLOOKUP(A654, IMPORTRANGE(""https://docs.google.com/spreadsheets/d/1fj_Bhi2XPL3siwIh4sx4VRLAe31yD50oKdj5UlRYW0c/"", ""Сводка!A:AA""), 5, FALSE)"),212)</f>
        <v>212</v>
      </c>
      <c r="H657" s="10" t="s">
        <v>2631</v>
      </c>
      <c r="I657" s="10">
        <f ca="1">IFERROR(__xludf.DUMMYFUNCTION(" VLOOKUP(A654, IMPORTRANGE(""https://docs.google.com/spreadsheets/d/1QNLbnkR_AongFt22vMfNzfpjZ0CjpI8QI-w0wBnYA1w/"", ""Инфа!A:AA""), 6, FALSE)"),2024)</f>
        <v>2024</v>
      </c>
      <c r="J657" s="5">
        <f ca="1">ROUND((5000+G657*30),-2)</f>
        <v>11400</v>
      </c>
      <c r="K657" s="12" t="s">
        <v>1312</v>
      </c>
      <c r="L657" s="15" t="s">
        <v>2632</v>
      </c>
    </row>
    <row r="658" spans="1:12" ht="191.25">
      <c r="A658" s="8" t="s">
        <v>2633</v>
      </c>
      <c r="B658" s="9" t="s">
        <v>12</v>
      </c>
      <c r="C658" s="12" t="s">
        <v>151</v>
      </c>
      <c r="D658" s="10" t="str">
        <f ca="1">IFERROR(__xludf.DUMMYFUNCTION(" VLOOKUP(A655, IMPORTRANGE(""https://docs.google.com/spreadsheets/d/1fj_Bhi2XPL3siwIh4sx4VRLAe31yD50oKdj5UlRYW0c/"", ""Сводка!A:AA""), 11, FALSE)"),"978-601-330-263-8")</f>
        <v>978-601-330-263-8</v>
      </c>
      <c r="E658" s="22" t="s">
        <v>2634</v>
      </c>
      <c r="F658" s="22" t="s">
        <v>2635</v>
      </c>
      <c r="G658" s="12">
        <f ca="1">IFERROR(__xludf.DUMMYFUNCTION(" VLOOKUP(A655, IMPORTRANGE(""https://docs.google.com/spreadsheets/d/1fj_Bhi2XPL3siwIh4sx4VRLAe31yD50oKdj5UlRYW0c/"", ""Сводка!A:AA""), 5, FALSE)"),132)</f>
        <v>132</v>
      </c>
      <c r="H658" s="10" t="s">
        <v>47</v>
      </c>
      <c r="I658" s="10">
        <f ca="1">IFERROR(__xludf.DUMMYFUNCTION(" VLOOKUP(A655, IMPORTRANGE(""https://docs.google.com/spreadsheets/d/1QNLbnkR_AongFt22vMfNzfpjZ0CjpI8QI-w0wBnYA1w/"", ""Инфа!A:AA""), 6, FALSE)"),2023)</f>
        <v>2023</v>
      </c>
      <c r="J658" s="5">
        <f ca="1">ROUND((5000+G658*60),-2)</f>
        <v>12900</v>
      </c>
      <c r="K658" s="12" t="s">
        <v>48</v>
      </c>
      <c r="L658" s="15" t="s">
        <v>2636</v>
      </c>
    </row>
    <row r="659" spans="1:12" ht="168.75">
      <c r="A659" s="8" t="s">
        <v>2637</v>
      </c>
      <c r="B659" s="9" t="s">
        <v>12</v>
      </c>
      <c r="C659" s="12" t="s">
        <v>151</v>
      </c>
      <c r="D659" s="10" t="s">
        <v>2638</v>
      </c>
      <c r="E659" s="22" t="s">
        <v>2639</v>
      </c>
      <c r="F659" s="22" t="s">
        <v>2640</v>
      </c>
      <c r="G659" s="12">
        <f ca="1">IFERROR(__xludf.DUMMYFUNCTION(" VLOOKUP(A656, IMPORTRANGE(""https://docs.google.com/spreadsheets/d/1fj_Bhi2XPL3siwIh4sx4VRLAe31yD50oKdj5UlRYW0c/"", ""Сводка!A:AA""), 5, FALSE)"),144)</f>
        <v>144</v>
      </c>
      <c r="H659" s="10" t="s">
        <v>106</v>
      </c>
      <c r="I659" s="10">
        <f ca="1">IFERROR(__xludf.DUMMYFUNCTION(" VLOOKUP(A656, IMPORTRANGE(""https://docs.google.com/spreadsheets/d/1QNLbnkR_AongFt22vMfNzfpjZ0CjpI8QI-w0wBnYA1w/"", ""Инфа!A:AA""), 6, FALSE)"),2024)</f>
        <v>2024</v>
      </c>
      <c r="J659" s="5">
        <f ca="1">ROUND((5000+G659*30),-2)</f>
        <v>9300</v>
      </c>
      <c r="K659" s="12" t="s">
        <v>2641</v>
      </c>
      <c r="L659" s="15" t="s">
        <v>2642</v>
      </c>
    </row>
    <row r="660" spans="1:12" ht="101.25">
      <c r="A660" s="8" t="s">
        <v>2643</v>
      </c>
      <c r="B660" s="9" t="s">
        <v>12</v>
      </c>
      <c r="C660" s="12" t="s">
        <v>443</v>
      </c>
      <c r="D660" s="10" t="str">
        <f ca="1">IFERROR(__xludf.DUMMYFUNCTION(" VLOOKUP(A657, IMPORTRANGE(""https://docs.google.com/spreadsheets/d/1fj_Bhi2XPL3siwIh4sx4VRLAe31yD50oKdj5UlRYW0c/"", ""Сводка!A:AA""), 11, FALSE)"),"")</f>
        <v/>
      </c>
      <c r="E660" s="22" t="s">
        <v>2639</v>
      </c>
      <c r="F660" s="22" t="s">
        <v>2644</v>
      </c>
      <c r="G660" s="12">
        <f ca="1">IFERROR(__xludf.DUMMYFUNCTION(" VLOOKUP(A657, IMPORTRANGE(""https://docs.google.com/spreadsheets/d/1fj_Bhi2XPL3siwIh4sx4VRLAe31yD50oKdj5UlRYW0c/"", ""Сводка!A:AA""), 5, FALSE)"),168)</f>
        <v>168</v>
      </c>
      <c r="H660" s="10" t="s">
        <v>106</v>
      </c>
      <c r="I660" s="10">
        <f ca="1">IFERROR(__xludf.DUMMYFUNCTION(" VLOOKUP(A657, IMPORTRANGE(""https://docs.google.com/spreadsheets/d/1QNLbnkR_AongFt22vMfNzfpjZ0CjpI8QI-w0wBnYA1w/"", ""Инфа!A:AA""), 6, FALSE)"),2024)</f>
        <v>2024</v>
      </c>
      <c r="J660" s="5">
        <f ca="1">ROUND((5000+G660*30),-2)</f>
        <v>10000</v>
      </c>
      <c r="K660" s="12" t="s">
        <v>2645</v>
      </c>
      <c r="L660" s="15" t="s">
        <v>2646</v>
      </c>
    </row>
    <row r="661" spans="1:12" ht="315">
      <c r="A661" s="8" t="s">
        <v>2647</v>
      </c>
      <c r="B661" s="9" t="s">
        <v>12</v>
      </c>
      <c r="C661" s="12" t="s">
        <v>151</v>
      </c>
      <c r="D661" s="10" t="str">
        <f ca="1">IFERROR(__xludf.DUMMYFUNCTION(" VLOOKUP(A658, IMPORTRANGE(""https://docs.google.com/spreadsheets/d/1fj_Bhi2XPL3siwIh4sx4VRLAe31yD50oKdj5UlRYW0c/"", ""Сводка!A:AA""), 11, FALSE)"),"978-601-352-717-8")</f>
        <v>978-601-352-717-8</v>
      </c>
      <c r="E661" s="22" t="s">
        <v>2648</v>
      </c>
      <c r="F661" s="22" t="s">
        <v>2649</v>
      </c>
      <c r="G661" s="12">
        <f ca="1">IFERROR(__xludf.DUMMYFUNCTION(" VLOOKUP(A658, IMPORTRANGE(""https://docs.google.com/spreadsheets/d/1fj_Bhi2XPL3siwIh4sx4VRLAe31yD50oKdj5UlRYW0c/"", ""Сводка!A:AA""), 5, FALSE)"),240)</f>
        <v>240</v>
      </c>
      <c r="H661" s="10" t="s">
        <v>106</v>
      </c>
      <c r="I661" s="10">
        <f ca="1">IFERROR(__xludf.DUMMYFUNCTION(" VLOOKUP(A658, IMPORTRANGE(""https://docs.google.com/spreadsheets/d/1QNLbnkR_AongFt22vMfNzfpjZ0CjpI8QI-w0wBnYA1w/"", ""Инфа!A:AA""), 6, FALSE)"),2024)</f>
        <v>2024</v>
      </c>
      <c r="J661" s="5">
        <f ca="1">ROUND((5000+G661*30),-2)</f>
        <v>12200</v>
      </c>
      <c r="K661" s="12" t="s">
        <v>2650</v>
      </c>
      <c r="L661" s="15" t="s">
        <v>2651</v>
      </c>
    </row>
    <row r="662" spans="1:12" ht="112.5">
      <c r="A662" s="8" t="s">
        <v>2652</v>
      </c>
      <c r="B662" s="9" t="s">
        <v>12</v>
      </c>
      <c r="C662" s="12" t="s">
        <v>151</v>
      </c>
      <c r="D662" s="10" t="str">
        <f ca="1">IFERROR(__xludf.DUMMYFUNCTION(" VLOOKUP(A659, IMPORTRANGE(""https://docs.google.com/spreadsheets/d/1fj_Bhi2XPL3siwIh4sx4VRLAe31yD50oKdj5UlRYW0c/"", ""Сводка!A:AA""), 11, FALSE)"),"978-601-352-998-1")</f>
        <v>978-601-352-998-1</v>
      </c>
      <c r="E662" s="22" t="s">
        <v>2653</v>
      </c>
      <c r="F662" s="22" t="s">
        <v>2654</v>
      </c>
      <c r="G662" s="12">
        <f ca="1">IFERROR(__xludf.DUMMYFUNCTION(" VLOOKUP(A659, IMPORTRANGE(""https://docs.google.com/spreadsheets/d/1fj_Bhi2XPL3siwIh4sx4VRLAe31yD50oKdj5UlRYW0c/"", ""Сводка!A:AA""), 5, FALSE)"),216)</f>
        <v>216</v>
      </c>
      <c r="H662" s="10" t="s">
        <v>47</v>
      </c>
      <c r="I662" s="10">
        <f ca="1">IFERROR(__xludf.DUMMYFUNCTION(" VLOOKUP(A659, IMPORTRANGE(""https://docs.google.com/spreadsheets/d/1QNLbnkR_AongFt22vMfNzfpjZ0CjpI8QI-w0wBnYA1w/"", ""Инфа!A:AA""), 6, FALSE)"),2023)</f>
        <v>2023</v>
      </c>
      <c r="J662" s="5">
        <f ca="1">ROUND((5000+G662*60),-2)</f>
        <v>18000</v>
      </c>
      <c r="K662" s="12" t="s">
        <v>2655</v>
      </c>
      <c r="L662" s="15" t="s">
        <v>2656</v>
      </c>
    </row>
    <row r="663" spans="1:12" ht="78.75">
      <c r="A663" s="8" t="s">
        <v>2657</v>
      </c>
      <c r="B663" s="9" t="s">
        <v>12</v>
      </c>
      <c r="C663" s="10" t="s">
        <v>443</v>
      </c>
      <c r="D663" s="10" t="str">
        <f ca="1">IFERROR(__xludf.DUMMYFUNCTION(" VLOOKUP(A660, IMPORTRANGE(""https://docs.google.com/spreadsheets/d/1fj_Bhi2XPL3siwIh4sx4VRLAe31yD50oKdj5UlRYW0c/"", ""Сводка!A:AA""), 11, FALSE)"),"978-601-7816-69-8")</f>
        <v>978-601-7816-69-8</v>
      </c>
      <c r="E663" s="11" t="s">
        <v>2658</v>
      </c>
      <c r="F663" s="11" t="s">
        <v>2659</v>
      </c>
      <c r="G663" s="12">
        <f ca="1">IFERROR(__xludf.DUMMYFUNCTION(" VLOOKUP(A660, IMPORTRANGE(""https://docs.google.com/spreadsheets/d/1fj_Bhi2XPL3siwIh4sx4VRLAe31yD50oKdj5UlRYW0c/"", ""Сводка!A:AA""), 5, FALSE)"),104)</f>
        <v>104</v>
      </c>
      <c r="H663" s="12" t="s">
        <v>777</v>
      </c>
      <c r="I663" s="10">
        <f ca="1">IFERROR(__xludf.DUMMYFUNCTION(" VLOOKUP(A660, IMPORTRANGE(""https://docs.google.com/spreadsheets/d/1QNLbnkR_AongFt22vMfNzfpjZ0CjpI8QI-w0wBnYA1w/"", ""Инфа!A:AA""), 6, FALSE)"),2024)</f>
        <v>2024</v>
      </c>
      <c r="J663" s="5">
        <f ca="1">ROUND((5000+G663*30),-2)</f>
        <v>8100</v>
      </c>
      <c r="K663" s="9" t="s">
        <v>758</v>
      </c>
      <c r="L663" s="15" t="s">
        <v>2660</v>
      </c>
    </row>
    <row r="664" spans="1:12" ht="102">
      <c r="A664" s="8" t="s">
        <v>2661</v>
      </c>
      <c r="B664" s="9" t="s">
        <v>12</v>
      </c>
      <c r="C664" s="12" t="s">
        <v>443</v>
      </c>
      <c r="D664" s="10" t="str">
        <f ca="1">IFERROR(__xludf.DUMMYFUNCTION(" VLOOKUP(A661, IMPORTRANGE(""https://docs.google.com/spreadsheets/d/1fj_Bhi2XPL3siwIh4sx4VRLAe31yD50oKdj5UlRYW0c/"", ""Сводка!A:AA""), 11, FALSE)"),"")</f>
        <v/>
      </c>
      <c r="E664" s="22" t="s">
        <v>2662</v>
      </c>
      <c r="F664" s="22" t="s">
        <v>2663</v>
      </c>
      <c r="G664" s="12">
        <f ca="1">IFERROR(__xludf.DUMMYFUNCTION(" VLOOKUP(A661, IMPORTRANGE(""https://docs.google.com/spreadsheets/d/1fj_Bhi2XPL3siwIh4sx4VRLAe31yD50oKdj5UlRYW0c/"", ""Сводка!A:AA""), 5, FALSE)"),128)</f>
        <v>128</v>
      </c>
      <c r="H664" s="10" t="s">
        <v>2664</v>
      </c>
      <c r="I664" s="10">
        <f ca="1">IFERROR(__xludf.DUMMYFUNCTION(" VLOOKUP(A661, IMPORTRANGE(""https://docs.google.com/spreadsheets/d/1QNLbnkR_AongFt22vMfNzfpjZ0CjpI8QI-w0wBnYA1w/"", ""Инфа!A:AA""), 6, FALSE)"),2024)</f>
        <v>2024</v>
      </c>
      <c r="J664" s="5">
        <f ca="1">ROUND((5000+G664*30),-2)</f>
        <v>8800</v>
      </c>
      <c r="K664" s="12" t="s">
        <v>2665</v>
      </c>
      <c r="L664" s="15" t="s">
        <v>2666</v>
      </c>
    </row>
    <row r="665" spans="1:12" ht="236.25">
      <c r="A665" s="8" t="s">
        <v>2667</v>
      </c>
      <c r="B665" s="9" t="s">
        <v>12</v>
      </c>
      <c r="C665" s="12" t="s">
        <v>443</v>
      </c>
      <c r="D665" s="10" t="str">
        <f ca="1">IFERROR(__xludf.DUMMYFUNCTION(" VLOOKUP(A662, IMPORTRANGE(""https://docs.google.com/spreadsheets/d/1fj_Bhi2XPL3siwIh4sx4VRLAe31yD50oKdj5UlRYW0c/"", ""Сводка!A:AA""), 11, FALSE)"),"978-601-320-512-0")</f>
        <v>978-601-320-512-0</v>
      </c>
      <c r="E665" s="22" t="s">
        <v>2668</v>
      </c>
      <c r="F665" s="22" t="s">
        <v>2669</v>
      </c>
      <c r="G665" s="12">
        <f ca="1">IFERROR(__xludf.DUMMYFUNCTION(" VLOOKUP(A662, IMPORTRANGE(""https://docs.google.com/spreadsheets/d/1fj_Bhi2XPL3siwIh4sx4VRLAe31yD50oKdj5UlRYW0c/"", ""Сводка!A:AA""), 5, FALSE)"),128)</f>
        <v>128</v>
      </c>
      <c r="H665" s="10" t="s">
        <v>538</v>
      </c>
      <c r="I665" s="10">
        <f ca="1">IFERROR(__xludf.DUMMYFUNCTION(" VLOOKUP(A662, IMPORTRANGE(""https://docs.google.com/spreadsheets/d/1QNLbnkR_AongFt22vMfNzfpjZ0CjpI8QI-w0wBnYA1w/"", ""Инфа!A:AA""), 6, FALSE)"),2024)</f>
        <v>2024</v>
      </c>
      <c r="J665" s="5">
        <f ca="1">ROUND((5000+G665*30),-2)</f>
        <v>8800</v>
      </c>
      <c r="K665" s="12" t="s">
        <v>2670</v>
      </c>
      <c r="L665" s="15" t="s">
        <v>2671</v>
      </c>
    </row>
    <row r="666" spans="1:12" ht="101.25">
      <c r="A666" s="8" t="s">
        <v>2672</v>
      </c>
      <c r="B666" s="9" t="s">
        <v>2231</v>
      </c>
      <c r="C666" s="10" t="s">
        <v>443</v>
      </c>
      <c r="D666" s="10" t="str">
        <f ca="1">IFERROR(__xludf.DUMMYFUNCTION(" VLOOKUP(A663, IMPORTRANGE(""https://docs.google.com/spreadsheets/d/1fj_Bhi2XPL3siwIh4sx4VRLAe31yD50oKdj5UlRYW0c/"", ""Сводка!A:AA""), 11, FALSE)"),"978-601-352-947-9")</f>
        <v>978-601-352-947-9</v>
      </c>
      <c r="E666" s="22" t="s">
        <v>2673</v>
      </c>
      <c r="F666" s="22" t="s">
        <v>2674</v>
      </c>
      <c r="G666" s="12">
        <f ca="1">IFERROR(__xludf.DUMMYFUNCTION(" VLOOKUP(A663, IMPORTRANGE(""https://docs.google.com/spreadsheets/d/1fj_Bhi2XPL3siwIh4sx4VRLAe31yD50oKdj5UlRYW0c/"", ""Сводка!A:AA""), 5, FALSE)"),264)</f>
        <v>264</v>
      </c>
      <c r="H666" s="10" t="s">
        <v>538</v>
      </c>
      <c r="I666" s="10">
        <f ca="1">IFERROR(__xludf.DUMMYFUNCTION(" VLOOKUP(A663, IMPORTRANGE(""https://docs.google.com/spreadsheets/d/1QNLbnkR_AongFt22vMfNzfpjZ0CjpI8QI-w0wBnYA1w/"", ""Инфа!A:AA""), 6, FALSE)"),2024)</f>
        <v>2024</v>
      </c>
      <c r="J666" s="5">
        <f ca="1">ROUND((5000+G666*30),-2)</f>
        <v>12900</v>
      </c>
      <c r="K666" s="10" t="s">
        <v>2466</v>
      </c>
      <c r="L666" s="23" t="s">
        <v>2675</v>
      </c>
    </row>
    <row r="667" spans="1:12" ht="146.25">
      <c r="A667" s="8" t="s">
        <v>2676</v>
      </c>
      <c r="B667" s="9" t="s">
        <v>12</v>
      </c>
      <c r="C667" s="12" t="s">
        <v>443</v>
      </c>
      <c r="D667" s="10" t="str">
        <f ca="1">IFERROR(__xludf.DUMMYFUNCTION(" VLOOKUP(A664, IMPORTRANGE(""https://docs.google.com/spreadsheets/d/1fj_Bhi2XPL3siwIh4sx4VRLAe31yD50oKdj5UlRYW0c/"", ""Сводка!A:AA""), 11, FALSE)"),"978-601-352-784-0")</f>
        <v>978-601-352-784-0</v>
      </c>
      <c r="E667" s="11" t="s">
        <v>2677</v>
      </c>
      <c r="F667" s="11" t="s">
        <v>2678</v>
      </c>
      <c r="G667" s="12">
        <f ca="1">IFERROR(__xludf.DUMMYFUNCTION(" VLOOKUP(A664, IMPORTRANGE(""https://docs.google.com/spreadsheets/d/1fj_Bhi2XPL3siwIh4sx4VRLAe31yD50oKdj5UlRYW0c/"", ""Сводка!A:AA""), 5, FALSE)"),248)</f>
        <v>248</v>
      </c>
      <c r="H667" s="12" t="s">
        <v>538</v>
      </c>
      <c r="I667" s="10">
        <f ca="1">IFERROR(__xludf.DUMMYFUNCTION(" VLOOKUP(A664, IMPORTRANGE(""https://docs.google.com/spreadsheets/d/1QNLbnkR_AongFt22vMfNzfpjZ0CjpI8QI-w0wBnYA1w/"", ""Инфа!A:AA""), 6, FALSE)"),2024)</f>
        <v>2024</v>
      </c>
      <c r="J667" s="5">
        <f ca="1">ROUND((5000+G667*60),-2)</f>
        <v>19900</v>
      </c>
      <c r="K667" s="12" t="s">
        <v>2679</v>
      </c>
      <c r="L667" s="15" t="s">
        <v>2680</v>
      </c>
    </row>
    <row r="668" spans="1:12" ht="168.75">
      <c r="A668" s="8" t="s">
        <v>2681</v>
      </c>
      <c r="B668" s="9" t="s">
        <v>12</v>
      </c>
      <c r="C668" s="12" t="s">
        <v>443</v>
      </c>
      <c r="D668" s="10" t="str">
        <f ca="1">IFERROR(__xludf.DUMMYFUNCTION(" VLOOKUP(A665, IMPORTRANGE(""https://docs.google.com/spreadsheets/d/1fj_Bhi2XPL3siwIh4sx4VRLAe31yD50oKdj5UlRYW0c/"", ""Сводка!A:AA""), 11, FALSE)"),"978-601-352-835-9")</f>
        <v>978-601-352-835-9</v>
      </c>
      <c r="E668" s="11" t="s">
        <v>2682</v>
      </c>
      <c r="F668" s="11" t="s">
        <v>2683</v>
      </c>
      <c r="G668" s="12">
        <f ca="1">IFERROR(__xludf.DUMMYFUNCTION(" VLOOKUP(A665, IMPORTRANGE(""https://docs.google.com/spreadsheets/d/1fj_Bhi2XPL3siwIh4sx4VRLAe31yD50oKdj5UlRYW0c/"", ""Сводка!A:AA""), 5, FALSE)"),208)</f>
        <v>208</v>
      </c>
      <c r="H668" s="12" t="s">
        <v>538</v>
      </c>
      <c r="I668" s="10">
        <f ca="1">IFERROR(__xludf.DUMMYFUNCTION(" VLOOKUP(A665, IMPORTRANGE(""https://docs.google.com/spreadsheets/d/1QNLbnkR_AongFt22vMfNzfpjZ0CjpI8QI-w0wBnYA1w/"", ""Инфа!A:AA""), 6, FALSE)"),2024)</f>
        <v>2024</v>
      </c>
      <c r="J668" s="5">
        <f ca="1">ROUND((5000+G668*30),-2)</f>
        <v>11200</v>
      </c>
      <c r="K668" s="12" t="s">
        <v>2679</v>
      </c>
      <c r="L668" s="15" t="s">
        <v>2684</v>
      </c>
    </row>
    <row r="669" spans="1:12" ht="180">
      <c r="A669" s="8" t="s">
        <v>2685</v>
      </c>
      <c r="B669" s="9" t="s">
        <v>12</v>
      </c>
      <c r="C669" s="10" t="s">
        <v>443</v>
      </c>
      <c r="D669" s="10" t="str">
        <f ca="1">IFERROR(__xludf.DUMMYFUNCTION(" VLOOKUP(A666, IMPORTRANGE(""https://docs.google.com/spreadsheets/d/1fj_Bhi2XPL3siwIh4sx4VRLAe31yD50oKdj5UlRYW0c/"", ""Сводка!A:AA""), 11, FALSE)"),"978-601-352-645-4")</f>
        <v>978-601-352-645-4</v>
      </c>
      <c r="E669" s="22" t="s">
        <v>2686</v>
      </c>
      <c r="F669" s="22" t="s">
        <v>2687</v>
      </c>
      <c r="G669" s="12">
        <f ca="1">IFERROR(__xludf.DUMMYFUNCTION(" VLOOKUP(A666, IMPORTRANGE(""https://docs.google.com/spreadsheets/d/1fj_Bhi2XPL3siwIh4sx4VRLAe31yD50oKdj5UlRYW0c/"", ""Сводка!A:AA""), 5, FALSE)"),184)</f>
        <v>184</v>
      </c>
      <c r="H669" s="10" t="s">
        <v>511</v>
      </c>
      <c r="I669" s="10">
        <f ca="1">IFERROR(__xludf.DUMMYFUNCTION(" VLOOKUP(A666, IMPORTRANGE(""https://docs.google.com/spreadsheets/d/1QNLbnkR_AongFt22vMfNzfpjZ0CjpI8QI-w0wBnYA1w/"", ""Инфа!A:AA""), 6, FALSE)"),2024)</f>
        <v>2024</v>
      </c>
      <c r="J669" s="5">
        <f ca="1">ROUND((5000+G669*60),-2)</f>
        <v>16000</v>
      </c>
      <c r="K669" s="10" t="s">
        <v>2688</v>
      </c>
      <c r="L669" s="15" t="s">
        <v>2689</v>
      </c>
    </row>
    <row r="670" spans="1:12" ht="146.25">
      <c r="A670" s="8" t="s">
        <v>2690</v>
      </c>
      <c r="B670" s="9" t="s">
        <v>12</v>
      </c>
      <c r="C670" s="10" t="s">
        <v>151</v>
      </c>
      <c r="D670" s="10" t="str">
        <f ca="1">IFERROR(__xludf.DUMMYFUNCTION(" VLOOKUP(A667, IMPORTRANGE(""https://docs.google.com/spreadsheets/d/1fj_Bhi2XPL3siwIh4sx4VRLAe31yD50oKdj5UlRYW0c/"", ""Сводка!A:AA""), 11, FALSE)"),"978-601-330-053-5")</f>
        <v>978-601-330-053-5</v>
      </c>
      <c r="E670" s="22" t="s">
        <v>2691</v>
      </c>
      <c r="F670" s="22" t="s">
        <v>2692</v>
      </c>
      <c r="G670" s="12">
        <f ca="1">IFERROR(__xludf.DUMMYFUNCTION(" VLOOKUP(A667, IMPORTRANGE(""https://docs.google.com/spreadsheets/d/1fj_Bhi2XPL3siwIh4sx4VRLAe31yD50oKdj5UlRYW0c/"", ""Сводка!A:AA""), 5, FALSE)"),216)</f>
        <v>216</v>
      </c>
      <c r="H670" s="10" t="s">
        <v>106</v>
      </c>
      <c r="I670" s="10">
        <f ca="1">IFERROR(__xludf.DUMMYFUNCTION(" VLOOKUP(A667, IMPORTRANGE(""https://docs.google.com/spreadsheets/d/1QNLbnkR_AongFt22vMfNzfpjZ0CjpI8QI-w0wBnYA1w/"", ""Инфа!A:AA""), 6, FALSE)"),2024)</f>
        <v>2024</v>
      </c>
      <c r="J670" s="5">
        <f ca="1">ROUND((5000+G670*60),-2)</f>
        <v>18000</v>
      </c>
      <c r="K670" s="10" t="s">
        <v>2693</v>
      </c>
      <c r="L670" s="15" t="s">
        <v>2694</v>
      </c>
    </row>
    <row r="671" spans="1:12" ht="112.5">
      <c r="A671" s="8" t="s">
        <v>2695</v>
      </c>
      <c r="B671" s="9" t="s">
        <v>12</v>
      </c>
      <c r="C671" s="10" t="s">
        <v>443</v>
      </c>
      <c r="D671" s="10" t="str">
        <f ca="1">IFERROR(__xludf.DUMMYFUNCTION(" VLOOKUP(A668, IMPORTRANGE(""https://docs.google.com/spreadsheets/d/1fj_Bhi2XPL3siwIh4sx4VRLAe31yD50oKdj5UlRYW0c/"", ""Сводка!A:AA""), 11, FALSE)"),"978-601-308-069-7")</f>
        <v>978-601-308-069-7</v>
      </c>
      <c r="E671" s="22" t="s">
        <v>2696</v>
      </c>
      <c r="F671" s="22" t="s">
        <v>2697</v>
      </c>
      <c r="G671" s="12">
        <f ca="1">IFERROR(__xludf.DUMMYFUNCTION(" VLOOKUP(A668, IMPORTRANGE(""https://docs.google.com/spreadsheets/d/1fj_Bhi2XPL3siwIh4sx4VRLAe31yD50oKdj5UlRYW0c/"", ""Сводка!A:AA""), 5, FALSE)"),136)</f>
        <v>136</v>
      </c>
      <c r="H671" s="10" t="s">
        <v>538</v>
      </c>
      <c r="I671" s="10">
        <f ca="1">IFERROR(__xludf.DUMMYFUNCTION(" VLOOKUP(A668, IMPORTRANGE(""https://docs.google.com/spreadsheets/d/1QNLbnkR_AongFt22vMfNzfpjZ0CjpI8QI-w0wBnYA1w/"", ""Инфа!A:AA""), 6, FALSE)"),2024)</f>
        <v>2024</v>
      </c>
      <c r="J671" s="5">
        <f ca="1">ROUND((5000+G671*60),-2)</f>
        <v>13200</v>
      </c>
      <c r="K671" s="10" t="s">
        <v>2698</v>
      </c>
      <c r="L671" s="15" t="s">
        <v>2699</v>
      </c>
    </row>
    <row r="672" spans="1:12" ht="76.5">
      <c r="A672" s="8" t="s">
        <v>2700</v>
      </c>
      <c r="B672" s="9" t="s">
        <v>12</v>
      </c>
      <c r="C672" s="10" t="s">
        <v>443</v>
      </c>
      <c r="D672" s="10" t="str">
        <f ca="1">IFERROR(__xludf.DUMMYFUNCTION(" VLOOKUP(A669, IMPORTRANGE(""https://docs.google.com/spreadsheets/d/1fj_Bhi2XPL3siwIh4sx4VRLAe31yD50oKdj5UlRYW0c/"", ""Сводка!A:AA""), 11, FALSE)"),"978-601-352-792-5")</f>
        <v>978-601-352-792-5</v>
      </c>
      <c r="E672" s="22" t="s">
        <v>2701</v>
      </c>
      <c r="F672" s="22" t="s">
        <v>2702</v>
      </c>
      <c r="G672" s="12">
        <f ca="1">IFERROR(__xludf.DUMMYFUNCTION(" VLOOKUP(A669, IMPORTRANGE(""https://docs.google.com/spreadsheets/d/1fj_Bhi2XPL3siwIh4sx4VRLAe31yD50oKdj5UlRYW0c/"", ""Сводка!A:AA""), 5, FALSE)"),132)</f>
        <v>132</v>
      </c>
      <c r="H672" s="10" t="s">
        <v>538</v>
      </c>
      <c r="I672" s="10">
        <f ca="1">IFERROR(__xludf.DUMMYFUNCTION(" VLOOKUP(A669, IMPORTRANGE(""https://docs.google.com/spreadsheets/d/1QNLbnkR_AongFt22vMfNzfpjZ0CjpI8QI-w0wBnYA1w/"", ""Инфа!A:AA""), 6, FALSE)"),2024)</f>
        <v>2024</v>
      </c>
      <c r="J672" s="5">
        <f ca="1">ROUND((5000+G672*30),-2)</f>
        <v>9000</v>
      </c>
      <c r="K672" s="10" t="s">
        <v>2698</v>
      </c>
      <c r="L672" s="15" t="s">
        <v>2703</v>
      </c>
    </row>
    <row r="673" spans="1:12" ht="67.5">
      <c r="A673" s="8" t="s">
        <v>2704</v>
      </c>
      <c r="B673" s="9" t="s">
        <v>12</v>
      </c>
      <c r="C673" s="10" t="s">
        <v>443</v>
      </c>
      <c r="D673" s="10" t="str">
        <f ca="1">IFERROR(__xludf.DUMMYFUNCTION(" VLOOKUP(A670, IMPORTRANGE(""https://docs.google.com/spreadsheets/d/1fj_Bhi2XPL3siwIh4sx4VRLAe31yD50oKdj5UlRYW0c/"", ""Сводка!A:AA""), 11, FALSE)"),"978-601-352-577-8")</f>
        <v>978-601-352-577-8</v>
      </c>
      <c r="E673" s="22" t="s">
        <v>2705</v>
      </c>
      <c r="F673" s="22" t="s">
        <v>2706</v>
      </c>
      <c r="G673" s="12">
        <f ca="1">IFERROR(__xludf.DUMMYFUNCTION(" VLOOKUP(A670, IMPORTRANGE(""https://docs.google.com/spreadsheets/d/1fj_Bhi2XPL3siwIh4sx4VRLAe31yD50oKdj5UlRYW0c/"", ""Сводка!A:AA""), 5, FALSE)"),80)</f>
        <v>80</v>
      </c>
      <c r="H673" s="10" t="s">
        <v>2707</v>
      </c>
      <c r="I673" s="10">
        <f ca="1">IFERROR(__xludf.DUMMYFUNCTION(" VLOOKUP(A670, IMPORTRANGE(""https://docs.google.com/spreadsheets/d/1QNLbnkR_AongFt22vMfNzfpjZ0CjpI8QI-w0wBnYA1w/"", ""Инфа!A:AA""), 6, FALSE)"),2024)</f>
        <v>2024</v>
      </c>
      <c r="J673" s="5">
        <f ca="1">ROUND((5000+G673*60),-2)</f>
        <v>9800</v>
      </c>
      <c r="K673" s="10" t="s">
        <v>26</v>
      </c>
      <c r="L673" s="15" t="s">
        <v>2708</v>
      </c>
    </row>
    <row r="674" spans="1:12" ht="101.25">
      <c r="A674" s="8" t="s">
        <v>2709</v>
      </c>
      <c r="B674" s="9" t="s">
        <v>12</v>
      </c>
      <c r="C674" s="10" t="s">
        <v>443</v>
      </c>
      <c r="D674" s="10" t="str">
        <f ca="1">IFERROR(__xludf.DUMMYFUNCTION(" VLOOKUP(A671, IMPORTRANGE(""https://docs.google.com/spreadsheets/d/1fj_Bhi2XPL3siwIh4sx4VRLAe31yD50oKdj5UlRYW0c/"", ""Сводка!A:AA""), 11, FALSE)"),"978-601-352-578-5")</f>
        <v>978-601-352-578-5</v>
      </c>
      <c r="E674" s="22" t="s">
        <v>2710</v>
      </c>
      <c r="F674" s="22" t="s">
        <v>2711</v>
      </c>
      <c r="G674" s="12">
        <f ca="1">IFERROR(__xludf.DUMMYFUNCTION(" VLOOKUP(A671, IMPORTRANGE(""https://docs.google.com/spreadsheets/d/1fj_Bhi2XPL3siwIh4sx4VRLAe31yD50oKdj5UlRYW0c/"", ""Сводка!A:AA""), 5, FALSE)"),80)</f>
        <v>80</v>
      </c>
      <c r="H674" s="10" t="s">
        <v>2707</v>
      </c>
      <c r="I674" s="10">
        <f ca="1">IFERROR(__xludf.DUMMYFUNCTION(" VLOOKUP(A671, IMPORTRANGE(""https://docs.google.com/spreadsheets/d/1QNLbnkR_AongFt22vMfNzfpjZ0CjpI8QI-w0wBnYA1w/"", ""Инфа!A:AA""), 6, FALSE)"),2024)</f>
        <v>2024</v>
      </c>
      <c r="J674" s="5">
        <f ca="1">ROUND((5000+G674*60),-2)</f>
        <v>9800</v>
      </c>
      <c r="K674" s="10" t="s">
        <v>26</v>
      </c>
      <c r="L674" s="15" t="s">
        <v>2712</v>
      </c>
    </row>
    <row r="675" spans="1:12" ht="225">
      <c r="A675" s="8" t="s">
        <v>2713</v>
      </c>
      <c r="B675" s="9" t="s">
        <v>12</v>
      </c>
      <c r="C675" s="10" t="s">
        <v>443</v>
      </c>
      <c r="D675" s="10" t="str">
        <f ca="1">IFERROR(__xludf.DUMMYFUNCTION(" VLOOKUP(A672, IMPORTRANGE(""https://docs.google.com/spreadsheets/d/1fj_Bhi2XPL3siwIh4sx4VRLAe31yD50oKdj5UlRYW0c/"", ""Сводка!A:AA""), 11, FALSE)"),"978-601-352-575-4")</f>
        <v>978-601-352-575-4</v>
      </c>
      <c r="E675" s="22" t="s">
        <v>2714</v>
      </c>
      <c r="F675" s="22" t="s">
        <v>2715</v>
      </c>
      <c r="G675" s="12">
        <f ca="1">IFERROR(__xludf.DUMMYFUNCTION(" VLOOKUP(A672, IMPORTRANGE(""https://docs.google.com/spreadsheets/d/1fj_Bhi2XPL3siwIh4sx4VRLAe31yD50oKdj5UlRYW0c/"", ""Сводка!A:AA""), 5, FALSE)"),88)</f>
        <v>88</v>
      </c>
      <c r="H675" s="10" t="s">
        <v>2707</v>
      </c>
      <c r="I675" s="10">
        <f ca="1">IFERROR(__xludf.DUMMYFUNCTION(" VLOOKUP(A672, IMPORTRANGE(""https://docs.google.com/spreadsheets/d/1QNLbnkR_AongFt22vMfNzfpjZ0CjpI8QI-w0wBnYA1w/"", ""Инфа!A:AA""), 6, FALSE)"),2024)</f>
        <v>2024</v>
      </c>
      <c r="J675" s="5">
        <f ca="1">ROUND((5000+G675*30),-2)</f>
        <v>7600</v>
      </c>
      <c r="K675" s="10" t="s">
        <v>26</v>
      </c>
      <c r="L675" s="15" t="s">
        <v>2716</v>
      </c>
    </row>
    <row r="676" spans="1:12" ht="101.25">
      <c r="A676" s="8" t="s">
        <v>2717</v>
      </c>
      <c r="B676" s="9" t="s">
        <v>12</v>
      </c>
      <c r="C676" s="10" t="s">
        <v>443</v>
      </c>
      <c r="D676" s="10" t="str">
        <f ca="1">IFERROR(__xludf.DUMMYFUNCTION(" VLOOKUP(A673, IMPORTRANGE(""https://docs.google.com/spreadsheets/d/1fj_Bhi2XPL3siwIh4sx4VRLAe31yD50oKdj5UlRYW0c/"", ""Сводка!A:AA""), 11, FALSE)"),"978-601-352-576-1")</f>
        <v>978-601-352-576-1</v>
      </c>
      <c r="E676" s="22" t="s">
        <v>2718</v>
      </c>
      <c r="F676" s="22" t="s">
        <v>2719</v>
      </c>
      <c r="G676" s="12">
        <f ca="1">IFERROR(__xludf.DUMMYFUNCTION(" VLOOKUP(A673, IMPORTRANGE(""https://docs.google.com/spreadsheets/d/1fj_Bhi2XPL3siwIh4sx4VRLAe31yD50oKdj5UlRYW0c/"", ""Сводка!A:AA""), 5, FALSE)"),64)</f>
        <v>64</v>
      </c>
      <c r="H676" s="10" t="s">
        <v>2707</v>
      </c>
      <c r="I676" s="10">
        <f ca="1">IFERROR(__xludf.DUMMYFUNCTION(" VLOOKUP(A673, IMPORTRANGE(""https://docs.google.com/spreadsheets/d/1QNLbnkR_AongFt22vMfNzfpjZ0CjpI8QI-w0wBnYA1w/"", ""Инфа!A:AA""), 6, FALSE)"),2023)</f>
        <v>2023</v>
      </c>
      <c r="J676" s="5">
        <f ca="1">ROUND((5000+G676*60),-2)</f>
        <v>8800</v>
      </c>
      <c r="K676" s="10" t="s">
        <v>2185</v>
      </c>
      <c r="L676" s="15" t="s">
        <v>2720</v>
      </c>
    </row>
    <row r="677" spans="1:12" ht="191.25">
      <c r="A677" s="8" t="s">
        <v>2721</v>
      </c>
      <c r="B677" s="9" t="s">
        <v>12</v>
      </c>
      <c r="C677" s="10" t="s">
        <v>443</v>
      </c>
      <c r="D677" s="10" t="str">
        <f ca="1">IFERROR(__xludf.DUMMYFUNCTION(" VLOOKUP(A674, IMPORTRANGE(""https://docs.google.com/spreadsheets/d/1fj_Bhi2XPL3siwIh4sx4VRLAe31yD50oKdj5UlRYW0c/"", ""Сводка!A:AA""), 11, FALSE)"),"978-601-352-831-1")</f>
        <v>978-601-352-831-1</v>
      </c>
      <c r="E677" s="22" t="s">
        <v>2722</v>
      </c>
      <c r="F677" s="22" t="s">
        <v>2723</v>
      </c>
      <c r="G677" s="12">
        <f ca="1">IFERROR(__xludf.DUMMYFUNCTION(" VLOOKUP(A674, IMPORTRANGE(""https://docs.google.com/spreadsheets/d/1fj_Bhi2XPL3siwIh4sx4VRLAe31yD50oKdj5UlRYW0c/"", ""Сводка!A:AA""), 5, FALSE)"),136)</f>
        <v>136</v>
      </c>
      <c r="H677" s="10" t="s">
        <v>511</v>
      </c>
      <c r="I677" s="10">
        <f ca="1">IFERROR(__xludf.DUMMYFUNCTION(" VLOOKUP(A674, IMPORTRANGE(""https://docs.google.com/spreadsheets/d/1QNLbnkR_AongFt22vMfNzfpjZ0CjpI8QI-w0wBnYA1w/"", ""Инфа!A:AA""), 6, FALSE)"),2024)</f>
        <v>2024</v>
      </c>
      <c r="J677" s="5">
        <f ca="1">ROUND((5000+G677*30),-2)</f>
        <v>9100</v>
      </c>
      <c r="K677" s="10" t="s">
        <v>2724</v>
      </c>
      <c r="L677" s="15" t="s">
        <v>2725</v>
      </c>
    </row>
    <row r="678" spans="1:12" ht="292.5">
      <c r="A678" s="8" t="s">
        <v>2726</v>
      </c>
      <c r="B678" s="9" t="s">
        <v>12</v>
      </c>
      <c r="C678" s="10" t="s">
        <v>151</v>
      </c>
      <c r="D678" s="10" t="str">
        <f ca="1">IFERROR(__xludf.DUMMYFUNCTION(" VLOOKUP(A675, IMPORTRANGE(""https://docs.google.com/spreadsheets/d/1fj_Bhi2XPL3siwIh4sx4VRLAe31yD50oKdj5UlRYW0c/"", ""Сводка!A:AA""), 11, FALSE)"),"")</f>
        <v/>
      </c>
      <c r="E678" s="22" t="s">
        <v>2727</v>
      </c>
      <c r="F678" s="22" t="s">
        <v>2728</v>
      </c>
      <c r="G678" s="12">
        <f ca="1">IFERROR(__xludf.DUMMYFUNCTION(" VLOOKUP(A675, IMPORTRANGE(""https://docs.google.com/spreadsheets/d/1fj_Bhi2XPL3siwIh4sx4VRLAe31yD50oKdj5UlRYW0c/"", ""Сводка!A:AA""), 5, FALSE)"),236)</f>
        <v>236</v>
      </c>
      <c r="H678" s="10" t="s">
        <v>47</v>
      </c>
      <c r="I678" s="10">
        <f ca="1">IFERROR(__xludf.DUMMYFUNCTION(" VLOOKUP(A675, IMPORTRANGE(""https://docs.google.com/spreadsheets/d/1QNLbnkR_AongFt22vMfNzfpjZ0CjpI8QI-w0wBnYA1w/"", ""Инфа!A:AA""), 6, FALSE)"),2024)</f>
        <v>2024</v>
      </c>
      <c r="J678" s="5">
        <f ca="1">ROUND((5000+G678*30),-2)</f>
        <v>12100</v>
      </c>
      <c r="K678" s="10" t="s">
        <v>2729</v>
      </c>
      <c r="L678" s="15" t="s">
        <v>2730</v>
      </c>
    </row>
    <row r="679" spans="1:12" ht="292.5">
      <c r="A679" s="8" t="s">
        <v>2731</v>
      </c>
      <c r="B679" s="9" t="s">
        <v>12</v>
      </c>
      <c r="C679" s="10" t="s">
        <v>151</v>
      </c>
      <c r="D679" s="10" t="str">
        <f ca="1">IFERROR(__xludf.DUMMYFUNCTION(" VLOOKUP(A676, IMPORTRANGE(""https://docs.google.com/spreadsheets/d/1fj_Bhi2XPL3siwIh4sx4VRLAe31yD50oKdj5UlRYW0c/"", ""Сводка!A:AA""), 11, FALSE)"),"")</f>
        <v/>
      </c>
      <c r="E679" s="22" t="s">
        <v>2727</v>
      </c>
      <c r="F679" s="22" t="s">
        <v>2732</v>
      </c>
      <c r="G679" s="12">
        <f ca="1">IFERROR(__xludf.DUMMYFUNCTION(" VLOOKUP(A676, IMPORTRANGE(""https://docs.google.com/spreadsheets/d/1fj_Bhi2XPL3siwIh4sx4VRLAe31yD50oKdj5UlRYW0c/"", ""Сводка!A:AA""), 5, FALSE)"),228)</f>
        <v>228</v>
      </c>
      <c r="H679" s="10" t="s">
        <v>47</v>
      </c>
      <c r="I679" s="10">
        <f ca="1">IFERROR(__xludf.DUMMYFUNCTION(" VLOOKUP(A676, IMPORTRANGE(""https://docs.google.com/spreadsheets/d/1QNLbnkR_AongFt22vMfNzfpjZ0CjpI8QI-w0wBnYA1w/"", ""Инфа!A:AA""), 6, FALSE)"),2024)</f>
        <v>2024</v>
      </c>
      <c r="J679" s="5">
        <f ca="1">ROUND((5000+G679*30),-2)</f>
        <v>11800</v>
      </c>
      <c r="K679" s="10" t="s">
        <v>2729</v>
      </c>
      <c r="L679" s="15" t="s">
        <v>2730</v>
      </c>
    </row>
    <row r="680" spans="1:12" ht="225">
      <c r="A680" s="8" t="s">
        <v>2733</v>
      </c>
      <c r="B680" s="9" t="s">
        <v>12</v>
      </c>
      <c r="C680" s="10" t="s">
        <v>443</v>
      </c>
      <c r="D680" s="10" t="s">
        <v>2734</v>
      </c>
      <c r="E680" s="22" t="s">
        <v>2727</v>
      </c>
      <c r="F680" s="22" t="s">
        <v>2735</v>
      </c>
      <c r="G680" s="12">
        <f ca="1">IFERROR(__xludf.DUMMYFUNCTION(" VLOOKUP(A677, IMPORTRANGE(""https://docs.google.com/spreadsheets/d/1fj_Bhi2XPL3siwIh4sx4VRLAe31yD50oKdj5UlRYW0c/"", ""Сводка!A:AA""), 5, FALSE)"),232)</f>
        <v>232</v>
      </c>
      <c r="H680" s="10" t="s">
        <v>538</v>
      </c>
      <c r="I680" s="10">
        <f ca="1">IFERROR(__xludf.DUMMYFUNCTION(" VLOOKUP(A677, IMPORTRANGE(""https://docs.google.com/spreadsheets/d/1QNLbnkR_AongFt22vMfNzfpjZ0CjpI8QI-w0wBnYA1w/"", ""Инфа!A:AA""), 6, FALSE)"),2024)</f>
        <v>2024</v>
      </c>
      <c r="J680" s="5">
        <f ca="1">ROUND((5000+G680*30),-2)</f>
        <v>12000</v>
      </c>
      <c r="K680" s="10" t="s">
        <v>2729</v>
      </c>
      <c r="L680" s="15" t="s">
        <v>2736</v>
      </c>
    </row>
    <row r="681" spans="1:12" ht="225">
      <c r="A681" s="8" t="s">
        <v>2737</v>
      </c>
      <c r="B681" s="9" t="s">
        <v>12</v>
      </c>
      <c r="C681" s="10" t="s">
        <v>443</v>
      </c>
      <c r="D681" s="10" t="s">
        <v>2734</v>
      </c>
      <c r="E681" s="22" t="s">
        <v>2727</v>
      </c>
      <c r="F681" s="22" t="s">
        <v>2738</v>
      </c>
      <c r="G681" s="12">
        <f ca="1">IFERROR(__xludf.DUMMYFUNCTION(" VLOOKUP(A678, IMPORTRANGE(""https://docs.google.com/spreadsheets/d/1fj_Bhi2XPL3siwIh4sx4VRLAe31yD50oKdj5UlRYW0c/"", ""Сводка!A:AA""), 5, FALSE)"),224)</f>
        <v>224</v>
      </c>
      <c r="H681" s="10" t="s">
        <v>538</v>
      </c>
      <c r="I681" s="10">
        <f ca="1">IFERROR(__xludf.DUMMYFUNCTION(" VLOOKUP(A678, IMPORTRANGE(""https://docs.google.com/spreadsheets/d/1QNLbnkR_AongFt22vMfNzfpjZ0CjpI8QI-w0wBnYA1w/"", ""Инфа!A:AA""), 6, FALSE)"),2024)</f>
        <v>2024</v>
      </c>
      <c r="J681" s="5">
        <f ca="1">ROUND((5000+G681*30),-2)</f>
        <v>11700</v>
      </c>
      <c r="K681" s="10" t="s">
        <v>2729</v>
      </c>
      <c r="L681" s="15" t="s">
        <v>2736</v>
      </c>
    </row>
    <row r="682" spans="1:12" ht="315">
      <c r="A682" s="8" t="s">
        <v>2739</v>
      </c>
      <c r="B682" s="9" t="s">
        <v>12</v>
      </c>
      <c r="C682" s="10" t="s">
        <v>443</v>
      </c>
      <c r="D682" s="10" t="str">
        <f ca="1">IFERROR(__xludf.DUMMYFUNCTION(" VLOOKUP(A679, IMPORTRANGE(""https://docs.google.com/spreadsheets/d/1fj_Bhi2XPL3siwIh4sx4VRLAe31yD50oKdj5UlRYW0c/"", ""Сводка!A:AA""), 11, FALSE)"),"978-601-352-833-5")</f>
        <v>978-601-352-833-5</v>
      </c>
      <c r="E682" s="22" t="s">
        <v>2740</v>
      </c>
      <c r="F682" s="22" t="s">
        <v>2741</v>
      </c>
      <c r="G682" s="12">
        <f ca="1">IFERROR(__xludf.DUMMYFUNCTION(" VLOOKUP(A679, IMPORTRANGE(""https://docs.google.com/spreadsheets/d/1fj_Bhi2XPL3siwIh4sx4VRLAe31yD50oKdj5UlRYW0c/"", ""Сводка!A:AA""), 5, FALSE)"),256)</f>
        <v>256</v>
      </c>
      <c r="H682" s="10" t="s">
        <v>538</v>
      </c>
      <c r="I682" s="10">
        <f ca="1">IFERROR(__xludf.DUMMYFUNCTION(" VLOOKUP(A679, IMPORTRANGE(""https://docs.google.com/spreadsheets/d/1QNLbnkR_AongFt22vMfNzfpjZ0CjpI8QI-w0wBnYA1w/"", ""Инфа!A:AA""), 6, FALSE)"),2024)</f>
        <v>2024</v>
      </c>
      <c r="J682" s="5">
        <f ca="1">ROUND((5000+G682*60),-2)</f>
        <v>20400</v>
      </c>
      <c r="K682" s="10" t="s">
        <v>2742</v>
      </c>
      <c r="L682" s="15" t="s">
        <v>2743</v>
      </c>
    </row>
    <row r="683" spans="1:12" ht="180">
      <c r="A683" s="8" t="s">
        <v>2744</v>
      </c>
      <c r="B683" s="9" t="s">
        <v>12</v>
      </c>
      <c r="C683" s="10" t="s">
        <v>443</v>
      </c>
      <c r="D683" s="10" t="str">
        <f ca="1">IFERROR(__xludf.DUMMYFUNCTION(" VLOOKUP(A680, IMPORTRANGE(""https://docs.google.com/spreadsheets/d/1fj_Bhi2XPL3siwIh4sx4VRLAe31yD50oKdj5UlRYW0c/"", ""Сводка!A:AA""), 11, FALSE)"),"978-601-352-669-0")</f>
        <v>978-601-352-669-0</v>
      </c>
      <c r="E683" s="22" t="s">
        <v>2745</v>
      </c>
      <c r="F683" s="22" t="s">
        <v>2746</v>
      </c>
      <c r="G683" s="12">
        <f ca="1">IFERROR(__xludf.DUMMYFUNCTION(" VLOOKUP(A680, IMPORTRANGE(""https://docs.google.com/spreadsheets/d/1fj_Bhi2XPL3siwIh4sx4VRLAe31yD50oKdj5UlRYW0c/"", ""Сводка!A:AA""), 5, FALSE)"),160)</f>
        <v>160</v>
      </c>
      <c r="H683" s="10" t="s">
        <v>106</v>
      </c>
      <c r="I683" s="10">
        <f ca="1">IFERROR(__xludf.DUMMYFUNCTION(" VLOOKUP(A680, IMPORTRANGE(""https://docs.google.com/spreadsheets/d/1QNLbnkR_AongFt22vMfNzfpjZ0CjpI8QI-w0wBnYA1w/"", ""Инфа!A:AA""), 6, FALSE)"),2024)</f>
        <v>2024</v>
      </c>
      <c r="J683" s="5">
        <f ca="1">ROUND((5000+G683*30),-2)</f>
        <v>9800</v>
      </c>
      <c r="K683" s="10" t="s">
        <v>257</v>
      </c>
      <c r="L683" s="15" t="s">
        <v>2747</v>
      </c>
    </row>
    <row r="684" spans="1:12" ht="258.75">
      <c r="A684" s="8" t="s">
        <v>2748</v>
      </c>
      <c r="B684" s="9" t="s">
        <v>12</v>
      </c>
      <c r="C684" s="12" t="s">
        <v>443</v>
      </c>
      <c r="D684" s="10" t="str">
        <f ca="1">IFERROR(__xludf.DUMMYFUNCTION(" VLOOKUP(A681, IMPORTRANGE(""https://docs.google.com/spreadsheets/d/1fj_Bhi2XPL3siwIh4sx4VRLAe31yD50oKdj5UlRYW0c/"", ""Сводка!A:AA""), 11, FALSE)"),"978-601-330-152-5")</f>
        <v>978-601-330-152-5</v>
      </c>
      <c r="E684" s="11" t="s">
        <v>2749</v>
      </c>
      <c r="F684" s="11" t="s">
        <v>2750</v>
      </c>
      <c r="G684" s="12">
        <f ca="1">IFERROR(__xludf.DUMMYFUNCTION(" VLOOKUP(A681, IMPORTRANGE(""https://docs.google.com/spreadsheets/d/1fj_Bhi2XPL3siwIh4sx4VRLAe31yD50oKdj5UlRYW0c/"", ""Сводка!A:AA""), 5, FALSE)"),184)</f>
        <v>184</v>
      </c>
      <c r="H684" s="12" t="s">
        <v>538</v>
      </c>
      <c r="I684" s="10">
        <f ca="1">IFERROR(__xludf.DUMMYFUNCTION(" VLOOKUP(A681, IMPORTRANGE(""https://docs.google.com/spreadsheets/d/1QNLbnkR_AongFt22vMfNzfpjZ0CjpI8QI-w0wBnYA1w/"", ""Инфа!A:AA""), 6, FALSE)"),2024)</f>
        <v>2024</v>
      </c>
      <c r="J684" s="5">
        <f ca="1">ROUND((5000+G684*60),-2)</f>
        <v>16000</v>
      </c>
      <c r="K684" s="12" t="s">
        <v>2751</v>
      </c>
      <c r="L684" s="15" t="s">
        <v>2752</v>
      </c>
    </row>
    <row r="685" spans="1:12" ht="258.75">
      <c r="A685" s="8" t="s">
        <v>2753</v>
      </c>
      <c r="B685" s="9" t="s">
        <v>12</v>
      </c>
      <c r="C685" s="12" t="s">
        <v>443</v>
      </c>
      <c r="D685" s="10" t="s">
        <v>2754</v>
      </c>
      <c r="E685" s="11" t="s">
        <v>2749</v>
      </c>
      <c r="F685" s="11" t="s">
        <v>2755</v>
      </c>
      <c r="G685" s="12">
        <f ca="1">IFERROR(__xludf.DUMMYFUNCTION(" VLOOKUP(A682, IMPORTRANGE(""https://docs.google.com/spreadsheets/d/1fj_Bhi2XPL3siwIh4sx4VRLAe31yD50oKdj5UlRYW0c/"", ""Сводка!A:AA""), 5, FALSE)"),220)</f>
        <v>220</v>
      </c>
      <c r="H685" s="12" t="s">
        <v>538</v>
      </c>
      <c r="I685" s="10">
        <f ca="1">IFERROR(__xludf.DUMMYFUNCTION(" VLOOKUP(A682, IMPORTRANGE(""https://docs.google.com/spreadsheets/d/1QNLbnkR_AongFt22vMfNzfpjZ0CjpI8QI-w0wBnYA1w/"", ""Инфа!A:AA""), 6, FALSE)"),2024)</f>
        <v>2024</v>
      </c>
      <c r="J685" s="5">
        <f ca="1">ROUND((5000+G685*60),-2)</f>
        <v>18200</v>
      </c>
      <c r="K685" s="12" t="s">
        <v>2751</v>
      </c>
      <c r="L685" s="15" t="s">
        <v>2752</v>
      </c>
    </row>
    <row r="686" spans="1:12" ht="236.25">
      <c r="A686" s="8" t="s">
        <v>2756</v>
      </c>
      <c r="B686" s="9" t="s">
        <v>12</v>
      </c>
      <c r="C686" s="10" t="s">
        <v>151</v>
      </c>
      <c r="D686" s="10" t="str">
        <f ca="1">IFERROR(__xludf.DUMMYFUNCTION(" VLOOKUP(A683, IMPORTRANGE(""https://docs.google.com/spreadsheets/d/1fj_Bhi2XPL3siwIh4sx4VRLAe31yD50oKdj5UlRYW0c/"", ""Сводка!A:AA""), 11, FALSE)"),"978-601-352-422-1")</f>
        <v>978-601-352-422-1</v>
      </c>
      <c r="E686" s="22" t="s">
        <v>2757</v>
      </c>
      <c r="F686" s="22" t="s">
        <v>2758</v>
      </c>
      <c r="G686" s="12">
        <f ca="1">IFERROR(__xludf.DUMMYFUNCTION(" VLOOKUP(A683, IMPORTRANGE(""https://docs.google.com/spreadsheets/d/1fj_Bhi2XPL3siwIh4sx4VRLAe31yD50oKdj5UlRYW0c/"", ""Сводка!A:AA""), 5, FALSE)"),224)</f>
        <v>224</v>
      </c>
      <c r="H686" s="10" t="s">
        <v>538</v>
      </c>
      <c r="I686" s="10">
        <f ca="1">IFERROR(__xludf.DUMMYFUNCTION(" VLOOKUP(A683, IMPORTRANGE(""https://docs.google.com/spreadsheets/d/1QNLbnkR_AongFt22vMfNzfpjZ0CjpI8QI-w0wBnYA1w/"", ""Инфа!A:AA""), 6, FALSE)"),2024)</f>
        <v>2024</v>
      </c>
      <c r="J686" s="5">
        <f t="shared" ref="J686:J691" ca="1" si="18">ROUND((5000+G686*30),-2)</f>
        <v>11700</v>
      </c>
      <c r="K686" s="10" t="s">
        <v>26</v>
      </c>
      <c r="L686" s="23" t="s">
        <v>2759</v>
      </c>
    </row>
    <row r="687" spans="1:12" ht="236.25">
      <c r="A687" s="8" t="s">
        <v>2760</v>
      </c>
      <c r="B687" s="9" t="s">
        <v>12</v>
      </c>
      <c r="C687" s="10" t="s">
        <v>151</v>
      </c>
      <c r="D687" s="10" t="str">
        <f ca="1">IFERROR(__xludf.DUMMYFUNCTION(" VLOOKUP(A684, IMPORTRANGE(""https://docs.google.com/spreadsheets/d/1fj_Bhi2XPL3siwIh4sx4VRLAe31yD50oKdj5UlRYW0c/"", ""Сводка!A:AA""), 11, FALSE)"),"978-601-352-646-1")</f>
        <v>978-601-352-646-1</v>
      </c>
      <c r="E687" s="22" t="s">
        <v>2761</v>
      </c>
      <c r="F687" s="22" t="s">
        <v>2762</v>
      </c>
      <c r="G687" s="12">
        <f ca="1">IFERROR(__xludf.DUMMYFUNCTION(" VLOOKUP(A684, IMPORTRANGE(""https://docs.google.com/spreadsheets/d/1fj_Bhi2XPL3siwIh4sx4VRLAe31yD50oKdj5UlRYW0c/"", ""Сводка!A:AA""), 5, FALSE)"),120)</f>
        <v>120</v>
      </c>
      <c r="H687" s="10" t="s">
        <v>24</v>
      </c>
      <c r="I687" s="10">
        <f ca="1">IFERROR(__xludf.DUMMYFUNCTION(" VLOOKUP(A684, IMPORTRANGE(""https://docs.google.com/spreadsheets/d/1QNLbnkR_AongFt22vMfNzfpjZ0CjpI8QI-w0wBnYA1w/"", ""Инфа!A:AA""), 6, FALSE)"),2024)</f>
        <v>2024</v>
      </c>
      <c r="J687" s="5">
        <f t="shared" ca="1" si="18"/>
        <v>8600</v>
      </c>
      <c r="K687" s="10" t="s">
        <v>2763</v>
      </c>
      <c r="L687" s="23" t="s">
        <v>2764</v>
      </c>
    </row>
    <row r="688" spans="1:12" ht="146.25">
      <c r="A688" s="8" t="s">
        <v>2765</v>
      </c>
      <c r="B688" s="9" t="s">
        <v>12</v>
      </c>
      <c r="C688" s="10" t="s">
        <v>151</v>
      </c>
      <c r="D688" s="10" t="str">
        <f ca="1">IFERROR(__xludf.DUMMYFUNCTION(" VLOOKUP(A685, IMPORTRANGE(""https://docs.google.com/spreadsheets/d/1fj_Bhi2XPL3siwIh4sx4VRLAe31yD50oKdj5UlRYW0c/"", ""Сводка!A:AA""), 11, FALSE)"),"978-601-257-302-2")</f>
        <v>978-601-257-302-2</v>
      </c>
      <c r="E688" s="22" t="s">
        <v>2766</v>
      </c>
      <c r="F688" s="22" t="s">
        <v>2767</v>
      </c>
      <c r="G688" s="12">
        <f ca="1">IFERROR(__xludf.DUMMYFUNCTION(" VLOOKUP(A685, IMPORTRANGE(""https://docs.google.com/spreadsheets/d/1fj_Bhi2XPL3siwIh4sx4VRLAe31yD50oKdj5UlRYW0c/"", ""Сводка!A:AA""), 5, FALSE)"),192)</f>
        <v>192</v>
      </c>
      <c r="H688" s="10" t="s">
        <v>106</v>
      </c>
      <c r="I688" s="10">
        <f ca="1">IFERROR(__xludf.DUMMYFUNCTION(" VLOOKUP(A685, IMPORTRANGE(""https://docs.google.com/spreadsheets/d/1QNLbnkR_AongFt22vMfNzfpjZ0CjpI8QI-w0wBnYA1w/"", ""Инфа!A:AA""), 6, FALSE)"),2024)</f>
        <v>2024</v>
      </c>
      <c r="J688" s="5">
        <f t="shared" ca="1" si="18"/>
        <v>10800</v>
      </c>
      <c r="K688" s="10" t="s">
        <v>2768</v>
      </c>
      <c r="L688" s="23" t="s">
        <v>2769</v>
      </c>
    </row>
    <row r="689" spans="1:12" ht="281.25">
      <c r="A689" s="8" t="s">
        <v>2770</v>
      </c>
      <c r="B689" s="9" t="s">
        <v>12</v>
      </c>
      <c r="C689" s="10" t="s">
        <v>151</v>
      </c>
      <c r="D689" s="10" t="str">
        <f ca="1">IFERROR(__xludf.DUMMYFUNCTION(" VLOOKUP(A686, IMPORTRANGE(""https://docs.google.com/spreadsheets/d/1fj_Bhi2XPL3siwIh4sx4VRLAe31yD50oKdj5UlRYW0c/"", ""Сводка!A:AA""), 11, FALSE)"),"978-601-352-672-0")</f>
        <v>978-601-352-672-0</v>
      </c>
      <c r="E689" s="22" t="s">
        <v>2771</v>
      </c>
      <c r="F689" s="22" t="s">
        <v>2772</v>
      </c>
      <c r="G689" s="12">
        <f ca="1">IFERROR(__xludf.DUMMYFUNCTION(" VLOOKUP(A686, IMPORTRANGE(""https://docs.google.com/spreadsheets/d/1fj_Bhi2XPL3siwIh4sx4VRLAe31yD50oKdj5UlRYW0c/"", ""Сводка!A:AA""), 5, FALSE)"),228)</f>
        <v>228</v>
      </c>
      <c r="H689" s="10" t="s">
        <v>165</v>
      </c>
      <c r="I689" s="10">
        <f ca="1">IFERROR(__xludf.DUMMYFUNCTION(" VLOOKUP(A686, IMPORTRANGE(""https://docs.google.com/spreadsheets/d/1QNLbnkR_AongFt22vMfNzfpjZ0CjpI8QI-w0wBnYA1w/"", ""Инфа!A:AA""), 6, FALSE)"),2024)</f>
        <v>2024</v>
      </c>
      <c r="J689" s="5">
        <f t="shared" ca="1" si="18"/>
        <v>11800</v>
      </c>
      <c r="K689" s="10" t="s">
        <v>277</v>
      </c>
      <c r="L689" s="23" t="s">
        <v>2773</v>
      </c>
    </row>
    <row r="690" spans="1:12" ht="157.5">
      <c r="A690" s="8" t="s">
        <v>2774</v>
      </c>
      <c r="B690" s="9" t="s">
        <v>12</v>
      </c>
      <c r="C690" s="10" t="s">
        <v>151</v>
      </c>
      <c r="D690" s="10" t="str">
        <f ca="1">IFERROR(__xludf.DUMMYFUNCTION(" VLOOKUP(A687, IMPORTRANGE(""https://docs.google.com/spreadsheets/d/1fj_Bhi2XPL3siwIh4sx4VRLAe31yD50oKdj5UlRYW0c/"", ""Сводка!A:AA""), 11, FALSE)"),"978-601-276-701-8")</f>
        <v>978-601-276-701-8</v>
      </c>
      <c r="E690" s="22" t="s">
        <v>2775</v>
      </c>
      <c r="F690" s="22" t="s">
        <v>2776</v>
      </c>
      <c r="G690" s="12">
        <f ca="1">IFERROR(__xludf.DUMMYFUNCTION(" VLOOKUP(A687, IMPORTRANGE(""https://docs.google.com/spreadsheets/d/1fj_Bhi2XPL3siwIh4sx4VRLAe31yD50oKdj5UlRYW0c/"", ""Сводка!A:AA""), 5, FALSE)"),324)</f>
        <v>324</v>
      </c>
      <c r="H690" s="10" t="s">
        <v>47</v>
      </c>
      <c r="I690" s="10">
        <f ca="1">IFERROR(__xludf.DUMMYFUNCTION(" VLOOKUP(A687, IMPORTRANGE(""https://docs.google.com/spreadsheets/d/1QNLbnkR_AongFt22vMfNzfpjZ0CjpI8QI-w0wBnYA1w/"", ""Инфа!A:AA""), 6, FALSE)"),2024)</f>
        <v>2024</v>
      </c>
      <c r="J690" s="5">
        <f t="shared" ca="1" si="18"/>
        <v>14700</v>
      </c>
      <c r="K690" s="10" t="s">
        <v>2777</v>
      </c>
      <c r="L690" s="23" t="s">
        <v>2778</v>
      </c>
    </row>
    <row r="691" spans="1:12" ht="157.5">
      <c r="A691" s="8" t="s">
        <v>2779</v>
      </c>
      <c r="B691" s="9" t="s">
        <v>12</v>
      </c>
      <c r="C691" s="10" t="s">
        <v>151</v>
      </c>
      <c r="D691" s="10" t="s">
        <v>2780</v>
      </c>
      <c r="E691" s="22" t="s">
        <v>2775</v>
      </c>
      <c r="F691" s="22" t="s">
        <v>2781</v>
      </c>
      <c r="G691" s="12">
        <f ca="1">IFERROR(__xludf.DUMMYFUNCTION(" VLOOKUP(A688, IMPORTRANGE(""https://docs.google.com/spreadsheets/d/1fj_Bhi2XPL3siwIh4sx4VRLAe31yD50oKdj5UlRYW0c/"", ""Сводка!A:AA""), 5, FALSE)"),292)</f>
        <v>292</v>
      </c>
      <c r="H691" s="10" t="s">
        <v>47</v>
      </c>
      <c r="I691" s="10">
        <f ca="1">IFERROR(__xludf.DUMMYFUNCTION(" VLOOKUP(A688, IMPORTRANGE(""https://docs.google.com/spreadsheets/d/1QNLbnkR_AongFt22vMfNzfpjZ0CjpI8QI-w0wBnYA1w/"", ""Инфа!A:AA""), 6, FALSE)"),2024)</f>
        <v>2024</v>
      </c>
      <c r="J691" s="5">
        <f t="shared" ca="1" si="18"/>
        <v>13800</v>
      </c>
      <c r="K691" s="10" t="s">
        <v>2782</v>
      </c>
      <c r="L691" s="23" t="s">
        <v>2783</v>
      </c>
    </row>
    <row r="692" spans="1:12" ht="281.25">
      <c r="A692" s="8" t="s">
        <v>2784</v>
      </c>
      <c r="B692" s="9" t="s">
        <v>12</v>
      </c>
      <c r="C692" s="10" t="s">
        <v>443</v>
      </c>
      <c r="D692" s="10" t="str">
        <f ca="1">IFERROR(__xludf.DUMMYFUNCTION(" VLOOKUP(A689, IMPORTRANGE(""https://docs.google.com/spreadsheets/d/1fj_Bhi2XPL3siwIh4sx4VRLAe31yD50oKdj5UlRYW0c/"", ""Сводка!A:AA""), 11, FALSE)"),"978-601-278-807-5")</f>
        <v>978-601-278-807-5</v>
      </c>
      <c r="E692" s="11" t="s">
        <v>2785</v>
      </c>
      <c r="F692" s="11" t="s">
        <v>2786</v>
      </c>
      <c r="G692" s="12">
        <f ca="1">IFERROR(__xludf.DUMMYFUNCTION(" VLOOKUP(A689, IMPORTRANGE(""https://docs.google.com/spreadsheets/d/1fj_Bhi2XPL3siwIh4sx4VRLAe31yD50oKdj5UlRYW0c/"", ""Сводка!A:AA""), 5, FALSE)"),332)</f>
        <v>332</v>
      </c>
      <c r="H692" s="12" t="s">
        <v>538</v>
      </c>
      <c r="I692" s="10">
        <f ca="1">IFERROR(__xludf.DUMMYFUNCTION(" VLOOKUP(A689, IMPORTRANGE(""https://docs.google.com/spreadsheets/d/1QNLbnkR_AongFt22vMfNzfpjZ0CjpI8QI-w0wBnYA1w/"", ""Инфа!A:AA""), 6, FALSE)"),2024)</f>
        <v>2024</v>
      </c>
      <c r="J692" s="5">
        <f ca="1">ROUND((5000+G692*60),-2)</f>
        <v>24900</v>
      </c>
      <c r="K692" s="12" t="s">
        <v>160</v>
      </c>
      <c r="L692" s="15" t="s">
        <v>2787</v>
      </c>
    </row>
    <row r="693" spans="1:12" ht="157.5">
      <c r="A693" s="8" t="s">
        <v>2788</v>
      </c>
      <c r="B693" s="9" t="s">
        <v>12</v>
      </c>
      <c r="C693" s="10" t="s">
        <v>151</v>
      </c>
      <c r="D693" s="10" t="str">
        <f ca="1">IFERROR(__xludf.DUMMYFUNCTION(" VLOOKUP(A690, IMPORTRANGE(""https://docs.google.com/spreadsheets/d/1fj_Bhi2XPL3siwIh4sx4VRLAe31yD50oKdj5UlRYW0c/"", ""Сводка!A:AA""), 11, FALSE)"),"ISBN 978-601-7109-42-4")</f>
        <v>ISBN 978-601-7109-42-4</v>
      </c>
      <c r="E693" s="22" t="s">
        <v>2789</v>
      </c>
      <c r="F693" s="22" t="s">
        <v>2790</v>
      </c>
      <c r="G693" s="12">
        <f ca="1">IFERROR(__xludf.DUMMYFUNCTION(" VLOOKUP(A690, IMPORTRANGE(""https://docs.google.com/spreadsheets/d/1fj_Bhi2XPL3siwIh4sx4VRLAe31yD50oKdj5UlRYW0c/"", ""Сводка!A:AA""), 5, FALSE)"),138)</f>
        <v>138</v>
      </c>
      <c r="H693" s="10" t="s">
        <v>165</v>
      </c>
      <c r="I693" s="10">
        <f ca="1">IFERROR(__xludf.DUMMYFUNCTION(" VLOOKUP(A690, IMPORTRANGE(""https://docs.google.com/spreadsheets/d/1QNLbnkR_AongFt22vMfNzfpjZ0CjpI8QI-w0wBnYA1w/"", ""Инфа!A:AA""), 6, FALSE)"),2024)</f>
        <v>2024</v>
      </c>
      <c r="J693" s="5">
        <f t="shared" ref="J693:J699" ca="1" si="19">ROUND((5000+G693*30),-2)</f>
        <v>9100</v>
      </c>
      <c r="K693" s="10" t="s">
        <v>2790</v>
      </c>
      <c r="L693" s="23" t="s">
        <v>2791</v>
      </c>
    </row>
    <row r="694" spans="1:12" ht="315">
      <c r="A694" s="8" t="s">
        <v>2792</v>
      </c>
      <c r="B694" s="9" t="s">
        <v>12</v>
      </c>
      <c r="C694" s="10" t="s">
        <v>151</v>
      </c>
      <c r="D694" s="10" t="str">
        <f ca="1">IFERROR(__xludf.DUMMYFUNCTION(" VLOOKUP(A691, IMPORTRANGE(""https://docs.google.com/spreadsheets/d/1fj_Bhi2XPL3siwIh4sx4VRLAe31yD50oKdj5UlRYW0c/"", ""Сводка!A:AA""), 11, FALSE)"),"978-601-352-683-6")</f>
        <v>978-601-352-683-6</v>
      </c>
      <c r="E694" s="22" t="s">
        <v>2789</v>
      </c>
      <c r="F694" s="22" t="s">
        <v>2793</v>
      </c>
      <c r="G694" s="12">
        <f ca="1">IFERROR(__xludf.DUMMYFUNCTION(" VLOOKUP(A691, IMPORTRANGE(""https://docs.google.com/spreadsheets/d/1fj_Bhi2XPL3siwIh4sx4VRLAe31yD50oKdj5UlRYW0c/"", ""Сводка!A:AA""), 5, FALSE)"),240)</f>
        <v>240</v>
      </c>
      <c r="H694" s="10" t="s">
        <v>165</v>
      </c>
      <c r="I694" s="10">
        <f ca="1">IFERROR(__xludf.DUMMYFUNCTION(" VLOOKUP(A691, IMPORTRANGE(""https://docs.google.com/spreadsheets/d/1QNLbnkR_AongFt22vMfNzfpjZ0CjpI8QI-w0wBnYA1w/"", ""Инфа!A:AA""), 6, FALSE)"),2024)</f>
        <v>2024</v>
      </c>
      <c r="J694" s="5">
        <f t="shared" ca="1" si="19"/>
        <v>12200</v>
      </c>
      <c r="K694" s="10" t="s">
        <v>2794</v>
      </c>
      <c r="L694" s="23" t="s">
        <v>2795</v>
      </c>
    </row>
    <row r="695" spans="1:12" ht="292.5">
      <c r="A695" s="8" t="s">
        <v>2796</v>
      </c>
      <c r="B695" s="9" t="s">
        <v>12</v>
      </c>
      <c r="C695" s="10" t="s">
        <v>443</v>
      </c>
      <c r="D695" s="10" t="str">
        <f ca="1">IFERROR(__xludf.DUMMYFUNCTION(" VLOOKUP(A692, IMPORTRANGE(""https://docs.google.com/spreadsheets/d/1fj_Bhi2XPL3siwIh4sx4VRLAe31yD50oKdj5UlRYW0c/"", ""Сводка!A:AA""), 11, FALSE)"),"978-601-330-024-5")</f>
        <v>978-601-330-024-5</v>
      </c>
      <c r="E695" s="22" t="s">
        <v>2797</v>
      </c>
      <c r="F695" s="22" t="s">
        <v>2798</v>
      </c>
      <c r="G695" s="12">
        <f ca="1">IFERROR(__xludf.DUMMYFUNCTION(" VLOOKUP(A692, IMPORTRANGE(""https://docs.google.com/spreadsheets/d/1fj_Bhi2XPL3siwIh4sx4VRLAe31yD50oKdj5UlRYW0c/"", ""Сводка!A:AA""), 5, FALSE)"),296)</f>
        <v>296</v>
      </c>
      <c r="H695" s="10" t="s">
        <v>671</v>
      </c>
      <c r="I695" s="10">
        <f ca="1">IFERROR(__xludf.DUMMYFUNCTION(" VLOOKUP(A692, IMPORTRANGE(""https://docs.google.com/spreadsheets/d/1QNLbnkR_AongFt22vMfNzfpjZ0CjpI8QI-w0wBnYA1w/"", ""Инфа!A:AA""), 6, FALSE)"),2024)</f>
        <v>2024</v>
      </c>
      <c r="J695" s="5">
        <f t="shared" ca="1" si="19"/>
        <v>13900</v>
      </c>
      <c r="K695" s="10" t="s">
        <v>69</v>
      </c>
      <c r="L695" s="23" t="s">
        <v>2799</v>
      </c>
    </row>
    <row r="696" spans="1:12" ht="112.5">
      <c r="A696" s="8" t="s">
        <v>2800</v>
      </c>
      <c r="B696" s="9" t="s">
        <v>12</v>
      </c>
      <c r="C696" s="10" t="s">
        <v>443</v>
      </c>
      <c r="D696" s="10" t="str">
        <f ca="1">IFERROR(__xludf.DUMMYFUNCTION(" VLOOKUP(A693, IMPORTRANGE(""https://docs.google.com/spreadsheets/d/1fj_Bhi2XPL3siwIh4sx4VRLAe31yD50oKdj5UlRYW0c/"", ""Сводка!A:AA""), 11, FALSE)"),"978-601-352-692-8")</f>
        <v>978-601-352-692-8</v>
      </c>
      <c r="E696" s="22" t="s">
        <v>2801</v>
      </c>
      <c r="F696" s="22" t="s">
        <v>2802</v>
      </c>
      <c r="G696" s="12">
        <f ca="1">IFERROR(__xludf.DUMMYFUNCTION(" VLOOKUP(A693, IMPORTRANGE(""https://docs.google.com/spreadsheets/d/1fj_Bhi2XPL3siwIh4sx4VRLAe31yD50oKdj5UlRYW0c/"", ""Сводка!A:AA""), 5, FALSE)"),264)</f>
        <v>264</v>
      </c>
      <c r="H696" s="10" t="s">
        <v>538</v>
      </c>
      <c r="I696" s="10">
        <f ca="1">IFERROR(__xludf.DUMMYFUNCTION(" VLOOKUP(A693, IMPORTRANGE(""https://docs.google.com/spreadsheets/d/1QNLbnkR_AongFt22vMfNzfpjZ0CjpI8QI-w0wBnYA1w/"", ""Инфа!A:AA""), 6, FALSE)"),2024)</f>
        <v>2024</v>
      </c>
      <c r="J696" s="5">
        <f t="shared" ca="1" si="19"/>
        <v>12900</v>
      </c>
      <c r="K696" s="10" t="s">
        <v>2803</v>
      </c>
      <c r="L696" s="23" t="s">
        <v>2804</v>
      </c>
    </row>
    <row r="697" spans="1:12" ht="303.75">
      <c r="A697" s="8" t="s">
        <v>2805</v>
      </c>
      <c r="B697" s="9" t="s">
        <v>12</v>
      </c>
      <c r="C697" s="10" t="s">
        <v>151</v>
      </c>
      <c r="D697" s="10" t="str">
        <f ca="1">IFERROR(__xludf.DUMMYFUNCTION(" VLOOKUP(A694, IMPORTRANGE(""https://docs.google.com/spreadsheets/d/1fj_Bhi2XPL3siwIh4sx4VRLAe31yD50oKdj5UlRYW0c/"", ""Сводка!A:AA""), 11, FALSE)"),"978-601-352-671-3")</f>
        <v>978-601-352-671-3</v>
      </c>
      <c r="E697" s="22" t="s">
        <v>2806</v>
      </c>
      <c r="F697" s="22" t="s">
        <v>2807</v>
      </c>
      <c r="G697" s="12">
        <f ca="1">IFERROR(__xludf.DUMMYFUNCTION(" VLOOKUP(A694, IMPORTRANGE(""https://docs.google.com/spreadsheets/d/1fj_Bhi2XPL3siwIh4sx4VRLAe31yD50oKdj5UlRYW0c/"", ""Сводка!A:AA""), 5, FALSE)"),344)</f>
        <v>344</v>
      </c>
      <c r="H697" s="10" t="s">
        <v>47</v>
      </c>
      <c r="I697" s="10">
        <f ca="1">IFERROR(__xludf.DUMMYFUNCTION(" VLOOKUP(A694, IMPORTRANGE(""https://docs.google.com/spreadsheets/d/1QNLbnkR_AongFt22vMfNzfpjZ0CjpI8QI-w0wBnYA1w/"", ""Инфа!A:AA""), 6, FALSE)"),2024)</f>
        <v>2024</v>
      </c>
      <c r="J697" s="5">
        <f t="shared" ca="1" si="19"/>
        <v>15300</v>
      </c>
      <c r="K697" s="10" t="s">
        <v>2808</v>
      </c>
      <c r="L697" s="23" t="s">
        <v>2809</v>
      </c>
    </row>
    <row r="698" spans="1:12" ht="135">
      <c r="A698" s="8" t="s">
        <v>2810</v>
      </c>
      <c r="B698" s="9" t="s">
        <v>12</v>
      </c>
      <c r="C698" s="10" t="s">
        <v>443</v>
      </c>
      <c r="D698" s="10" t="str">
        <f ca="1">IFERROR(__xludf.DUMMYFUNCTION(" VLOOKUP(A695, IMPORTRANGE(""https://docs.google.com/spreadsheets/d/1fj_Bhi2XPL3siwIh4sx4VRLAe31yD50oKdj5UlRYW0c/"", ""Сводка!A:AA""), 11, FALSE)"),"978-601-226-122-6")</f>
        <v>978-601-226-122-6</v>
      </c>
      <c r="E698" s="22" t="s">
        <v>2811</v>
      </c>
      <c r="F698" s="22" t="s">
        <v>2812</v>
      </c>
      <c r="G698" s="12">
        <f ca="1">IFERROR(__xludf.DUMMYFUNCTION(" VLOOKUP(A695, IMPORTRANGE(""https://docs.google.com/spreadsheets/d/1fj_Bhi2XPL3siwIh4sx4VRLAe31yD50oKdj5UlRYW0c/"", ""Сводка!A:AA""), 5, FALSE)"),156)</f>
        <v>156</v>
      </c>
      <c r="H698" s="10" t="s">
        <v>538</v>
      </c>
      <c r="I698" s="10">
        <f ca="1">IFERROR(__xludf.DUMMYFUNCTION(" VLOOKUP(A695, IMPORTRANGE(""https://docs.google.com/spreadsheets/d/1QNLbnkR_AongFt22vMfNzfpjZ0CjpI8QI-w0wBnYA1w/"", ""Инфа!A:AA""), 6, FALSE)"),2024)</f>
        <v>2024</v>
      </c>
      <c r="J698" s="5">
        <f t="shared" ca="1" si="19"/>
        <v>9700</v>
      </c>
      <c r="K698" s="10" t="s">
        <v>2813</v>
      </c>
      <c r="L698" s="23" t="s">
        <v>2814</v>
      </c>
    </row>
    <row r="699" spans="1:12" ht="191.25">
      <c r="A699" s="8" t="s">
        <v>2815</v>
      </c>
      <c r="B699" s="9" t="s">
        <v>12</v>
      </c>
      <c r="C699" s="10" t="s">
        <v>151</v>
      </c>
      <c r="D699" s="10" t="str">
        <f ca="1">IFERROR(__xludf.DUMMYFUNCTION(" VLOOKUP(A696, IMPORTRANGE(""https://docs.google.com/spreadsheets/d/1fj_Bhi2XPL3siwIh4sx4VRLAe31yD50oKdj5UlRYW0c/"", ""Сводка!A:AA""), 11, FALSE)"),"978-601-352-537-2")</f>
        <v>978-601-352-537-2</v>
      </c>
      <c r="E699" s="22" t="s">
        <v>2816</v>
      </c>
      <c r="F699" s="22" t="s">
        <v>2817</v>
      </c>
      <c r="G699" s="12">
        <f ca="1">IFERROR(__xludf.DUMMYFUNCTION(" VLOOKUP(A696, IMPORTRANGE(""https://docs.google.com/spreadsheets/d/1fj_Bhi2XPL3siwIh4sx4VRLAe31yD50oKdj5UlRYW0c/"", ""Сводка!A:AA""), 5, FALSE)"),112)</f>
        <v>112</v>
      </c>
      <c r="H699" s="10" t="s">
        <v>24</v>
      </c>
      <c r="I699" s="10">
        <f ca="1">IFERROR(__xludf.DUMMYFUNCTION(" VLOOKUP(A696, IMPORTRANGE(""https://docs.google.com/spreadsheets/d/1QNLbnkR_AongFt22vMfNzfpjZ0CjpI8QI-w0wBnYA1w/"", ""Инфа!A:AA""), 6, FALSE)"),2024)</f>
        <v>2024</v>
      </c>
      <c r="J699" s="5">
        <f t="shared" ca="1" si="19"/>
        <v>8400</v>
      </c>
      <c r="K699" s="10" t="s">
        <v>277</v>
      </c>
      <c r="L699" s="23" t="s">
        <v>2818</v>
      </c>
    </row>
    <row r="700" spans="1:12" ht="123.75">
      <c r="A700" s="8" t="s">
        <v>2819</v>
      </c>
      <c r="B700" s="9" t="s">
        <v>12</v>
      </c>
      <c r="C700" s="10" t="s">
        <v>151</v>
      </c>
      <c r="D700" s="10" t="str">
        <f ca="1">IFERROR(__xludf.DUMMYFUNCTION(" VLOOKUP(A697, IMPORTRANGE(""https://docs.google.com/spreadsheets/d/1fj_Bhi2XPL3siwIh4sx4VRLAe31yD50oKdj5UlRYW0c/"", ""Сводка!A:AA""), 11, FALSE)"),"978-601-352-677-5")</f>
        <v>978-601-352-677-5</v>
      </c>
      <c r="E700" s="22" t="s">
        <v>2820</v>
      </c>
      <c r="F700" s="22" t="s">
        <v>2821</v>
      </c>
      <c r="G700" s="12">
        <f ca="1">IFERROR(__xludf.DUMMYFUNCTION(" VLOOKUP(A697, IMPORTRANGE(""https://docs.google.com/spreadsheets/d/1fj_Bhi2XPL3siwIh4sx4VRLAe31yD50oKdj5UlRYW0c/"", ""Сводка!A:AA""), 5, FALSE)"),268)</f>
        <v>268</v>
      </c>
      <c r="H700" s="10" t="s">
        <v>56</v>
      </c>
      <c r="I700" s="10">
        <f ca="1">IFERROR(__xludf.DUMMYFUNCTION(" VLOOKUP(A697, IMPORTRANGE(""https://docs.google.com/spreadsheets/d/1QNLbnkR_AongFt22vMfNzfpjZ0CjpI8QI-w0wBnYA1w/"", ""Инфа!A:AA""), 6, FALSE)"),2024)</f>
        <v>2024</v>
      </c>
      <c r="J700" s="5">
        <f ca="1">ROUND((5000+G700*60),-2)</f>
        <v>21100</v>
      </c>
      <c r="K700" s="13" t="s">
        <v>548</v>
      </c>
      <c r="L700" s="23" t="s">
        <v>2822</v>
      </c>
    </row>
    <row r="701" spans="1:12" ht="123.75">
      <c r="A701" s="8" t="s">
        <v>2823</v>
      </c>
      <c r="B701" s="9" t="s">
        <v>12</v>
      </c>
      <c r="C701" s="10" t="s">
        <v>151</v>
      </c>
      <c r="D701" s="10" t="str">
        <f ca="1">IFERROR(__xludf.DUMMYFUNCTION(" VLOOKUP(A698, IMPORTRANGE(""https://docs.google.com/spreadsheets/d/1fj_Bhi2XPL3siwIh4sx4VRLAe31yD50oKdj5UlRYW0c/"", ""Сводка!A:AA""), 11, FALSE)"),"978-601-352-680-5")</f>
        <v>978-601-352-680-5</v>
      </c>
      <c r="E701" s="22" t="s">
        <v>2824</v>
      </c>
      <c r="F701" s="22" t="s">
        <v>2825</v>
      </c>
      <c r="G701" s="12">
        <f ca="1">IFERROR(__xludf.DUMMYFUNCTION(" VLOOKUP(A698, IMPORTRANGE(""https://docs.google.com/spreadsheets/d/1fj_Bhi2XPL3siwIh4sx4VRLAe31yD50oKdj5UlRYW0c/"", ""Сводка!A:AA""), 5, FALSE)"),160)</f>
        <v>160</v>
      </c>
      <c r="H701" s="10" t="s">
        <v>56</v>
      </c>
      <c r="I701" s="10">
        <f ca="1">IFERROR(__xludf.DUMMYFUNCTION(" VLOOKUP(A698, IMPORTRANGE(""https://docs.google.com/spreadsheets/d/1QNLbnkR_AongFt22vMfNzfpjZ0CjpI8QI-w0wBnYA1w/"", ""Инфа!A:AA""), 6, FALSE)"),2024)</f>
        <v>2024</v>
      </c>
      <c r="J701" s="5">
        <f ca="1">ROUND((5000+G701*30),-2)</f>
        <v>9800</v>
      </c>
      <c r="K701" s="13" t="s">
        <v>548</v>
      </c>
      <c r="L701" s="23" t="s">
        <v>2822</v>
      </c>
    </row>
    <row r="702" spans="1:12" ht="281.25">
      <c r="A702" s="8" t="s">
        <v>2826</v>
      </c>
      <c r="B702" s="9" t="s">
        <v>12</v>
      </c>
      <c r="C702" s="10" t="s">
        <v>443</v>
      </c>
      <c r="D702" s="10" t="str">
        <f ca="1">IFERROR(__xludf.DUMMYFUNCTION(" VLOOKUP(A699, IMPORTRANGE(""https://docs.google.com/spreadsheets/d/1fj_Bhi2XPL3siwIh4sx4VRLAe31yD50oKdj5UlRYW0c/"", ""Сводка!A:AA""), 11, FALSE)"),"978-601-278-807-5")</f>
        <v>978-601-278-807-5</v>
      </c>
      <c r="E702" s="11" t="s">
        <v>2785</v>
      </c>
      <c r="F702" s="11" t="s">
        <v>2827</v>
      </c>
      <c r="G702" s="12">
        <f ca="1">IFERROR(__xludf.DUMMYFUNCTION(" VLOOKUP(A699, IMPORTRANGE(""https://docs.google.com/spreadsheets/d/1fj_Bhi2XPL3siwIh4sx4VRLAe31yD50oKdj5UlRYW0c/"", ""Сводка!A:AA""), 5, FALSE)"),336)</f>
        <v>336</v>
      </c>
      <c r="H702" s="12" t="s">
        <v>538</v>
      </c>
      <c r="I702" s="10">
        <f ca="1">IFERROR(__xludf.DUMMYFUNCTION(" VLOOKUP(A699, IMPORTRANGE(""https://docs.google.com/spreadsheets/d/1QNLbnkR_AongFt22vMfNzfpjZ0CjpI8QI-w0wBnYA1w/"", ""Инфа!A:AA""), 6, FALSE)"),2024)</f>
        <v>2024</v>
      </c>
      <c r="J702" s="5">
        <f ca="1">ROUND((5000+G702*60),-2)</f>
        <v>25200</v>
      </c>
      <c r="K702" s="12" t="s">
        <v>160</v>
      </c>
      <c r="L702" s="15" t="s">
        <v>2787</v>
      </c>
    </row>
    <row r="703" spans="1:12" ht="191.25">
      <c r="A703" s="8" t="s">
        <v>2828</v>
      </c>
      <c r="B703" s="9" t="s">
        <v>12</v>
      </c>
      <c r="C703" s="10" t="s">
        <v>443</v>
      </c>
      <c r="D703" s="10" t="str">
        <f ca="1">IFERROR(__xludf.DUMMYFUNCTION(" VLOOKUP(A700, IMPORTRANGE(""https://docs.google.com/spreadsheets/d/1fj_Bhi2XPL3siwIh4sx4VRLAe31yD50oKdj5UlRYW0c/"", ""Сводка!A:AA""), 11, FALSE)"),"978-601-352-800-7")</f>
        <v>978-601-352-800-7</v>
      </c>
      <c r="E703" s="22" t="s">
        <v>2829</v>
      </c>
      <c r="F703" s="22" t="s">
        <v>2830</v>
      </c>
      <c r="G703" s="12">
        <f ca="1">IFERROR(__xludf.DUMMYFUNCTION(" VLOOKUP(A700, IMPORTRANGE(""https://docs.google.com/spreadsheets/d/1fj_Bhi2XPL3siwIh4sx4VRLAe31yD50oKdj5UlRYW0c/"", ""Сводка!A:AA""), 5, FALSE)"),192)</f>
        <v>192</v>
      </c>
      <c r="H703" s="10" t="s">
        <v>538</v>
      </c>
      <c r="I703" s="10">
        <f ca="1">IFERROR(__xludf.DUMMYFUNCTION(" VLOOKUP(A700, IMPORTRANGE(""https://docs.google.com/spreadsheets/d/1QNLbnkR_AongFt22vMfNzfpjZ0CjpI8QI-w0wBnYA1w/"", ""Инфа!A:AA""), 6, FALSE)"),2024)</f>
        <v>2024</v>
      </c>
      <c r="J703" s="5">
        <f ca="1">ROUND((5000+G703*30),-2)</f>
        <v>10800</v>
      </c>
      <c r="K703" s="10" t="s">
        <v>2831</v>
      </c>
      <c r="L703" s="23" t="s">
        <v>2832</v>
      </c>
    </row>
    <row r="704" spans="1:12" ht="191.25">
      <c r="A704" s="8" t="s">
        <v>2833</v>
      </c>
      <c r="B704" s="9" t="s">
        <v>12</v>
      </c>
      <c r="C704" s="10" t="s">
        <v>443</v>
      </c>
      <c r="D704" s="10" t="str">
        <f ca="1">IFERROR(__xludf.DUMMYFUNCTION(" VLOOKUP(A701, IMPORTRANGE(""https://docs.google.com/spreadsheets/d/1fj_Bhi2XPL3siwIh4sx4VRLAe31yD50oKdj5UlRYW0c/"", ""Сводка!A:AA""), 11, FALSE)"),"978-601-352-800-7")</f>
        <v>978-601-352-800-7</v>
      </c>
      <c r="E704" s="22" t="s">
        <v>2829</v>
      </c>
      <c r="F704" s="22" t="s">
        <v>2834</v>
      </c>
      <c r="G704" s="12">
        <f ca="1">IFERROR(__xludf.DUMMYFUNCTION(" VLOOKUP(A701, IMPORTRANGE(""https://docs.google.com/spreadsheets/d/1fj_Bhi2XPL3siwIh4sx4VRLAe31yD50oKdj5UlRYW0c/"", ""Сводка!A:AA""), 5, FALSE)"),168)</f>
        <v>168</v>
      </c>
      <c r="H704" s="10" t="s">
        <v>538</v>
      </c>
      <c r="I704" s="10">
        <f ca="1">IFERROR(__xludf.DUMMYFUNCTION(" VLOOKUP(A701, IMPORTRANGE(""https://docs.google.com/spreadsheets/d/1QNLbnkR_AongFt22vMfNzfpjZ0CjpI8QI-w0wBnYA1w/"", ""Инфа!A:AA""), 6, FALSE)"),2024)</f>
        <v>2024</v>
      </c>
      <c r="J704" s="5">
        <f ca="1">ROUND((5000+G704*30),-2)</f>
        <v>10000</v>
      </c>
      <c r="K704" s="10" t="s">
        <v>2831</v>
      </c>
      <c r="L704" s="23" t="s">
        <v>2835</v>
      </c>
    </row>
    <row r="705" spans="1:12" ht="168.75">
      <c r="A705" s="8" t="s">
        <v>2836</v>
      </c>
      <c r="B705" s="9" t="s">
        <v>12</v>
      </c>
      <c r="C705" s="10" t="s">
        <v>151</v>
      </c>
      <c r="D705" s="10" t="str">
        <f ca="1">IFERROR(__xludf.DUMMYFUNCTION(" VLOOKUP(A702, IMPORTRANGE(""https://docs.google.com/spreadsheets/d/1fj_Bhi2XPL3siwIh4sx4VRLAe31yD50oKdj5UlRYW0c/"", ""Сводка!A:AA""), 11, FALSE)"),"978-601-13-0459-7")</f>
        <v>978-601-13-0459-7</v>
      </c>
      <c r="E705" s="22" t="s">
        <v>2837</v>
      </c>
      <c r="F705" s="22" t="s">
        <v>2838</v>
      </c>
      <c r="G705" s="12">
        <f ca="1">IFERROR(__xludf.DUMMYFUNCTION(" VLOOKUP(A702, IMPORTRANGE(""https://docs.google.com/spreadsheets/d/1fj_Bhi2XPL3siwIh4sx4VRLAe31yD50oKdj5UlRYW0c/"", ""Сводка!A:AA""), 5, FALSE)"),240)</f>
        <v>240</v>
      </c>
      <c r="H705" s="10" t="s">
        <v>24</v>
      </c>
      <c r="I705" s="10">
        <f ca="1">IFERROR(__xludf.DUMMYFUNCTION(" VLOOKUP(A702, IMPORTRANGE(""https://docs.google.com/spreadsheets/d/1QNLbnkR_AongFt22vMfNzfpjZ0CjpI8QI-w0wBnYA1w/"", ""Инфа!A:AA""), 6, FALSE)"),2024)</f>
        <v>2024</v>
      </c>
      <c r="J705" s="5">
        <f ca="1">ROUND((5000+G705*30),-2)</f>
        <v>12200</v>
      </c>
      <c r="K705" s="10" t="s">
        <v>197</v>
      </c>
      <c r="L705" s="23" t="s">
        <v>2839</v>
      </c>
    </row>
    <row r="706" spans="1:12" ht="258.75">
      <c r="A706" s="8" t="s">
        <v>2840</v>
      </c>
      <c r="B706" s="9" t="s">
        <v>12</v>
      </c>
      <c r="C706" s="10" t="s">
        <v>21</v>
      </c>
      <c r="D706" s="10" t="str">
        <f ca="1">IFERROR(__xludf.DUMMYFUNCTION(" VLOOKUP(A703, IMPORTRANGE(""https://docs.google.com/spreadsheets/d/1fj_Bhi2XPL3siwIh4sx4VRLAe31yD50oKdj5UlRYW0c/"", ""Сводка!A:AA""), 11, FALSE)"),"978-601-352-452-8")</f>
        <v>978-601-352-452-8</v>
      </c>
      <c r="E706" s="22" t="s">
        <v>2841</v>
      </c>
      <c r="F706" s="22" t="s">
        <v>2842</v>
      </c>
      <c r="G706" s="12">
        <f ca="1">IFERROR(__xludf.DUMMYFUNCTION(" VLOOKUP(A703, IMPORTRANGE(""https://docs.google.com/spreadsheets/d/1fj_Bhi2XPL3siwIh4sx4VRLAe31yD50oKdj5UlRYW0c/"", ""Сводка!A:AA""), 5, FALSE)"),336)</f>
        <v>336</v>
      </c>
      <c r="H706" s="10" t="s">
        <v>176</v>
      </c>
      <c r="I706" s="10">
        <f ca="1">IFERROR(__xludf.DUMMYFUNCTION(" VLOOKUP(A703, IMPORTRANGE(""https://docs.google.com/spreadsheets/d/1QNLbnkR_AongFt22vMfNzfpjZ0CjpI8QI-w0wBnYA1w/"", ""Инфа!A:AA""), 6, FALSE)"),2024)</f>
        <v>2024</v>
      </c>
      <c r="J706" s="5">
        <f ca="1">ROUND((5000+G706*60),-2)</f>
        <v>25200</v>
      </c>
      <c r="K706" s="10" t="s">
        <v>2843</v>
      </c>
      <c r="L706" s="23" t="s">
        <v>2844</v>
      </c>
    </row>
    <row r="707" spans="1:12" ht="191.25">
      <c r="A707" s="8" t="s">
        <v>2845</v>
      </c>
      <c r="B707" s="9" t="s">
        <v>12</v>
      </c>
      <c r="C707" s="12" t="s">
        <v>151</v>
      </c>
      <c r="D707" s="10" t="str">
        <f ca="1">IFERROR(__xludf.DUMMYFUNCTION(" VLOOKUP(A704, IMPORTRANGE(""https://docs.google.com/spreadsheets/d/1fj_Bhi2XPL3siwIh4sx4VRLAe31yD50oKdj5UlRYW0c/"", ""Сводка!A:AA""), 11, FALSE)"),"978-601-208-757-4")</f>
        <v>978-601-208-757-4</v>
      </c>
      <c r="E707" s="11" t="s">
        <v>2846</v>
      </c>
      <c r="F707" s="11" t="s">
        <v>2847</v>
      </c>
      <c r="G707" s="12">
        <f ca="1">IFERROR(__xludf.DUMMYFUNCTION(" VLOOKUP(A704, IMPORTRANGE(""https://docs.google.com/spreadsheets/d/1fj_Bhi2XPL3siwIh4sx4VRLAe31yD50oKdj5UlRYW0c/"", ""Сводка!A:AA""), 5, FALSE)"),120)</f>
        <v>120</v>
      </c>
      <c r="H707" s="12" t="s">
        <v>106</v>
      </c>
      <c r="I707" s="10">
        <f ca="1">IFERROR(__xludf.DUMMYFUNCTION(" VLOOKUP(A704, IMPORTRANGE(""https://docs.google.com/spreadsheets/d/1QNLbnkR_AongFt22vMfNzfpjZ0CjpI8QI-w0wBnYA1w/"", ""Инфа!A:AA""), 6, FALSE)"),2024)</f>
        <v>2024</v>
      </c>
      <c r="J707" s="5">
        <f ca="1">ROUND((5000+G707*30),-2)</f>
        <v>8600</v>
      </c>
      <c r="K707" s="12" t="s">
        <v>2848</v>
      </c>
      <c r="L707" s="15" t="s">
        <v>2849</v>
      </c>
    </row>
    <row r="708" spans="1:12" ht="135">
      <c r="A708" s="8" t="s">
        <v>2850</v>
      </c>
      <c r="B708" s="9" t="s">
        <v>12</v>
      </c>
      <c r="C708" s="12" t="s">
        <v>443</v>
      </c>
      <c r="D708" s="10" t="str">
        <f ca="1">IFERROR(__xludf.DUMMYFUNCTION(" VLOOKUP(A705, IMPORTRANGE(""https://docs.google.com/spreadsheets/d/1fj_Bhi2XPL3siwIh4sx4VRLAe31yD50oKdj5UlRYW0c/"", ""Сводка!A:AA""), 11, FALSE)"),"978-601-352-925-7")</f>
        <v>978-601-352-925-7</v>
      </c>
      <c r="E708" s="11" t="s">
        <v>2851</v>
      </c>
      <c r="F708" s="11" t="s">
        <v>2852</v>
      </c>
      <c r="G708" s="12">
        <f ca="1">IFERROR(__xludf.DUMMYFUNCTION(" VLOOKUP(A705, IMPORTRANGE(""https://docs.google.com/spreadsheets/d/1fj_Bhi2XPL3siwIh4sx4VRLAe31yD50oKdj5UlRYW0c/"", ""Сводка!A:AA""), 5, FALSE)"),240)</f>
        <v>240</v>
      </c>
      <c r="H708" s="12" t="s">
        <v>106</v>
      </c>
      <c r="I708" s="10">
        <f ca="1">IFERROR(__xludf.DUMMYFUNCTION(" VLOOKUP(A705, IMPORTRANGE(""https://docs.google.com/spreadsheets/d/1QNLbnkR_AongFt22vMfNzfpjZ0CjpI8QI-w0wBnYA1w/"", ""Инфа!A:AA""), 6, FALSE)"),2024)</f>
        <v>2024</v>
      </c>
      <c r="J708" s="5">
        <f ca="1">ROUND((5000+G708*60),-2)</f>
        <v>19400</v>
      </c>
      <c r="K708" s="12" t="s">
        <v>2853</v>
      </c>
      <c r="L708" s="15" t="s">
        <v>2854</v>
      </c>
    </row>
    <row r="709" spans="1:12" ht="146.25">
      <c r="A709" s="8" t="s">
        <v>2855</v>
      </c>
      <c r="B709" s="9" t="s">
        <v>12</v>
      </c>
      <c r="C709" s="12" t="s">
        <v>151</v>
      </c>
      <c r="D709" s="40" t="s">
        <v>2856</v>
      </c>
      <c r="E709" s="11" t="s">
        <v>2857</v>
      </c>
      <c r="F709" s="11" t="s">
        <v>2858</v>
      </c>
      <c r="G709" s="12">
        <f ca="1">IFERROR(__xludf.DUMMYFUNCTION(" VLOOKUP(A706, IMPORTRANGE(""https://docs.google.com/spreadsheets/d/1fj_Bhi2XPL3siwIh4sx4VRLAe31yD50oKdj5UlRYW0c/"", ""Сводка!A:AA""), 5, FALSE)"),252)</f>
        <v>252</v>
      </c>
      <c r="H709" s="12" t="s">
        <v>47</v>
      </c>
      <c r="I709" s="10">
        <f ca="1">IFERROR(__xludf.DUMMYFUNCTION(" VLOOKUP(A706, IMPORTRANGE(""https://docs.google.com/spreadsheets/d/1QNLbnkR_AongFt22vMfNzfpjZ0CjpI8QI-w0wBnYA1w/"", ""Инфа!A:AA""), 6, FALSE)"),2024)</f>
        <v>2024</v>
      </c>
      <c r="J709" s="5">
        <f ca="1">ROUND((5000+G709*30),-2)</f>
        <v>12600</v>
      </c>
      <c r="K709" s="12" t="s">
        <v>160</v>
      </c>
      <c r="L709" s="15" t="s">
        <v>2859</v>
      </c>
    </row>
    <row r="710" spans="1:12" ht="292.5">
      <c r="A710" s="8" t="s">
        <v>2860</v>
      </c>
      <c r="B710" s="9" t="s">
        <v>12</v>
      </c>
      <c r="C710" s="12" t="s">
        <v>151</v>
      </c>
      <c r="D710" s="10" t="str">
        <f ca="1">IFERROR(__xludf.DUMMYFUNCTION(" VLOOKUP(A707, IMPORTRANGE(""https://docs.google.com/spreadsheets/d/1fj_Bhi2XPL3siwIh4sx4VRLAe31yD50oKdj5UlRYW0c/"", ""Сводка!A:AA""), 11, FALSE)"),"")</f>
        <v/>
      </c>
      <c r="E710" s="11" t="s">
        <v>2789</v>
      </c>
      <c r="F710" s="11" t="s">
        <v>2861</v>
      </c>
      <c r="G710" s="12">
        <f ca="1">IFERROR(__xludf.DUMMYFUNCTION(" VLOOKUP(A707, IMPORTRANGE(""https://docs.google.com/spreadsheets/d/1fj_Bhi2XPL3siwIh4sx4VRLAe31yD50oKdj5UlRYW0c/"", ""Сводка!A:AA""), 5, FALSE)"),128)</f>
        <v>128</v>
      </c>
      <c r="H710" s="12" t="s">
        <v>47</v>
      </c>
      <c r="I710" s="10">
        <f ca="1">IFERROR(__xludf.DUMMYFUNCTION(" VLOOKUP(A707, IMPORTRANGE(""https://docs.google.com/spreadsheets/d/1QNLbnkR_AongFt22vMfNzfpjZ0CjpI8QI-w0wBnYA1w/"", ""Инфа!A:AA""), 6, FALSE)"),2024)</f>
        <v>2024</v>
      </c>
      <c r="J710" s="5">
        <f ca="1">ROUND((5000+G710*30),-2)</f>
        <v>8800</v>
      </c>
      <c r="K710" s="12" t="s">
        <v>2862</v>
      </c>
      <c r="L710" s="15" t="s">
        <v>2863</v>
      </c>
    </row>
    <row r="711" spans="1:12" ht="90">
      <c r="A711" s="8" t="s">
        <v>2864</v>
      </c>
      <c r="B711" s="9" t="s">
        <v>12</v>
      </c>
      <c r="C711" s="12" t="s">
        <v>151</v>
      </c>
      <c r="D711" s="10" t="str">
        <f ca="1">IFERROR(__xludf.DUMMYFUNCTION(" VLOOKUP(A708, IMPORTRANGE(""https://docs.google.com/spreadsheets/d/1fj_Bhi2XPL3siwIh4sx4VRLAe31yD50oKdj5UlRYW0c/"", ""Сводка!A:AA""), 11, FALSE)"),"978-601-280-256-6")</f>
        <v>978-601-280-256-6</v>
      </c>
      <c r="E711" s="11" t="s">
        <v>2789</v>
      </c>
      <c r="F711" s="11" t="s">
        <v>2865</v>
      </c>
      <c r="G711" s="12">
        <f ca="1">IFERROR(__xludf.DUMMYFUNCTION(" VLOOKUP(A708, IMPORTRANGE(""https://docs.google.com/spreadsheets/d/1fj_Bhi2XPL3siwIh4sx4VRLAe31yD50oKdj5UlRYW0c/"", ""Сводка!A:AA""), 5, FALSE)"),208)</f>
        <v>208</v>
      </c>
      <c r="H711" s="12" t="s">
        <v>106</v>
      </c>
      <c r="I711" s="10">
        <f ca="1">IFERROR(__xludf.DUMMYFUNCTION(" VLOOKUP(A708, IMPORTRANGE(""https://docs.google.com/spreadsheets/d/1QNLbnkR_AongFt22vMfNzfpjZ0CjpI8QI-w0wBnYA1w/"", ""Инфа!A:AA""), 6, FALSE)"),2024)</f>
        <v>2024</v>
      </c>
      <c r="J711" s="5">
        <f ca="1">ROUND((5000+G711*30),-2)</f>
        <v>11200</v>
      </c>
      <c r="K711" s="12" t="s">
        <v>2862</v>
      </c>
      <c r="L711" s="15" t="s">
        <v>2866</v>
      </c>
    </row>
    <row r="712" spans="1:12" ht="135">
      <c r="A712" s="8" t="s">
        <v>2867</v>
      </c>
      <c r="B712" s="9" t="s">
        <v>12</v>
      </c>
      <c r="C712" s="12" t="s">
        <v>443</v>
      </c>
      <c r="D712" s="10" t="str">
        <f ca="1">IFERROR(__xludf.DUMMYFUNCTION(" VLOOKUP(A709, IMPORTRANGE(""https://docs.google.com/spreadsheets/d/1fj_Bhi2XPL3siwIh4sx4VRLAe31yD50oKdj5UlRYW0c/"", ""Сводка!A:AA""), 11, FALSE)"),"978-601-352-697-3")</f>
        <v>978-601-352-697-3</v>
      </c>
      <c r="E712" s="11" t="s">
        <v>2868</v>
      </c>
      <c r="F712" s="11" t="s">
        <v>2869</v>
      </c>
      <c r="G712" s="12">
        <f ca="1">IFERROR(__xludf.DUMMYFUNCTION(" VLOOKUP(A709, IMPORTRANGE(""https://docs.google.com/spreadsheets/d/1fj_Bhi2XPL3siwIh4sx4VRLAe31yD50oKdj5UlRYW0c/"", ""Сводка!A:AA""), 5, FALSE)"),320)</f>
        <v>320</v>
      </c>
      <c r="H712" s="12" t="s">
        <v>538</v>
      </c>
      <c r="I712" s="10">
        <f ca="1">IFERROR(__xludf.DUMMYFUNCTION(" VLOOKUP(A709, IMPORTRANGE(""https://docs.google.com/spreadsheets/d/1QNLbnkR_AongFt22vMfNzfpjZ0CjpI8QI-w0wBnYA1w/"", ""Инфа!A:AA""), 6, FALSE)"),2024)</f>
        <v>2024</v>
      </c>
      <c r="J712" s="5">
        <f ca="1">ROUND(((5000+G712*60)*1.3),-2)</f>
        <v>31500</v>
      </c>
      <c r="K712" s="9" t="s">
        <v>2870</v>
      </c>
      <c r="L712" s="15" t="s">
        <v>2871</v>
      </c>
    </row>
    <row r="713" spans="1:12" ht="315">
      <c r="A713" s="8" t="s">
        <v>2872</v>
      </c>
      <c r="B713" s="9" t="s">
        <v>12</v>
      </c>
      <c r="C713" s="10" t="s">
        <v>151</v>
      </c>
      <c r="D713" s="10" t="str">
        <f ca="1">IFERROR(__xludf.DUMMYFUNCTION(" VLOOKUP(A710, IMPORTRANGE(""https://docs.google.com/spreadsheets/d/1fj_Bhi2XPL3siwIh4sx4VRLAe31yD50oKdj5UlRYW0c/"", ""Сводка!A:AA""), 11, FALSE)"),"978-601-278-807-5")</f>
        <v>978-601-278-807-5</v>
      </c>
      <c r="E713" s="11" t="s">
        <v>2785</v>
      </c>
      <c r="F713" s="11" t="s">
        <v>2873</v>
      </c>
      <c r="G713" s="12">
        <f ca="1">IFERROR(__xludf.DUMMYFUNCTION(" VLOOKUP(A710, IMPORTRANGE(""https://docs.google.com/spreadsheets/d/1fj_Bhi2XPL3siwIh4sx4VRLAe31yD50oKdj5UlRYW0c/"", ""Сводка!A:AA""), 5, FALSE)"),288)</f>
        <v>288</v>
      </c>
      <c r="H713" s="12" t="s">
        <v>47</v>
      </c>
      <c r="I713" s="10">
        <f ca="1">IFERROR(__xludf.DUMMYFUNCTION(" VLOOKUP(A710, IMPORTRANGE(""https://docs.google.com/spreadsheets/d/1QNLbnkR_AongFt22vMfNzfpjZ0CjpI8QI-w0wBnYA1w/"", ""Инфа!A:AA""), 6, FALSE)"),2024)</f>
        <v>2024</v>
      </c>
      <c r="J713" s="5">
        <f ca="1">ROUND((5000+G713*30),-2)</f>
        <v>13600</v>
      </c>
      <c r="K713" s="12" t="s">
        <v>160</v>
      </c>
      <c r="L713" s="15" t="s">
        <v>2874</v>
      </c>
    </row>
    <row r="714" spans="1:12" ht="213.75">
      <c r="A714" s="8" t="s">
        <v>2875</v>
      </c>
      <c r="B714" s="9" t="s">
        <v>12</v>
      </c>
      <c r="C714" s="12" t="s">
        <v>151</v>
      </c>
      <c r="D714" s="10" t="str">
        <f ca="1">IFERROR(__xludf.DUMMYFUNCTION(" VLOOKUP(A711, IMPORTRANGE(""https://docs.google.com/spreadsheets/d/1fj_Bhi2XPL3siwIh4sx4VRLAe31yD50oKdj5UlRYW0c/"", ""Сводка!A:AA""), 11, FALSE)"),"978-601-352-654-6")</f>
        <v>978-601-352-654-6</v>
      </c>
      <c r="E714" s="11" t="s">
        <v>2876</v>
      </c>
      <c r="F714" s="11" t="s">
        <v>2877</v>
      </c>
      <c r="G714" s="12">
        <f ca="1">IFERROR(__xludf.DUMMYFUNCTION(" VLOOKUP(A711, IMPORTRANGE(""https://docs.google.com/spreadsheets/d/1fj_Bhi2XPL3siwIh4sx4VRLAe31yD50oKdj5UlRYW0c/"", ""Сводка!A:AA""), 5, FALSE)"),224)</f>
        <v>224</v>
      </c>
      <c r="H714" s="12" t="s">
        <v>106</v>
      </c>
      <c r="I714" s="10">
        <f ca="1">IFERROR(__xludf.DUMMYFUNCTION(" VLOOKUP(A711, IMPORTRANGE(""https://docs.google.com/spreadsheets/d/1QNLbnkR_AongFt22vMfNzfpjZ0CjpI8QI-w0wBnYA1w/"", ""Инфа!A:AA""), 6, FALSE)"),2024)</f>
        <v>2024</v>
      </c>
      <c r="J714" s="5">
        <f ca="1">ROUND((5000+G714*60),-2)</f>
        <v>18400</v>
      </c>
      <c r="K714" s="12" t="s">
        <v>2878</v>
      </c>
      <c r="L714" s="15" t="s">
        <v>2879</v>
      </c>
    </row>
    <row r="715" spans="1:12" ht="281.25">
      <c r="A715" s="8" t="s">
        <v>2880</v>
      </c>
      <c r="B715" s="9" t="s">
        <v>12</v>
      </c>
      <c r="C715" s="12" t="s">
        <v>443</v>
      </c>
      <c r="D715" s="10" t="str">
        <f ca="1">IFERROR(__xludf.DUMMYFUNCTION(" VLOOKUP(A712, IMPORTRANGE(""https://docs.google.com/spreadsheets/d/1fj_Bhi2XPL3siwIh4sx4VRLAe31yD50oKdj5UlRYW0c/"", ""Сводка!A:AA""), 11, FALSE)"),"978-601-330-165-5")</f>
        <v>978-601-330-165-5</v>
      </c>
      <c r="E715" s="11" t="s">
        <v>2881</v>
      </c>
      <c r="F715" s="11" t="s">
        <v>2882</v>
      </c>
      <c r="G715" s="12">
        <f ca="1">IFERROR(__xludf.DUMMYFUNCTION(" VLOOKUP(A712, IMPORTRANGE(""https://docs.google.com/spreadsheets/d/1fj_Bhi2XPL3siwIh4sx4VRLAe31yD50oKdj5UlRYW0c/"", ""Сводка!A:AA""), 5, FALSE)"),156)</f>
        <v>156</v>
      </c>
      <c r="H715" s="12" t="s">
        <v>538</v>
      </c>
      <c r="I715" s="10">
        <f ca="1">IFERROR(__xludf.DUMMYFUNCTION(" VLOOKUP(A712, IMPORTRANGE(""https://docs.google.com/spreadsheets/d/1QNLbnkR_AongFt22vMfNzfpjZ0CjpI8QI-w0wBnYA1w/"", ""Инфа!A:AA""), 6, FALSE)"),2024)</f>
        <v>2024</v>
      </c>
      <c r="J715" s="5">
        <f ca="1">ROUND((5000+G715*60),-2)</f>
        <v>14400</v>
      </c>
      <c r="K715" s="12" t="s">
        <v>2883</v>
      </c>
      <c r="L715" s="15" t="s">
        <v>2884</v>
      </c>
    </row>
    <row r="716" spans="1:12" ht="102">
      <c r="A716" s="8" t="s">
        <v>2885</v>
      </c>
      <c r="B716" s="9" t="s">
        <v>12</v>
      </c>
      <c r="C716" s="12" t="s">
        <v>151</v>
      </c>
      <c r="D716" s="10" t="str">
        <f ca="1">IFERROR(__xludf.DUMMYFUNCTION(" VLOOKUP(A713, IMPORTRANGE(""https://docs.google.com/spreadsheets/d/1fj_Bhi2XPL3siwIh4sx4VRLAe31yD50oKdj5UlRYW0c/"", ""Сводка!A:AA""), 11, FALSE)"),"978-601-330-049-8")</f>
        <v>978-601-330-049-8</v>
      </c>
      <c r="E716" s="11" t="s">
        <v>2886</v>
      </c>
      <c r="F716" s="11" t="s">
        <v>2887</v>
      </c>
      <c r="G716" s="12">
        <f ca="1">IFERROR(__xludf.DUMMYFUNCTION(" VLOOKUP(A713, IMPORTRANGE(""https://docs.google.com/spreadsheets/d/1fj_Bhi2XPL3siwIh4sx4VRLAe31yD50oKdj5UlRYW0c/"", ""Сводка!A:AA""), 5, FALSE)"),176)</f>
        <v>176</v>
      </c>
      <c r="H716" s="12" t="s">
        <v>106</v>
      </c>
      <c r="I716" s="10">
        <f ca="1">IFERROR(__xludf.DUMMYFUNCTION(" VLOOKUP(A713, IMPORTRANGE(""https://docs.google.com/spreadsheets/d/1QNLbnkR_AongFt22vMfNzfpjZ0CjpI8QI-w0wBnYA1w/"", ""Инфа!A:AA""), 6, FALSE)"),2024)</f>
        <v>2024</v>
      </c>
      <c r="J716" s="5">
        <f ca="1">ROUND((5000+G716*60),-2)</f>
        <v>15600</v>
      </c>
      <c r="K716" s="12" t="s">
        <v>296</v>
      </c>
      <c r="L716" s="15" t="s">
        <v>2888</v>
      </c>
    </row>
    <row r="717" spans="1:12" ht="292.5">
      <c r="A717" s="8" t="s">
        <v>2889</v>
      </c>
      <c r="B717" s="9" t="s">
        <v>12</v>
      </c>
      <c r="C717" s="12" t="s">
        <v>443</v>
      </c>
      <c r="D717" s="10" t="str">
        <f ca="1">IFERROR(__xludf.DUMMYFUNCTION(" VLOOKUP(A714, IMPORTRANGE(""https://docs.google.com/spreadsheets/d/1fj_Bhi2XPL3siwIh4sx4VRLAe31yD50oKdj5UlRYW0c/"", ""Сводка!A:AA""), 11, FALSE)"),"978-601-352-754-3")</f>
        <v>978-601-352-754-3</v>
      </c>
      <c r="E717" s="11" t="s">
        <v>2890</v>
      </c>
      <c r="F717" s="11" t="s">
        <v>2891</v>
      </c>
      <c r="G717" s="12">
        <f ca="1">IFERROR(__xludf.DUMMYFUNCTION(" VLOOKUP(A714, IMPORTRANGE(""https://docs.google.com/spreadsheets/d/1fj_Bhi2XPL3siwIh4sx4VRLAe31yD50oKdj5UlRYW0c/"", ""Сводка!A:AA""), 5, FALSE)"),204)</f>
        <v>204</v>
      </c>
      <c r="H717" s="12" t="s">
        <v>538</v>
      </c>
      <c r="I717" s="10">
        <f ca="1">IFERROR(__xludf.DUMMYFUNCTION(" VLOOKUP(A714, IMPORTRANGE(""https://docs.google.com/spreadsheets/d/1QNLbnkR_AongFt22vMfNzfpjZ0CjpI8QI-w0wBnYA1w/"", ""Инфа!A:AA""), 6, FALSE)"),2024)</f>
        <v>2024</v>
      </c>
      <c r="J717" s="5">
        <f ca="1">ROUND((5000+G717*60),-2)</f>
        <v>17200</v>
      </c>
      <c r="K717" s="12" t="s">
        <v>2892</v>
      </c>
      <c r="L717" s="15" t="s">
        <v>2893</v>
      </c>
    </row>
    <row r="718" spans="1:12" ht="281.25">
      <c r="A718" s="8" t="s">
        <v>2894</v>
      </c>
      <c r="B718" s="9" t="s">
        <v>12</v>
      </c>
      <c r="C718" s="12" t="s">
        <v>151</v>
      </c>
      <c r="D718" s="40" t="s">
        <v>2895</v>
      </c>
      <c r="E718" s="11" t="s">
        <v>2890</v>
      </c>
      <c r="F718" s="11" t="s">
        <v>2896</v>
      </c>
      <c r="G718" s="12">
        <f ca="1">IFERROR(__xludf.DUMMYFUNCTION(" VLOOKUP(A715, IMPORTRANGE(""https://docs.google.com/spreadsheets/d/1fj_Bhi2XPL3siwIh4sx4VRLAe31yD50oKdj5UlRYW0c/"", ""Сводка!A:AA""), 5, FALSE)"),212)</f>
        <v>212</v>
      </c>
      <c r="H718" s="12" t="s">
        <v>47</v>
      </c>
      <c r="I718" s="10">
        <f ca="1">IFERROR(__xludf.DUMMYFUNCTION(" VLOOKUP(A715, IMPORTRANGE(""https://docs.google.com/spreadsheets/d/1QNLbnkR_AongFt22vMfNzfpjZ0CjpI8QI-w0wBnYA1w/"", ""Инфа!A:AA""), 6, FALSE)"),2024)</f>
        <v>2024</v>
      </c>
      <c r="J718" s="5">
        <f ca="1">ROUND((5000+G718*30),-2)</f>
        <v>11400</v>
      </c>
      <c r="K718" s="12" t="s">
        <v>2892</v>
      </c>
      <c r="L718" s="15" t="s">
        <v>2897</v>
      </c>
    </row>
    <row r="719" spans="1:12" ht="135">
      <c r="A719" s="8" t="s">
        <v>2898</v>
      </c>
      <c r="B719" s="9" t="s">
        <v>12</v>
      </c>
      <c r="C719" s="12" t="s">
        <v>151</v>
      </c>
      <c r="D719" s="10" t="str">
        <f ca="1">IFERROR(__xludf.DUMMYFUNCTION(" VLOOKUP(A716, IMPORTRANGE(""https://docs.google.com/spreadsheets/d/1fj_Bhi2XPL3siwIh4sx4VRLAe31yD50oKdj5UlRYW0c/"", ""Сводка!A:AA""), 11, FALSE)"),"978 – 601 – 298 – 945 – 8")</f>
        <v>978 – 601 – 298 – 945 – 8</v>
      </c>
      <c r="E719" s="11" t="s">
        <v>2899</v>
      </c>
      <c r="F719" s="11" t="s">
        <v>2900</v>
      </c>
      <c r="G719" s="12">
        <f ca="1">IFERROR(__xludf.DUMMYFUNCTION(" VLOOKUP(A716, IMPORTRANGE(""https://docs.google.com/spreadsheets/d/1fj_Bhi2XPL3siwIh4sx4VRLAe31yD50oKdj5UlRYW0c/"", ""Сводка!A:AA""), 5, FALSE)"),216)</f>
        <v>216</v>
      </c>
      <c r="H719" s="12" t="s">
        <v>47</v>
      </c>
      <c r="I719" s="10">
        <f ca="1">IFERROR(__xludf.DUMMYFUNCTION(" VLOOKUP(A716, IMPORTRANGE(""https://docs.google.com/spreadsheets/d/1QNLbnkR_AongFt22vMfNzfpjZ0CjpI8QI-w0wBnYA1w/"", ""Инфа!A:AA""), 6, FALSE)"),2024)</f>
        <v>2024</v>
      </c>
      <c r="J719" s="5">
        <f ca="1">ROUND((5000+G719*60),-2)</f>
        <v>18000</v>
      </c>
      <c r="K719" s="12" t="s">
        <v>2901</v>
      </c>
      <c r="L719" s="15" t="s">
        <v>2902</v>
      </c>
    </row>
    <row r="720" spans="1:12" ht="236.25">
      <c r="A720" s="8" t="s">
        <v>2903</v>
      </c>
      <c r="B720" s="9" t="s">
        <v>12</v>
      </c>
      <c r="C720" s="12" t="s">
        <v>151</v>
      </c>
      <c r="D720" s="10" t="str">
        <f ca="1">IFERROR(__xludf.DUMMYFUNCTION(" VLOOKUP(A717, IMPORTRANGE(""https://docs.google.com/spreadsheets/d/1fj_Bhi2XPL3siwIh4sx4VRLAe31yD50oKdj5UlRYW0c/"", ""Сводка!A:AA""), 11, FALSE)"),"978 – 601 – 298 – 946 – 5")</f>
        <v>978 – 601 – 298 – 946 – 5</v>
      </c>
      <c r="E720" s="11" t="s">
        <v>2899</v>
      </c>
      <c r="F720" s="11" t="s">
        <v>2904</v>
      </c>
      <c r="G720" s="12">
        <f ca="1">IFERROR(__xludf.DUMMYFUNCTION(" VLOOKUP(A717, IMPORTRANGE(""https://docs.google.com/spreadsheets/d/1fj_Bhi2XPL3siwIh4sx4VRLAe31yD50oKdj5UlRYW0c/"", ""Сводка!A:AA""), 5, FALSE)"),284)</f>
        <v>284</v>
      </c>
      <c r="H720" s="12" t="s">
        <v>47</v>
      </c>
      <c r="I720" s="10">
        <f ca="1">IFERROR(__xludf.DUMMYFUNCTION(" VLOOKUP(A717, IMPORTRANGE(""https://docs.google.com/spreadsheets/d/1QNLbnkR_AongFt22vMfNzfpjZ0CjpI8QI-w0wBnYA1w/"", ""Инфа!A:AA""), 6, FALSE)"),2024)</f>
        <v>2024</v>
      </c>
      <c r="J720" s="5">
        <f ca="1">ROUND((5000+G720*60),-2)</f>
        <v>22000</v>
      </c>
      <c r="K720" s="12" t="s">
        <v>2901</v>
      </c>
      <c r="L720" s="15" t="s">
        <v>2905</v>
      </c>
    </row>
    <row r="721" spans="1:12" ht="315">
      <c r="A721" s="8" t="s">
        <v>2906</v>
      </c>
      <c r="B721" s="9" t="s">
        <v>12</v>
      </c>
      <c r="C721" s="12" t="s">
        <v>151</v>
      </c>
      <c r="D721" s="10" t="str">
        <f ca="1">IFERROR(__xludf.DUMMYFUNCTION(" VLOOKUP(A718, IMPORTRANGE(""https://docs.google.com/spreadsheets/d/1fj_Bhi2XPL3siwIh4sx4VRLAe31yD50oKdj5UlRYW0c/"", ""Сводка!A:AA""), 11, FALSE)"),"978-601-7440-27-5")</f>
        <v>978-601-7440-27-5</v>
      </c>
      <c r="E721" s="11" t="s">
        <v>2907</v>
      </c>
      <c r="F721" s="11" t="s">
        <v>2908</v>
      </c>
      <c r="G721" s="12">
        <f ca="1">IFERROR(__xludf.DUMMYFUNCTION(" VLOOKUP(A718, IMPORTRANGE(""https://docs.google.com/spreadsheets/d/1fj_Bhi2XPL3siwIh4sx4VRLAe31yD50oKdj5UlRYW0c/"", ""Сводка!A:AA""), 5, FALSE)"),240)</f>
        <v>240</v>
      </c>
      <c r="H721" s="12" t="s">
        <v>106</v>
      </c>
      <c r="I721" s="10">
        <f ca="1">IFERROR(__xludf.DUMMYFUNCTION(" VLOOKUP(A718, IMPORTRANGE(""https://docs.google.com/spreadsheets/d/1QNLbnkR_AongFt22vMfNzfpjZ0CjpI8QI-w0wBnYA1w/"", ""Инфа!A:AA""), 6, FALSE)"),2024)</f>
        <v>2024</v>
      </c>
      <c r="J721" s="5">
        <f ca="1">ROUND((5000+G721*30),-2)</f>
        <v>12200</v>
      </c>
      <c r="K721" s="12" t="s">
        <v>2909</v>
      </c>
      <c r="L721" s="15" t="s">
        <v>2910</v>
      </c>
    </row>
    <row r="722" spans="1:12" ht="146.25">
      <c r="A722" s="8" t="s">
        <v>2911</v>
      </c>
      <c r="B722" s="9" t="s">
        <v>12</v>
      </c>
      <c r="C722" s="12" t="s">
        <v>443</v>
      </c>
      <c r="D722" s="10" t="str">
        <f ca="1">IFERROR(__xludf.DUMMYFUNCTION(" VLOOKUP(A719, IMPORTRANGE(""https://docs.google.com/spreadsheets/d/1fj_Bhi2XPL3siwIh4sx4VRLAe31yD50oKdj5UlRYW0c/"", ""Сводка!A:AA""), 11, FALSE)"),"978-601-206-064-5")</f>
        <v>978-601-206-064-5</v>
      </c>
      <c r="E722" s="11" t="s">
        <v>2912</v>
      </c>
      <c r="F722" s="11" t="s">
        <v>2913</v>
      </c>
      <c r="G722" s="12">
        <f ca="1">IFERROR(__xludf.DUMMYFUNCTION(" VLOOKUP(A719, IMPORTRANGE(""https://docs.google.com/spreadsheets/d/1fj_Bhi2XPL3siwIh4sx4VRLAe31yD50oKdj5UlRYW0c/"", ""Сводка!A:AA""), 5, FALSE)"),256)</f>
        <v>256</v>
      </c>
      <c r="H722" s="12" t="s">
        <v>538</v>
      </c>
      <c r="I722" s="10">
        <f ca="1">IFERROR(__xludf.DUMMYFUNCTION(" VLOOKUP(A719, IMPORTRANGE(""https://docs.google.com/spreadsheets/d/1QNLbnkR_AongFt22vMfNzfpjZ0CjpI8QI-w0wBnYA1w/"", ""Инфа!A:AA""), 6, FALSE)"),2024)</f>
        <v>2024</v>
      </c>
      <c r="J722" s="5">
        <f ca="1">ROUND((5000+G722*60),-2)</f>
        <v>20400</v>
      </c>
      <c r="K722" s="12" t="s">
        <v>69</v>
      </c>
      <c r="L722" s="15" t="s">
        <v>2914</v>
      </c>
    </row>
    <row r="723" spans="1:12" ht="180">
      <c r="A723" s="8" t="s">
        <v>2915</v>
      </c>
      <c r="B723" s="9" t="s">
        <v>12</v>
      </c>
      <c r="C723" s="12" t="s">
        <v>443</v>
      </c>
      <c r="D723" s="10" t="str">
        <f ca="1">IFERROR(__xludf.DUMMYFUNCTION(" VLOOKUP(A720, IMPORTRANGE(""https://docs.google.com/spreadsheets/d/1fj_Bhi2XPL3siwIh4sx4VRLAe31yD50oKdj5UlRYW0c/"", ""Сводка!A:AA""), 11, FALSE)"),"78-601-231-811-1")</f>
        <v>78-601-231-811-1</v>
      </c>
      <c r="E723" s="11" t="s">
        <v>2916</v>
      </c>
      <c r="F723" s="11" t="s">
        <v>2917</v>
      </c>
      <c r="G723" s="12">
        <f ca="1">IFERROR(__xludf.DUMMYFUNCTION(" VLOOKUP(A720, IMPORTRANGE(""https://docs.google.com/spreadsheets/d/1fj_Bhi2XPL3siwIh4sx4VRLAe31yD50oKdj5UlRYW0c/"", ""Сводка!A:AA""), 5, FALSE)"),168)</f>
        <v>168</v>
      </c>
      <c r="H723" s="12" t="s">
        <v>538</v>
      </c>
      <c r="I723" s="10">
        <f ca="1">IFERROR(__xludf.DUMMYFUNCTION(" VLOOKUP(A720, IMPORTRANGE(""https://docs.google.com/spreadsheets/d/1QNLbnkR_AongFt22vMfNzfpjZ0CjpI8QI-w0wBnYA1w/"", ""Инфа!A:AA""), 6, FALSE)"),2024)</f>
        <v>2024</v>
      </c>
      <c r="J723" s="5">
        <f ca="1">ROUND((5000+G723*60),-2)</f>
        <v>15100</v>
      </c>
      <c r="K723" s="12" t="s">
        <v>69</v>
      </c>
      <c r="L723" s="15" t="s">
        <v>2918</v>
      </c>
    </row>
    <row r="724" spans="1:12" ht="315">
      <c r="A724" s="8" t="s">
        <v>2919</v>
      </c>
      <c r="B724" s="9" t="s">
        <v>12</v>
      </c>
      <c r="C724" s="10" t="s">
        <v>151</v>
      </c>
      <c r="D724" s="10" t="str">
        <f ca="1">IFERROR(__xludf.DUMMYFUNCTION(" VLOOKUP(A721, IMPORTRANGE(""https://docs.google.com/spreadsheets/d/1fj_Bhi2XPL3siwIh4sx4VRLAe31yD50oKdj5UlRYW0c/"", ""Сводка!A:AA""), 11, FALSE)"),"978-601-278-807-5")</f>
        <v>978-601-278-807-5</v>
      </c>
      <c r="E724" s="11" t="s">
        <v>2785</v>
      </c>
      <c r="F724" s="11" t="s">
        <v>2920</v>
      </c>
      <c r="G724" s="12">
        <f ca="1">IFERROR(__xludf.DUMMYFUNCTION(" VLOOKUP(A721, IMPORTRANGE(""https://docs.google.com/spreadsheets/d/1fj_Bhi2XPL3siwIh4sx4VRLAe31yD50oKdj5UlRYW0c/"", ""Сводка!A:AA""), 5, FALSE)"),296)</f>
        <v>296</v>
      </c>
      <c r="H724" s="12" t="s">
        <v>47</v>
      </c>
      <c r="I724" s="10">
        <f ca="1">IFERROR(__xludf.DUMMYFUNCTION(" VLOOKUP(A721, IMPORTRANGE(""https://docs.google.com/spreadsheets/d/1QNLbnkR_AongFt22vMfNzfpjZ0CjpI8QI-w0wBnYA1w/"", ""Инфа!A:AA""), 6, FALSE)"),2024)</f>
        <v>2024</v>
      </c>
      <c r="J724" s="5">
        <f ca="1">ROUND((5000+G724*30),-2)</f>
        <v>13900</v>
      </c>
      <c r="K724" s="12" t="s">
        <v>160</v>
      </c>
      <c r="L724" s="15" t="s">
        <v>2874</v>
      </c>
    </row>
    <row r="725" spans="1:12" ht="202.5">
      <c r="A725" s="8" t="s">
        <v>2921</v>
      </c>
      <c r="B725" s="9" t="s">
        <v>12</v>
      </c>
      <c r="C725" s="12" t="s">
        <v>21</v>
      </c>
      <c r="D725" s="10" t="str">
        <f ca="1">IFERROR(__xludf.DUMMYFUNCTION(" VLOOKUP(A722, IMPORTRANGE(""https://docs.google.com/spreadsheets/d/1fj_Bhi2XPL3siwIh4sx4VRLAe31yD50oKdj5UlRYW0c/"", ""Сводка!A:AA""), 11, FALSE)"),"978-601-352-988-2")</f>
        <v>978-601-352-988-2</v>
      </c>
      <c r="E725" s="11" t="s">
        <v>2922</v>
      </c>
      <c r="F725" s="11" t="s">
        <v>2923</v>
      </c>
      <c r="G725" s="12">
        <f ca="1">IFERROR(__xludf.DUMMYFUNCTION(" VLOOKUP(A722, IMPORTRANGE(""https://docs.google.com/spreadsheets/d/1fj_Bhi2XPL3siwIh4sx4VRLAe31yD50oKdj5UlRYW0c/"", ""Сводка!A:AA""), 5, FALSE)"),156)</f>
        <v>156</v>
      </c>
      <c r="H725" s="12" t="s">
        <v>56</v>
      </c>
      <c r="I725" s="10">
        <f ca="1">IFERROR(__xludf.DUMMYFUNCTION(" VLOOKUP(A722, IMPORTRANGE(""https://docs.google.com/spreadsheets/d/1QNLbnkR_AongFt22vMfNzfpjZ0CjpI8QI-w0wBnYA1w/"", ""Инфа!A:AA""), 6, FALSE)"),2024)</f>
        <v>2024</v>
      </c>
      <c r="J725" s="5">
        <f ca="1">ROUND((5000+G725*30),-2)</f>
        <v>9700</v>
      </c>
      <c r="K725" s="12" t="s">
        <v>2924</v>
      </c>
      <c r="L725" s="15" t="s">
        <v>2925</v>
      </c>
    </row>
    <row r="726" spans="1:12" ht="281.25">
      <c r="A726" s="8" t="s">
        <v>2926</v>
      </c>
      <c r="B726" s="9" t="s">
        <v>12</v>
      </c>
      <c r="C726" s="12" t="s">
        <v>21</v>
      </c>
      <c r="D726" s="10" t="str">
        <f ca="1">IFERROR(__xludf.DUMMYFUNCTION(" VLOOKUP(A723, IMPORTRANGE(""https://docs.google.com/spreadsheets/d/1fj_Bhi2XPL3siwIh4sx4VRLAe31yD50oKdj5UlRYW0c/"", ""Сводка!A:AA""), 11, FALSE)"),"978-601-352-709-3")</f>
        <v>978-601-352-709-3</v>
      </c>
      <c r="E726" s="11" t="s">
        <v>2927</v>
      </c>
      <c r="F726" s="11" t="s">
        <v>2928</v>
      </c>
      <c r="G726" s="12">
        <f ca="1">IFERROR(__xludf.DUMMYFUNCTION(" VLOOKUP(A723, IMPORTRANGE(""https://docs.google.com/spreadsheets/d/1fj_Bhi2XPL3siwIh4sx4VRLAe31yD50oKdj5UlRYW0c/"", ""Сводка!A:AA""), 5, FALSE)"),276)</f>
        <v>276</v>
      </c>
      <c r="H726" s="12" t="s">
        <v>47</v>
      </c>
      <c r="I726" s="10">
        <f ca="1">IFERROR(__xludf.DUMMYFUNCTION(" VLOOKUP(A723, IMPORTRANGE(""https://docs.google.com/spreadsheets/d/1QNLbnkR_AongFt22vMfNzfpjZ0CjpI8QI-w0wBnYA1w/"", ""Инфа!A:AA""), 6, FALSE)"),2024)</f>
        <v>2024</v>
      </c>
      <c r="J726" s="5">
        <f ca="1">ROUND((5000+G726*30),-2)</f>
        <v>13300</v>
      </c>
      <c r="K726" s="12" t="s">
        <v>2929</v>
      </c>
      <c r="L726" s="15" t="s">
        <v>2930</v>
      </c>
    </row>
    <row r="727" spans="1:12" ht="315">
      <c r="A727" s="8" t="s">
        <v>2931</v>
      </c>
      <c r="B727" s="9" t="s">
        <v>2231</v>
      </c>
      <c r="C727" s="12" t="s">
        <v>443</v>
      </c>
      <c r="D727" s="10" t="str">
        <f ca="1">IFERROR(__xludf.DUMMYFUNCTION(" VLOOKUP(A724, IMPORTRANGE(""https://docs.google.com/spreadsheets/d/1fj_Bhi2XPL3siwIh4sx4VRLAe31yD50oKdj5UlRYW0c/"", ""Сводка!A:AA""), 11, FALSE)"),"978-601-352-803-8")</f>
        <v>978-601-352-803-8</v>
      </c>
      <c r="E727" s="11" t="s">
        <v>2343</v>
      </c>
      <c r="F727" s="11" t="s">
        <v>2932</v>
      </c>
      <c r="G727" s="12">
        <f ca="1">IFERROR(__xludf.DUMMYFUNCTION(" VLOOKUP(A724, IMPORTRANGE(""https://docs.google.com/spreadsheets/d/1fj_Bhi2XPL3siwIh4sx4VRLAe31yD50oKdj5UlRYW0c/"", ""Сводка!A:AA""), 5, FALSE)"),188)</f>
        <v>188</v>
      </c>
      <c r="H727" s="12" t="s">
        <v>538</v>
      </c>
      <c r="I727" s="10">
        <f ca="1">IFERROR(__xludf.DUMMYFUNCTION(" VLOOKUP(A724, IMPORTRANGE(""https://docs.google.com/spreadsheets/d/1QNLbnkR_AongFt22vMfNzfpjZ0CjpI8QI-w0wBnYA1w/"", ""Инфа!A:AA""), 6, FALSE)"),2024)</f>
        <v>2024</v>
      </c>
      <c r="J727" s="5">
        <f ca="1">ROUND((5000+G727*30),-2)</f>
        <v>10600</v>
      </c>
      <c r="K727" s="12" t="s">
        <v>2345</v>
      </c>
      <c r="L727" s="15" t="s">
        <v>2933</v>
      </c>
    </row>
    <row r="728" spans="1:12" ht="236.25">
      <c r="A728" s="8" t="s">
        <v>2934</v>
      </c>
      <c r="B728" s="9" t="s">
        <v>2231</v>
      </c>
      <c r="C728" s="12" t="s">
        <v>443</v>
      </c>
      <c r="D728" s="10" t="str">
        <f ca="1">IFERROR(__xludf.DUMMYFUNCTION(" VLOOKUP(A725, IMPORTRANGE(""https://docs.google.com/spreadsheets/d/1fj_Bhi2XPL3siwIh4sx4VRLAe31yD50oKdj5UlRYW0c/"", ""Сводка!A:AA""), 11, FALSE)"),"978-601-7508-18-0")</f>
        <v>978-601-7508-18-0</v>
      </c>
      <c r="E728" s="11" t="s">
        <v>2935</v>
      </c>
      <c r="F728" s="11" t="s">
        <v>2936</v>
      </c>
      <c r="G728" s="12">
        <f ca="1">IFERROR(__xludf.DUMMYFUNCTION(" VLOOKUP(A725, IMPORTRANGE(""https://docs.google.com/spreadsheets/d/1fj_Bhi2XPL3siwIh4sx4VRLAe31yD50oKdj5UlRYW0c/"", ""Сводка!A:AA""), 5, FALSE)"),228)</f>
        <v>228</v>
      </c>
      <c r="H728" s="12" t="s">
        <v>538</v>
      </c>
      <c r="I728" s="10">
        <f ca="1">IFERROR(__xludf.DUMMYFUNCTION(" VLOOKUP(A725, IMPORTRANGE(""https://docs.google.com/spreadsheets/d/1QNLbnkR_AongFt22vMfNzfpjZ0CjpI8QI-w0wBnYA1w/"", ""Инфа!A:AA""), 6, FALSE)"),2024)</f>
        <v>2024</v>
      </c>
      <c r="J728" s="5">
        <f ca="1">ROUND((5000+G728*30),-2)</f>
        <v>11800</v>
      </c>
      <c r="K728" s="12" t="s">
        <v>171</v>
      </c>
      <c r="L728" s="15" t="s">
        <v>2937</v>
      </c>
    </row>
    <row r="729" spans="1:12" ht="213.75">
      <c r="A729" s="8" t="s">
        <v>2938</v>
      </c>
      <c r="B729" s="9" t="s">
        <v>12</v>
      </c>
      <c r="C729" s="10" t="s">
        <v>443</v>
      </c>
      <c r="D729" s="10" t="str">
        <f ca="1">IFERROR(__xludf.DUMMYFUNCTION(" VLOOKUP(A726, IMPORTRANGE(""https://docs.google.com/spreadsheets/d/1fj_Bhi2XPL3siwIh4sx4VRLAe31yD50oKdj5UlRYW0c/"", ""Сводка!A:AA""), 11, FALSE)"),"978-601-352-950-9")</f>
        <v>978-601-352-950-9</v>
      </c>
      <c r="E729" s="22" t="s">
        <v>2939</v>
      </c>
      <c r="F729" s="22" t="s">
        <v>2913</v>
      </c>
      <c r="G729" s="12">
        <f ca="1">IFERROR(__xludf.DUMMYFUNCTION(" VLOOKUP(A726, IMPORTRANGE(""https://docs.google.com/spreadsheets/d/1fj_Bhi2XPL3siwIh4sx4VRLAe31yD50oKdj5UlRYW0c/"", ""Сводка!A:AA""), 5, FALSE)"),288)</f>
        <v>288</v>
      </c>
      <c r="H729" s="10" t="s">
        <v>511</v>
      </c>
      <c r="I729" s="10">
        <f ca="1">IFERROR(__xludf.DUMMYFUNCTION(" VLOOKUP(A726, IMPORTRANGE(""https://docs.google.com/spreadsheets/d/1QNLbnkR_AongFt22vMfNzfpjZ0CjpI8QI-w0wBnYA1w/"", ""Инфа!A:AA""), 6, FALSE)"),2023)</f>
        <v>2023</v>
      </c>
      <c r="J729" s="5">
        <f ca="1">ROUND((5000+G729*60),-2)</f>
        <v>22300</v>
      </c>
      <c r="K729" s="10" t="s">
        <v>69</v>
      </c>
      <c r="L729" s="23" t="s">
        <v>2940</v>
      </c>
    </row>
    <row r="730" spans="1:12" ht="303.75">
      <c r="A730" s="8" t="s">
        <v>2941</v>
      </c>
      <c r="B730" s="9" t="s">
        <v>12</v>
      </c>
      <c r="C730" s="10" t="s">
        <v>151</v>
      </c>
      <c r="D730" s="10" t="str">
        <f ca="1">IFERROR(__xludf.DUMMYFUNCTION(" VLOOKUP(A727, IMPORTRANGE(""https://docs.google.com/spreadsheets/d/1fj_Bhi2XPL3siwIh4sx4VRLAe31yD50oKdj5UlRYW0c/"", ""Сводка!A:AA""), 11, FALSE)"),"978-601-352-951-6")</f>
        <v>978-601-352-951-6</v>
      </c>
      <c r="E730" s="22" t="s">
        <v>2942</v>
      </c>
      <c r="F730" s="22" t="s">
        <v>2943</v>
      </c>
      <c r="G730" s="12">
        <f ca="1">IFERROR(__xludf.DUMMYFUNCTION(" VLOOKUP(A727, IMPORTRANGE(""https://docs.google.com/spreadsheets/d/1fj_Bhi2XPL3siwIh4sx4VRLAe31yD50oKdj5UlRYW0c/"", ""Сводка!A:AA""), 5, FALSE)"),316)</f>
        <v>316</v>
      </c>
      <c r="H730" s="10" t="s">
        <v>498</v>
      </c>
      <c r="I730" s="10">
        <f ca="1">IFERROR(__xludf.DUMMYFUNCTION(" VLOOKUP(A727, IMPORTRANGE(""https://docs.google.com/spreadsheets/d/1QNLbnkR_AongFt22vMfNzfpjZ0CjpI8QI-w0wBnYA1w/"", ""Инфа!A:AA""), 6, FALSE)"),2023)</f>
        <v>2023</v>
      </c>
      <c r="J730" s="5">
        <f ca="1">ROUND((5000+G730*30),-2)</f>
        <v>14500</v>
      </c>
      <c r="K730" s="10" t="s">
        <v>69</v>
      </c>
      <c r="L730" s="23" t="s">
        <v>2944</v>
      </c>
    </row>
    <row r="731" spans="1:12" ht="157.5">
      <c r="A731" s="8" t="s">
        <v>2945</v>
      </c>
      <c r="B731" s="9" t="s">
        <v>12</v>
      </c>
      <c r="C731" s="10" t="s">
        <v>443</v>
      </c>
      <c r="D731" s="10" t="str">
        <f ca="1">IFERROR(__xludf.DUMMYFUNCTION(" VLOOKUP(A728, IMPORTRANGE(""https://docs.google.com/spreadsheets/d/1fj_Bhi2XPL3siwIh4sx4VRLAe31yD50oKdj5UlRYW0c/"", ""Сводка!A:AA""), 11, FALSE)"),"978-601-352-895-5")</f>
        <v>978-601-352-895-5</v>
      </c>
      <c r="E731" s="22" t="s">
        <v>2946</v>
      </c>
      <c r="F731" s="22" t="s">
        <v>2947</v>
      </c>
      <c r="G731" s="12">
        <f ca="1">IFERROR(__xludf.DUMMYFUNCTION(" VLOOKUP(A728, IMPORTRANGE(""https://docs.google.com/spreadsheets/d/1fj_Bhi2XPL3siwIh4sx4VRLAe31yD50oKdj5UlRYW0c/"", ""Сводка!A:AA""), 5, FALSE)"),260)</f>
        <v>260</v>
      </c>
      <c r="H731" s="10" t="s">
        <v>511</v>
      </c>
      <c r="I731" s="10">
        <f ca="1">IFERROR(__xludf.DUMMYFUNCTION(" VLOOKUP(A728, IMPORTRANGE(""https://docs.google.com/spreadsheets/d/1QNLbnkR_AongFt22vMfNzfpjZ0CjpI8QI-w0wBnYA1w/"", ""Инфа!A:AA""), 6, FALSE)"),2024)</f>
        <v>2024</v>
      </c>
      <c r="J731" s="5">
        <f ca="1">ROUND((5000+G731*60),-2)</f>
        <v>20600</v>
      </c>
      <c r="K731" s="10" t="s">
        <v>2948</v>
      </c>
      <c r="L731" s="23" t="s">
        <v>2949</v>
      </c>
    </row>
    <row r="732" spans="1:12" ht="258.75">
      <c r="A732" s="8" t="s">
        <v>2950</v>
      </c>
      <c r="B732" s="9" t="s">
        <v>12</v>
      </c>
      <c r="C732" s="10" t="s">
        <v>443</v>
      </c>
      <c r="D732" s="10" t="str">
        <f ca="1">IFERROR(__xludf.DUMMYFUNCTION(" VLOOKUP(A729, IMPORTRANGE(""https://docs.google.com/spreadsheets/d/1fj_Bhi2XPL3siwIh4sx4VRLAe31yD50oKdj5UlRYW0c/"", ""Сводка!A:AA""), 11, FALSE)"),"978- 601-7305-47-5")</f>
        <v>978- 601-7305-47-5</v>
      </c>
      <c r="E732" s="22" t="s">
        <v>2951</v>
      </c>
      <c r="F732" s="22" t="s">
        <v>2952</v>
      </c>
      <c r="G732" s="12">
        <f ca="1">IFERROR(__xludf.DUMMYFUNCTION(" VLOOKUP(A729, IMPORTRANGE(""https://docs.google.com/spreadsheets/d/1fj_Bhi2XPL3siwIh4sx4VRLAe31yD50oKdj5UlRYW0c/"", ""Сводка!A:AA""), 5, FALSE)"),88)</f>
        <v>88</v>
      </c>
      <c r="H732" s="10" t="s">
        <v>538</v>
      </c>
      <c r="I732" s="10">
        <f ca="1">IFERROR(__xludf.DUMMYFUNCTION(" VLOOKUP(A729, IMPORTRANGE(""https://docs.google.com/spreadsheets/d/1QNLbnkR_AongFt22vMfNzfpjZ0CjpI8QI-w0wBnYA1w/"", ""Инфа!A:AA""), 6, FALSE)"),2023)</f>
        <v>2023</v>
      </c>
      <c r="J732" s="5">
        <f ca="1">ROUND((5000+G732*60),-2)</f>
        <v>10300</v>
      </c>
      <c r="K732" s="10" t="s">
        <v>2953</v>
      </c>
      <c r="L732" s="23" t="s">
        <v>2954</v>
      </c>
    </row>
    <row r="733" spans="1:12" ht="315">
      <c r="A733" s="8" t="s">
        <v>2955</v>
      </c>
      <c r="B733" s="9" t="s">
        <v>12</v>
      </c>
      <c r="C733" s="10" t="s">
        <v>151</v>
      </c>
      <c r="D733" s="10" t="str">
        <f ca="1">IFERROR(__xludf.DUMMYFUNCTION(" VLOOKUP(A730, IMPORTRANGE(""https://docs.google.com/spreadsheets/d/1fj_Bhi2XPL3siwIh4sx4VRLAe31yD50oKdj5UlRYW0c/"", ""Сводка!A:AA""), 11, FALSE)"),"978-601-310-801-8")</f>
        <v>978-601-310-801-8</v>
      </c>
      <c r="E733" s="11" t="s">
        <v>2785</v>
      </c>
      <c r="F733" s="11" t="s">
        <v>2956</v>
      </c>
      <c r="G733" s="12">
        <f ca="1">IFERROR(__xludf.DUMMYFUNCTION(" VLOOKUP(A730, IMPORTRANGE(""https://docs.google.com/spreadsheets/d/1fj_Bhi2XPL3siwIh4sx4VRLAe31yD50oKdj5UlRYW0c/"", ""Сводка!A:AA""), 5, FALSE)"),260)</f>
        <v>260</v>
      </c>
      <c r="H733" s="12" t="s">
        <v>47</v>
      </c>
      <c r="I733" s="10">
        <f ca="1">IFERROR(__xludf.DUMMYFUNCTION(" VLOOKUP(A730, IMPORTRANGE(""https://docs.google.com/spreadsheets/d/1QNLbnkR_AongFt22vMfNzfpjZ0CjpI8QI-w0wBnYA1w/"", ""Инфа!A:AA""), 6, FALSE)"),2024)</f>
        <v>2024</v>
      </c>
      <c r="J733" s="5">
        <f ca="1">ROUND((5000+G733*60),-2)</f>
        <v>20600</v>
      </c>
      <c r="K733" s="12" t="s">
        <v>160</v>
      </c>
      <c r="L733" s="15" t="s">
        <v>2957</v>
      </c>
    </row>
    <row r="734" spans="1:12" ht="123.75">
      <c r="A734" s="8" t="s">
        <v>2958</v>
      </c>
      <c r="B734" s="9" t="s">
        <v>12</v>
      </c>
      <c r="C734" s="10" t="s">
        <v>443</v>
      </c>
      <c r="D734" s="10" t="str">
        <f ca="1">IFERROR(__xludf.DUMMYFUNCTION(" VLOOKUP(A731, IMPORTRANGE(""https://docs.google.com/spreadsheets/d/1fj_Bhi2XPL3siwIh4sx4VRLAe31yD50oKdj5UlRYW0c/"", ""Сводка!A:AA""), 11, FALSE)"),"978-601-7934-76-7")</f>
        <v>978-601-7934-76-7</v>
      </c>
      <c r="E734" s="22" t="s">
        <v>2959</v>
      </c>
      <c r="F734" s="22" t="s">
        <v>2960</v>
      </c>
      <c r="G734" s="12">
        <f ca="1">IFERROR(__xludf.DUMMYFUNCTION(" VLOOKUP(A731, IMPORTRANGE(""https://docs.google.com/spreadsheets/d/1fj_Bhi2XPL3siwIh4sx4VRLAe31yD50oKdj5UlRYW0c/"", ""Сводка!A:AA""), 5, FALSE)"),128)</f>
        <v>128</v>
      </c>
      <c r="H734" s="10" t="s">
        <v>538</v>
      </c>
      <c r="I734" s="10">
        <f ca="1">IFERROR(__xludf.DUMMYFUNCTION(" VLOOKUP(A731, IMPORTRANGE(""https://docs.google.com/spreadsheets/d/1QNLbnkR_AongFt22vMfNzfpjZ0CjpI8QI-w0wBnYA1w/"", ""Инфа!A:AA""), 6, FALSE)"),2024)</f>
        <v>2024</v>
      </c>
      <c r="J734" s="5">
        <f ca="1">ROUND((5000+G734*30),-2)</f>
        <v>8800</v>
      </c>
      <c r="K734" s="10" t="s">
        <v>2953</v>
      </c>
      <c r="L734" s="23" t="s">
        <v>2961</v>
      </c>
    </row>
    <row r="735" spans="1:12" ht="281.25">
      <c r="A735" s="8" t="s">
        <v>2962</v>
      </c>
      <c r="B735" s="9" t="s">
        <v>12</v>
      </c>
      <c r="C735" s="10" t="s">
        <v>21</v>
      </c>
      <c r="D735" s="10" t="str">
        <f ca="1">IFERROR(__xludf.DUMMYFUNCTION(" VLOOKUP(A732, IMPORTRANGE(""https://docs.google.com/spreadsheets/d/1fj_Bhi2XPL3siwIh4sx4VRLAe31yD50oKdj5UlRYW0c/"", ""Сводка!A:AA""), 11, FALSE)"),"978-601-7934-98-9")</f>
        <v>978-601-7934-98-9</v>
      </c>
      <c r="E735" s="22" t="s">
        <v>2963</v>
      </c>
      <c r="F735" s="22" t="s">
        <v>2964</v>
      </c>
      <c r="G735" s="12">
        <f ca="1">IFERROR(__xludf.DUMMYFUNCTION(" VLOOKUP(A732, IMPORTRANGE(""https://docs.google.com/spreadsheets/d/1fj_Bhi2XPL3siwIh4sx4VRLAe31yD50oKdj5UlRYW0c/"", ""Сводка!A:AA""), 5, FALSE)"),82)</f>
        <v>82</v>
      </c>
      <c r="H735" s="10" t="s">
        <v>47</v>
      </c>
      <c r="I735" s="10">
        <f ca="1">IFERROR(__xludf.DUMMYFUNCTION(" VLOOKUP(A732, IMPORTRANGE(""https://docs.google.com/spreadsheets/d/1QNLbnkR_AongFt22vMfNzfpjZ0CjpI8QI-w0wBnYA1w/"", ""Инфа!A:AA""), 6, FALSE)"),2024)</f>
        <v>2024</v>
      </c>
      <c r="J735" s="5">
        <f ca="1">ROUND((5000+G735*30),-2)</f>
        <v>7500</v>
      </c>
      <c r="K735" s="10" t="s">
        <v>2953</v>
      </c>
      <c r="L735" s="23" t="s">
        <v>2965</v>
      </c>
    </row>
    <row r="736" spans="1:12" ht="135">
      <c r="A736" s="8" t="s">
        <v>2966</v>
      </c>
      <c r="B736" s="9" t="s">
        <v>12</v>
      </c>
      <c r="C736" s="10" t="s">
        <v>443</v>
      </c>
      <c r="D736" s="10" t="str">
        <f ca="1">IFERROR(__xludf.DUMMYFUNCTION(" VLOOKUP(A733, IMPORTRANGE(""https://docs.google.com/spreadsheets/d/1fj_Bhi2XPL3siwIh4sx4VRLAe31yD50oKdj5UlRYW0c/"", ""Сводка!A:AA""), 11, FALSE)"),"978-601-237-027-0")</f>
        <v>978-601-237-027-0</v>
      </c>
      <c r="E736" s="22" t="s">
        <v>2967</v>
      </c>
      <c r="F736" s="22" t="s">
        <v>2968</v>
      </c>
      <c r="G736" s="12">
        <f ca="1">IFERROR(__xludf.DUMMYFUNCTION(" VLOOKUP(A733, IMPORTRANGE(""https://docs.google.com/spreadsheets/d/1fj_Bhi2XPL3siwIh4sx4VRLAe31yD50oKdj5UlRYW0c/"", ""Сводка!A:AA""), 5, FALSE)"),296)</f>
        <v>296</v>
      </c>
      <c r="H736" s="10" t="s">
        <v>538</v>
      </c>
      <c r="I736" s="10">
        <f ca="1">IFERROR(__xludf.DUMMYFUNCTION(" VLOOKUP(A733, IMPORTRANGE(""https://docs.google.com/spreadsheets/d/1QNLbnkR_AongFt22vMfNzfpjZ0CjpI8QI-w0wBnYA1w/"", ""Инфа!A:AA""), 6, FALSE)"),2024)</f>
        <v>2024</v>
      </c>
      <c r="J736" s="5">
        <f ca="1">ROUND((5000+G736*60),-2)</f>
        <v>22800</v>
      </c>
      <c r="K736" s="10" t="s">
        <v>1387</v>
      </c>
      <c r="L736" s="23" t="s">
        <v>2969</v>
      </c>
    </row>
    <row r="737" spans="1:12" ht="270">
      <c r="A737" s="8" t="s">
        <v>2970</v>
      </c>
      <c r="B737" s="9" t="s">
        <v>12</v>
      </c>
      <c r="C737" s="10" t="s">
        <v>151</v>
      </c>
      <c r="D737" s="10" t="s">
        <v>2971</v>
      </c>
      <c r="E737" s="22" t="s">
        <v>2972</v>
      </c>
      <c r="F737" s="22" t="s">
        <v>2973</v>
      </c>
      <c r="G737" s="12">
        <f ca="1">IFERROR(__xludf.DUMMYFUNCTION(" VLOOKUP(A734, IMPORTRANGE(""https://docs.google.com/spreadsheets/d/1fj_Bhi2XPL3siwIh4sx4VRLAe31yD50oKdj5UlRYW0c/"", ""Сводка!A:AA""), 5, FALSE)"),172)</f>
        <v>172</v>
      </c>
      <c r="H737" s="10" t="s">
        <v>498</v>
      </c>
      <c r="I737" s="10">
        <f ca="1">IFERROR(__xludf.DUMMYFUNCTION(" VLOOKUP(A734, IMPORTRANGE(""https://docs.google.com/spreadsheets/d/1QNLbnkR_AongFt22vMfNzfpjZ0CjpI8QI-w0wBnYA1w/"", ""Инфа!A:AA""), 6, FALSE)"),2024)</f>
        <v>2024</v>
      </c>
      <c r="J737" s="5">
        <f ca="1">ROUND((5000+G737*30),-2)</f>
        <v>10200</v>
      </c>
      <c r="K737" s="10" t="s">
        <v>2974</v>
      </c>
      <c r="L737" s="23" t="s">
        <v>2975</v>
      </c>
    </row>
    <row r="738" spans="1:12" ht="146.25">
      <c r="A738" s="8" t="s">
        <v>2976</v>
      </c>
      <c r="B738" s="9" t="s">
        <v>12</v>
      </c>
      <c r="C738" s="12" t="s">
        <v>151</v>
      </c>
      <c r="D738" s="40" t="s">
        <v>2977</v>
      </c>
      <c r="E738" s="11" t="s">
        <v>2410</v>
      </c>
      <c r="F738" s="11" t="s">
        <v>2978</v>
      </c>
      <c r="G738" s="12">
        <f ca="1">IFERROR(__xludf.DUMMYFUNCTION(" VLOOKUP(A735, IMPORTRANGE(""https://docs.google.com/spreadsheets/d/1fj_Bhi2XPL3siwIh4sx4VRLAe31yD50oKdj5UlRYW0c/"", ""Сводка!A:AA""), 5, FALSE)"),248)</f>
        <v>248</v>
      </c>
      <c r="H738" s="12" t="s">
        <v>47</v>
      </c>
      <c r="I738" s="10">
        <f ca="1">IFERROR(__xludf.DUMMYFUNCTION(" VLOOKUP(A735, IMPORTRANGE(""https://docs.google.com/spreadsheets/d/1QNLbnkR_AongFt22vMfNzfpjZ0CjpI8QI-w0wBnYA1w/"", ""Инфа!A:AA""), 6, FALSE)"),2024)</f>
        <v>2024</v>
      </c>
      <c r="J738" s="5">
        <f ca="1">ROUND((5000+G738*30),-2)</f>
        <v>12400</v>
      </c>
      <c r="K738" s="12" t="s">
        <v>2412</v>
      </c>
      <c r="L738" s="15" t="s">
        <v>2979</v>
      </c>
    </row>
    <row r="739" spans="1:12" ht="78.75">
      <c r="A739" s="8" t="s">
        <v>2980</v>
      </c>
      <c r="B739" s="9" t="s">
        <v>12</v>
      </c>
      <c r="C739" s="12" t="s">
        <v>151</v>
      </c>
      <c r="D739" s="10" t="str">
        <f ca="1">IFERROR(__xludf.DUMMYFUNCTION(" VLOOKUP(A736, IMPORTRANGE(""https://docs.google.com/spreadsheets/d/1fj_Bhi2XPL3siwIh4sx4VRLAe31yD50oKdj5UlRYW0c/"", ""Сводка!A:AA""), 11, FALSE)"),"978-601-352-753-6")</f>
        <v>978-601-352-753-6</v>
      </c>
      <c r="E739" s="11" t="s">
        <v>2410</v>
      </c>
      <c r="F739" s="11" t="s">
        <v>2981</v>
      </c>
      <c r="G739" s="12">
        <f ca="1">IFERROR(__xludf.DUMMYFUNCTION(" VLOOKUP(A736, IMPORTRANGE(""https://docs.google.com/spreadsheets/d/1fj_Bhi2XPL3siwIh4sx4VRLAe31yD50oKdj5UlRYW0c/"", ""Сводка!A:AA""), 5, FALSE)"),140)</f>
        <v>140</v>
      </c>
      <c r="H739" s="12" t="s">
        <v>2982</v>
      </c>
      <c r="I739" s="10">
        <f ca="1">IFERROR(__xludf.DUMMYFUNCTION(" VLOOKUP(A736, IMPORTRANGE(""https://docs.google.com/spreadsheets/d/1QNLbnkR_AongFt22vMfNzfpjZ0CjpI8QI-w0wBnYA1w/"", ""Инфа!A:AA""), 6, FALSE)"),2024)</f>
        <v>2024</v>
      </c>
      <c r="J739" s="5">
        <f ca="1">ROUND((5000+G739*30),-2)</f>
        <v>9200</v>
      </c>
      <c r="K739" s="12" t="s">
        <v>2421</v>
      </c>
      <c r="L739" s="15" t="s">
        <v>2983</v>
      </c>
    </row>
    <row r="740" spans="1:12" ht="112.5">
      <c r="A740" s="8" t="s">
        <v>2984</v>
      </c>
      <c r="B740" s="9" t="s">
        <v>12</v>
      </c>
      <c r="C740" s="12" t="s">
        <v>151</v>
      </c>
      <c r="D740" s="40" t="s">
        <v>2985</v>
      </c>
      <c r="E740" s="11" t="s">
        <v>2410</v>
      </c>
      <c r="F740" s="11" t="s">
        <v>2986</v>
      </c>
      <c r="G740" s="12">
        <f ca="1">IFERROR(__xludf.DUMMYFUNCTION(" VLOOKUP(A737, IMPORTRANGE(""https://docs.google.com/spreadsheets/d/1fj_Bhi2XPL3siwIh4sx4VRLAe31yD50oKdj5UlRYW0c/"", ""Сводка!A:AA""), 5, FALSE)"),100)</f>
        <v>100</v>
      </c>
      <c r="H740" s="12" t="s">
        <v>2374</v>
      </c>
      <c r="I740" s="10">
        <f ca="1">IFERROR(__xludf.DUMMYFUNCTION(" VLOOKUP(A737, IMPORTRANGE(""https://docs.google.com/spreadsheets/d/1QNLbnkR_AongFt22vMfNzfpjZ0CjpI8QI-w0wBnYA1w/"", ""Инфа!A:AA""), 6, FALSE)"),2024)</f>
        <v>2024</v>
      </c>
      <c r="J740" s="5">
        <f ca="1">ROUND((5000+G740*30),-2)</f>
        <v>8000</v>
      </c>
      <c r="K740" s="12" t="s">
        <v>2412</v>
      </c>
      <c r="L740" s="15" t="s">
        <v>2987</v>
      </c>
    </row>
    <row r="741" spans="1:12" ht="168.75">
      <c r="A741" s="8" t="s">
        <v>2988</v>
      </c>
      <c r="B741" s="9" t="s">
        <v>12</v>
      </c>
      <c r="C741" s="10" t="s">
        <v>21</v>
      </c>
      <c r="D741" s="10" t="str">
        <f ca="1">IFERROR(__xludf.DUMMYFUNCTION(" VLOOKUP(A738, IMPORTRANGE(""https://docs.google.com/spreadsheets/d/1fj_Bhi2XPL3siwIh4sx4VRLAe31yD50oKdj5UlRYW0c/"", ""Сводка!A:AA""), 11, FALSE)"),"978-601-352-710-9")</f>
        <v>978-601-352-710-9</v>
      </c>
      <c r="E741" s="22" t="s">
        <v>2989</v>
      </c>
      <c r="F741" s="22" t="s">
        <v>2990</v>
      </c>
      <c r="G741" s="12">
        <f ca="1">IFERROR(__xludf.DUMMYFUNCTION(" VLOOKUP(A738, IMPORTRANGE(""https://docs.google.com/spreadsheets/d/1fj_Bhi2XPL3siwIh4sx4VRLAe31yD50oKdj5UlRYW0c/"", ""Сводка!A:AA""), 5, FALSE)"),192)</f>
        <v>192</v>
      </c>
      <c r="H741" s="10" t="s">
        <v>16</v>
      </c>
      <c r="I741" s="10">
        <f ca="1">IFERROR(__xludf.DUMMYFUNCTION(" VLOOKUP(A738, IMPORTRANGE(""https://docs.google.com/spreadsheets/d/1QNLbnkR_AongFt22vMfNzfpjZ0CjpI8QI-w0wBnYA1w/"", ""Инфа!A:AA""), 6, FALSE)"),2023)</f>
        <v>2023</v>
      </c>
      <c r="J741" s="5">
        <f ca="1">ROUND((5000+G741*60),-2)</f>
        <v>16500</v>
      </c>
      <c r="K741" s="10" t="s">
        <v>48</v>
      </c>
      <c r="L741" s="15" t="s">
        <v>2991</v>
      </c>
    </row>
    <row r="742" spans="1:12" ht="63.75">
      <c r="A742" s="8" t="s">
        <v>2992</v>
      </c>
      <c r="B742" s="9" t="s">
        <v>12</v>
      </c>
      <c r="C742" s="10" t="s">
        <v>443</v>
      </c>
      <c r="D742" s="10" t="str">
        <f ca="1">IFERROR(__xludf.DUMMYFUNCTION(" VLOOKUP(A739, IMPORTRANGE(""https://docs.google.com/spreadsheets/d/1fj_Bhi2XPL3siwIh4sx4VRLAe31yD50oKdj5UlRYW0c/"", ""Сводка!A:AA""), 11, FALSE)"),"978-601-208-678-2")</f>
        <v>978-601-208-678-2</v>
      </c>
      <c r="E742" s="22" t="s">
        <v>2846</v>
      </c>
      <c r="F742" s="22" t="s">
        <v>2993</v>
      </c>
      <c r="G742" s="12">
        <f ca="1">IFERROR(__xludf.DUMMYFUNCTION(" VLOOKUP(A739, IMPORTRANGE(""https://docs.google.com/spreadsheets/d/1fj_Bhi2XPL3siwIh4sx4VRLAe31yD50oKdj5UlRYW0c/"", ""Сводка!A:AA""), 5, FALSE)"),128)</f>
        <v>128</v>
      </c>
      <c r="H742" s="10" t="s">
        <v>538</v>
      </c>
      <c r="I742" s="10">
        <f ca="1">IFERROR(__xludf.DUMMYFUNCTION(" VLOOKUP(A739, IMPORTRANGE(""https://docs.google.com/spreadsheets/d/1QNLbnkR_AongFt22vMfNzfpjZ0CjpI8QI-w0wBnYA1w/"", ""Инфа!A:AA""), 6, FALSE)"),2024)</f>
        <v>2024</v>
      </c>
      <c r="J742" s="5">
        <f ca="1">ROUND((5000+G742*30),-2)</f>
        <v>8800</v>
      </c>
      <c r="K742" s="10" t="s">
        <v>2994</v>
      </c>
      <c r="L742" s="23" t="s">
        <v>2995</v>
      </c>
    </row>
    <row r="743" spans="1:12" ht="315">
      <c r="A743" s="8" t="s">
        <v>2996</v>
      </c>
      <c r="B743" s="9" t="s">
        <v>12</v>
      </c>
      <c r="C743" s="10" t="s">
        <v>151</v>
      </c>
      <c r="D743" s="10" t="str">
        <f ca="1">IFERROR(__xludf.DUMMYFUNCTION(" VLOOKUP(A740, IMPORTRANGE(""https://docs.google.com/spreadsheets/d/1fj_Bhi2XPL3siwIh4sx4VRLAe31yD50oKdj5UlRYW0c/"", ""Сводка!A:AA""), 11, FALSE)"),"978-601-310-801-8")</f>
        <v>978-601-310-801-8</v>
      </c>
      <c r="E743" s="11" t="s">
        <v>2785</v>
      </c>
      <c r="F743" s="11" t="s">
        <v>2997</v>
      </c>
      <c r="G743" s="12">
        <f ca="1">IFERROR(__xludf.DUMMYFUNCTION(" VLOOKUP(A740, IMPORTRANGE(""https://docs.google.com/spreadsheets/d/1fj_Bhi2XPL3siwIh4sx4VRLAe31yD50oKdj5UlRYW0c/"", ""Сводка!A:AA""), 5, FALSE)"),232)</f>
        <v>232</v>
      </c>
      <c r="H743" s="12" t="s">
        <v>47</v>
      </c>
      <c r="I743" s="10">
        <f ca="1">IFERROR(__xludf.DUMMYFUNCTION(" VLOOKUP(A740, IMPORTRANGE(""https://docs.google.com/spreadsheets/d/1QNLbnkR_AongFt22vMfNzfpjZ0CjpI8QI-w0wBnYA1w/"", ""Инфа!A:AA""), 6, FALSE)"),2024)</f>
        <v>2024</v>
      </c>
      <c r="J743" s="5">
        <f ca="1">ROUND((5000+G743*60),-2)</f>
        <v>18900</v>
      </c>
      <c r="K743" s="12" t="s">
        <v>160</v>
      </c>
      <c r="L743" s="15" t="s">
        <v>2957</v>
      </c>
    </row>
    <row r="744" spans="1:12" ht="292.5">
      <c r="A744" s="8" t="s">
        <v>2998</v>
      </c>
      <c r="B744" s="9" t="s">
        <v>12</v>
      </c>
      <c r="C744" s="10" t="s">
        <v>2999</v>
      </c>
      <c r="D744" s="10" t="str">
        <f ca="1">IFERROR(__xludf.DUMMYFUNCTION(" VLOOKUP(A741, IMPORTRANGE(""https://docs.google.com/spreadsheets/d/1fj_Bhi2XPL3siwIh4sx4VRLAe31yD50oKdj5UlRYW0c/"", ""Сводка!A:AA""), 11, FALSE)"),"78-601-352-706-2")</f>
        <v>78-601-352-706-2</v>
      </c>
      <c r="E744" s="22" t="s">
        <v>3000</v>
      </c>
      <c r="F744" s="22" t="s">
        <v>3001</v>
      </c>
      <c r="G744" s="12">
        <f ca="1">IFERROR(__xludf.DUMMYFUNCTION(" VLOOKUP(A741, IMPORTRANGE(""https://docs.google.com/spreadsheets/d/1fj_Bhi2XPL3siwIh4sx4VRLAe31yD50oKdj5UlRYW0c/"", ""Сводка!A:AA""), 5, FALSE)"),264)</f>
        <v>264</v>
      </c>
      <c r="H744" s="10" t="s">
        <v>176</v>
      </c>
      <c r="I744" s="10">
        <f ca="1">IFERROR(__xludf.DUMMYFUNCTION(" VLOOKUP(A741, IMPORTRANGE(""https://docs.google.com/spreadsheets/d/1QNLbnkR_AongFt22vMfNzfpjZ0CjpI8QI-w0wBnYA1w/"", ""Инфа!A:AA""), 6, FALSE)"),2023)</f>
        <v>2023</v>
      </c>
      <c r="J744" s="5">
        <f ca="1">ROUND((5000+G744*60),-2)</f>
        <v>20800</v>
      </c>
      <c r="K744" s="10" t="s">
        <v>3002</v>
      </c>
      <c r="L744" s="23" t="s">
        <v>3003</v>
      </c>
    </row>
    <row r="745" spans="1:12" ht="101.25">
      <c r="A745" s="8" t="s">
        <v>3004</v>
      </c>
      <c r="B745" s="9" t="s">
        <v>12</v>
      </c>
      <c r="C745" s="10" t="s">
        <v>443</v>
      </c>
      <c r="D745" s="10" t="str">
        <f ca="1">IFERROR(__xludf.DUMMYFUNCTION(" VLOOKUP(A742, IMPORTRANGE(""https://docs.google.com/spreadsheets/d/1fj_Bhi2XPL3siwIh4sx4VRLAe31yD50oKdj5UlRYW0c/"", ""Сводка!A:AA""), 11, FALSE)"),"978-601-238-634-9")</f>
        <v>978-601-238-634-9</v>
      </c>
      <c r="E745" s="22" t="s">
        <v>3005</v>
      </c>
      <c r="F745" s="22" t="s">
        <v>3006</v>
      </c>
      <c r="G745" s="12">
        <f ca="1">IFERROR(__xludf.DUMMYFUNCTION(" VLOOKUP(A742, IMPORTRANGE(""https://docs.google.com/spreadsheets/d/1fj_Bhi2XPL3siwIh4sx4VRLAe31yD50oKdj5UlRYW0c/"", ""Сводка!A:AA""), 5, FALSE)"),128)</f>
        <v>128</v>
      </c>
      <c r="H745" s="10" t="s">
        <v>538</v>
      </c>
      <c r="I745" s="10">
        <f ca="1">IFERROR(__xludf.DUMMYFUNCTION(" VLOOKUP(A742, IMPORTRANGE(""https://docs.google.com/spreadsheets/d/1QNLbnkR_AongFt22vMfNzfpjZ0CjpI8QI-w0wBnYA1w/"", ""Инфа!A:AA""), 6, FALSE)"),2023)</f>
        <v>2023</v>
      </c>
      <c r="J745" s="5">
        <f ca="1">ROUND((5000+G745*60),-2)</f>
        <v>12700</v>
      </c>
      <c r="K745" s="10" t="s">
        <v>3007</v>
      </c>
      <c r="L745" s="23" t="s">
        <v>3008</v>
      </c>
    </row>
    <row r="746" spans="1:12" ht="135">
      <c r="A746" s="8" t="s">
        <v>3009</v>
      </c>
      <c r="B746" s="9" t="s">
        <v>12</v>
      </c>
      <c r="C746" s="10" t="s">
        <v>21</v>
      </c>
      <c r="D746" s="10" t="str">
        <f ca="1">IFERROR(__xludf.DUMMYFUNCTION(" VLOOKUP(A743, IMPORTRANGE(""https://docs.google.com/spreadsheets/d/1fj_Bhi2XPL3siwIh4sx4VRLAe31yD50oKdj5UlRYW0c/"", ""Сводка!A:AA""), 11, FALSE)"),"978-601-330-220-1")</f>
        <v>978-601-330-220-1</v>
      </c>
      <c r="E746" s="22" t="s">
        <v>3010</v>
      </c>
      <c r="F746" s="22" t="s">
        <v>3011</v>
      </c>
      <c r="G746" s="12">
        <f ca="1">IFERROR(__xludf.DUMMYFUNCTION(" VLOOKUP(A743, IMPORTRANGE(""https://docs.google.com/spreadsheets/d/1fj_Bhi2XPL3siwIh4sx4VRLAe31yD50oKdj5UlRYW0c/"", ""Сводка!A:AA""), 5, FALSE)"),124)</f>
        <v>124</v>
      </c>
      <c r="H746" s="10" t="s">
        <v>354</v>
      </c>
      <c r="I746" s="10">
        <f ca="1">IFERROR(__xludf.DUMMYFUNCTION(" VLOOKUP(A743, IMPORTRANGE(""https://docs.google.com/spreadsheets/d/1QNLbnkR_AongFt22vMfNzfpjZ0CjpI8QI-w0wBnYA1w/"", ""Инфа!A:AA""), 6, FALSE)"),2023)</f>
        <v>2023</v>
      </c>
      <c r="J746" s="5">
        <f ca="1">ROUND((5000+G746*30),-2)</f>
        <v>8700</v>
      </c>
      <c r="K746" s="10" t="s">
        <v>26</v>
      </c>
      <c r="L746" s="23" t="s">
        <v>3012</v>
      </c>
    </row>
    <row r="747" spans="1:12" ht="326.25">
      <c r="A747" s="8" t="s">
        <v>3013</v>
      </c>
      <c r="B747" s="9" t="s">
        <v>12</v>
      </c>
      <c r="C747" s="10" t="s">
        <v>21</v>
      </c>
      <c r="D747" s="10" t="str">
        <f ca="1">IFERROR(__xludf.DUMMYFUNCTION(" VLOOKUP(A744, IMPORTRANGE(""https://docs.google.com/spreadsheets/d/1fj_Bhi2XPL3siwIh4sx4VRLAe31yD50oKdj5UlRYW0c/"", ""Сводка!A:AA""), 11, FALSE)"),"978-601-278-650-7")</f>
        <v>978-601-278-650-7</v>
      </c>
      <c r="E747" s="22" t="s">
        <v>3014</v>
      </c>
      <c r="F747" s="22" t="s">
        <v>3015</v>
      </c>
      <c r="G747" s="12">
        <f ca="1">IFERROR(__xludf.DUMMYFUNCTION(" VLOOKUP(A744, IMPORTRANGE(""https://docs.google.com/spreadsheets/d/1fj_Bhi2XPL3siwIh4sx4VRLAe31yD50oKdj5UlRYW0c/"", ""Сводка!A:AA""), 5, FALSE)"),168)</f>
        <v>168</v>
      </c>
      <c r="H747" s="10" t="s">
        <v>354</v>
      </c>
      <c r="I747" s="10">
        <f ca="1">IFERROR(__xludf.DUMMYFUNCTION(" VLOOKUP(A744, IMPORTRANGE(""https://docs.google.com/spreadsheets/d/1QNLbnkR_AongFt22vMfNzfpjZ0CjpI8QI-w0wBnYA1w/"", ""Инфа!A:AA""), 6, FALSE)"),2024)</f>
        <v>2024</v>
      </c>
      <c r="J747" s="5">
        <f ca="1">ROUND((5000+G747*60),-2)</f>
        <v>15100</v>
      </c>
      <c r="K747" s="10" t="s">
        <v>3016</v>
      </c>
      <c r="L747" s="23" t="s">
        <v>3017</v>
      </c>
    </row>
    <row r="748" spans="1:12" ht="213.75">
      <c r="A748" s="8" t="s">
        <v>3018</v>
      </c>
      <c r="B748" s="9" t="s">
        <v>12</v>
      </c>
      <c r="C748" s="10" t="s">
        <v>443</v>
      </c>
      <c r="D748" s="10" t="str">
        <f ca="1">IFERROR(__xludf.DUMMYFUNCTION(" VLOOKUP(A745, IMPORTRANGE(""https://docs.google.com/spreadsheets/d/1fj_Bhi2XPL3siwIh4sx4VRLAe31yD50oKdj5UlRYW0c/"", ""Сводка!A:AA""), 11, FALSE)"),"978-601-352-745-1")</f>
        <v>978-601-352-745-1</v>
      </c>
      <c r="E748" s="22" t="s">
        <v>3019</v>
      </c>
      <c r="F748" s="22" t="s">
        <v>3020</v>
      </c>
      <c r="G748" s="12">
        <f ca="1">IFERROR(__xludf.DUMMYFUNCTION(" VLOOKUP(A745, IMPORTRANGE(""https://docs.google.com/spreadsheets/d/1fj_Bhi2XPL3siwIh4sx4VRLAe31yD50oKdj5UlRYW0c/"", ""Сводка!A:AA""), 5, FALSE)"),112)</f>
        <v>112</v>
      </c>
      <c r="H748" s="10" t="s">
        <v>106</v>
      </c>
      <c r="I748" s="10">
        <f ca="1">IFERROR(__xludf.DUMMYFUNCTION(" VLOOKUP(A745, IMPORTRANGE(""https://docs.google.com/spreadsheets/d/1QNLbnkR_AongFt22vMfNzfpjZ0CjpI8QI-w0wBnYA1w/"", ""Инфа!A:AA""), 6, FALSE)"),2024)</f>
        <v>2024</v>
      </c>
      <c r="J748" s="5">
        <f ca="1">ROUND((5000+G748*30),-2)</f>
        <v>8400</v>
      </c>
      <c r="K748" s="10" t="s">
        <v>2853</v>
      </c>
      <c r="L748" s="23" t="s">
        <v>3021</v>
      </c>
    </row>
    <row r="749" spans="1:12" ht="225">
      <c r="A749" s="8" t="s">
        <v>3022</v>
      </c>
      <c r="B749" s="9" t="s">
        <v>12</v>
      </c>
      <c r="C749" s="10" t="s">
        <v>443</v>
      </c>
      <c r="D749" s="10" t="s">
        <v>3023</v>
      </c>
      <c r="E749" s="22" t="s">
        <v>3019</v>
      </c>
      <c r="F749" s="22" t="s">
        <v>3024</v>
      </c>
      <c r="G749" s="12">
        <f ca="1">IFERROR(__xludf.DUMMYFUNCTION(" VLOOKUP(A746, IMPORTRANGE(""https://docs.google.com/spreadsheets/d/1fj_Bhi2XPL3siwIh4sx4VRLAe31yD50oKdj5UlRYW0c/"", ""Сводка!A:AA""), 5, FALSE)"),216)</f>
        <v>216</v>
      </c>
      <c r="H749" s="10" t="s">
        <v>106</v>
      </c>
      <c r="I749" s="10">
        <f ca="1">IFERROR(__xludf.DUMMYFUNCTION(" VLOOKUP(A746, IMPORTRANGE(""https://docs.google.com/spreadsheets/d/1QNLbnkR_AongFt22vMfNzfpjZ0CjpI8QI-w0wBnYA1w/"", ""Инфа!A:AA""), 6, FALSE)"),2024)</f>
        <v>2024</v>
      </c>
      <c r="J749" s="5">
        <f ca="1">ROUND((5000+G749*30),-2)</f>
        <v>11500</v>
      </c>
      <c r="K749" s="10" t="s">
        <v>2853</v>
      </c>
      <c r="L749" s="23" t="s">
        <v>3025</v>
      </c>
    </row>
    <row r="750" spans="1:12" ht="202.5">
      <c r="A750" s="8" t="s">
        <v>3026</v>
      </c>
      <c r="B750" s="9" t="s">
        <v>12</v>
      </c>
      <c r="C750" s="10" t="s">
        <v>151</v>
      </c>
      <c r="D750" s="10" t="str">
        <f ca="1">IFERROR(__xludf.DUMMYFUNCTION(" VLOOKUP(A747, IMPORTRANGE(""https://docs.google.com/spreadsheets/d/1fj_Bhi2XPL3siwIh4sx4VRLAe31yD50oKdj5UlRYW0c/"", ""Сводка!A:AA""), 11, FALSE)"),"978-601-352-918-9")</f>
        <v>978-601-352-918-9</v>
      </c>
      <c r="E750" s="22" t="s">
        <v>3027</v>
      </c>
      <c r="F750" s="22" t="s">
        <v>3028</v>
      </c>
      <c r="G750" s="12">
        <f ca="1">IFERROR(__xludf.DUMMYFUNCTION(" VLOOKUP(A747, IMPORTRANGE(""https://docs.google.com/spreadsheets/d/1fj_Bhi2XPL3siwIh4sx4VRLAe31yD50oKdj5UlRYW0c/"", ""Сводка!A:AA""), 5, FALSE)"),128)</f>
        <v>128</v>
      </c>
      <c r="H750" s="10" t="s">
        <v>47</v>
      </c>
      <c r="I750" s="10">
        <f ca="1">IFERROR(__xludf.DUMMYFUNCTION(" VLOOKUP(A747, IMPORTRANGE(""https://docs.google.com/spreadsheets/d/1QNLbnkR_AongFt22vMfNzfpjZ0CjpI8QI-w0wBnYA1w/"", ""Инфа!A:AA""), 6, FALSE)"),2024)</f>
        <v>2024</v>
      </c>
      <c r="J750" s="5">
        <f ca="1">ROUND((5000+G750*30),-2)</f>
        <v>8800</v>
      </c>
      <c r="K750" s="10" t="s">
        <v>3029</v>
      </c>
      <c r="L750" s="23" t="s">
        <v>3030</v>
      </c>
    </row>
    <row r="751" spans="1:12" ht="303.75">
      <c r="A751" s="8" t="s">
        <v>3031</v>
      </c>
      <c r="B751" s="9" t="s">
        <v>12</v>
      </c>
      <c r="C751" s="10" t="s">
        <v>443</v>
      </c>
      <c r="D751" s="10" t="str">
        <f ca="1">IFERROR(__xludf.DUMMYFUNCTION(" VLOOKUP(A748, IMPORTRANGE(""https://docs.google.com/spreadsheets/d/1fj_Bhi2XPL3siwIh4sx4VRLAe31yD50oKdj5UlRYW0c/"", ""Сводка!A:AA""), 11, FALSE)"),"978-601-241-957-3")</f>
        <v>978-601-241-957-3</v>
      </c>
      <c r="E751" s="22" t="s">
        <v>3032</v>
      </c>
      <c r="F751" s="22" t="s">
        <v>3033</v>
      </c>
      <c r="G751" s="12">
        <f ca="1">IFERROR(__xludf.DUMMYFUNCTION(" VLOOKUP(A748, IMPORTRANGE(""https://docs.google.com/spreadsheets/d/1fj_Bhi2XPL3siwIh4sx4VRLAe31yD50oKdj5UlRYW0c/"", ""Сводка!A:AA""), 5, FALSE)"),344)</f>
        <v>344</v>
      </c>
      <c r="H751" s="10" t="s">
        <v>47</v>
      </c>
      <c r="I751" s="10">
        <f ca="1">IFERROR(__xludf.DUMMYFUNCTION(" VLOOKUP(A748, IMPORTRANGE(""https://docs.google.com/spreadsheets/d/1QNLbnkR_AongFt22vMfNzfpjZ0CjpI8QI-w0wBnYA1w/"", ""Инфа!A:AA""), 6, FALSE)"),2023)</f>
        <v>2023</v>
      </c>
      <c r="J751" s="5">
        <f ca="1">ROUND((5000+G751*30),-2)</f>
        <v>15300</v>
      </c>
      <c r="K751" s="10" t="s">
        <v>3034</v>
      </c>
      <c r="L751" s="23" t="s">
        <v>3035</v>
      </c>
    </row>
    <row r="752" spans="1:12" ht="258.75">
      <c r="A752" s="8" t="s">
        <v>3036</v>
      </c>
      <c r="B752" s="9" t="s">
        <v>12</v>
      </c>
      <c r="C752" s="10" t="s">
        <v>443</v>
      </c>
      <c r="D752" s="10" t="s">
        <v>3037</v>
      </c>
      <c r="E752" s="22" t="s">
        <v>2972</v>
      </c>
      <c r="F752" s="22" t="s">
        <v>3038</v>
      </c>
      <c r="G752" s="12">
        <f ca="1">IFERROR(__xludf.DUMMYFUNCTION(" VLOOKUP(A749, IMPORTRANGE(""https://docs.google.com/spreadsheets/d/1fj_Bhi2XPL3siwIh4sx4VRLAe31yD50oKdj5UlRYW0c/"", ""Сводка!A:AA""), 5, FALSE)"),164)</f>
        <v>164</v>
      </c>
      <c r="H752" s="10" t="s">
        <v>511</v>
      </c>
      <c r="I752" s="10">
        <f ca="1">IFERROR(__xludf.DUMMYFUNCTION(" VLOOKUP(A749, IMPORTRANGE(""https://docs.google.com/spreadsheets/d/1QNLbnkR_AongFt22vMfNzfpjZ0CjpI8QI-w0wBnYA1w/"", ""Инфа!A:AA""), 6, FALSE)"),2024)</f>
        <v>2024</v>
      </c>
      <c r="J752" s="5">
        <f ca="1">ROUND((5000+G752*30),-2)</f>
        <v>9900</v>
      </c>
      <c r="K752" s="10" t="s">
        <v>2974</v>
      </c>
      <c r="L752" s="23" t="s">
        <v>3039</v>
      </c>
    </row>
    <row r="753" spans="1:12" ht="303.75">
      <c r="A753" s="8" t="s">
        <v>3040</v>
      </c>
      <c r="B753" s="9" t="s">
        <v>12</v>
      </c>
      <c r="C753" s="12" t="s">
        <v>151</v>
      </c>
      <c r="D753" s="10" t="str">
        <f ca="1">IFERROR(__xludf.DUMMYFUNCTION(" VLOOKUP(A750, IMPORTRANGE(""https://docs.google.com/spreadsheets/d/1fj_Bhi2XPL3siwIh4sx4VRLAe31yD50oKdj5UlRYW0c/"", ""Сводка!A:AA""), 11, FALSE)"),"978-601-352-204-3")</f>
        <v>978-601-352-204-3</v>
      </c>
      <c r="E753" s="11" t="s">
        <v>3041</v>
      </c>
      <c r="F753" s="11" t="s">
        <v>3042</v>
      </c>
      <c r="G753" s="12">
        <f ca="1">IFERROR(__xludf.DUMMYFUNCTION(" VLOOKUP(A750, IMPORTRANGE(""https://docs.google.com/spreadsheets/d/1fj_Bhi2XPL3siwIh4sx4VRLAe31yD50oKdj5UlRYW0c/"", ""Сводка!A:AA""), 5, FALSE)"),208)</f>
        <v>208</v>
      </c>
      <c r="H753" s="12" t="s">
        <v>165</v>
      </c>
      <c r="I753" s="10">
        <f ca="1">IFERROR(__xludf.DUMMYFUNCTION(" VLOOKUP(A750, IMPORTRANGE(""https://docs.google.com/spreadsheets/d/1QNLbnkR_AongFt22vMfNzfpjZ0CjpI8QI-w0wBnYA1w/"", ""Инфа!A:AA""), 6, FALSE)"),2024)</f>
        <v>2024</v>
      </c>
      <c r="J753" s="5">
        <f ca="1">ROUND((5000+G753*60),-2)</f>
        <v>17500</v>
      </c>
      <c r="K753" s="12" t="s">
        <v>3043</v>
      </c>
      <c r="L753" s="15" t="s">
        <v>3044</v>
      </c>
    </row>
    <row r="754" spans="1:12" ht="315">
      <c r="A754" s="8" t="s">
        <v>3045</v>
      </c>
      <c r="B754" s="9" t="s">
        <v>12</v>
      </c>
      <c r="C754" s="10" t="s">
        <v>151</v>
      </c>
      <c r="D754" s="10" t="str">
        <f ca="1">IFERROR(__xludf.DUMMYFUNCTION(" VLOOKUP(A751, IMPORTRANGE(""https://docs.google.com/spreadsheets/d/1fj_Bhi2XPL3siwIh4sx4VRLAe31yD50oKdj5UlRYW0c/"", ""Сводка!A:AA""), 11, FALSE)"),"978-601-342-250-3")</f>
        <v>978-601-342-250-3</v>
      </c>
      <c r="E754" s="11" t="s">
        <v>2785</v>
      </c>
      <c r="F754" s="11" t="s">
        <v>3046</v>
      </c>
      <c r="G754" s="12">
        <f ca="1">IFERROR(__xludf.DUMMYFUNCTION(" VLOOKUP(A751, IMPORTRANGE(""https://docs.google.com/spreadsheets/d/1fj_Bhi2XPL3siwIh4sx4VRLAe31yD50oKdj5UlRYW0c/"", ""Сводка!A:AA""), 5, FALSE)"),212)</f>
        <v>212</v>
      </c>
      <c r="H754" s="12" t="s">
        <v>47</v>
      </c>
      <c r="I754" s="10">
        <f ca="1">IFERROR(__xludf.DUMMYFUNCTION(" VLOOKUP(A751, IMPORTRANGE(""https://docs.google.com/spreadsheets/d/1QNLbnkR_AongFt22vMfNzfpjZ0CjpI8QI-w0wBnYA1w/"", ""Инфа!A:AA""), 6, FALSE)"),2024)</f>
        <v>2024</v>
      </c>
      <c r="J754" s="5">
        <f ca="1">ROUND((5000+G754*60),-2)</f>
        <v>17700</v>
      </c>
      <c r="K754" s="12" t="s">
        <v>160</v>
      </c>
      <c r="L754" s="15" t="s">
        <v>3047</v>
      </c>
    </row>
    <row r="755" spans="1:12" ht="303.75">
      <c r="A755" s="8" t="s">
        <v>3048</v>
      </c>
      <c r="B755" s="9" t="s">
        <v>12</v>
      </c>
      <c r="C755" s="12" t="s">
        <v>151</v>
      </c>
      <c r="D755" s="10" t="str">
        <f ca="1">IFERROR(__xludf.DUMMYFUNCTION(" VLOOKUP(A752, IMPORTRANGE(""https://docs.google.com/spreadsheets/d/1fj_Bhi2XPL3siwIh4sx4VRLAe31yD50oKdj5UlRYW0c/"", ""Сводка!A:AA""), 11, FALSE)"),"978-601-352-204-3")</f>
        <v>978-601-352-204-3</v>
      </c>
      <c r="E755" s="11" t="s">
        <v>3041</v>
      </c>
      <c r="F755" s="11" t="s">
        <v>3049</v>
      </c>
      <c r="G755" s="12">
        <f ca="1">IFERROR(__xludf.DUMMYFUNCTION(" VLOOKUP(A752, IMPORTRANGE(""https://docs.google.com/spreadsheets/d/1fj_Bhi2XPL3siwIh4sx4VRLAe31yD50oKdj5UlRYW0c/"", ""Сводка!A:AA""), 5, FALSE)"),140)</f>
        <v>140</v>
      </c>
      <c r="H755" s="12" t="s">
        <v>165</v>
      </c>
      <c r="I755" s="10">
        <f ca="1">IFERROR(__xludf.DUMMYFUNCTION(" VLOOKUP(A752, IMPORTRANGE(""https://docs.google.com/spreadsheets/d/1QNLbnkR_AongFt22vMfNzfpjZ0CjpI8QI-w0wBnYA1w/"", ""Инфа!A:AA""), 6, FALSE)"),2024)</f>
        <v>2024</v>
      </c>
      <c r="J755" s="5">
        <f ca="1">ROUND((5000+G755*30),-2)</f>
        <v>9200</v>
      </c>
      <c r="K755" s="12" t="s">
        <v>3043</v>
      </c>
      <c r="L755" s="15" t="s">
        <v>3050</v>
      </c>
    </row>
    <row r="756" spans="1:12" ht="56.25">
      <c r="A756" s="8" t="s">
        <v>3051</v>
      </c>
      <c r="B756" s="9" t="s">
        <v>12</v>
      </c>
      <c r="C756" s="12" t="s">
        <v>443</v>
      </c>
      <c r="D756" s="10" t="str">
        <f ca="1">IFERROR(__xludf.DUMMYFUNCTION(" VLOOKUP(A753, IMPORTRANGE(""https://docs.google.com/spreadsheets/d/1fj_Bhi2XPL3siwIh4sx4VRLAe31yD50oKdj5UlRYW0c/"", ""Сводка!A:AA""), 11, FALSE)"),"978-601-352-210-4")</f>
        <v>978-601-352-210-4</v>
      </c>
      <c r="E756" s="11" t="s">
        <v>3052</v>
      </c>
      <c r="F756" s="11" t="s">
        <v>3053</v>
      </c>
      <c r="G756" s="12">
        <f ca="1">IFERROR(__xludf.DUMMYFUNCTION(" VLOOKUP(A753, IMPORTRANGE(""https://docs.google.com/spreadsheets/d/1fj_Bhi2XPL3siwIh4sx4VRLAe31yD50oKdj5UlRYW0c/"", ""Сводка!A:AA""), 5, FALSE)"),264)</f>
        <v>264</v>
      </c>
      <c r="H756" s="12" t="s">
        <v>3054</v>
      </c>
      <c r="I756" s="10">
        <f ca="1">IFERROR(__xludf.DUMMYFUNCTION(" VLOOKUP(A753, IMPORTRANGE(""https://docs.google.com/spreadsheets/d/1QNLbnkR_AongFt22vMfNzfpjZ0CjpI8QI-w0wBnYA1w/"", ""Инфа!A:AA""), 6, FALSE)"),2024)</f>
        <v>2024</v>
      </c>
      <c r="J756" s="5">
        <f ca="1">ROUND((5000+G756*60),-2)</f>
        <v>20800</v>
      </c>
      <c r="K756" s="12" t="s">
        <v>139</v>
      </c>
      <c r="L756" s="15" t="s">
        <v>3055</v>
      </c>
    </row>
    <row r="757" spans="1:12" ht="303.75">
      <c r="A757" s="8" t="s">
        <v>3056</v>
      </c>
      <c r="B757" s="9" t="s">
        <v>12</v>
      </c>
      <c r="C757" s="12" t="s">
        <v>151</v>
      </c>
      <c r="D757" s="10" t="str">
        <f ca="1">IFERROR(__xludf.DUMMYFUNCTION(" VLOOKUP(A754, IMPORTRANGE(""https://docs.google.com/spreadsheets/d/1fj_Bhi2XPL3siwIh4sx4VRLAe31yD50oKdj5UlRYW0c/"", ""Сводка!A:AA""), 11, FALSE)"),"978-601-06-7327-4")</f>
        <v>978-601-06-7327-4</v>
      </c>
      <c r="E757" s="11" t="s">
        <v>3057</v>
      </c>
      <c r="F757" s="11" t="s">
        <v>3058</v>
      </c>
      <c r="G757" s="12">
        <f ca="1">IFERROR(__xludf.DUMMYFUNCTION(" VLOOKUP(A754, IMPORTRANGE(""https://docs.google.com/spreadsheets/d/1fj_Bhi2XPL3siwIh4sx4VRLAe31yD50oKdj5UlRYW0c/"", ""Сводка!A:AA""), 5, FALSE)"),172)</f>
        <v>172</v>
      </c>
      <c r="H757" s="12" t="s">
        <v>47</v>
      </c>
      <c r="I757" s="10">
        <f ca="1">IFERROR(__xludf.DUMMYFUNCTION(" VLOOKUP(A754, IMPORTRANGE(""https://docs.google.com/spreadsheets/d/1QNLbnkR_AongFt22vMfNzfpjZ0CjpI8QI-w0wBnYA1w/"", ""Инфа!A:AA""), 6, FALSE)"),2024)</f>
        <v>2024</v>
      </c>
      <c r="J757" s="5">
        <f ca="1">ROUND((5000+G757*30),-2)</f>
        <v>10200</v>
      </c>
      <c r="K757" s="12" t="s">
        <v>3059</v>
      </c>
      <c r="L757" s="15" t="s">
        <v>3060</v>
      </c>
    </row>
    <row r="758" spans="1:12" ht="146.25">
      <c r="A758" s="8" t="s">
        <v>3061</v>
      </c>
      <c r="B758" s="9" t="s">
        <v>12</v>
      </c>
      <c r="C758" s="12" t="s">
        <v>3062</v>
      </c>
      <c r="D758" s="10" t="str">
        <f ca="1">IFERROR(__xludf.DUMMYFUNCTION(" VLOOKUP(A755, IMPORTRANGE(""https://docs.google.com/spreadsheets/d/1fj_Bhi2XPL3siwIh4sx4VRLAe31yD50oKdj5UlRYW0c/"", ""Сводка!A:AA""), 11, FALSE)"),"978-601-342-943-6")</f>
        <v>978-601-342-943-6</v>
      </c>
      <c r="E758" s="11" t="s">
        <v>3063</v>
      </c>
      <c r="F758" s="11" t="s">
        <v>3064</v>
      </c>
      <c r="G758" s="12">
        <f ca="1">IFERROR(__xludf.DUMMYFUNCTION(" VLOOKUP(A755, IMPORTRANGE(""https://docs.google.com/spreadsheets/d/1fj_Bhi2XPL3siwIh4sx4VRLAe31yD50oKdj5UlRYW0c/"", ""Сводка!A:AA""), 5, FALSE)"),64)</f>
        <v>64</v>
      </c>
      <c r="H758" s="12" t="s">
        <v>47</v>
      </c>
      <c r="I758" s="10">
        <f ca="1">IFERROR(__xludf.DUMMYFUNCTION(" VLOOKUP(A755, IMPORTRANGE(""https://docs.google.com/spreadsheets/d/1QNLbnkR_AongFt22vMfNzfpjZ0CjpI8QI-w0wBnYA1w/"", ""Инфа!A:AA""), 6, FALSE)"),2024)</f>
        <v>2024</v>
      </c>
      <c r="J758" s="5">
        <f ca="1">ROUND((5000+G758*30),-2)</f>
        <v>6900</v>
      </c>
      <c r="K758" s="12" t="s">
        <v>197</v>
      </c>
      <c r="L758" s="15" t="s">
        <v>3065</v>
      </c>
    </row>
    <row r="759" spans="1:12" ht="168.75">
      <c r="A759" s="8" t="s">
        <v>3066</v>
      </c>
      <c r="B759" s="9" t="s">
        <v>12</v>
      </c>
      <c r="C759" s="12" t="s">
        <v>3062</v>
      </c>
      <c r="D759" s="10" t="str">
        <f ca="1">IFERROR(__xludf.DUMMYFUNCTION(" VLOOKUP(A756, IMPORTRANGE(""https://docs.google.com/spreadsheets/d/1fj_Bhi2XPL3siwIh4sx4VRLAe31yD50oKdj5UlRYW0c/"", ""Сводка!A:AA""), 11, FALSE)"),"978-601-342-943-5")</f>
        <v>978-601-342-943-5</v>
      </c>
      <c r="E759" s="11" t="s">
        <v>3063</v>
      </c>
      <c r="F759" s="11" t="s">
        <v>3067</v>
      </c>
      <c r="G759" s="12">
        <f ca="1">IFERROR(__xludf.DUMMYFUNCTION(" VLOOKUP(A756, IMPORTRANGE(""https://docs.google.com/spreadsheets/d/1fj_Bhi2XPL3siwIh4sx4VRLAe31yD50oKdj5UlRYW0c/"", ""Сводка!A:AA""), 5, FALSE)"),310)</f>
        <v>310</v>
      </c>
      <c r="H759" s="12" t="s">
        <v>47</v>
      </c>
      <c r="I759" s="10">
        <f ca="1">IFERROR(__xludf.DUMMYFUNCTION(" VLOOKUP(A756, IMPORTRANGE(""https://docs.google.com/spreadsheets/d/1QNLbnkR_AongFt22vMfNzfpjZ0CjpI8QI-w0wBnYA1w/"", ""Инфа!A:AA""), 6, FALSE)"),2024)</f>
        <v>2024</v>
      </c>
      <c r="J759" s="5">
        <f ca="1">ROUND((5000+G759*60),-2)</f>
        <v>23600</v>
      </c>
      <c r="K759" s="12" t="s">
        <v>197</v>
      </c>
      <c r="L759" s="15" t="s">
        <v>3068</v>
      </c>
    </row>
    <row r="760" spans="1:12" ht="78.75">
      <c r="A760" s="8" t="s">
        <v>3069</v>
      </c>
      <c r="B760" s="9" t="s">
        <v>12</v>
      </c>
      <c r="C760" s="12" t="s">
        <v>443</v>
      </c>
      <c r="D760" s="10" t="str">
        <f ca="1">IFERROR(__xludf.DUMMYFUNCTION(" VLOOKUP(A757, IMPORTRANGE(""https://docs.google.com/spreadsheets/d/1fj_Bhi2XPL3siwIh4sx4VRLAe31yD50oKdj5UlRYW0c/"", ""Сводка!A:AA""), 11, FALSE)"),"978-601-781-677-4")</f>
        <v>978-601-781-677-4</v>
      </c>
      <c r="E760" s="11" t="s">
        <v>3070</v>
      </c>
      <c r="F760" s="11" t="s">
        <v>3071</v>
      </c>
      <c r="G760" s="12">
        <f ca="1">IFERROR(__xludf.DUMMYFUNCTION(" VLOOKUP(A757, IMPORTRANGE(""https://docs.google.com/spreadsheets/d/1fj_Bhi2XPL3siwIh4sx4VRLAe31yD50oKdj5UlRYW0c/"", ""Сводка!A:AA""), 5, FALSE)"),128)</f>
        <v>128</v>
      </c>
      <c r="H760" s="10" t="s">
        <v>538</v>
      </c>
      <c r="I760" s="10">
        <f ca="1">IFERROR(__xludf.DUMMYFUNCTION(" VLOOKUP(A757, IMPORTRANGE(""https://docs.google.com/spreadsheets/d/1QNLbnkR_AongFt22vMfNzfpjZ0CjpI8QI-w0wBnYA1w/"", ""Инфа!A:AA""), 6, FALSE)"),2023)</f>
        <v>2023</v>
      </c>
      <c r="J760" s="5">
        <f ca="1">ROUND((5000+G760*30),-2)</f>
        <v>8800</v>
      </c>
      <c r="K760" s="12" t="s">
        <v>575</v>
      </c>
      <c r="L760" s="15" t="s">
        <v>3072</v>
      </c>
    </row>
    <row r="761" spans="1:12" ht="157.5">
      <c r="A761" s="8" t="s">
        <v>3073</v>
      </c>
      <c r="B761" s="9" t="s">
        <v>12</v>
      </c>
      <c r="C761" s="12" t="s">
        <v>443</v>
      </c>
      <c r="D761" s="10" t="str">
        <f ca="1">IFERROR(__xludf.DUMMYFUNCTION(" VLOOKUP(A758, IMPORTRANGE(""https://docs.google.com/spreadsheets/d/1fj_Bhi2XPL3siwIh4sx4VRLAe31yD50oKdj5UlRYW0c/"", ""Сводка!A:AA""), 11, FALSE)"),"978-9965-862-63-2")</f>
        <v>978-9965-862-63-2</v>
      </c>
      <c r="E761" s="11" t="s">
        <v>3074</v>
      </c>
      <c r="F761" s="11" t="s">
        <v>3075</v>
      </c>
      <c r="G761" s="12">
        <f ca="1">IFERROR(__xludf.DUMMYFUNCTION(" VLOOKUP(A758, IMPORTRANGE(""https://docs.google.com/spreadsheets/d/1fj_Bhi2XPL3siwIh4sx4VRLAe31yD50oKdj5UlRYW0c/"", ""Сводка!A:AA""), 5, FALSE)"),184)</f>
        <v>184</v>
      </c>
      <c r="H761" s="12" t="s">
        <v>446</v>
      </c>
      <c r="I761" s="10">
        <f ca="1">IFERROR(__xludf.DUMMYFUNCTION(" VLOOKUP(A758, IMPORTRANGE(""https://docs.google.com/spreadsheets/d/1QNLbnkR_AongFt22vMfNzfpjZ0CjpI8QI-w0wBnYA1w/"", ""Инфа!A:AA""), 6, FALSE)"),2023)</f>
        <v>2023</v>
      </c>
      <c r="J761" s="5">
        <f ca="1">ROUND((5000+G761*30),-2)</f>
        <v>10500</v>
      </c>
      <c r="K761" s="12" t="s">
        <v>575</v>
      </c>
      <c r="L761" s="15" t="s">
        <v>3076</v>
      </c>
    </row>
    <row r="762" spans="1:12" ht="168.75">
      <c r="A762" s="8" t="s">
        <v>3077</v>
      </c>
      <c r="B762" s="9" t="s">
        <v>12</v>
      </c>
      <c r="C762" s="12" t="s">
        <v>443</v>
      </c>
      <c r="D762" s="10" t="str">
        <f ca="1">IFERROR(__xludf.DUMMYFUNCTION(" VLOOKUP(A759, IMPORTRANGE(""https://docs.google.com/spreadsheets/d/1fj_Bhi2XPL3siwIh4sx4VRLAe31yD50oKdj5UlRYW0c/"", ""Сводка!A:AA""), 11, FALSE)"),"978-9965-862-75-5")</f>
        <v>978-9965-862-75-5</v>
      </c>
      <c r="E762" s="11" t="s">
        <v>3078</v>
      </c>
      <c r="F762" s="11" t="s">
        <v>3079</v>
      </c>
      <c r="G762" s="12">
        <f ca="1">IFERROR(__xludf.DUMMYFUNCTION(" VLOOKUP(A759, IMPORTRANGE(""https://docs.google.com/spreadsheets/d/1fj_Bhi2XPL3siwIh4sx4VRLAe31yD50oKdj5UlRYW0c/"", ""Сводка!A:AA""), 5, FALSE)"),300)</f>
        <v>300</v>
      </c>
      <c r="H762" s="12" t="s">
        <v>538</v>
      </c>
      <c r="I762" s="10">
        <f ca="1">IFERROR(__xludf.DUMMYFUNCTION(" VLOOKUP(A759, IMPORTRANGE(""https://docs.google.com/spreadsheets/d/1QNLbnkR_AongFt22vMfNzfpjZ0CjpI8QI-w0wBnYA1w/"", ""Инфа!A:AA""), 6, FALSE)"),2023)</f>
        <v>2023</v>
      </c>
      <c r="J762" s="5">
        <f ca="1">ROUND((5000+G762*30),-2)</f>
        <v>14000</v>
      </c>
      <c r="K762" s="12" t="s">
        <v>575</v>
      </c>
      <c r="L762" s="15" t="s">
        <v>3080</v>
      </c>
    </row>
    <row r="763" spans="1:12" ht="258.75">
      <c r="A763" s="8" t="s">
        <v>3081</v>
      </c>
      <c r="B763" s="9" t="s">
        <v>12</v>
      </c>
      <c r="C763" s="12" t="s">
        <v>443</v>
      </c>
      <c r="D763" s="10" t="str">
        <f ca="1">IFERROR(__xludf.DUMMYFUNCTION(" VLOOKUP(A760, IMPORTRANGE(""https://docs.google.com/spreadsheets/d/1fj_Bhi2XPL3siwIh4sx4VRLAe31yD50oKdj5UlRYW0c/"", ""Сводка!A:AA""), 11, FALSE)"),"978-601-330-000-9")</f>
        <v>978-601-330-000-9</v>
      </c>
      <c r="E763" s="11" t="s">
        <v>3082</v>
      </c>
      <c r="F763" s="11" t="s">
        <v>3083</v>
      </c>
      <c r="G763" s="12">
        <f ca="1">IFERROR(__xludf.DUMMYFUNCTION(" VLOOKUP(A760, IMPORTRANGE(""https://docs.google.com/spreadsheets/d/1fj_Bhi2XPL3siwIh4sx4VRLAe31yD50oKdj5UlRYW0c/"", ""Сводка!A:AA""), 5, FALSE)"),168)</f>
        <v>168</v>
      </c>
      <c r="H763" s="12" t="s">
        <v>106</v>
      </c>
      <c r="I763" s="10">
        <f ca="1">IFERROR(__xludf.DUMMYFUNCTION(" VLOOKUP(A760, IMPORTRANGE(""https://docs.google.com/spreadsheets/d/1QNLbnkR_AongFt22vMfNzfpjZ0CjpI8QI-w0wBnYA1w/"", ""Инфа!A:AA""), 6, FALSE)"),2024)</f>
        <v>2024</v>
      </c>
      <c r="J763" s="5">
        <f ca="1">ROUND((5000+G763*60),-2)</f>
        <v>15100</v>
      </c>
      <c r="K763" s="12" t="s">
        <v>3084</v>
      </c>
      <c r="L763" s="15" t="s">
        <v>3085</v>
      </c>
    </row>
    <row r="764" spans="1:12" ht="292.5">
      <c r="A764" s="8" t="s">
        <v>3086</v>
      </c>
      <c r="B764" s="9" t="s">
        <v>12</v>
      </c>
      <c r="C764" s="12" t="s">
        <v>443</v>
      </c>
      <c r="D764" s="10" t="str">
        <f ca="1">IFERROR(__xludf.DUMMYFUNCTION(" VLOOKUP(A761, IMPORTRANGE(""https://docs.google.com/spreadsheets/d/1fj_Bhi2XPL3siwIh4sx4VRLAe31yD50oKdj5UlRYW0c/"", ""Сводка!A:AA""), 11, FALSE)"),"978-601-330-009-2")</f>
        <v>978-601-330-009-2</v>
      </c>
      <c r="E764" s="11" t="s">
        <v>3078</v>
      </c>
      <c r="F764" s="11" t="s">
        <v>3087</v>
      </c>
      <c r="G764" s="12">
        <f ca="1">IFERROR(__xludf.DUMMYFUNCTION(" VLOOKUP(A761, IMPORTRANGE(""https://docs.google.com/spreadsheets/d/1fj_Bhi2XPL3siwIh4sx4VRLAe31yD50oKdj5UlRYW0c/"", ""Сводка!A:AA""), 5, FALSE)"),208)</f>
        <v>208</v>
      </c>
      <c r="H764" s="12" t="s">
        <v>106</v>
      </c>
      <c r="I764" s="10">
        <f ca="1">IFERROR(__xludf.DUMMYFUNCTION(" VLOOKUP(A761, IMPORTRANGE(""https://docs.google.com/spreadsheets/d/1QNLbnkR_AongFt22vMfNzfpjZ0CjpI8QI-w0wBnYA1w/"", ""Инфа!A:AA""), 6, FALSE)"),2024)</f>
        <v>2024</v>
      </c>
      <c r="J764" s="5">
        <f ca="1">ROUND((5000+G764*30),-2)</f>
        <v>11200</v>
      </c>
      <c r="K764" s="12" t="s">
        <v>3088</v>
      </c>
      <c r="L764" s="15" t="s">
        <v>3089</v>
      </c>
    </row>
    <row r="765" spans="1:12" ht="281.25">
      <c r="A765" s="8" t="s">
        <v>3090</v>
      </c>
      <c r="B765" s="9" t="s">
        <v>12</v>
      </c>
      <c r="C765" s="10" t="s">
        <v>151</v>
      </c>
      <c r="D765" s="10" t="str">
        <f ca="1">IFERROR(__xludf.DUMMYFUNCTION(" VLOOKUP(A762, IMPORTRANGE(""https://docs.google.com/spreadsheets/d/1fj_Bhi2XPL3siwIh4sx4VRLAe31yD50oKdj5UlRYW0c/"", ""Сводка!A:AA""), 11, FALSE)"),"978-601-342-252-7")</f>
        <v>978-601-342-252-7</v>
      </c>
      <c r="E765" s="11" t="s">
        <v>2785</v>
      </c>
      <c r="F765" s="22" t="s">
        <v>3091</v>
      </c>
      <c r="G765" s="12">
        <f ca="1">IFERROR(__xludf.DUMMYFUNCTION(" VLOOKUP(A762, IMPORTRANGE(""https://docs.google.com/spreadsheets/d/1fj_Bhi2XPL3siwIh4sx4VRLAe31yD50oKdj5UlRYW0c/"", ""Сводка!A:AA""), 5, FALSE)"),296)</f>
        <v>296</v>
      </c>
      <c r="H765" s="12" t="s">
        <v>24</v>
      </c>
      <c r="I765" s="10">
        <f ca="1">IFERROR(__xludf.DUMMYFUNCTION(" VLOOKUP(A762, IMPORTRANGE(""https://docs.google.com/spreadsheets/d/1QNLbnkR_AongFt22vMfNzfpjZ0CjpI8QI-w0wBnYA1w/"", ""Инфа!A:AA""), 6, FALSE)"),2024)</f>
        <v>2024</v>
      </c>
      <c r="J765" s="5">
        <f ca="1">ROUND((5000+G765*60),-2)</f>
        <v>22800</v>
      </c>
      <c r="K765" s="12" t="s">
        <v>160</v>
      </c>
      <c r="L765" s="15" t="s">
        <v>3092</v>
      </c>
    </row>
    <row r="766" spans="1:12" ht="146.25">
      <c r="A766" s="8" t="s">
        <v>3093</v>
      </c>
      <c r="B766" s="9" t="s">
        <v>12</v>
      </c>
      <c r="C766" s="12" t="s">
        <v>443</v>
      </c>
      <c r="D766" s="10" t="str">
        <f ca="1">IFERROR(__xludf.DUMMYFUNCTION(" VLOOKUP(A763, IMPORTRANGE(""https://docs.google.com/spreadsheets/d/1fj_Bhi2XPL3siwIh4sx4VRLAe31yD50oKdj5UlRYW0c/"", ""Сводка!A:AA""), 11, FALSE)"),"978-601-352-984-4")</f>
        <v>978-601-352-984-4</v>
      </c>
      <c r="E766" s="11" t="s">
        <v>3094</v>
      </c>
      <c r="F766" s="11" t="s">
        <v>3095</v>
      </c>
      <c r="G766" s="12">
        <f ca="1">IFERROR(__xludf.DUMMYFUNCTION(" VLOOKUP(A763, IMPORTRANGE(""https://docs.google.com/spreadsheets/d/1fj_Bhi2XPL3siwIh4sx4VRLAe31yD50oKdj5UlRYW0c/"", ""Сводка!A:AA""), 5, FALSE)"),140)</f>
        <v>140</v>
      </c>
      <c r="H766" s="12" t="s">
        <v>538</v>
      </c>
      <c r="I766" s="10">
        <f ca="1">IFERROR(__xludf.DUMMYFUNCTION(" VLOOKUP(A763, IMPORTRANGE(""https://docs.google.com/spreadsheets/d/1QNLbnkR_AongFt22vMfNzfpjZ0CjpI8QI-w0wBnYA1w/"", ""Инфа!A:AA""), 6, FALSE)"),2023)</f>
        <v>2023</v>
      </c>
      <c r="J766" s="5">
        <f ca="1">ROUND((5000+G766*60),-2)</f>
        <v>13400</v>
      </c>
      <c r="K766" s="12" t="s">
        <v>213</v>
      </c>
      <c r="L766" s="15" t="s">
        <v>3096</v>
      </c>
    </row>
    <row r="767" spans="1:12" ht="236.25">
      <c r="A767" s="8" t="s">
        <v>3097</v>
      </c>
      <c r="B767" s="9" t="s">
        <v>12</v>
      </c>
      <c r="C767" s="12" t="s">
        <v>151</v>
      </c>
      <c r="D767" s="10" t="str">
        <f ca="1">IFERROR(__xludf.DUMMYFUNCTION(" VLOOKUP(A764, IMPORTRANGE(""https://docs.google.com/spreadsheets/d/1fj_Bhi2XPL3siwIh4sx4VRLAe31yD50oKdj5UlRYW0c/"", ""Сводка!A:AA""), 11, FALSE)"),"978-601-352-457-8")</f>
        <v>978-601-352-457-8</v>
      </c>
      <c r="E767" s="11" t="s">
        <v>3098</v>
      </c>
      <c r="F767" s="11" t="s">
        <v>3099</v>
      </c>
      <c r="G767" s="12">
        <f ca="1">IFERROR(__xludf.DUMMYFUNCTION(" VLOOKUP(A764, IMPORTRANGE(""https://docs.google.com/spreadsheets/d/1fj_Bhi2XPL3siwIh4sx4VRLAe31yD50oKdj5UlRYW0c/"", ""Сводка!A:AA""), 5, FALSE)"),108)</f>
        <v>108</v>
      </c>
      <c r="H767" s="12" t="s">
        <v>165</v>
      </c>
      <c r="I767" s="10">
        <f ca="1">IFERROR(__xludf.DUMMYFUNCTION(" VLOOKUP(A764, IMPORTRANGE(""https://docs.google.com/spreadsheets/d/1QNLbnkR_AongFt22vMfNzfpjZ0CjpI8QI-w0wBnYA1w/"", ""Инфа!A:AA""), 6, FALSE)"),2024)</f>
        <v>2024</v>
      </c>
      <c r="J767" s="5">
        <f ca="1">ROUND((5000+G767*30),-2)</f>
        <v>8200</v>
      </c>
      <c r="K767" s="12" t="s">
        <v>3100</v>
      </c>
      <c r="L767" s="15" t="s">
        <v>3101</v>
      </c>
    </row>
    <row r="768" spans="1:12" ht="225">
      <c r="A768" s="8" t="s">
        <v>3102</v>
      </c>
      <c r="B768" s="9" t="s">
        <v>12</v>
      </c>
      <c r="C768" s="12" t="s">
        <v>151</v>
      </c>
      <c r="D768" s="10" t="str">
        <f ca="1">IFERROR(__xludf.DUMMYFUNCTION(" VLOOKUP(A765, IMPORTRANGE(""https://docs.google.com/spreadsheets/d/1fj_Bhi2XPL3siwIh4sx4VRLAe31yD50oKdj5UlRYW0c/"", ""Сводка!A:AA""), 11, FALSE)"),"978-601-352-457-2")</f>
        <v>978-601-352-457-2</v>
      </c>
      <c r="E768" s="11" t="s">
        <v>3098</v>
      </c>
      <c r="F768" s="11" t="s">
        <v>3103</v>
      </c>
      <c r="G768" s="12">
        <f ca="1">IFERROR(__xludf.DUMMYFUNCTION(" VLOOKUP(A765, IMPORTRANGE(""https://docs.google.com/spreadsheets/d/1fj_Bhi2XPL3siwIh4sx4VRLAe31yD50oKdj5UlRYW0c/"", ""Сводка!A:AA""), 5, FALSE)"),228)</f>
        <v>228</v>
      </c>
      <c r="H768" s="12" t="s">
        <v>165</v>
      </c>
      <c r="I768" s="10">
        <f ca="1">IFERROR(__xludf.DUMMYFUNCTION(" VLOOKUP(A765, IMPORTRANGE(""https://docs.google.com/spreadsheets/d/1QNLbnkR_AongFt22vMfNzfpjZ0CjpI8QI-w0wBnYA1w/"", ""Инфа!A:AA""), 6, FALSE)"),2024)</f>
        <v>2024</v>
      </c>
      <c r="J768" s="5">
        <f ca="1">ROUND((5000+G768*30),-2)</f>
        <v>11800</v>
      </c>
      <c r="K768" s="12" t="s">
        <v>3100</v>
      </c>
      <c r="L768" s="15" t="s">
        <v>3104</v>
      </c>
    </row>
    <row r="769" spans="1:12" ht="303.75">
      <c r="A769" s="8" t="s">
        <v>3105</v>
      </c>
      <c r="B769" s="9" t="s">
        <v>12</v>
      </c>
      <c r="C769" s="12" t="s">
        <v>443</v>
      </c>
      <c r="D769" s="10" t="str">
        <f ca="1">IFERROR(__xludf.DUMMYFUNCTION(" VLOOKUP(A766, IMPORTRANGE(""https://docs.google.com/spreadsheets/d/1fj_Bhi2XPL3siwIh4sx4VRLAe31yD50oKdj5UlRYW0c/"", ""Сводка!A:AA""), 11, FALSE)"),"78-601-342-531-3")</f>
        <v>78-601-342-531-3</v>
      </c>
      <c r="E769" s="11" t="s">
        <v>3106</v>
      </c>
      <c r="F769" s="11" t="s">
        <v>3107</v>
      </c>
      <c r="G769" s="12">
        <f ca="1">IFERROR(__xludf.DUMMYFUNCTION(" VLOOKUP(A766, IMPORTRANGE(""https://docs.google.com/spreadsheets/d/1fj_Bhi2XPL3siwIh4sx4VRLAe31yD50oKdj5UlRYW0c/"", ""Сводка!A:AA""), 5, FALSE)"),280)</f>
        <v>280</v>
      </c>
      <c r="H769" s="12" t="s">
        <v>47</v>
      </c>
      <c r="I769" s="10">
        <f ca="1">IFERROR(__xludf.DUMMYFUNCTION(" VLOOKUP(A766, IMPORTRANGE(""https://docs.google.com/spreadsheets/d/1QNLbnkR_AongFt22vMfNzfpjZ0CjpI8QI-w0wBnYA1w/"", ""Инфа!A:AA""), 6, FALSE)"),2023)</f>
        <v>2023</v>
      </c>
      <c r="J769" s="5">
        <f ca="1">ROUND((5000+G769*60),-2)</f>
        <v>21800</v>
      </c>
      <c r="K769" s="12" t="s">
        <v>575</v>
      </c>
      <c r="L769" s="15" t="s">
        <v>3108</v>
      </c>
    </row>
    <row r="770" spans="1:12" ht="281.25">
      <c r="A770" s="8" t="s">
        <v>3109</v>
      </c>
      <c r="B770" s="9" t="s">
        <v>12</v>
      </c>
      <c r="C770" s="12" t="s">
        <v>13</v>
      </c>
      <c r="D770" s="10" t="str">
        <f ca="1">IFERROR(__xludf.DUMMYFUNCTION(" VLOOKUP(A767, IMPORTRANGE(""https://docs.google.com/spreadsheets/d/1fj_Bhi2XPL3siwIh4sx4VRLAe31yD50oKdj5UlRYW0c/"", ""Сводка!A:AA""), 11, FALSE)"),"978-601-352-729-1")</f>
        <v>978-601-352-729-1</v>
      </c>
      <c r="E770" s="11" t="s">
        <v>3110</v>
      </c>
      <c r="F770" s="11" t="s">
        <v>3111</v>
      </c>
      <c r="G770" s="12">
        <f ca="1">IFERROR(__xludf.DUMMYFUNCTION(" VLOOKUP(A767, IMPORTRANGE(""https://docs.google.com/spreadsheets/d/1fj_Bhi2XPL3siwIh4sx4VRLAe31yD50oKdj5UlRYW0c/"", ""Сводка!A:AA""), 5, FALSE)"),188)</f>
        <v>188</v>
      </c>
      <c r="H770" s="12" t="s">
        <v>3112</v>
      </c>
      <c r="I770" s="10">
        <f ca="1">IFERROR(__xludf.DUMMYFUNCTION(" VLOOKUP(A767, IMPORTRANGE(""https://docs.google.com/spreadsheets/d/1QNLbnkR_AongFt22vMfNzfpjZ0CjpI8QI-w0wBnYA1w/"", ""Инфа!A:AA""), 6, FALSE)"),2024)</f>
        <v>2024</v>
      </c>
      <c r="J770" s="5">
        <f ca="1">ROUND((5000+G770*30),-2)</f>
        <v>10600</v>
      </c>
      <c r="K770" s="12" t="s">
        <v>3113</v>
      </c>
      <c r="L770" s="15" t="s">
        <v>3114</v>
      </c>
    </row>
    <row r="771" spans="1:12" ht="123.75">
      <c r="A771" s="8" t="s">
        <v>3115</v>
      </c>
      <c r="B771" s="9" t="s">
        <v>12</v>
      </c>
      <c r="C771" s="12" t="s">
        <v>443</v>
      </c>
      <c r="D771" s="10" t="str">
        <f ca="1">IFERROR(__xludf.DUMMYFUNCTION(" VLOOKUP(A768, IMPORTRANGE(""https://docs.google.com/spreadsheets/d/1fj_Bhi2XPL3siwIh4sx4VRLAe31yD50oKdj5UlRYW0c/"", ""Сводка!A:AA""), 11, FALSE)"),"978-601-337-606-6")</f>
        <v>978-601-337-606-6</v>
      </c>
      <c r="E771" s="11" t="s">
        <v>3116</v>
      </c>
      <c r="F771" s="11" t="s">
        <v>3117</v>
      </c>
      <c r="G771" s="12">
        <f ca="1">IFERROR(__xludf.DUMMYFUNCTION(" VLOOKUP(A768, IMPORTRANGE(""https://docs.google.com/spreadsheets/d/1fj_Bhi2XPL3siwIh4sx4VRLAe31yD50oKdj5UlRYW0c/"", ""Сводка!A:AA""), 5, FALSE)"),104)</f>
        <v>104</v>
      </c>
      <c r="H771" s="12" t="s">
        <v>538</v>
      </c>
      <c r="I771" s="10">
        <f ca="1">IFERROR(__xludf.DUMMYFUNCTION(" VLOOKUP(A768, IMPORTRANGE(""https://docs.google.com/spreadsheets/d/1QNLbnkR_AongFt22vMfNzfpjZ0CjpI8QI-w0wBnYA1w/"", ""Инфа!A:AA""), 6, FALSE)"),2024)</f>
        <v>2024</v>
      </c>
      <c r="J771" s="5">
        <f ca="1">ROUND((5000+G771*30),-2)</f>
        <v>8100</v>
      </c>
      <c r="K771" s="12" t="s">
        <v>37</v>
      </c>
      <c r="L771" s="15" t="s">
        <v>3118</v>
      </c>
    </row>
    <row r="772" spans="1:12" ht="236.25">
      <c r="A772" s="8" t="s">
        <v>3119</v>
      </c>
      <c r="B772" s="9" t="s">
        <v>12</v>
      </c>
      <c r="C772" s="12" t="s">
        <v>151</v>
      </c>
      <c r="D772" s="10" t="str">
        <f ca="1">IFERROR(__xludf.DUMMYFUNCTION(" VLOOKUP(A769, IMPORTRANGE(""https://docs.google.com/spreadsheets/d/1fj_Bhi2XPL3siwIh4sx4VRLAe31yD50oKdj5UlRYW0c/"", ""Сводка!A:AA""), 11, FALSE)"),"978-601-352-748-2")</f>
        <v>978-601-352-748-2</v>
      </c>
      <c r="E772" s="11" t="s">
        <v>3120</v>
      </c>
      <c r="F772" s="11" t="s">
        <v>3121</v>
      </c>
      <c r="G772" s="12">
        <f ca="1">IFERROR(__xludf.DUMMYFUNCTION(" VLOOKUP(A769, IMPORTRANGE(""https://docs.google.com/spreadsheets/d/1fj_Bhi2XPL3siwIh4sx4VRLAe31yD50oKdj5UlRYW0c/"", ""Сводка!A:AA""), 5, FALSE)"),140)</f>
        <v>140</v>
      </c>
      <c r="H772" s="12" t="s">
        <v>24</v>
      </c>
      <c r="I772" s="10">
        <f ca="1">IFERROR(__xludf.DUMMYFUNCTION(" VLOOKUP(A769, IMPORTRANGE(""https://docs.google.com/spreadsheets/d/1QNLbnkR_AongFt22vMfNzfpjZ0CjpI8QI-w0wBnYA1w/"", ""Инфа!A:AA""), 6, FALSE)"),2024)</f>
        <v>2024</v>
      </c>
      <c r="J772" s="5">
        <f ca="1">ROUND((5000+G772*30),-2)</f>
        <v>9200</v>
      </c>
      <c r="K772" s="12" t="s">
        <v>2046</v>
      </c>
      <c r="L772" s="15" t="s">
        <v>3122</v>
      </c>
    </row>
    <row r="773" spans="1:12" ht="281.25">
      <c r="A773" s="8" t="s">
        <v>3123</v>
      </c>
      <c r="B773" s="9" t="s">
        <v>12</v>
      </c>
      <c r="C773" s="12" t="s">
        <v>21</v>
      </c>
      <c r="D773" s="10" t="str">
        <f ca="1">IFERROR(__xludf.DUMMYFUNCTION(" VLOOKUP(A770, IMPORTRANGE(""https://docs.google.com/spreadsheets/d/1fj_Bhi2XPL3siwIh4sx4VRLAe31yD50oKdj5UlRYW0c/"", ""Сводка!A:AA""), 11, FALSE)"),"978-601-352-986-8")</f>
        <v>978-601-352-986-8</v>
      </c>
      <c r="E773" s="11" t="s">
        <v>3124</v>
      </c>
      <c r="F773" s="11" t="s">
        <v>3125</v>
      </c>
      <c r="G773" s="12">
        <f ca="1">IFERROR(__xludf.DUMMYFUNCTION(" VLOOKUP(A770, IMPORTRANGE(""https://docs.google.com/spreadsheets/d/1fj_Bhi2XPL3siwIh4sx4VRLAe31yD50oKdj5UlRYW0c/"", ""Сводка!A:AA""), 5, FALSE)"),296)</f>
        <v>296</v>
      </c>
      <c r="H773" s="12" t="s">
        <v>24</v>
      </c>
      <c r="I773" s="10">
        <f ca="1">IFERROR(__xludf.DUMMYFUNCTION(" VLOOKUP(A770, IMPORTRANGE(""https://docs.google.com/spreadsheets/d/1QNLbnkR_AongFt22vMfNzfpjZ0CjpI8QI-w0wBnYA1w/"", ""Инфа!A:AA""), 6, FALSE)"),2023)</f>
        <v>2023</v>
      </c>
      <c r="J773" s="5">
        <f ca="1">ROUND((5000+G773*60),-2)</f>
        <v>22800</v>
      </c>
      <c r="K773" s="12" t="s">
        <v>2046</v>
      </c>
      <c r="L773" s="15" t="s">
        <v>3126</v>
      </c>
    </row>
    <row r="774" spans="1:12" ht="202.5">
      <c r="A774" s="8" t="s">
        <v>3127</v>
      </c>
      <c r="B774" s="9" t="s">
        <v>12</v>
      </c>
      <c r="C774" s="12" t="s">
        <v>151</v>
      </c>
      <c r="D774" s="10" t="str">
        <f ca="1">IFERROR(__xludf.DUMMYFUNCTION(" VLOOKUP(A771, IMPORTRANGE(""https://docs.google.com/spreadsheets/d/1fj_Bhi2XPL3siwIh4sx4VRLAe31yD50oKdj5UlRYW0c/"", ""Сводка!A:AA""), 11, FALSE)"),"978-601-330-242-3")</f>
        <v>978-601-330-242-3</v>
      </c>
      <c r="E774" s="11" t="s">
        <v>3120</v>
      </c>
      <c r="F774" s="11" t="s">
        <v>3128</v>
      </c>
      <c r="G774" s="12">
        <f ca="1">IFERROR(__xludf.DUMMYFUNCTION(" VLOOKUP(A771, IMPORTRANGE(""https://docs.google.com/spreadsheets/d/1fj_Bhi2XPL3siwIh4sx4VRLAe31yD50oKdj5UlRYW0c/"", ""Сводка!A:AA""), 5, FALSE)"),208)</f>
        <v>208</v>
      </c>
      <c r="H774" s="12" t="s">
        <v>24</v>
      </c>
      <c r="I774" s="10">
        <f ca="1">IFERROR(__xludf.DUMMYFUNCTION(" VLOOKUP(A771, IMPORTRANGE(""https://docs.google.com/spreadsheets/d/1QNLbnkR_AongFt22vMfNzfpjZ0CjpI8QI-w0wBnYA1w/"", ""Инфа!A:AA""), 6, FALSE)"),2023)</f>
        <v>2023</v>
      </c>
      <c r="J774" s="5">
        <f ca="1">ROUND((5000+G774*30),-2)</f>
        <v>11200</v>
      </c>
      <c r="K774" s="12" t="s">
        <v>3129</v>
      </c>
      <c r="L774" s="15" t="s">
        <v>3130</v>
      </c>
    </row>
    <row r="775" spans="1:12" ht="303.75">
      <c r="A775" s="8" t="s">
        <v>3131</v>
      </c>
      <c r="B775" s="9" t="s">
        <v>12</v>
      </c>
      <c r="C775" s="10" t="s">
        <v>151</v>
      </c>
      <c r="D775" s="10" t="str">
        <f ca="1">IFERROR(__xludf.DUMMYFUNCTION(" VLOOKUP(A772, IMPORTRANGE(""https://docs.google.com/spreadsheets/d/1fj_Bhi2XPL3siwIh4sx4VRLAe31yD50oKdj5UlRYW0c/"", ""Сводка!A:AA""), 11, FALSE)"),"978-601-342-253-4")</f>
        <v>978-601-342-253-4</v>
      </c>
      <c r="E775" s="11" t="s">
        <v>2785</v>
      </c>
      <c r="F775" s="11" t="s">
        <v>3132</v>
      </c>
      <c r="G775" s="12">
        <f ca="1">IFERROR(__xludf.DUMMYFUNCTION(" VLOOKUP(A772, IMPORTRANGE(""https://docs.google.com/spreadsheets/d/1fj_Bhi2XPL3siwIh4sx4VRLAe31yD50oKdj5UlRYW0c/"", ""Сводка!A:AA""), 5, FALSE)"),212)</f>
        <v>212</v>
      </c>
      <c r="H775" s="12" t="s">
        <v>47</v>
      </c>
      <c r="I775" s="10">
        <f ca="1">IFERROR(__xludf.DUMMYFUNCTION(" VLOOKUP(A772, IMPORTRANGE(""https://docs.google.com/spreadsheets/d/1QNLbnkR_AongFt22vMfNzfpjZ0CjpI8QI-w0wBnYA1w/"", ""Инфа!A:AA""), 6, FALSE)"),2024)</f>
        <v>2024</v>
      </c>
      <c r="J775" s="5">
        <f ca="1">ROUND((5000+G775*60),-2)</f>
        <v>17700</v>
      </c>
      <c r="K775" s="12" t="s">
        <v>160</v>
      </c>
      <c r="L775" s="15" t="s">
        <v>3133</v>
      </c>
    </row>
    <row r="776" spans="1:12" ht="76.5">
      <c r="A776" s="8" t="s">
        <v>3134</v>
      </c>
      <c r="B776" s="9" t="s">
        <v>12</v>
      </c>
      <c r="C776" s="12" t="s">
        <v>21</v>
      </c>
      <c r="D776" s="10" t="str">
        <f ca="1">IFERROR(__xludf.DUMMYFUNCTION(" VLOOKUP(A773, IMPORTRANGE(""https://docs.google.com/spreadsheets/d/1fj_Bhi2XPL3siwIh4sx4VRLAe31yD50oKdj5UlRYW0c/"", ""Сводка!A:AA""), 11, FALSE)"),"978-601-352-987-5")</f>
        <v>978-601-352-987-5</v>
      </c>
      <c r="E776" s="11" t="s">
        <v>3124</v>
      </c>
      <c r="F776" s="11" t="s">
        <v>3135</v>
      </c>
      <c r="G776" s="12">
        <f ca="1">IFERROR(__xludf.DUMMYFUNCTION(" VLOOKUP(A773, IMPORTRANGE(""https://docs.google.com/spreadsheets/d/1fj_Bhi2XPL3siwIh4sx4VRLAe31yD50oKdj5UlRYW0c/"", ""Сводка!A:AA""), 5, FALSE)"),186)</f>
        <v>186</v>
      </c>
      <c r="H776" s="12" t="s">
        <v>2135</v>
      </c>
      <c r="I776" s="10">
        <f ca="1">IFERROR(__xludf.DUMMYFUNCTION(" VLOOKUP(A773, IMPORTRANGE(""https://docs.google.com/spreadsheets/d/1QNLbnkR_AongFt22vMfNzfpjZ0CjpI8QI-w0wBnYA1w/"", ""Инфа!A:AA""), 6, FALSE)"),2023)</f>
        <v>2023</v>
      </c>
      <c r="J776" s="5">
        <f ca="1">ROUND((5000+G776*30),-2)</f>
        <v>10600</v>
      </c>
      <c r="K776" s="12" t="s">
        <v>2046</v>
      </c>
      <c r="L776" s="15"/>
    </row>
    <row r="777" spans="1:12" ht="303.75">
      <c r="A777" s="8" t="s">
        <v>3136</v>
      </c>
      <c r="B777" s="9" t="s">
        <v>12</v>
      </c>
      <c r="C777" s="12" t="s">
        <v>151</v>
      </c>
      <c r="D777" s="10" t="str">
        <f ca="1">IFERROR(__xludf.DUMMYFUNCTION(" VLOOKUP(A774, IMPORTRANGE(""https://docs.google.com/spreadsheets/d/1fj_Bhi2XPL3siwIh4sx4VRLAe31yD50oKdj5UlRYW0c/"", ""Сводка!A:AA""), 11, FALSE)"),"")</f>
        <v/>
      </c>
      <c r="E777" s="11" t="s">
        <v>3120</v>
      </c>
      <c r="F777" s="11" t="s">
        <v>3137</v>
      </c>
      <c r="G777" s="12">
        <f ca="1">IFERROR(__xludf.DUMMYFUNCTION(" VLOOKUP(A774, IMPORTRANGE(""https://docs.google.com/spreadsheets/d/1fj_Bhi2XPL3siwIh4sx4VRLAe31yD50oKdj5UlRYW0c/"", ""Сводка!A:AA""), 5, FALSE)"),176)</f>
        <v>176</v>
      </c>
      <c r="H777" s="12" t="s">
        <v>24</v>
      </c>
      <c r="I777" s="10">
        <f ca="1">IFERROR(__xludf.DUMMYFUNCTION(" VLOOKUP(A774, IMPORTRANGE(""https://docs.google.com/spreadsheets/d/1QNLbnkR_AongFt22vMfNzfpjZ0CjpI8QI-w0wBnYA1w/"", ""Инфа!A:AA""), 6, FALSE)"),2024)</f>
        <v>2024</v>
      </c>
      <c r="J777" s="5">
        <f ca="1">ROUND((5000+G777*30),-2)</f>
        <v>10300</v>
      </c>
      <c r="K777" s="12" t="s">
        <v>3138</v>
      </c>
      <c r="L777" s="15" t="s">
        <v>3139</v>
      </c>
    </row>
    <row r="778" spans="1:12" ht="303.75">
      <c r="A778" s="8" t="s">
        <v>3140</v>
      </c>
      <c r="B778" s="9" t="s">
        <v>12</v>
      </c>
      <c r="C778" s="12" t="s">
        <v>151</v>
      </c>
      <c r="D778" s="10" t="str">
        <f ca="1">IFERROR(__xludf.DUMMYFUNCTION(" VLOOKUP(A775, IMPORTRANGE(""https://docs.google.com/spreadsheets/d/1fj_Bhi2XPL3siwIh4sx4VRLAe31yD50oKdj5UlRYW0c/"", ""Сводка!A:AA""), 11, FALSE)"),"978-601-352-749-9")</f>
        <v>978-601-352-749-9</v>
      </c>
      <c r="E778" s="11" t="s">
        <v>3120</v>
      </c>
      <c r="F778" s="11" t="s">
        <v>3141</v>
      </c>
      <c r="G778" s="12">
        <f ca="1">IFERROR(__xludf.DUMMYFUNCTION(" VLOOKUP(A775, IMPORTRANGE(""https://docs.google.com/spreadsheets/d/1fj_Bhi2XPL3siwIh4sx4VRLAe31yD50oKdj5UlRYW0c/"", ""Сводка!A:AA""), 5, FALSE)"),296)</f>
        <v>296</v>
      </c>
      <c r="H778" s="12" t="s">
        <v>24</v>
      </c>
      <c r="I778" s="10">
        <f ca="1">IFERROR(__xludf.DUMMYFUNCTION(" VLOOKUP(A775, IMPORTRANGE(""https://docs.google.com/spreadsheets/d/1QNLbnkR_AongFt22vMfNzfpjZ0CjpI8QI-w0wBnYA1w/"", ""Инфа!A:AA""), 6, FALSE)"),2023)</f>
        <v>2023</v>
      </c>
      <c r="J778" s="5">
        <f ca="1">ROUND((5000+G778*60),-2)</f>
        <v>22800</v>
      </c>
      <c r="K778" s="12" t="s">
        <v>2046</v>
      </c>
      <c r="L778" s="15" t="s">
        <v>3142</v>
      </c>
    </row>
    <row r="779" spans="1:12" ht="281.25">
      <c r="A779" s="8" t="s">
        <v>3143</v>
      </c>
      <c r="B779" s="9" t="s">
        <v>12</v>
      </c>
      <c r="C779" s="12" t="s">
        <v>151</v>
      </c>
      <c r="D779" s="10" t="str">
        <f ca="1">IFERROR(__xludf.DUMMYFUNCTION(" VLOOKUP(A776, IMPORTRANGE(""https://docs.google.com/spreadsheets/d/1fj_Bhi2XPL3siwIh4sx4VRLAe31yD50oKdj5UlRYW0c/"", ""Сводка!A:AA""), 11, FALSE)"),"")</f>
        <v/>
      </c>
      <c r="E779" s="11" t="s">
        <v>3120</v>
      </c>
      <c r="F779" s="11" t="s">
        <v>3144</v>
      </c>
      <c r="G779" s="12">
        <f ca="1">IFERROR(__xludf.DUMMYFUNCTION(" VLOOKUP(A776, IMPORTRANGE(""https://docs.google.com/spreadsheets/d/1fj_Bhi2XPL3siwIh4sx4VRLAe31yD50oKdj5UlRYW0c/"", ""Сводка!A:AA""), 5, FALSE)"),174)</f>
        <v>174</v>
      </c>
      <c r="H779" s="12" t="s">
        <v>24</v>
      </c>
      <c r="I779" s="10">
        <f ca="1">IFERROR(__xludf.DUMMYFUNCTION(" VLOOKUP(A776, IMPORTRANGE(""https://docs.google.com/spreadsheets/d/1QNLbnkR_AongFt22vMfNzfpjZ0CjpI8QI-w0wBnYA1w/"", ""Инфа!A:AA""), 6, FALSE)"),2024)</f>
        <v>2024</v>
      </c>
      <c r="J779" s="5">
        <f ca="1">ROUND((5000+G779*30),-2)</f>
        <v>10200</v>
      </c>
      <c r="K779" s="12" t="s">
        <v>2929</v>
      </c>
      <c r="L779" s="15" t="s">
        <v>3145</v>
      </c>
    </row>
    <row r="780" spans="1:12" ht="38.25">
      <c r="A780" s="8" t="s">
        <v>3146</v>
      </c>
      <c r="B780" s="9" t="s">
        <v>12</v>
      </c>
      <c r="C780" s="12" t="s">
        <v>151</v>
      </c>
      <c r="D780" s="10" t="str">
        <f ca="1">IFERROR(__xludf.DUMMYFUNCTION(" VLOOKUP(A777, IMPORTRANGE(""https://docs.google.com/spreadsheets/d/1fj_Bhi2XPL3siwIh4sx4VRLAe31yD50oKdj5UlRYW0c/"", ""Сводка!A:AA""), 11, FALSE)"),"5–7511–1117–6")</f>
        <v>5–7511–1117–6</v>
      </c>
      <c r="E780" s="11" t="s">
        <v>3120</v>
      </c>
      <c r="F780" s="11" t="s">
        <v>3147</v>
      </c>
      <c r="G780" s="12">
        <f ca="1">IFERROR(__xludf.DUMMYFUNCTION(" VLOOKUP(A777, IMPORTRANGE(""https://docs.google.com/spreadsheets/d/1fj_Bhi2XPL3siwIh4sx4VRLAe31yD50oKdj5UlRYW0c/"", ""Сводка!A:AA""), 5, FALSE)"),152)</f>
        <v>152</v>
      </c>
      <c r="H780" s="12" t="s">
        <v>24</v>
      </c>
      <c r="I780" s="10">
        <f ca="1">IFERROR(__xludf.DUMMYFUNCTION(" VLOOKUP(A777, IMPORTRANGE(""https://docs.google.com/spreadsheets/d/1QNLbnkR_AongFt22vMfNzfpjZ0CjpI8QI-w0wBnYA1w/"", ""Инфа!A:AA""), 6, FALSE)"),2023)</f>
        <v>2023</v>
      </c>
      <c r="J780" s="5">
        <f ca="1">ROUND((5000+G780*30),-2)</f>
        <v>9600</v>
      </c>
      <c r="K780" s="12" t="s">
        <v>3148</v>
      </c>
      <c r="L780" s="15"/>
    </row>
    <row r="781" spans="1:12" ht="213.75">
      <c r="A781" s="8" t="s">
        <v>3149</v>
      </c>
      <c r="B781" s="9" t="s">
        <v>12</v>
      </c>
      <c r="C781" s="12" t="s">
        <v>151</v>
      </c>
      <c r="D781" s="10" t="str">
        <f ca="1">IFERROR(__xludf.DUMMYFUNCTION(" VLOOKUP(A778, IMPORTRANGE(""https://docs.google.com/spreadsheets/d/1fj_Bhi2XPL3siwIh4sx4VRLAe31yD50oKdj5UlRYW0c/"", ""Сводка!A:AA""), 11, FALSE)"),"978-601-352-908-0")</f>
        <v>978-601-352-908-0</v>
      </c>
      <c r="E781" s="11" t="s">
        <v>2247</v>
      </c>
      <c r="F781" s="11" t="s">
        <v>3150</v>
      </c>
      <c r="G781" s="12">
        <f ca="1">IFERROR(__xludf.DUMMYFUNCTION(" VLOOKUP(A778, IMPORTRANGE(""https://docs.google.com/spreadsheets/d/1fj_Bhi2XPL3siwIh4sx4VRLAe31yD50oKdj5UlRYW0c/"", ""Сводка!A:AA""), 5, FALSE)"),276)</f>
        <v>276</v>
      </c>
      <c r="H781" s="12" t="s">
        <v>165</v>
      </c>
      <c r="I781" s="10">
        <f ca="1">IFERROR(__xludf.DUMMYFUNCTION(" VLOOKUP(A778, IMPORTRANGE(""https://docs.google.com/spreadsheets/d/1QNLbnkR_AongFt22vMfNzfpjZ0CjpI8QI-w0wBnYA1w/"", ""Инфа!A:AA""), 6, FALSE)"),2024)</f>
        <v>2024</v>
      </c>
      <c r="J781" s="5">
        <f ca="1">ROUND((5000+G781*60),-2)</f>
        <v>21600</v>
      </c>
      <c r="K781" s="12" t="s">
        <v>2600</v>
      </c>
      <c r="L781" s="15" t="s">
        <v>3151</v>
      </c>
    </row>
    <row r="782" spans="1:12" ht="303.75">
      <c r="A782" s="8" t="s">
        <v>3152</v>
      </c>
      <c r="B782" s="9" t="s">
        <v>12</v>
      </c>
      <c r="C782" s="12" t="s">
        <v>151</v>
      </c>
      <c r="D782" s="10" t="str">
        <f ca="1">IFERROR(__xludf.DUMMYFUNCTION(" VLOOKUP(A779, IMPORTRANGE(""https://docs.google.com/spreadsheets/d/1fj_Bhi2XPL3siwIh4sx4VRLAe31yD50oKdj5UlRYW0c/"", ""Сводка!A:AA""), 11, FALSE)"),"978-601-330-241-6")</f>
        <v>978-601-330-241-6</v>
      </c>
      <c r="E782" s="11" t="s">
        <v>3120</v>
      </c>
      <c r="F782" s="11" t="s">
        <v>3153</v>
      </c>
      <c r="G782" s="12">
        <f ca="1">IFERROR(__xludf.DUMMYFUNCTION(" VLOOKUP(A779, IMPORTRANGE(""https://docs.google.com/spreadsheets/d/1fj_Bhi2XPL3siwIh4sx4VRLAe31yD50oKdj5UlRYW0c/"", ""Сводка!A:AA""), 5, FALSE)"),200)</f>
        <v>200</v>
      </c>
      <c r="H782" s="12" t="s">
        <v>24</v>
      </c>
      <c r="I782" s="10">
        <f ca="1">IFERROR(__xludf.DUMMYFUNCTION(" VLOOKUP(A779, IMPORTRANGE(""https://docs.google.com/spreadsheets/d/1QNLbnkR_AongFt22vMfNzfpjZ0CjpI8QI-w0wBnYA1w/"", ""Инфа!A:AA""), 6, FALSE)"),2023)</f>
        <v>2023</v>
      </c>
      <c r="J782" s="5">
        <f ca="1">ROUND((5000+G782*30),-2)</f>
        <v>11000</v>
      </c>
      <c r="K782" s="12" t="s">
        <v>2046</v>
      </c>
      <c r="L782" s="15" t="s">
        <v>3154</v>
      </c>
    </row>
    <row r="783" spans="1:12" ht="78.75">
      <c r="A783" s="8" t="s">
        <v>3155</v>
      </c>
      <c r="B783" s="9" t="s">
        <v>12</v>
      </c>
      <c r="C783" s="12" t="s">
        <v>151</v>
      </c>
      <c r="D783" s="10" t="str">
        <f ca="1">IFERROR(__xludf.DUMMYFUNCTION(" VLOOKUP(A780, IMPORTRANGE(""https://docs.google.com/spreadsheets/d/1fj_Bhi2XPL3siwIh4sx4VRLAe31yD50oKdj5UlRYW0c/"", ""Сводка!A:AA""), 11, FALSE)"),"978-601-330-240-9")</f>
        <v>978-601-330-240-9</v>
      </c>
      <c r="E783" s="11" t="s">
        <v>3120</v>
      </c>
      <c r="F783" s="11" t="s">
        <v>3156</v>
      </c>
      <c r="G783" s="12">
        <f ca="1">IFERROR(__xludf.DUMMYFUNCTION(" VLOOKUP(A780, IMPORTRANGE(""https://docs.google.com/spreadsheets/d/1fj_Bhi2XPL3siwIh4sx4VRLAe31yD50oKdj5UlRYW0c/"", ""Сводка!A:AA""), 5, FALSE)"),308)</f>
        <v>308</v>
      </c>
      <c r="H783" s="12" t="s">
        <v>24</v>
      </c>
      <c r="I783" s="10">
        <f ca="1">IFERROR(__xludf.DUMMYFUNCTION(" VLOOKUP(A780, IMPORTRANGE(""https://docs.google.com/spreadsheets/d/1QNLbnkR_AongFt22vMfNzfpjZ0CjpI8QI-w0wBnYA1w/"", ""Инфа!A:AA""), 6, FALSE)"),2023)</f>
        <v>2023</v>
      </c>
      <c r="J783" s="5">
        <f ca="1">ROUND((5000+G783*30),-2)</f>
        <v>14200</v>
      </c>
      <c r="K783" s="12" t="s">
        <v>2046</v>
      </c>
      <c r="L783" s="15" t="s">
        <v>3157</v>
      </c>
    </row>
    <row r="784" spans="1:12" ht="67.5">
      <c r="A784" s="8" t="s">
        <v>3158</v>
      </c>
      <c r="B784" s="9" t="s">
        <v>12</v>
      </c>
      <c r="C784" s="12" t="s">
        <v>151</v>
      </c>
      <c r="D784" s="10" t="str">
        <f ca="1">IFERROR(__xludf.DUMMYFUNCTION(" VLOOKUP(A781, IMPORTRANGE(""https://docs.google.com/spreadsheets/d/1fj_Bhi2XPL3siwIh4sx4VRLAe31yD50oKdj5UlRYW0c/"", ""Сводка!A:AA""), 11, FALSE)"),"")</f>
        <v/>
      </c>
      <c r="E784" s="11" t="s">
        <v>3120</v>
      </c>
      <c r="F784" s="11" t="s">
        <v>3159</v>
      </c>
      <c r="G784" s="12">
        <f ca="1">IFERROR(__xludf.DUMMYFUNCTION(" VLOOKUP(A781, IMPORTRANGE(""https://docs.google.com/spreadsheets/d/1fj_Bhi2XPL3siwIh4sx4VRLAe31yD50oKdj5UlRYW0c/"", ""Сводка!A:AA""), 5, FALSE)"),344)</f>
        <v>344</v>
      </c>
      <c r="H784" s="12" t="s">
        <v>24</v>
      </c>
      <c r="I784" s="10">
        <f ca="1">IFERROR(__xludf.DUMMYFUNCTION(" VLOOKUP(A781, IMPORTRANGE(""https://docs.google.com/spreadsheets/d/1QNLbnkR_AongFt22vMfNzfpjZ0CjpI8QI-w0wBnYA1w/"", ""Инфа!A:AA""), 6, FALSE)"),2024)</f>
        <v>2024</v>
      </c>
      <c r="J784" s="5">
        <f ca="1">ROUND((5000+G784*30),-2)</f>
        <v>15300</v>
      </c>
      <c r="K784" s="12" t="s">
        <v>2046</v>
      </c>
      <c r="L784" s="15" t="s">
        <v>3160</v>
      </c>
    </row>
    <row r="785" spans="1:12" ht="292.5">
      <c r="A785" s="8" t="s">
        <v>3161</v>
      </c>
      <c r="B785" s="9" t="s">
        <v>12</v>
      </c>
      <c r="C785" s="10" t="s">
        <v>151</v>
      </c>
      <c r="D785" s="10" t="str">
        <f ca="1">IFERROR(__xludf.DUMMYFUNCTION(" VLOOKUP(A782, IMPORTRANGE(""https://docs.google.com/spreadsheets/d/1fj_Bhi2XPL3siwIh4sx4VRLAe31yD50oKdj5UlRYW0c/"", ""Сводка!A:AA""), 11, FALSE)"),"978-601-342-240-4")</f>
        <v>978-601-342-240-4</v>
      </c>
      <c r="E785" s="11" t="s">
        <v>2785</v>
      </c>
      <c r="F785" s="22" t="s">
        <v>3162</v>
      </c>
      <c r="G785" s="12">
        <f ca="1">IFERROR(__xludf.DUMMYFUNCTION(" VLOOKUP(A782, IMPORTRANGE(""https://docs.google.com/spreadsheets/d/1fj_Bhi2XPL3siwIh4sx4VRLAe31yD50oKdj5UlRYW0c/"", ""Сводка!A:AA""), 5, FALSE)"),268)</f>
        <v>268</v>
      </c>
      <c r="H785" s="12" t="s">
        <v>47</v>
      </c>
      <c r="I785" s="10">
        <f ca="1">IFERROR(__xludf.DUMMYFUNCTION(" VLOOKUP(A782, IMPORTRANGE(""https://docs.google.com/spreadsheets/d/1QNLbnkR_AongFt22vMfNzfpjZ0CjpI8QI-w0wBnYA1w/"", ""Инфа!A:AA""), 6, FALSE)"),2024)</f>
        <v>2024</v>
      </c>
      <c r="J785" s="5">
        <f ca="1">ROUND((5000+G785*30),-2)</f>
        <v>13000</v>
      </c>
      <c r="K785" s="12" t="s">
        <v>160</v>
      </c>
      <c r="L785" s="15" t="s">
        <v>3163</v>
      </c>
    </row>
    <row r="786" spans="1:12" ht="303.75">
      <c r="A786" s="8" t="s">
        <v>3164</v>
      </c>
      <c r="B786" s="9" t="s">
        <v>12</v>
      </c>
      <c r="C786" s="12" t="s">
        <v>151</v>
      </c>
      <c r="D786" s="10" t="str">
        <f ca="1">IFERROR(__xludf.DUMMYFUNCTION(" VLOOKUP(A783, IMPORTRANGE(""https://docs.google.com/spreadsheets/d/1fj_Bhi2XPL3siwIh4sx4VRLAe31yD50oKdj5UlRYW0c/"", ""Сводка!A:AA""), 11, FALSE)"),"978-601-352-747-5")</f>
        <v>978-601-352-747-5</v>
      </c>
      <c r="E786" s="11" t="s">
        <v>3120</v>
      </c>
      <c r="F786" s="11" t="s">
        <v>3165</v>
      </c>
      <c r="G786" s="12">
        <f ca="1">IFERROR(__xludf.DUMMYFUNCTION(" VLOOKUP(A783, IMPORTRANGE(""https://docs.google.com/spreadsheets/d/1fj_Bhi2XPL3siwIh4sx4VRLAe31yD50oKdj5UlRYW0c/"", ""Сводка!A:AA""), 5, FALSE)"),294)</f>
        <v>294</v>
      </c>
      <c r="H786" s="12" t="s">
        <v>24</v>
      </c>
      <c r="I786" s="10">
        <f ca="1">IFERROR(__xludf.DUMMYFUNCTION(" VLOOKUP(A783, IMPORTRANGE(""https://docs.google.com/spreadsheets/d/1QNLbnkR_AongFt22vMfNzfpjZ0CjpI8QI-w0wBnYA1w/"", ""Инфа!A:AA""), 6, FALSE)"),2024)</f>
        <v>2024</v>
      </c>
      <c r="J786" s="5">
        <f ca="1">ROUND((5000+G786*60),-2)</f>
        <v>22600</v>
      </c>
      <c r="K786" s="12" t="s">
        <v>3148</v>
      </c>
      <c r="L786" s="15" t="s">
        <v>3166</v>
      </c>
    </row>
    <row r="787" spans="1:12" ht="157.5">
      <c r="A787" s="8" t="s">
        <v>3167</v>
      </c>
      <c r="B787" s="9" t="s">
        <v>12</v>
      </c>
      <c r="C787" s="12" t="s">
        <v>443</v>
      </c>
      <c r="D787" s="10" t="str">
        <f ca="1">IFERROR(__xludf.DUMMYFUNCTION(" VLOOKUP(A784, IMPORTRANGE(""https://docs.google.com/spreadsheets/d/1fj_Bhi2XPL3siwIh4sx4VRLAe31yD50oKdj5UlRYW0c/"", ""Сводка!A:AA""), 11, FALSE)"),"978-601-267-609-9")</f>
        <v>978-601-267-609-9</v>
      </c>
      <c r="E787" s="11" t="s">
        <v>3168</v>
      </c>
      <c r="F787" s="11" t="s">
        <v>3169</v>
      </c>
      <c r="G787" s="12">
        <f ca="1">IFERROR(__xludf.DUMMYFUNCTION(" VLOOKUP(A784, IMPORTRANGE(""https://docs.google.com/spreadsheets/d/1fj_Bhi2XPL3siwIh4sx4VRLAe31yD50oKdj5UlRYW0c/"", ""Сводка!A:AA""), 5, FALSE)"),256)</f>
        <v>256</v>
      </c>
      <c r="H787" s="12" t="s">
        <v>446</v>
      </c>
      <c r="I787" s="10">
        <f ca="1">IFERROR(__xludf.DUMMYFUNCTION(" VLOOKUP(A784, IMPORTRANGE(""https://docs.google.com/spreadsheets/d/1QNLbnkR_AongFt22vMfNzfpjZ0CjpI8QI-w0wBnYA1w/"", ""Инфа!A:AA""), 6, FALSE)"),2023)</f>
        <v>2023</v>
      </c>
      <c r="J787" s="5">
        <f ca="1">ROUND((5000+G787*60),-2)</f>
        <v>20400</v>
      </c>
      <c r="K787" s="12" t="s">
        <v>171</v>
      </c>
      <c r="L787" s="16" t="s">
        <v>3170</v>
      </c>
    </row>
    <row r="788" spans="1:12" ht="303.75">
      <c r="A788" s="8" t="s">
        <v>3171</v>
      </c>
      <c r="B788" s="9" t="s">
        <v>12</v>
      </c>
      <c r="C788" s="12" t="s">
        <v>151</v>
      </c>
      <c r="D788" s="40" t="s">
        <v>3172</v>
      </c>
      <c r="E788" s="11" t="s">
        <v>3173</v>
      </c>
      <c r="F788" s="11" t="s">
        <v>3174</v>
      </c>
      <c r="G788" s="12">
        <f ca="1">IFERROR(__xludf.DUMMYFUNCTION(" VLOOKUP(A785, IMPORTRANGE(""https://docs.google.com/spreadsheets/d/1fj_Bhi2XPL3siwIh4sx4VRLAe31yD50oKdj5UlRYW0c/"", ""Сводка!A:AA""), 5, FALSE)"),312)</f>
        <v>312</v>
      </c>
      <c r="H788" s="10" t="s">
        <v>106</v>
      </c>
      <c r="I788" s="10">
        <f ca="1">IFERROR(__xludf.DUMMYFUNCTION(" VLOOKUP(A785, IMPORTRANGE(""https://docs.google.com/spreadsheets/d/1QNLbnkR_AongFt22vMfNzfpjZ0CjpI8QI-w0wBnYA1w/"", ""Инфа!A:AA""), 6, FALSE)"),2024)</f>
        <v>2024</v>
      </c>
      <c r="J788" s="5">
        <f t="shared" ref="J788:J794" ca="1" si="20">ROUND((5000+G788*30),-2)</f>
        <v>14400</v>
      </c>
      <c r="K788" s="12" t="s">
        <v>3175</v>
      </c>
      <c r="L788" s="15" t="s">
        <v>3176</v>
      </c>
    </row>
    <row r="789" spans="1:12" ht="315">
      <c r="A789" s="8" t="s">
        <v>3177</v>
      </c>
      <c r="B789" s="9" t="s">
        <v>12</v>
      </c>
      <c r="C789" s="12" t="s">
        <v>151</v>
      </c>
      <c r="D789" s="40" t="s">
        <v>3178</v>
      </c>
      <c r="E789" s="11" t="s">
        <v>3179</v>
      </c>
      <c r="F789" s="11" t="s">
        <v>3180</v>
      </c>
      <c r="G789" s="12">
        <f ca="1">IFERROR(__xludf.DUMMYFUNCTION(" VLOOKUP(A786, IMPORTRANGE(""https://docs.google.com/spreadsheets/d/1fj_Bhi2XPL3siwIh4sx4VRLAe31yD50oKdj5UlRYW0c/"", ""Сводка!A:AA""), 5, FALSE)"),164)</f>
        <v>164</v>
      </c>
      <c r="H789" s="10" t="s">
        <v>282</v>
      </c>
      <c r="I789" s="10">
        <f ca="1">IFERROR(__xludf.DUMMYFUNCTION(" VLOOKUP(A786, IMPORTRANGE(""https://docs.google.com/spreadsheets/d/1QNLbnkR_AongFt22vMfNzfpjZ0CjpI8QI-w0wBnYA1w/"", ""Инфа!A:AA""), 6, FALSE)"),2024)</f>
        <v>2024</v>
      </c>
      <c r="J789" s="5">
        <f t="shared" ca="1" si="20"/>
        <v>9900</v>
      </c>
      <c r="K789" s="12" t="s">
        <v>3175</v>
      </c>
      <c r="L789" s="15" t="s">
        <v>3181</v>
      </c>
    </row>
    <row r="790" spans="1:12" ht="236.25">
      <c r="A790" s="8" t="s">
        <v>3182</v>
      </c>
      <c r="B790" s="9" t="s">
        <v>12</v>
      </c>
      <c r="C790" s="12" t="s">
        <v>443</v>
      </c>
      <c r="D790" s="10" t="str">
        <f ca="1">IFERROR(__xludf.DUMMYFUNCTION(" VLOOKUP(A787, IMPORTRANGE(""https://docs.google.com/spreadsheets/d/1fj_Bhi2XPL3siwIh4sx4VRLAe31yD50oKdj5UlRYW0c/"", ""Сводка!A:AA""), 11, FALSE)"),"978-601-352-788-8")</f>
        <v>978-601-352-788-8</v>
      </c>
      <c r="E790" s="11" t="s">
        <v>3183</v>
      </c>
      <c r="F790" s="11" t="s">
        <v>3184</v>
      </c>
      <c r="G790" s="12">
        <f ca="1">IFERROR(__xludf.DUMMYFUNCTION(" VLOOKUP(A787, IMPORTRANGE(""https://docs.google.com/spreadsheets/d/1fj_Bhi2XPL3siwIh4sx4VRLAe31yD50oKdj5UlRYW0c/"", ""Сводка!A:AA""), 5, FALSE)"),336)</f>
        <v>336</v>
      </c>
      <c r="H790" s="10" t="s">
        <v>511</v>
      </c>
      <c r="I790" s="10">
        <f ca="1">IFERROR(__xludf.DUMMYFUNCTION(" VLOOKUP(A787, IMPORTRANGE(""https://docs.google.com/spreadsheets/d/1QNLbnkR_AongFt22vMfNzfpjZ0CjpI8QI-w0wBnYA1w/"", ""Инфа!A:AA""), 6, FALSE)"),2024)</f>
        <v>2024</v>
      </c>
      <c r="J790" s="5">
        <f t="shared" ca="1" si="20"/>
        <v>15100</v>
      </c>
      <c r="K790" s="12" t="s">
        <v>3185</v>
      </c>
      <c r="L790" s="15" t="s">
        <v>3186</v>
      </c>
    </row>
    <row r="791" spans="1:12" ht="168.75">
      <c r="A791" s="8" t="s">
        <v>3187</v>
      </c>
      <c r="B791" s="9" t="s">
        <v>12</v>
      </c>
      <c r="C791" s="12" t="s">
        <v>443</v>
      </c>
      <c r="D791" s="10" t="str">
        <f ca="1">IFERROR(__xludf.DUMMYFUNCTION(" VLOOKUP(A788, IMPORTRANGE(""https://docs.google.com/spreadsheets/d/1fj_Bhi2XPL3siwIh4sx4VRLAe31yD50oKdj5UlRYW0c/"", ""Сводка!A:AA""), 11, FALSE)"),"978-601-330-259-1")</f>
        <v>978-601-330-259-1</v>
      </c>
      <c r="E791" s="11" t="s">
        <v>3188</v>
      </c>
      <c r="F791" s="11" t="s">
        <v>3189</v>
      </c>
      <c r="G791" s="12">
        <f ca="1">IFERROR(__xludf.DUMMYFUNCTION(" VLOOKUP(A788, IMPORTRANGE(""https://docs.google.com/spreadsheets/d/1fj_Bhi2XPL3siwIh4sx4VRLAe31yD50oKdj5UlRYW0c/"", ""Сводка!A:AA""), 5, FALSE)"),292)</f>
        <v>292</v>
      </c>
      <c r="H791" s="12" t="s">
        <v>106</v>
      </c>
      <c r="I791" s="10">
        <f ca="1">IFERROR(__xludf.DUMMYFUNCTION(" VLOOKUP(A788, IMPORTRANGE(""https://docs.google.com/spreadsheets/d/1QNLbnkR_AongFt22vMfNzfpjZ0CjpI8QI-w0wBnYA1w/"", ""Инфа!A:AA""), 6, FALSE)"),2024)</f>
        <v>2024</v>
      </c>
      <c r="J791" s="5">
        <f t="shared" ca="1" si="20"/>
        <v>13800</v>
      </c>
      <c r="K791" s="12" t="s">
        <v>3190</v>
      </c>
      <c r="L791" s="15" t="s">
        <v>3191</v>
      </c>
    </row>
    <row r="792" spans="1:12" ht="247.5">
      <c r="A792" s="8" t="s">
        <v>3192</v>
      </c>
      <c r="B792" s="9" t="s">
        <v>12</v>
      </c>
      <c r="C792" s="12" t="s">
        <v>443</v>
      </c>
      <c r="D792" s="10" t="str">
        <f ca="1">IFERROR(__xludf.DUMMYFUNCTION(" VLOOKUP(A789, IMPORTRANGE(""https://docs.google.com/spreadsheets/d/1fj_Bhi2XPL3siwIh4sx4VRLAe31yD50oKdj5UlRYW0c/"", ""Сводка!A:AA""), 11, FALSE)"),"978-9965-19-496-2")</f>
        <v>978-9965-19-496-2</v>
      </c>
      <c r="E792" s="11" t="s">
        <v>3193</v>
      </c>
      <c r="F792" s="11" t="s">
        <v>3194</v>
      </c>
      <c r="G792" s="12">
        <f ca="1">IFERROR(__xludf.DUMMYFUNCTION(" VLOOKUP(A789, IMPORTRANGE(""https://docs.google.com/spreadsheets/d/1fj_Bhi2XPL3siwIh4sx4VRLAe31yD50oKdj5UlRYW0c/"", ""Сводка!A:AA""), 5, FALSE)"),172)</f>
        <v>172</v>
      </c>
      <c r="H792" s="12" t="s">
        <v>106</v>
      </c>
      <c r="I792" s="10">
        <f ca="1">IFERROR(__xludf.DUMMYFUNCTION(" VLOOKUP(A789, IMPORTRANGE(""https://docs.google.com/spreadsheets/d/1QNLbnkR_AongFt22vMfNzfpjZ0CjpI8QI-w0wBnYA1w/"", ""Инфа!A:AA""), 6, FALSE)"),2024)</f>
        <v>2024</v>
      </c>
      <c r="J792" s="5">
        <f t="shared" ca="1" si="20"/>
        <v>10200</v>
      </c>
      <c r="K792" s="12" t="s">
        <v>26</v>
      </c>
      <c r="L792" s="15" t="s">
        <v>3195</v>
      </c>
    </row>
    <row r="793" spans="1:12" ht="191.25">
      <c r="A793" s="8" t="s">
        <v>3196</v>
      </c>
      <c r="B793" s="9" t="s">
        <v>12</v>
      </c>
      <c r="C793" s="12" t="s">
        <v>151</v>
      </c>
      <c r="D793" s="10" t="str">
        <f ca="1">IFERROR(__xludf.DUMMYFUNCTION(" VLOOKUP(A790, IMPORTRANGE(""https://docs.google.com/spreadsheets/d/1fj_Bhi2XPL3siwIh4sx4VRLAe31yD50oKdj5UlRYW0c/"", ""Сводка!A:AA""), 11, FALSE)"),"978-601-330-173-0")</f>
        <v>978-601-330-173-0</v>
      </c>
      <c r="E793" s="11" t="s">
        <v>3197</v>
      </c>
      <c r="F793" s="11" t="s">
        <v>3198</v>
      </c>
      <c r="G793" s="12">
        <f ca="1">IFERROR(__xludf.DUMMYFUNCTION(" VLOOKUP(A790, IMPORTRANGE(""https://docs.google.com/spreadsheets/d/1fj_Bhi2XPL3siwIh4sx4VRLAe31yD50oKdj5UlRYW0c/"", ""Сводка!A:AA""), 5, FALSE)"),228)</f>
        <v>228</v>
      </c>
      <c r="H793" s="12" t="s">
        <v>47</v>
      </c>
      <c r="I793" s="10">
        <f ca="1">IFERROR(__xludf.DUMMYFUNCTION(" VLOOKUP(A790, IMPORTRANGE(""https://docs.google.com/spreadsheets/d/1QNLbnkR_AongFt22vMfNzfpjZ0CjpI8QI-w0wBnYA1w/"", ""Инфа!A:AA""), 6, FALSE)"),2024)</f>
        <v>2024</v>
      </c>
      <c r="J793" s="5">
        <f t="shared" ca="1" si="20"/>
        <v>11800</v>
      </c>
      <c r="K793" s="12" t="s">
        <v>3199</v>
      </c>
      <c r="L793" s="15" t="s">
        <v>3200</v>
      </c>
    </row>
    <row r="794" spans="1:12" ht="146.25">
      <c r="A794" s="8" t="s">
        <v>3201</v>
      </c>
      <c r="B794" s="9" t="s">
        <v>12</v>
      </c>
      <c r="C794" s="12" t="s">
        <v>443</v>
      </c>
      <c r="D794" s="10" t="str">
        <f ca="1">IFERROR(__xludf.DUMMYFUNCTION(" VLOOKUP(A791, IMPORTRANGE(""https://docs.google.com/spreadsheets/d/1fj_Bhi2XPL3siwIh4sx4VRLAe31yD50oKdj5UlRYW0c/"", ""Сводка!A:AA""), 11, FALSE)"),"978-601-352-840-3")</f>
        <v>978-601-352-840-3</v>
      </c>
      <c r="E794" s="11" t="s">
        <v>3202</v>
      </c>
      <c r="F794" s="11" t="s">
        <v>3203</v>
      </c>
      <c r="G794" s="12">
        <f ca="1">IFERROR(__xludf.DUMMYFUNCTION(" VLOOKUP(A791, IMPORTRANGE(""https://docs.google.com/spreadsheets/d/1fj_Bhi2XPL3siwIh4sx4VRLAe31yD50oKdj5UlRYW0c/"", ""Сводка!A:AA""), 5, FALSE)"),128)</f>
        <v>128</v>
      </c>
      <c r="H794" s="12" t="s">
        <v>106</v>
      </c>
      <c r="I794" s="10">
        <f ca="1">IFERROR(__xludf.DUMMYFUNCTION(" VLOOKUP(A791, IMPORTRANGE(""https://docs.google.com/spreadsheets/d/1QNLbnkR_AongFt22vMfNzfpjZ0CjpI8QI-w0wBnYA1w/"", ""Инфа!A:AA""), 6, FALSE)"),2024)</f>
        <v>2024</v>
      </c>
      <c r="J794" s="5">
        <f t="shared" ca="1" si="20"/>
        <v>8800</v>
      </c>
      <c r="K794" s="12" t="s">
        <v>171</v>
      </c>
      <c r="L794" s="15" t="s">
        <v>3204</v>
      </c>
    </row>
    <row r="795" spans="1:12" ht="202.5">
      <c r="A795" s="8" t="s">
        <v>3205</v>
      </c>
      <c r="B795" s="9" t="s">
        <v>12</v>
      </c>
      <c r="C795" s="12" t="s">
        <v>443</v>
      </c>
      <c r="D795" s="10" t="str">
        <f ca="1">IFERROR(__xludf.DUMMYFUNCTION(" VLOOKUP(A792, IMPORTRANGE(""https://docs.google.com/spreadsheets/d/1fj_Bhi2XPL3siwIh4sx4VRLAe31yD50oKdj5UlRYW0c/"", ""Сводка!A:AA""), 11, FALSE)"),"978-601-352-856-4")</f>
        <v>978-601-352-856-4</v>
      </c>
      <c r="E795" s="11" t="s">
        <v>3206</v>
      </c>
      <c r="F795" s="11" t="s">
        <v>3207</v>
      </c>
      <c r="G795" s="12">
        <f ca="1">IFERROR(__xludf.DUMMYFUNCTION(" VLOOKUP(A792, IMPORTRANGE(""https://docs.google.com/spreadsheets/d/1fj_Bhi2XPL3siwIh4sx4VRLAe31yD50oKdj5UlRYW0c/"", ""Сводка!A:AA""), 5, FALSE)"),196)</f>
        <v>196</v>
      </c>
      <c r="H795" s="12" t="s">
        <v>538</v>
      </c>
      <c r="I795" s="10">
        <f ca="1">IFERROR(__xludf.DUMMYFUNCTION(" VLOOKUP(A792, IMPORTRANGE(""https://docs.google.com/spreadsheets/d/1QNLbnkR_AongFt22vMfNzfpjZ0CjpI8QI-w0wBnYA1w/"", ""Инфа!A:AA""), 6, FALSE)"),2024)</f>
        <v>2024</v>
      </c>
      <c r="J795" s="5">
        <f ca="1">ROUND((5000+G795*60),-2)</f>
        <v>16800</v>
      </c>
      <c r="K795" s="12" t="s">
        <v>3208</v>
      </c>
      <c r="L795" s="15" t="s">
        <v>3209</v>
      </c>
    </row>
    <row r="796" spans="1:12" ht="292.5">
      <c r="A796" s="8" t="s">
        <v>3210</v>
      </c>
      <c r="B796" s="9" t="s">
        <v>12</v>
      </c>
      <c r="C796" s="10" t="s">
        <v>151</v>
      </c>
      <c r="D796" s="10" t="str">
        <f ca="1">IFERROR(__xludf.DUMMYFUNCTION(" VLOOKUP(A793, IMPORTRANGE(""https://docs.google.com/spreadsheets/d/1fj_Bhi2XPL3siwIh4sx4VRLAe31yD50oKdj5UlRYW0c/"", ""Сводка!A:AA""), 11, FALSE)"),"978-601-342-240-4")</f>
        <v>978-601-342-240-4</v>
      </c>
      <c r="E796" s="11" t="s">
        <v>2785</v>
      </c>
      <c r="F796" s="22" t="s">
        <v>3211</v>
      </c>
      <c r="G796" s="12">
        <f ca="1">IFERROR(__xludf.DUMMYFUNCTION(" VLOOKUP(A793, IMPORTRANGE(""https://docs.google.com/spreadsheets/d/1fj_Bhi2XPL3siwIh4sx4VRLAe31yD50oKdj5UlRYW0c/"", ""Сводка!A:AA""), 5, FALSE)"),200)</f>
        <v>200</v>
      </c>
      <c r="H796" s="12" t="s">
        <v>47</v>
      </c>
      <c r="I796" s="10">
        <f ca="1">IFERROR(__xludf.DUMMYFUNCTION(" VLOOKUP(A793, IMPORTRANGE(""https://docs.google.com/spreadsheets/d/1QNLbnkR_AongFt22vMfNzfpjZ0CjpI8QI-w0wBnYA1w/"", ""Инфа!A:AA""), 6, FALSE)"),2024)</f>
        <v>2024</v>
      </c>
      <c r="J796" s="5">
        <f ca="1">ROUND((5000+G796*30),-2)</f>
        <v>11000</v>
      </c>
      <c r="K796" s="12" t="s">
        <v>160</v>
      </c>
      <c r="L796" s="15" t="s">
        <v>3163</v>
      </c>
    </row>
    <row r="797" spans="1:12" ht="135">
      <c r="A797" s="8" t="s">
        <v>3212</v>
      </c>
      <c r="B797" s="9" t="s">
        <v>12</v>
      </c>
      <c r="C797" s="12" t="s">
        <v>443</v>
      </c>
      <c r="D797" s="10" t="str">
        <f ca="1">IFERROR(__xludf.DUMMYFUNCTION(" VLOOKUP(A794, IMPORTRANGE(""https://docs.google.com/spreadsheets/d/1fj_Bhi2XPL3siwIh4sx4VRLAe31yD50oKdj5UlRYW0c/"", ""Сводка!A:AA""), 11, FALSE)"),"978-601-342-318-0")</f>
        <v>978-601-342-318-0</v>
      </c>
      <c r="E797" s="11" t="s">
        <v>3213</v>
      </c>
      <c r="F797" s="11" t="s">
        <v>3214</v>
      </c>
      <c r="G797" s="12">
        <f ca="1">IFERROR(__xludf.DUMMYFUNCTION(" VLOOKUP(A794, IMPORTRANGE(""https://docs.google.com/spreadsheets/d/1fj_Bhi2XPL3siwIh4sx4VRLAe31yD50oKdj5UlRYW0c/"", ""Сводка!A:AA""), 5, FALSE)"),328)</f>
        <v>328</v>
      </c>
      <c r="H797" s="12" t="s">
        <v>538</v>
      </c>
      <c r="I797" s="10">
        <f ca="1">IFERROR(__xludf.DUMMYFUNCTION(" VLOOKUP(A794, IMPORTRANGE(""https://docs.google.com/spreadsheets/d/1QNLbnkR_AongFt22vMfNzfpjZ0CjpI8QI-w0wBnYA1w/"", ""Инфа!A:AA""), 6, FALSE)"),2024)</f>
        <v>2024</v>
      </c>
      <c r="J797" s="5">
        <f ca="1">ROUND((5000+G797*60),-2)</f>
        <v>24700</v>
      </c>
      <c r="K797" s="12" t="s">
        <v>3208</v>
      </c>
      <c r="L797" s="15" t="s">
        <v>3215</v>
      </c>
    </row>
    <row r="798" spans="1:12" ht="157.5">
      <c r="A798" s="8" t="s">
        <v>3216</v>
      </c>
      <c r="B798" s="9" t="s">
        <v>12</v>
      </c>
      <c r="C798" s="12" t="s">
        <v>151</v>
      </c>
      <c r="D798" s="10" t="s">
        <v>3217</v>
      </c>
      <c r="E798" s="11" t="s">
        <v>3218</v>
      </c>
      <c r="F798" s="11" t="s">
        <v>3219</v>
      </c>
      <c r="G798" s="12">
        <f ca="1">IFERROR(__xludf.DUMMYFUNCTION(" VLOOKUP(A795, IMPORTRANGE(""https://docs.google.com/spreadsheets/d/1fj_Bhi2XPL3siwIh4sx4VRLAe31yD50oKdj5UlRYW0c/"", ""Сводка!A:AA""), 5, FALSE)"),208)</f>
        <v>208</v>
      </c>
      <c r="H798" s="12" t="s">
        <v>47</v>
      </c>
      <c r="I798" s="10">
        <f ca="1">IFERROR(__xludf.DUMMYFUNCTION(" VLOOKUP(A795, IMPORTRANGE(""https://docs.google.com/spreadsheets/d/1QNLbnkR_AongFt22vMfNzfpjZ0CjpI8QI-w0wBnYA1w/"", ""Инфа!A:AA""), 6, FALSE)"),2024)</f>
        <v>2024</v>
      </c>
      <c r="J798" s="5">
        <f t="shared" ref="J798:J803" ca="1" si="21">ROUND((5000+G798*30),-2)</f>
        <v>11200</v>
      </c>
      <c r="K798" s="12" t="s">
        <v>3208</v>
      </c>
      <c r="L798" s="15" t="s">
        <v>3220</v>
      </c>
    </row>
    <row r="799" spans="1:12" ht="236.25">
      <c r="A799" s="8" t="s">
        <v>3221</v>
      </c>
      <c r="B799" s="9" t="s">
        <v>12</v>
      </c>
      <c r="C799" s="12" t="s">
        <v>151</v>
      </c>
      <c r="D799" s="10" t="s">
        <v>3222</v>
      </c>
      <c r="E799" s="11" t="s">
        <v>3223</v>
      </c>
      <c r="F799" s="11" t="s">
        <v>3224</v>
      </c>
      <c r="G799" s="12">
        <f ca="1">IFERROR(__xludf.DUMMYFUNCTION(" VLOOKUP(A796, IMPORTRANGE(""https://docs.google.com/spreadsheets/d/1fj_Bhi2XPL3siwIh4sx4VRLAe31yD50oKdj5UlRYW0c/"", ""Сводка!A:AA""), 5, FALSE)"),252)</f>
        <v>252</v>
      </c>
      <c r="H799" s="12" t="s">
        <v>106</v>
      </c>
      <c r="I799" s="10">
        <f ca="1">IFERROR(__xludf.DUMMYFUNCTION(" VLOOKUP(A796, IMPORTRANGE(""https://docs.google.com/spreadsheets/d/1QNLbnkR_AongFt22vMfNzfpjZ0CjpI8QI-w0wBnYA1w/"", ""Инфа!A:AA""), 6, FALSE)"),2024)</f>
        <v>2024</v>
      </c>
      <c r="J799" s="5">
        <f t="shared" ca="1" si="21"/>
        <v>12600</v>
      </c>
      <c r="K799" s="12" t="s">
        <v>3208</v>
      </c>
      <c r="L799" s="15" t="s">
        <v>3225</v>
      </c>
    </row>
    <row r="800" spans="1:12" ht="213.75">
      <c r="A800" s="8" t="s">
        <v>3226</v>
      </c>
      <c r="B800" s="9" t="s">
        <v>12</v>
      </c>
      <c r="C800" s="12" t="s">
        <v>151</v>
      </c>
      <c r="D800" s="10" t="str">
        <f ca="1">IFERROR(__xludf.DUMMYFUNCTION(" VLOOKUP(A797, IMPORTRANGE(""https://docs.google.com/spreadsheets/d/1fj_Bhi2XPL3siwIh4sx4VRLAe31yD50oKdj5UlRYW0c/"", ""Сводка!A:AA""), 11, FALSE)"),"978-601-235-563-5")</f>
        <v>978-601-235-563-5</v>
      </c>
      <c r="E800" s="11" t="s">
        <v>3227</v>
      </c>
      <c r="F800" s="11" t="s">
        <v>3228</v>
      </c>
      <c r="G800" s="12">
        <f ca="1">IFERROR(__xludf.DUMMYFUNCTION(" VLOOKUP(A797, IMPORTRANGE(""https://docs.google.com/spreadsheets/d/1fj_Bhi2XPL3siwIh4sx4VRLAe31yD50oKdj5UlRYW0c/"", ""Сводка!A:AA""), 5, FALSE)"),116)</f>
        <v>116</v>
      </c>
      <c r="H800" s="12" t="s">
        <v>106</v>
      </c>
      <c r="I800" s="10">
        <f ca="1">IFERROR(__xludf.DUMMYFUNCTION(" VLOOKUP(A797, IMPORTRANGE(""https://docs.google.com/spreadsheets/d/1QNLbnkR_AongFt22vMfNzfpjZ0CjpI8QI-w0wBnYA1w/"", ""Инфа!A:AA""), 6, FALSE)"),2024)</f>
        <v>2024</v>
      </c>
      <c r="J800" s="5">
        <f t="shared" ca="1" si="21"/>
        <v>8500</v>
      </c>
      <c r="K800" s="12" t="s">
        <v>277</v>
      </c>
      <c r="L800" s="15" t="s">
        <v>3229</v>
      </c>
    </row>
    <row r="801" spans="1:12" ht="270">
      <c r="A801" s="8" t="s">
        <v>3230</v>
      </c>
      <c r="B801" s="9" t="s">
        <v>12</v>
      </c>
      <c r="C801" s="12" t="s">
        <v>443</v>
      </c>
      <c r="D801" s="10" t="s">
        <v>3231</v>
      </c>
      <c r="E801" s="11" t="s">
        <v>3232</v>
      </c>
      <c r="F801" s="11" t="s">
        <v>3233</v>
      </c>
      <c r="G801" s="12">
        <f ca="1">IFERROR(__xludf.DUMMYFUNCTION(" VLOOKUP(A798, IMPORTRANGE(""https://docs.google.com/spreadsheets/d/1fj_Bhi2XPL3siwIh4sx4VRLAe31yD50oKdj5UlRYW0c/"", ""Сводка!A:AA""), 5, FALSE)"),148)</f>
        <v>148</v>
      </c>
      <c r="H801" s="12" t="s">
        <v>538</v>
      </c>
      <c r="I801" s="10">
        <f ca="1">IFERROR(__xludf.DUMMYFUNCTION(" VLOOKUP(A798, IMPORTRANGE(""https://docs.google.com/spreadsheets/d/1QNLbnkR_AongFt22vMfNzfpjZ0CjpI8QI-w0wBnYA1w/"", ""Инфа!A:AA""), 6, FALSE)"),2024)</f>
        <v>2024</v>
      </c>
      <c r="J801" s="5">
        <f t="shared" ca="1" si="21"/>
        <v>9400</v>
      </c>
      <c r="K801" s="12" t="s">
        <v>3208</v>
      </c>
      <c r="L801" s="15" t="s">
        <v>3234</v>
      </c>
    </row>
    <row r="802" spans="1:12" ht="258.75">
      <c r="A802" s="8" t="s">
        <v>3235</v>
      </c>
      <c r="B802" s="9" t="s">
        <v>12</v>
      </c>
      <c r="C802" s="12" t="s">
        <v>151</v>
      </c>
      <c r="D802" s="10" t="s">
        <v>3236</v>
      </c>
      <c r="E802" s="11" t="s">
        <v>3237</v>
      </c>
      <c r="F802" s="11" t="s">
        <v>3238</v>
      </c>
      <c r="G802" s="12">
        <f ca="1">IFERROR(__xludf.DUMMYFUNCTION(" VLOOKUP(A799, IMPORTRANGE(""https://docs.google.com/spreadsheets/d/1fj_Bhi2XPL3siwIh4sx4VRLAe31yD50oKdj5UlRYW0c/"", ""Сводка!A:AA""), 5, FALSE)"),144)</f>
        <v>144</v>
      </c>
      <c r="H802" s="12" t="s">
        <v>47</v>
      </c>
      <c r="I802" s="10">
        <f ca="1">IFERROR(__xludf.DUMMYFUNCTION(" VLOOKUP(A799, IMPORTRANGE(""https://docs.google.com/spreadsheets/d/1QNLbnkR_AongFt22vMfNzfpjZ0CjpI8QI-w0wBnYA1w/"", ""Инфа!A:AA""), 6, FALSE)"),2024)</f>
        <v>2024</v>
      </c>
      <c r="J802" s="5">
        <f t="shared" ca="1" si="21"/>
        <v>9300</v>
      </c>
      <c r="K802" s="12" t="s">
        <v>3208</v>
      </c>
      <c r="L802" s="15" t="s">
        <v>3239</v>
      </c>
    </row>
    <row r="803" spans="1:12" ht="157.5">
      <c r="A803" s="8" t="s">
        <v>3240</v>
      </c>
      <c r="B803" s="9" t="s">
        <v>12</v>
      </c>
      <c r="C803" s="12" t="s">
        <v>443</v>
      </c>
      <c r="D803" s="10" t="str">
        <f ca="1">IFERROR(__xludf.DUMMYFUNCTION(" VLOOKUP(A800, IMPORTRANGE(""https://docs.google.com/spreadsheets/d/1fj_Bhi2XPL3siwIh4sx4VRLAe31yD50oKdj5UlRYW0c/"", ""Сводка!A:AA""), 11, FALSE)"),"978-9965-876-07-3")</f>
        <v>978-9965-876-07-3</v>
      </c>
      <c r="E803" s="11" t="s">
        <v>3241</v>
      </c>
      <c r="F803" s="11" t="s">
        <v>3242</v>
      </c>
      <c r="G803" s="12">
        <f ca="1">IFERROR(__xludf.DUMMYFUNCTION(" VLOOKUP(A800, IMPORTRANGE(""https://docs.google.com/spreadsheets/d/1fj_Bhi2XPL3siwIh4sx4VRLAe31yD50oKdj5UlRYW0c/"", ""Сводка!A:AA""), 5, FALSE)"),172)</f>
        <v>172</v>
      </c>
      <c r="H803" s="12" t="s">
        <v>106</v>
      </c>
      <c r="I803" s="10">
        <f ca="1">IFERROR(__xludf.DUMMYFUNCTION(" VLOOKUP(A800, IMPORTRANGE(""https://docs.google.com/spreadsheets/d/1QNLbnkR_AongFt22vMfNzfpjZ0CjpI8QI-w0wBnYA1w/"", ""Инфа!A:AA""), 6, FALSE)"),2024)</f>
        <v>2024</v>
      </c>
      <c r="J803" s="5">
        <f t="shared" ca="1" si="21"/>
        <v>10200</v>
      </c>
      <c r="K803" s="12" t="s">
        <v>3243</v>
      </c>
      <c r="L803" s="15" t="s">
        <v>3244</v>
      </c>
    </row>
    <row r="804" spans="1:12" ht="236.25">
      <c r="A804" s="8" t="s">
        <v>3245</v>
      </c>
      <c r="B804" s="9" t="s">
        <v>12</v>
      </c>
      <c r="C804" s="12" t="s">
        <v>151</v>
      </c>
      <c r="D804" s="10" t="str">
        <f ca="1">IFERROR(__xludf.DUMMYFUNCTION(" VLOOKUP(A801, IMPORTRANGE(""https://docs.google.com/spreadsheets/d/1fj_Bhi2XPL3siwIh4sx4VRLAe31yD50oKdj5UlRYW0c/"", ""Сводка!A:AA""), 11, FALSE)"),"978-601-352-685-0")</f>
        <v>978-601-352-685-0</v>
      </c>
      <c r="E804" s="11" t="s">
        <v>3246</v>
      </c>
      <c r="F804" s="11" t="s">
        <v>3247</v>
      </c>
      <c r="G804" s="12">
        <f ca="1">IFERROR(__xludf.DUMMYFUNCTION(" VLOOKUP(A801, IMPORTRANGE(""https://docs.google.com/spreadsheets/d/1fj_Bhi2XPL3siwIh4sx4VRLAe31yD50oKdj5UlRYW0c/"", ""Сводка!A:AA""), 5, FALSE)"),124)</f>
        <v>124</v>
      </c>
      <c r="H804" s="12" t="s">
        <v>47</v>
      </c>
      <c r="I804" s="10">
        <f ca="1">IFERROR(__xludf.DUMMYFUNCTION(" VLOOKUP(A801, IMPORTRANGE(""https://docs.google.com/spreadsheets/d/1QNLbnkR_AongFt22vMfNzfpjZ0CjpI8QI-w0wBnYA1w/"", ""Инфа!A:AA""), 6, FALSE)"),2024)</f>
        <v>2024</v>
      </c>
      <c r="J804" s="5">
        <f ca="1">ROUND((5000+G804*60),-2)</f>
        <v>12400</v>
      </c>
      <c r="K804" s="12" t="s">
        <v>257</v>
      </c>
      <c r="L804" s="15" t="s">
        <v>3248</v>
      </c>
    </row>
    <row r="805" spans="1:12" ht="123.75">
      <c r="A805" s="8" t="s">
        <v>3249</v>
      </c>
      <c r="B805" s="9" t="s">
        <v>12</v>
      </c>
      <c r="C805" s="12" t="s">
        <v>443</v>
      </c>
      <c r="D805" s="10" t="str">
        <f ca="1">IFERROR(__xludf.DUMMYFUNCTION(" VLOOKUP(A802, IMPORTRANGE(""https://docs.google.com/spreadsheets/d/1fj_Bhi2XPL3siwIh4sx4VRLAe31yD50oKdj5UlRYW0c/"", ""Сводка!A:AA""), 11, FALSE)"),"978-601-04-4559-8")</f>
        <v>978-601-04-4559-8</v>
      </c>
      <c r="E805" s="11" t="s">
        <v>3250</v>
      </c>
      <c r="F805" s="11" t="s">
        <v>3251</v>
      </c>
      <c r="G805" s="12">
        <f ca="1">IFERROR(__xludf.DUMMYFUNCTION(" VLOOKUP(A802, IMPORTRANGE(""https://docs.google.com/spreadsheets/d/1fj_Bhi2XPL3siwIh4sx4VRLAe31yD50oKdj5UlRYW0c/"", ""Сводка!A:AA""), 5, FALSE)"),172)</f>
        <v>172</v>
      </c>
      <c r="H805" s="12" t="s">
        <v>538</v>
      </c>
      <c r="I805" s="10">
        <f ca="1">IFERROR(__xludf.DUMMYFUNCTION(" VLOOKUP(A802, IMPORTRANGE(""https://docs.google.com/spreadsheets/d/1QNLbnkR_AongFt22vMfNzfpjZ0CjpI8QI-w0wBnYA1w/"", ""Инфа!A:AA""), 6, FALSE)"),2024)</f>
        <v>2024</v>
      </c>
      <c r="J805" s="5">
        <f ca="1">ROUND((5000+G805*30),-2)</f>
        <v>10200</v>
      </c>
      <c r="K805" s="12" t="s">
        <v>3252</v>
      </c>
      <c r="L805" s="15" t="s">
        <v>3253</v>
      </c>
    </row>
    <row r="806" spans="1:12" ht="202.5">
      <c r="A806" s="8" t="s">
        <v>3254</v>
      </c>
      <c r="B806" s="9" t="s">
        <v>12</v>
      </c>
      <c r="C806" s="12" t="s">
        <v>443</v>
      </c>
      <c r="D806" s="10" t="str">
        <f ca="1">IFERROR(__xludf.DUMMYFUNCTION(" VLOOKUP(A803, IMPORTRANGE(""https://docs.google.com/spreadsheets/d/1fj_Bhi2XPL3siwIh4sx4VRLAe31yD50oKdj5UlRYW0c/"", ""Сводка!A:AA""), 11, FALSE)"),"978-601-352-514-3")</f>
        <v>978-601-352-514-3</v>
      </c>
      <c r="E806" s="11" t="s">
        <v>3255</v>
      </c>
      <c r="F806" s="11" t="s">
        <v>3256</v>
      </c>
      <c r="G806" s="12">
        <f ca="1">IFERROR(__xludf.DUMMYFUNCTION(" VLOOKUP(A803, IMPORTRANGE(""https://docs.google.com/spreadsheets/d/1fj_Bhi2XPL3siwIh4sx4VRLAe31yD50oKdj5UlRYW0c/"", ""Сводка!A:AA""), 5, FALSE)"),124)</f>
        <v>124</v>
      </c>
      <c r="H806" s="12" t="s">
        <v>538</v>
      </c>
      <c r="I806" s="10">
        <f ca="1">IFERROR(__xludf.DUMMYFUNCTION(" VLOOKUP(A803, IMPORTRANGE(""https://docs.google.com/spreadsheets/d/1QNLbnkR_AongFt22vMfNzfpjZ0CjpI8QI-w0wBnYA1w/"", ""Инфа!A:AA""), 6, FALSE)"),2024)</f>
        <v>2024</v>
      </c>
      <c r="J806" s="5">
        <f ca="1">ROUND((5000+G806*30),-2)</f>
        <v>8700</v>
      </c>
      <c r="K806" s="12" t="s">
        <v>3257</v>
      </c>
      <c r="L806" s="15" t="s">
        <v>3258</v>
      </c>
    </row>
    <row r="807" spans="1:12" ht="337.5">
      <c r="A807" s="8" t="s">
        <v>3259</v>
      </c>
      <c r="B807" s="9" t="s">
        <v>12</v>
      </c>
      <c r="C807" s="10" t="s">
        <v>151</v>
      </c>
      <c r="D807" s="10" t="str">
        <f ca="1">IFERROR(__xludf.DUMMYFUNCTION(" VLOOKUP(A804, IMPORTRANGE(""https://docs.google.com/spreadsheets/d/1fj_Bhi2XPL3siwIh4sx4VRLAe31yD50oKdj5UlRYW0c/"", ""Сводка!A:AA""), 11, FALSE)"),"978-601-342-251-0")</f>
        <v>978-601-342-251-0</v>
      </c>
      <c r="E807" s="11" t="s">
        <v>2785</v>
      </c>
      <c r="F807" s="22" t="s">
        <v>3260</v>
      </c>
      <c r="G807" s="12">
        <f ca="1">IFERROR(__xludf.DUMMYFUNCTION(" VLOOKUP(A804, IMPORTRANGE(""https://docs.google.com/spreadsheets/d/1fj_Bhi2XPL3siwIh4sx4VRLAe31yD50oKdj5UlRYW0c/"", ""Сводка!A:AA""), 5, FALSE)"),248)</f>
        <v>248</v>
      </c>
      <c r="H807" s="12" t="s">
        <v>47</v>
      </c>
      <c r="I807" s="10">
        <f ca="1">IFERROR(__xludf.DUMMYFUNCTION(" VLOOKUP(A804, IMPORTRANGE(""https://docs.google.com/spreadsheets/d/1QNLbnkR_AongFt22vMfNzfpjZ0CjpI8QI-w0wBnYA1w/"", ""Инфа!A:AA""), 6, FALSE)"),2024)</f>
        <v>2024</v>
      </c>
      <c r="J807" s="5">
        <f ca="1">ROUND((5000+G807*60),-2)</f>
        <v>19900</v>
      </c>
      <c r="K807" s="12" t="s">
        <v>160</v>
      </c>
      <c r="L807" s="15" t="s">
        <v>3261</v>
      </c>
    </row>
    <row r="808" spans="1:12" ht="112.5">
      <c r="A808" s="8" t="s">
        <v>3262</v>
      </c>
      <c r="B808" s="9" t="s">
        <v>12</v>
      </c>
      <c r="C808" s="12" t="s">
        <v>443</v>
      </c>
      <c r="D808" s="10" t="str">
        <f ca="1">IFERROR(__xludf.DUMMYFUNCTION(" VLOOKUP(A805, IMPORTRANGE(""https://docs.google.com/spreadsheets/d/1fj_Bhi2XPL3siwIh4sx4VRLAe31yD50oKdj5UlRYW0c/"", ""Сводка!A:AA""), 11, FALSE)"),"978-601-330-787-9")</f>
        <v>978-601-330-787-9</v>
      </c>
      <c r="E808" s="11" t="s">
        <v>3263</v>
      </c>
      <c r="F808" s="11" t="s">
        <v>3264</v>
      </c>
      <c r="G808" s="12">
        <f ca="1">IFERROR(__xludf.DUMMYFUNCTION(" VLOOKUP(A805, IMPORTRANGE(""https://docs.google.com/spreadsheets/d/1fj_Bhi2XPL3siwIh4sx4VRLAe31yD50oKdj5UlRYW0c/"", ""Сводка!A:AA""), 5, FALSE)"),76)</f>
        <v>76</v>
      </c>
      <c r="H808" s="12" t="s">
        <v>538</v>
      </c>
      <c r="I808" s="10">
        <f ca="1">IFERROR(__xludf.DUMMYFUNCTION(" VLOOKUP(A805, IMPORTRANGE(""https://docs.google.com/spreadsheets/d/1QNLbnkR_AongFt22vMfNzfpjZ0CjpI8QI-w0wBnYA1w/"", ""Инфа!A:AA""), 6, FALSE)"),2024)</f>
        <v>2024</v>
      </c>
      <c r="J808" s="5">
        <f ca="1">ROUND((5000+G808*30),-2)</f>
        <v>7300</v>
      </c>
      <c r="K808" s="12" t="s">
        <v>3265</v>
      </c>
      <c r="L808" s="15" t="s">
        <v>3266</v>
      </c>
    </row>
    <row r="809" spans="1:12" ht="146.25">
      <c r="A809" s="8" t="s">
        <v>3267</v>
      </c>
      <c r="B809" s="9" t="s">
        <v>12</v>
      </c>
      <c r="C809" s="12" t="s">
        <v>443</v>
      </c>
      <c r="D809" s="10" t="str">
        <f ca="1">IFERROR(__xludf.DUMMYFUNCTION(" VLOOKUP(A806, IMPORTRANGE(""https://docs.google.com/spreadsheets/d/1fj_Bhi2XPL3siwIh4sx4VRLAe31yD50oKdj5UlRYW0c/"", ""Сводка!A:AA""), 11, FALSE)"),"978-601-352-765-9")</f>
        <v>978-601-352-765-9</v>
      </c>
      <c r="E809" s="11" t="s">
        <v>3268</v>
      </c>
      <c r="F809" s="11" t="s">
        <v>3269</v>
      </c>
      <c r="G809" s="12">
        <f ca="1">IFERROR(__xludf.DUMMYFUNCTION(" VLOOKUP(A806, IMPORTRANGE(""https://docs.google.com/spreadsheets/d/1fj_Bhi2XPL3siwIh4sx4VRLAe31yD50oKdj5UlRYW0c/"", ""Сводка!A:AA""), 5, FALSE)"),184)</f>
        <v>184</v>
      </c>
      <c r="H809" s="12" t="s">
        <v>538</v>
      </c>
      <c r="I809" s="10">
        <f ca="1">IFERROR(__xludf.DUMMYFUNCTION(" VLOOKUP(A806, IMPORTRANGE(""https://docs.google.com/spreadsheets/d/1QNLbnkR_AongFt22vMfNzfpjZ0CjpI8QI-w0wBnYA1w/"", ""Инфа!A:AA""), 6, FALSE)"),2024)</f>
        <v>2024</v>
      </c>
      <c r="J809" s="5">
        <f ca="1">ROUND((5000+G809*60),-2)</f>
        <v>16000</v>
      </c>
      <c r="K809" s="12" t="s">
        <v>3265</v>
      </c>
      <c r="L809" s="15" t="s">
        <v>3270</v>
      </c>
    </row>
    <row r="810" spans="1:12" ht="213.75">
      <c r="A810" s="8" t="s">
        <v>3271</v>
      </c>
      <c r="B810" s="9" t="s">
        <v>12</v>
      </c>
      <c r="C810" s="12" t="s">
        <v>443</v>
      </c>
      <c r="D810" s="10" t="str">
        <f ca="1">IFERROR(__xludf.DUMMYFUNCTION(" VLOOKUP(A807, IMPORTRANGE(""https://docs.google.com/spreadsheets/d/1fj_Bhi2XPL3siwIh4sx4VRLAe31yD50oKdj5UlRYW0c/"", ""Сводка!A:AA""), 11, FALSE)"),"978-601-7285-48-9")</f>
        <v>978-601-7285-48-9</v>
      </c>
      <c r="E810" s="11" t="s">
        <v>3272</v>
      </c>
      <c r="F810" s="11" t="s">
        <v>3273</v>
      </c>
      <c r="G810" s="12">
        <f ca="1">IFERROR(__xludf.DUMMYFUNCTION(" VLOOKUP(A807, IMPORTRANGE(""https://docs.google.com/spreadsheets/d/1fj_Bhi2XPL3siwIh4sx4VRLAe31yD50oKdj5UlRYW0c/"", ""Сводка!A:AA""), 5, FALSE)"),200)</f>
        <v>200</v>
      </c>
      <c r="H810" s="12" t="s">
        <v>106</v>
      </c>
      <c r="I810" s="10">
        <f ca="1">IFERROR(__xludf.DUMMYFUNCTION(" VLOOKUP(A807, IMPORTRANGE(""https://docs.google.com/spreadsheets/d/1QNLbnkR_AongFt22vMfNzfpjZ0CjpI8QI-w0wBnYA1w/"", ""Инфа!A:AA""), 6, FALSE)"),2024)</f>
        <v>2024</v>
      </c>
      <c r="J810" s="5">
        <f t="shared" ref="J810:J817" ca="1" si="22">ROUND((5000+G810*30),-2)</f>
        <v>11000</v>
      </c>
      <c r="K810" s="12" t="s">
        <v>3274</v>
      </c>
      <c r="L810" s="15" t="s">
        <v>3275</v>
      </c>
    </row>
    <row r="811" spans="1:12" ht="135">
      <c r="A811" s="8" t="s">
        <v>3276</v>
      </c>
      <c r="B811" s="9" t="s">
        <v>12</v>
      </c>
      <c r="C811" s="12" t="s">
        <v>443</v>
      </c>
      <c r="D811" s="10" t="str">
        <f ca="1">IFERROR(__xludf.DUMMYFUNCTION(" VLOOKUP(A808, IMPORTRANGE(""https://docs.google.com/spreadsheets/d/1fj_Bhi2XPL3siwIh4sx4VRLAe31yD50oKdj5UlRYW0c/"", ""Сводка!A:AA""), 11, FALSE)"),"978-601-330-014-6")</f>
        <v>978-601-330-014-6</v>
      </c>
      <c r="E811" s="11" t="s">
        <v>3277</v>
      </c>
      <c r="F811" s="11" t="s">
        <v>3278</v>
      </c>
      <c r="G811" s="12">
        <f ca="1">IFERROR(__xludf.DUMMYFUNCTION(" VLOOKUP(A808, IMPORTRANGE(""https://docs.google.com/spreadsheets/d/1fj_Bhi2XPL3siwIh4sx4VRLAe31yD50oKdj5UlRYW0c/"", ""Сводка!A:AA""), 5, FALSE)"),156)</f>
        <v>156</v>
      </c>
      <c r="H811" s="12" t="s">
        <v>106</v>
      </c>
      <c r="I811" s="10">
        <f ca="1">IFERROR(__xludf.DUMMYFUNCTION(" VLOOKUP(A808, IMPORTRANGE(""https://docs.google.com/spreadsheets/d/1QNLbnkR_AongFt22vMfNzfpjZ0CjpI8QI-w0wBnYA1w/"", ""Инфа!A:AA""), 6, FALSE)"),2024)</f>
        <v>2024</v>
      </c>
      <c r="J811" s="5">
        <f t="shared" ca="1" si="22"/>
        <v>9700</v>
      </c>
      <c r="K811" s="12" t="s">
        <v>101</v>
      </c>
      <c r="L811" s="15" t="s">
        <v>3279</v>
      </c>
    </row>
    <row r="812" spans="1:12" ht="225">
      <c r="A812" s="8" t="s">
        <v>3280</v>
      </c>
      <c r="B812" s="9" t="s">
        <v>12</v>
      </c>
      <c r="C812" s="12" t="s">
        <v>443</v>
      </c>
      <c r="D812" s="10" t="str">
        <f ca="1">IFERROR(__xludf.DUMMYFUNCTION(" VLOOKUP(A809, IMPORTRANGE(""https://docs.google.com/spreadsheets/d/1fj_Bhi2XPL3siwIh4sx4VRLAe31yD50oKdj5UlRYW0c/"", ""Сводка!A:AA""), 11, FALSE)"),"978-601-352-760-4")</f>
        <v>978-601-352-760-4</v>
      </c>
      <c r="E812" s="11" t="s">
        <v>3281</v>
      </c>
      <c r="F812" s="11" t="s">
        <v>3282</v>
      </c>
      <c r="G812" s="12">
        <f ca="1">IFERROR(__xludf.DUMMYFUNCTION(" VLOOKUP(A809, IMPORTRANGE(""https://docs.google.com/spreadsheets/d/1fj_Bhi2XPL3siwIh4sx4VRLAe31yD50oKdj5UlRYW0c/"", ""Сводка!A:AA""), 5, FALSE)"),256)</f>
        <v>256</v>
      </c>
      <c r="H812" s="12" t="s">
        <v>538</v>
      </c>
      <c r="I812" s="10">
        <f ca="1">IFERROR(__xludf.DUMMYFUNCTION(" VLOOKUP(A809, IMPORTRANGE(""https://docs.google.com/spreadsheets/d/1QNLbnkR_AongFt22vMfNzfpjZ0CjpI8QI-w0wBnYA1w/"", ""Инфа!A:AA""), 6, FALSE)"),2024)</f>
        <v>2024</v>
      </c>
      <c r="J812" s="5">
        <f t="shared" ca="1" si="22"/>
        <v>12700</v>
      </c>
      <c r="K812" s="12" t="s">
        <v>3283</v>
      </c>
      <c r="L812" s="15" t="s">
        <v>3284</v>
      </c>
    </row>
    <row r="813" spans="1:12" ht="225">
      <c r="A813" s="8" t="s">
        <v>3285</v>
      </c>
      <c r="B813" s="9" t="s">
        <v>12</v>
      </c>
      <c r="C813" s="12" t="s">
        <v>13</v>
      </c>
      <c r="D813" s="10" t="str">
        <f ca="1">IFERROR(__xludf.DUMMYFUNCTION(" VLOOKUP(A810, IMPORTRANGE(""https://docs.google.com/spreadsheets/d/1fj_Bhi2XPL3siwIh4sx4VRLAe31yD50oKdj5UlRYW0c/"", ""Сводка!A:AA""), 11, FALSE)"),"")</f>
        <v/>
      </c>
      <c r="E813" s="11" t="s">
        <v>3286</v>
      </c>
      <c r="F813" s="11" t="s">
        <v>3287</v>
      </c>
      <c r="G813" s="12">
        <f ca="1">IFERROR(__xludf.DUMMYFUNCTION(" VLOOKUP(A810, IMPORTRANGE(""https://docs.google.com/spreadsheets/d/1fj_Bhi2XPL3siwIh4sx4VRLAe31yD50oKdj5UlRYW0c/"", ""Сводка!A:AA""), 5, FALSE)"),160)</f>
        <v>160</v>
      </c>
      <c r="H813" s="12" t="s">
        <v>3288</v>
      </c>
      <c r="I813" s="10">
        <f ca="1">IFERROR(__xludf.DUMMYFUNCTION(" VLOOKUP(A810, IMPORTRANGE(""https://docs.google.com/spreadsheets/d/1QNLbnkR_AongFt22vMfNzfpjZ0CjpI8QI-w0wBnYA1w/"", ""Инфа!A:AA""), 6, FALSE)"),2024)</f>
        <v>2024</v>
      </c>
      <c r="J813" s="5">
        <f t="shared" ca="1" si="22"/>
        <v>9800</v>
      </c>
      <c r="K813" s="12" t="s">
        <v>3289</v>
      </c>
      <c r="L813" s="15" t="s">
        <v>3290</v>
      </c>
    </row>
    <row r="814" spans="1:12" ht="168.75">
      <c r="A814" s="8" t="s">
        <v>3291</v>
      </c>
      <c r="B814" s="9" t="s">
        <v>2231</v>
      </c>
      <c r="C814" s="12" t="s">
        <v>443</v>
      </c>
      <c r="D814" s="10" t="str">
        <f ca="1">IFERROR(__xludf.DUMMYFUNCTION(" VLOOKUP(A811, IMPORTRANGE(""https://docs.google.com/spreadsheets/d/1fj_Bhi2XPL3siwIh4sx4VRLAe31yD50oKdj5UlRYW0c/"", ""Сводка!A:AA""), 11, FALSE)"),"")</f>
        <v/>
      </c>
      <c r="E814" s="11" t="s">
        <v>3292</v>
      </c>
      <c r="F814" s="11" t="s">
        <v>3293</v>
      </c>
      <c r="G814" s="12">
        <f ca="1">IFERROR(__xludf.DUMMYFUNCTION(" VLOOKUP(A811, IMPORTRANGE(""https://docs.google.com/spreadsheets/d/1fj_Bhi2XPL3siwIh4sx4VRLAe31yD50oKdj5UlRYW0c/"", ""Сводка!A:AA""), 5, FALSE)"),152)</f>
        <v>152</v>
      </c>
      <c r="H814" s="12" t="s">
        <v>777</v>
      </c>
      <c r="I814" s="10">
        <f ca="1">IFERROR(__xludf.DUMMYFUNCTION(" VLOOKUP(A811, IMPORTRANGE(""https://docs.google.com/spreadsheets/d/1QNLbnkR_AongFt22vMfNzfpjZ0CjpI8QI-w0wBnYA1w/"", ""Инфа!A:AA""), 6, FALSE)"),2024)</f>
        <v>2024</v>
      </c>
      <c r="J814" s="5">
        <f t="shared" ca="1" si="22"/>
        <v>9600</v>
      </c>
      <c r="K814" s="12" t="s">
        <v>3294</v>
      </c>
      <c r="L814" s="15" t="s">
        <v>3295</v>
      </c>
    </row>
    <row r="815" spans="1:12" ht="258.75">
      <c r="A815" s="8" t="s">
        <v>3296</v>
      </c>
      <c r="B815" s="9" t="s">
        <v>12</v>
      </c>
      <c r="C815" s="12" t="s">
        <v>13</v>
      </c>
      <c r="D815" s="10" t="str">
        <f ca="1">IFERROR(__xludf.DUMMYFUNCTION(" VLOOKUP(A812, IMPORTRANGE(""https://docs.google.com/spreadsheets/d/1fj_Bhi2XPL3siwIh4sx4VRLAe31yD50oKdj5UlRYW0c/"", ""Сводка!A:AA""), 11, FALSE)"),"978-601-230-112-0")</f>
        <v>978-601-230-112-0</v>
      </c>
      <c r="E815" s="11" t="s">
        <v>3297</v>
      </c>
      <c r="F815" s="11" t="s">
        <v>3298</v>
      </c>
      <c r="G815" s="12">
        <f ca="1">IFERROR(__xludf.DUMMYFUNCTION(" VLOOKUP(A812, IMPORTRANGE(""https://docs.google.com/spreadsheets/d/1fj_Bhi2XPL3siwIh4sx4VRLAe31yD50oKdj5UlRYW0c/"", ""Сводка!A:AA""), 5, FALSE)"),236)</f>
        <v>236</v>
      </c>
      <c r="H815" s="12" t="s">
        <v>47</v>
      </c>
      <c r="I815" s="10">
        <f ca="1">IFERROR(__xludf.DUMMYFUNCTION(" VLOOKUP(A812, IMPORTRANGE(""https://docs.google.com/spreadsheets/d/1QNLbnkR_AongFt22vMfNzfpjZ0CjpI8QI-w0wBnYA1w/"", ""Инфа!A:AA""), 6, FALSE)"),2023)</f>
        <v>2023</v>
      </c>
      <c r="J815" s="5">
        <f t="shared" ca="1" si="22"/>
        <v>12100</v>
      </c>
      <c r="K815" s="12" t="s">
        <v>3299</v>
      </c>
      <c r="L815" s="15" t="s">
        <v>3300</v>
      </c>
    </row>
    <row r="816" spans="1:12" ht="157.5">
      <c r="A816" s="8" t="s">
        <v>3301</v>
      </c>
      <c r="B816" s="9" t="s">
        <v>12</v>
      </c>
      <c r="C816" s="12" t="s">
        <v>443</v>
      </c>
      <c r="D816" s="10" t="str">
        <f ca="1">IFERROR(__xludf.DUMMYFUNCTION(" VLOOKUP(A813, IMPORTRANGE(""https://docs.google.com/spreadsheets/d/1fj_Bhi2XPL3siwIh4sx4VRLAe31yD50oKdj5UlRYW0c/"", ""Сводка!A:AA""), 11, FALSE)"),"")</f>
        <v/>
      </c>
      <c r="E816" s="11" t="s">
        <v>3302</v>
      </c>
      <c r="F816" s="11" t="s">
        <v>3303</v>
      </c>
      <c r="G816" s="12">
        <f ca="1">IFERROR(__xludf.DUMMYFUNCTION(" VLOOKUP(A813, IMPORTRANGE(""https://docs.google.com/spreadsheets/d/1fj_Bhi2XPL3siwIh4sx4VRLAe31yD50oKdj5UlRYW0c/"", ""Сводка!A:AA""), 5, FALSE)"),220)</f>
        <v>220</v>
      </c>
      <c r="H816" s="12" t="s">
        <v>538</v>
      </c>
      <c r="I816" s="10">
        <f ca="1">IFERROR(__xludf.DUMMYFUNCTION(" VLOOKUP(A813, IMPORTRANGE(""https://docs.google.com/spreadsheets/d/1QNLbnkR_AongFt22vMfNzfpjZ0CjpI8QI-w0wBnYA1w/"", ""Инфа!A:AA""), 6, FALSE)"),2024)</f>
        <v>2024</v>
      </c>
      <c r="J816" s="5">
        <f t="shared" ca="1" si="22"/>
        <v>11600</v>
      </c>
      <c r="K816" s="12" t="s">
        <v>3304</v>
      </c>
      <c r="L816" s="15" t="s">
        <v>3305</v>
      </c>
    </row>
    <row r="817" spans="1:12" ht="90">
      <c r="A817" s="8" t="s">
        <v>3306</v>
      </c>
      <c r="B817" s="9" t="s">
        <v>12</v>
      </c>
      <c r="C817" s="12" t="s">
        <v>443</v>
      </c>
      <c r="D817" s="10" t="str">
        <f ca="1">IFERROR(__xludf.DUMMYFUNCTION(" VLOOKUP(A814, IMPORTRANGE(""https://docs.google.com/spreadsheets/d/1fj_Bhi2XPL3siwIh4sx4VRLAe31yD50oKdj5UlRYW0c/"", ""Сводка!A:AA""), 11, FALSE)"),"978-601-352-628-7")</f>
        <v>978-601-352-628-7</v>
      </c>
      <c r="E817" s="11" t="s">
        <v>3307</v>
      </c>
      <c r="F817" s="11" t="s">
        <v>3308</v>
      </c>
      <c r="G817" s="12">
        <f ca="1">IFERROR(__xludf.DUMMYFUNCTION(" VLOOKUP(A814, IMPORTRANGE(""https://docs.google.com/spreadsheets/d/1fj_Bhi2XPL3siwIh4sx4VRLAe31yD50oKdj5UlRYW0c/"", ""Сводка!A:AA""), 5, FALSE)"),72)</f>
        <v>72</v>
      </c>
      <c r="H817" s="12" t="s">
        <v>777</v>
      </c>
      <c r="I817" s="10">
        <f ca="1">IFERROR(__xludf.DUMMYFUNCTION(" VLOOKUP(A814, IMPORTRANGE(""https://docs.google.com/spreadsheets/d/1QNLbnkR_AongFt22vMfNzfpjZ0CjpI8QI-w0wBnYA1w/"", ""Инфа!A:AA""), 6, FALSE)"),2024)</f>
        <v>2024</v>
      </c>
      <c r="J817" s="5">
        <f t="shared" ca="1" si="22"/>
        <v>7200</v>
      </c>
      <c r="K817" s="12" t="s">
        <v>3309</v>
      </c>
      <c r="L817" s="15" t="s">
        <v>3310</v>
      </c>
    </row>
    <row r="818" spans="1:12" ht="337.5">
      <c r="A818" s="8" t="s">
        <v>3311</v>
      </c>
      <c r="B818" s="9" t="s">
        <v>12</v>
      </c>
      <c r="C818" s="10" t="s">
        <v>151</v>
      </c>
      <c r="D818" s="10" t="str">
        <f ca="1">IFERROR(__xludf.DUMMYFUNCTION(" VLOOKUP(A815, IMPORTRANGE(""https://docs.google.com/spreadsheets/d/1fj_Bhi2XPL3siwIh4sx4VRLAe31yD50oKdj5UlRYW0c/"", ""Сводка!A:AA""), 11, FALSE)"),"978-601-342-251-0")</f>
        <v>978-601-342-251-0</v>
      </c>
      <c r="E818" s="11" t="s">
        <v>2785</v>
      </c>
      <c r="F818" s="22" t="s">
        <v>3312</v>
      </c>
      <c r="G818" s="12">
        <f ca="1">IFERROR(__xludf.DUMMYFUNCTION(" VLOOKUP(A815, IMPORTRANGE(""https://docs.google.com/spreadsheets/d/1fj_Bhi2XPL3siwIh4sx4VRLAe31yD50oKdj5UlRYW0c/"", ""Сводка!A:AA""), 5, FALSE)"),256)</f>
        <v>256</v>
      </c>
      <c r="H818" s="12" t="s">
        <v>47</v>
      </c>
      <c r="I818" s="10">
        <f ca="1">IFERROR(__xludf.DUMMYFUNCTION(" VLOOKUP(A815, IMPORTRANGE(""https://docs.google.com/spreadsheets/d/1QNLbnkR_AongFt22vMfNzfpjZ0CjpI8QI-w0wBnYA1w/"", ""Инфа!A:AA""), 6, FALSE)"),2024)</f>
        <v>2024</v>
      </c>
      <c r="J818" s="5">
        <f ca="1">ROUND((5000+G818*60),-2)</f>
        <v>20400</v>
      </c>
      <c r="K818" s="12" t="s">
        <v>160</v>
      </c>
      <c r="L818" s="15" t="s">
        <v>3313</v>
      </c>
    </row>
    <row r="819" spans="1:12" ht="202.5">
      <c r="A819" s="8" t="s">
        <v>3314</v>
      </c>
      <c r="B819" s="9" t="s">
        <v>12</v>
      </c>
      <c r="C819" s="12" t="s">
        <v>443</v>
      </c>
      <c r="D819" s="10" t="str">
        <f ca="1">IFERROR(__xludf.DUMMYFUNCTION(" VLOOKUP(A816, IMPORTRANGE(""https://docs.google.com/spreadsheets/d/1fj_Bhi2XPL3siwIh4sx4VRLAe31yD50oKdj5UlRYW0c/"", ""Сводка!A:AA""), 11, FALSE)"),"978-601-352-540-2")</f>
        <v>978-601-352-540-2</v>
      </c>
      <c r="E819" s="11" t="s">
        <v>3315</v>
      </c>
      <c r="F819" s="11" t="s">
        <v>3316</v>
      </c>
      <c r="G819" s="12">
        <f ca="1">IFERROR(__xludf.DUMMYFUNCTION(" VLOOKUP(A816, IMPORTRANGE(""https://docs.google.com/spreadsheets/d/1fj_Bhi2XPL3siwIh4sx4VRLAe31yD50oKdj5UlRYW0c/"", ""Сводка!A:AA""), 5, FALSE)"),212)</f>
        <v>212</v>
      </c>
      <c r="H819" s="12" t="s">
        <v>538</v>
      </c>
      <c r="I819" s="10">
        <f ca="1">IFERROR(__xludf.DUMMYFUNCTION(" VLOOKUP(A816, IMPORTRANGE(""https://docs.google.com/spreadsheets/d/1QNLbnkR_AongFt22vMfNzfpjZ0CjpI8QI-w0wBnYA1w/"", ""Инфа!A:AA""), 6, FALSE)"),2024)</f>
        <v>2024</v>
      </c>
      <c r="J819" s="5">
        <f ca="1">ROUND((5000+G819*60),-2)</f>
        <v>17700</v>
      </c>
      <c r="K819" s="12" t="s">
        <v>1483</v>
      </c>
      <c r="L819" s="15" t="s">
        <v>3317</v>
      </c>
    </row>
    <row r="820" spans="1:12" ht="112.5">
      <c r="A820" s="8" t="s">
        <v>3318</v>
      </c>
      <c r="B820" s="9" t="s">
        <v>12</v>
      </c>
      <c r="C820" s="12" t="s">
        <v>443</v>
      </c>
      <c r="D820" s="10" t="str">
        <f ca="1">IFERROR(__xludf.DUMMYFUNCTION(" VLOOKUP(A817, IMPORTRANGE(""https://docs.google.com/spreadsheets/d/1fj_Bhi2XPL3siwIh4sx4VRLAe31yD50oKdj5UlRYW0c/"", ""Сводка!A:AA""), 11, FALSE)"),"978-601-7939-87-8")</f>
        <v>978-601-7939-87-8</v>
      </c>
      <c r="E820" s="11" t="s">
        <v>3319</v>
      </c>
      <c r="F820" s="11" t="s">
        <v>3320</v>
      </c>
      <c r="G820" s="12">
        <f ca="1">IFERROR(__xludf.DUMMYFUNCTION(" VLOOKUP(A817, IMPORTRANGE(""https://docs.google.com/spreadsheets/d/1fj_Bhi2XPL3siwIh4sx4VRLAe31yD50oKdj5UlRYW0c/"", ""Сводка!A:AA""), 5, FALSE)"),308)</f>
        <v>308</v>
      </c>
      <c r="H820" s="12" t="s">
        <v>538</v>
      </c>
      <c r="I820" s="10">
        <f ca="1">IFERROR(__xludf.DUMMYFUNCTION(" VLOOKUP(A817, IMPORTRANGE(""https://docs.google.com/spreadsheets/d/1QNLbnkR_AongFt22vMfNzfpjZ0CjpI8QI-w0wBnYA1w/"", ""Инфа!A:AA""), 6, FALSE)"),2024)</f>
        <v>2024</v>
      </c>
      <c r="J820" s="5">
        <f ca="1">ROUND((5000+G820*60),-2)</f>
        <v>23500</v>
      </c>
      <c r="K820" s="12" t="s">
        <v>3321</v>
      </c>
      <c r="L820" s="15" t="s">
        <v>3322</v>
      </c>
    </row>
    <row r="821" spans="1:12" ht="45">
      <c r="A821" s="8" t="s">
        <v>3323</v>
      </c>
      <c r="B821" s="9" t="s">
        <v>12</v>
      </c>
      <c r="C821" s="12" t="s">
        <v>443</v>
      </c>
      <c r="D821" s="10" t="str">
        <f ca="1">IFERROR(__xludf.DUMMYFUNCTION(" VLOOKUP(A818, IMPORTRANGE(""https://docs.google.com/spreadsheets/d/1fj_Bhi2XPL3siwIh4sx4VRLAe31yD50oKdj5UlRYW0c/"", ""Сводка!A:AA""), 11, FALSE)"),"978-601-352-994-3")</f>
        <v>978-601-352-994-3</v>
      </c>
      <c r="E821" s="11" t="s">
        <v>3324</v>
      </c>
      <c r="F821" s="11" t="s">
        <v>3325</v>
      </c>
      <c r="G821" s="12">
        <f ca="1">IFERROR(__xludf.DUMMYFUNCTION(" VLOOKUP(A818, IMPORTRANGE(""https://docs.google.com/spreadsheets/d/1fj_Bhi2XPL3siwIh4sx4VRLAe31yD50oKdj5UlRYW0c/"", ""Сводка!A:AA""), 5, FALSE)"),120)</f>
        <v>120</v>
      </c>
      <c r="H821" s="12" t="s">
        <v>106</v>
      </c>
      <c r="I821" s="10">
        <f ca="1">IFERROR(__xludf.DUMMYFUNCTION(" VLOOKUP(A818, IMPORTRANGE(""https://docs.google.com/spreadsheets/d/1QNLbnkR_AongFt22vMfNzfpjZ0CjpI8QI-w0wBnYA1w/"", ""Инфа!A:AA""), 6, FALSE)"),2024)</f>
        <v>2024</v>
      </c>
      <c r="J821" s="5">
        <f ca="1">ROUND((5000+G821*30),-2)</f>
        <v>8600</v>
      </c>
      <c r="K821" s="12" t="s">
        <v>3326</v>
      </c>
      <c r="L821" s="15" t="s">
        <v>3327</v>
      </c>
    </row>
    <row r="822" spans="1:12" ht="157.5">
      <c r="A822" s="8" t="s">
        <v>3328</v>
      </c>
      <c r="B822" s="9" t="s">
        <v>12</v>
      </c>
      <c r="C822" s="12" t="s">
        <v>151</v>
      </c>
      <c r="D822" s="10" t="str">
        <f ca="1">IFERROR(__xludf.DUMMYFUNCTION(" VLOOKUP(A819, IMPORTRANGE(""https://docs.google.com/spreadsheets/d/1fj_Bhi2XPL3siwIh4sx4VRLAe31yD50oKdj5UlRYW0c/"", ""Сводка!A:AA""), 11, FALSE)"),"978-601-352-687-4")</f>
        <v>978-601-352-687-4</v>
      </c>
      <c r="E822" s="11" t="s">
        <v>3329</v>
      </c>
      <c r="F822" s="11" t="s">
        <v>3330</v>
      </c>
      <c r="G822" s="12">
        <f ca="1">IFERROR(__xludf.DUMMYFUNCTION(" VLOOKUP(A819, IMPORTRANGE(""https://docs.google.com/spreadsheets/d/1fj_Bhi2XPL3siwIh4sx4VRLAe31yD50oKdj5UlRYW0c/"", ""Сводка!A:AA""), 5, FALSE)"),128)</f>
        <v>128</v>
      </c>
      <c r="H822" s="12" t="s">
        <v>47</v>
      </c>
      <c r="I822" s="10">
        <f ca="1">IFERROR(__xludf.DUMMYFUNCTION(" VLOOKUP(A819, IMPORTRANGE(""https://docs.google.com/spreadsheets/d/1QNLbnkR_AongFt22vMfNzfpjZ0CjpI8QI-w0wBnYA1w/"", ""Инфа!A:AA""), 6, FALSE)"),2024)</f>
        <v>2024</v>
      </c>
      <c r="J822" s="5">
        <f ca="1">ROUND((5000+G822*30),-2)</f>
        <v>8800</v>
      </c>
      <c r="K822" s="12" t="s">
        <v>3331</v>
      </c>
      <c r="L822" s="15" t="s">
        <v>3332</v>
      </c>
    </row>
    <row r="823" spans="1:12" ht="292.5">
      <c r="A823" s="8" t="s">
        <v>3333</v>
      </c>
      <c r="B823" s="9" t="s">
        <v>12</v>
      </c>
      <c r="C823" s="12" t="s">
        <v>443</v>
      </c>
      <c r="D823" s="10" t="str">
        <f ca="1">IFERROR(__xludf.DUMMYFUNCTION(" VLOOKUP(A820, IMPORTRANGE(""https://docs.google.com/spreadsheets/d/1fj_Bhi2XPL3siwIh4sx4VRLAe31yD50oKdj5UlRYW0c/"", ""Сводка!A:AA""), 11, FALSE)"),"978-601-342-868-0")</f>
        <v>978-601-342-868-0</v>
      </c>
      <c r="E823" s="11" t="s">
        <v>3334</v>
      </c>
      <c r="F823" s="11" t="s">
        <v>3335</v>
      </c>
      <c r="G823" s="12">
        <f ca="1">IFERROR(__xludf.DUMMYFUNCTION(" VLOOKUP(A820, IMPORTRANGE(""https://docs.google.com/spreadsheets/d/1fj_Bhi2XPL3siwIh4sx4VRLAe31yD50oKdj5UlRYW0c/"", ""Сводка!A:AA""), 5, FALSE)"),260)</f>
        <v>260</v>
      </c>
      <c r="H823" s="12" t="s">
        <v>538</v>
      </c>
      <c r="I823" s="10">
        <f ca="1">IFERROR(__xludf.DUMMYFUNCTION(" VLOOKUP(A820, IMPORTRANGE(""https://docs.google.com/spreadsheets/d/1QNLbnkR_AongFt22vMfNzfpjZ0CjpI8QI-w0wBnYA1w/"", ""Инфа!A:AA""), 6, FALSE)"),2023)</f>
        <v>2023</v>
      </c>
      <c r="J823" s="5">
        <f ca="1">ROUND((5000+G823*60),-2)</f>
        <v>20600</v>
      </c>
      <c r="K823" s="12" t="s">
        <v>69</v>
      </c>
      <c r="L823" s="15" t="s">
        <v>3336</v>
      </c>
    </row>
    <row r="824" spans="1:12" ht="292.5">
      <c r="A824" s="8" t="s">
        <v>3337</v>
      </c>
      <c r="B824" s="9" t="s">
        <v>12</v>
      </c>
      <c r="C824" s="12" t="s">
        <v>443</v>
      </c>
      <c r="D824" s="10" t="str">
        <f ca="1">IFERROR(__xludf.DUMMYFUNCTION(" VLOOKUP(A821, IMPORTRANGE(""https://docs.google.com/spreadsheets/d/1fj_Bhi2XPL3siwIh4sx4VRLAe31yD50oKdj5UlRYW0c/"", ""Сводка!A:AA""), 11, FALSE)"),"978-601-342-868-0")</f>
        <v>978-601-342-868-0</v>
      </c>
      <c r="E824" s="11" t="s">
        <v>3334</v>
      </c>
      <c r="F824" s="11" t="s">
        <v>3338</v>
      </c>
      <c r="G824" s="12">
        <f ca="1">IFERROR(__xludf.DUMMYFUNCTION(" VLOOKUP(A821, IMPORTRANGE(""https://docs.google.com/spreadsheets/d/1fj_Bhi2XPL3siwIh4sx4VRLAe31yD50oKdj5UlRYW0c/"", ""Сводка!A:AA""), 5, FALSE)"),260)</f>
        <v>260</v>
      </c>
      <c r="H824" s="12" t="s">
        <v>538</v>
      </c>
      <c r="I824" s="10">
        <f ca="1">IFERROR(__xludf.DUMMYFUNCTION(" VLOOKUP(A821, IMPORTRANGE(""https://docs.google.com/spreadsheets/d/1QNLbnkR_AongFt22vMfNzfpjZ0CjpI8QI-w0wBnYA1w/"", ""Инфа!A:AA""), 6, FALSE)"),2023)</f>
        <v>2023</v>
      </c>
      <c r="J824" s="5">
        <f ca="1">ROUND((5000+G824*60),-2)</f>
        <v>20600</v>
      </c>
      <c r="K824" s="12" t="s">
        <v>69</v>
      </c>
      <c r="L824" s="15" t="s">
        <v>3336</v>
      </c>
    </row>
    <row r="825" spans="1:12" ht="112.5">
      <c r="A825" s="8" t="s">
        <v>3339</v>
      </c>
      <c r="B825" s="9" t="s">
        <v>12</v>
      </c>
      <c r="C825" s="12" t="s">
        <v>151</v>
      </c>
      <c r="D825" s="10" t="str">
        <f ca="1">IFERROR(__xludf.DUMMYFUNCTION(" VLOOKUP(A822, IMPORTRANGE(""https://docs.google.com/spreadsheets/d/1fj_Bhi2XPL3siwIh4sx4VRLAe31yD50oKdj5UlRYW0c/"", ""Сводка!A:AA""), 11, FALSE)"),"978-601-330-209-6")</f>
        <v>978-601-330-209-6</v>
      </c>
      <c r="E825" s="11" t="s">
        <v>3340</v>
      </c>
      <c r="F825" s="11" t="s">
        <v>3341</v>
      </c>
      <c r="G825" s="12">
        <f ca="1">IFERROR(__xludf.DUMMYFUNCTION(" VLOOKUP(A822, IMPORTRANGE(""https://docs.google.com/spreadsheets/d/1fj_Bhi2XPL3siwIh4sx4VRLAe31yD50oKdj5UlRYW0c/"", ""Сводка!A:AA""), 5, FALSE)"),140)</f>
        <v>140</v>
      </c>
      <c r="H825" s="12" t="s">
        <v>106</v>
      </c>
      <c r="I825" s="10">
        <f ca="1">IFERROR(__xludf.DUMMYFUNCTION(" VLOOKUP(A822, IMPORTRANGE(""https://docs.google.com/spreadsheets/d/1QNLbnkR_AongFt22vMfNzfpjZ0CjpI8QI-w0wBnYA1w/"", ""Инфа!A:AA""), 6, FALSE)"),2023)</f>
        <v>2023</v>
      </c>
      <c r="J825" s="5">
        <f ca="1">ROUND((5000+G825*30),-2)</f>
        <v>9200</v>
      </c>
      <c r="K825" s="12" t="s">
        <v>3342</v>
      </c>
      <c r="L825" s="15" t="s">
        <v>3343</v>
      </c>
    </row>
    <row r="826" spans="1:12" ht="112.5">
      <c r="A826" s="8" t="s">
        <v>3344</v>
      </c>
      <c r="B826" s="9" t="s">
        <v>12</v>
      </c>
      <c r="C826" s="12" t="s">
        <v>13</v>
      </c>
      <c r="D826" s="10" t="str">
        <f ca="1">IFERROR(__xludf.DUMMYFUNCTION(" VLOOKUP(A823, IMPORTRANGE(""https://docs.google.com/spreadsheets/d/1fj_Bhi2XPL3siwIh4sx4VRLAe31yD50oKdj5UlRYW0c/"", ""Сводка!A:AA""), 11, FALSE)"),"978-601-330-231-7")</f>
        <v>978-601-330-231-7</v>
      </c>
      <c r="E826" s="11" t="s">
        <v>3345</v>
      </c>
      <c r="F826" s="11" t="s">
        <v>3346</v>
      </c>
      <c r="G826" s="12">
        <f ca="1">IFERROR(__xludf.DUMMYFUNCTION(" VLOOKUP(A823, IMPORTRANGE(""https://docs.google.com/spreadsheets/d/1fj_Bhi2XPL3siwIh4sx4VRLAe31yD50oKdj5UlRYW0c/"", ""Сводка!A:AA""), 5, FALSE)"),168)</f>
        <v>168</v>
      </c>
      <c r="H826" s="12" t="s">
        <v>3288</v>
      </c>
      <c r="I826" s="10">
        <f ca="1">IFERROR(__xludf.DUMMYFUNCTION(" VLOOKUP(A823, IMPORTRANGE(""https://docs.google.com/spreadsheets/d/1QNLbnkR_AongFt22vMfNzfpjZ0CjpI8QI-w0wBnYA1w/"", ""Инфа!A:AA""), 6, FALSE)"),2023)</f>
        <v>2023</v>
      </c>
      <c r="J826" s="5">
        <f ca="1">ROUND((5000+G826*30),-2)</f>
        <v>10000</v>
      </c>
      <c r="K826" s="12" t="s">
        <v>3342</v>
      </c>
      <c r="L826" s="15" t="s">
        <v>3343</v>
      </c>
    </row>
    <row r="827" spans="1:12" ht="202.5">
      <c r="A827" s="8" t="s">
        <v>3347</v>
      </c>
      <c r="B827" s="9" t="s">
        <v>12</v>
      </c>
      <c r="C827" s="12" t="s">
        <v>443</v>
      </c>
      <c r="D827" s="10" t="str">
        <f ca="1">IFERROR(__xludf.DUMMYFUNCTION(" VLOOKUP(A824, IMPORTRANGE(""https://docs.google.com/spreadsheets/d/1fj_Bhi2XPL3siwIh4sx4VRLAe31yD50oKdj5UlRYW0c/"", ""Сводка!A:AA""), 11, FALSE)"),"978-601-352-716-1")</f>
        <v>978-601-352-716-1</v>
      </c>
      <c r="E827" s="11" t="s">
        <v>3348</v>
      </c>
      <c r="F827" s="11" t="s">
        <v>3349</v>
      </c>
      <c r="G827" s="12">
        <f ca="1">IFERROR(__xludf.DUMMYFUNCTION(" VLOOKUP(A824, IMPORTRANGE(""https://docs.google.com/spreadsheets/d/1fj_Bhi2XPL3siwIh4sx4VRLAe31yD50oKdj5UlRYW0c/"", ""Сводка!A:AA""), 5, FALSE)"),200)</f>
        <v>200</v>
      </c>
      <c r="H827" s="12" t="s">
        <v>446</v>
      </c>
      <c r="I827" s="10">
        <f ca="1">IFERROR(__xludf.DUMMYFUNCTION(" VLOOKUP(A824, IMPORTRANGE(""https://docs.google.com/spreadsheets/d/1QNLbnkR_AongFt22vMfNzfpjZ0CjpI8QI-w0wBnYA1w/"", ""Инфа!A:AA""), 6, FALSE)"),2024)</f>
        <v>2024</v>
      </c>
      <c r="J827" s="5">
        <f ca="1">ROUND((5000+G827*60),-2)</f>
        <v>17000</v>
      </c>
      <c r="K827" s="12" t="s">
        <v>3350</v>
      </c>
      <c r="L827" s="15" t="s">
        <v>3351</v>
      </c>
    </row>
    <row r="828" spans="1:12" ht="67.5">
      <c r="A828" s="8" t="s">
        <v>3352</v>
      </c>
      <c r="B828" s="9" t="s">
        <v>12</v>
      </c>
      <c r="C828" s="12" t="s">
        <v>443</v>
      </c>
      <c r="D828" s="10" t="str">
        <f ca="1">IFERROR(__xludf.DUMMYFUNCTION(" VLOOKUP(A825, IMPORTRANGE(""https://docs.google.com/spreadsheets/d/1fj_Bhi2XPL3siwIh4sx4VRLAe31yD50oKdj5UlRYW0c/"", ""Сводка!A:AA""), 11, FALSE)"),"978-601-352-722-2")</f>
        <v>978-601-352-722-2</v>
      </c>
      <c r="E828" s="11" t="s">
        <v>3348</v>
      </c>
      <c r="F828" s="11" t="s">
        <v>3353</v>
      </c>
      <c r="G828" s="12">
        <f ca="1">IFERROR(__xludf.DUMMYFUNCTION(" VLOOKUP(A825, IMPORTRANGE(""https://docs.google.com/spreadsheets/d/1fj_Bhi2XPL3siwIh4sx4VRLAe31yD50oKdj5UlRYW0c/"", ""Сводка!A:AA""), 5, FALSE)"),292)</f>
        <v>292</v>
      </c>
      <c r="H828" s="12" t="s">
        <v>446</v>
      </c>
      <c r="I828" s="10">
        <f ca="1">IFERROR(__xludf.DUMMYFUNCTION(" VLOOKUP(A825, IMPORTRANGE(""https://docs.google.com/spreadsheets/d/1QNLbnkR_AongFt22vMfNzfpjZ0CjpI8QI-w0wBnYA1w/"", ""Инфа!A:AA""), 6, FALSE)"),2024)</f>
        <v>2024</v>
      </c>
      <c r="J828" s="5">
        <f ca="1">ROUND((5000+G828*60),-2)</f>
        <v>22500</v>
      </c>
      <c r="K828" s="12" t="s">
        <v>3350</v>
      </c>
      <c r="L828" s="15" t="s">
        <v>3354</v>
      </c>
    </row>
    <row r="829" spans="1:12" ht="315">
      <c r="A829" s="8" t="s">
        <v>3355</v>
      </c>
      <c r="B829" s="9" t="s">
        <v>12</v>
      </c>
      <c r="C829" s="12" t="s">
        <v>151</v>
      </c>
      <c r="D829" s="10" t="str">
        <f ca="1">IFERROR(__xludf.DUMMYFUNCTION(" VLOOKUP(A826, IMPORTRANGE(""https://docs.google.com/spreadsheets/d/1fj_Bhi2XPL3siwIh4sx4VRLAe31yD50oKdj5UlRYW0c/"", ""Сводка!A:AA""), 11, FALSE)"),"978-601-262 -560-3")</f>
        <v>978-601-262 -560-3</v>
      </c>
      <c r="E829" s="11" t="s">
        <v>3356</v>
      </c>
      <c r="F829" s="11" t="s">
        <v>3357</v>
      </c>
      <c r="G829" s="12">
        <f ca="1">IFERROR(__xludf.DUMMYFUNCTION(" VLOOKUP(A826, IMPORTRANGE(""https://docs.google.com/spreadsheets/d/1fj_Bhi2XPL3siwIh4sx4VRLAe31yD50oKdj5UlRYW0c/"", ""Сводка!A:AA""), 5, FALSE)"),176)</f>
        <v>176</v>
      </c>
      <c r="H829" s="12" t="s">
        <v>24</v>
      </c>
      <c r="I829" s="10">
        <f ca="1">IFERROR(__xludf.DUMMYFUNCTION(" VLOOKUP(A826, IMPORTRANGE(""https://docs.google.com/spreadsheets/d/1QNLbnkR_AongFt22vMfNzfpjZ0CjpI8QI-w0wBnYA1w/"", ""Инфа!A:AA""), 6, FALSE)"),2024)</f>
        <v>2024</v>
      </c>
      <c r="J829" s="5">
        <f ca="1">ROUND((5000+G829*30),-2)</f>
        <v>10300</v>
      </c>
      <c r="K829" s="12" t="s">
        <v>3358</v>
      </c>
      <c r="L829" s="16" t="s">
        <v>3359</v>
      </c>
    </row>
    <row r="830" spans="1:12" ht="202.5">
      <c r="A830" s="8" t="s">
        <v>3360</v>
      </c>
      <c r="B830" s="9" t="s">
        <v>12</v>
      </c>
      <c r="C830" s="12" t="s">
        <v>151</v>
      </c>
      <c r="D830" s="10" t="str">
        <f ca="1">IFERROR(__xludf.DUMMYFUNCTION(" VLOOKUP(A827, IMPORTRANGE(""https://docs.google.com/spreadsheets/d/1fj_Bhi2XPL3siwIh4sx4VRLAe31yD50oKdj5UlRYW0c/"", ""Сводка!A:AA""), 11, FALSE)"),"978-601-267-659-4")</f>
        <v>978-601-267-659-4</v>
      </c>
      <c r="E830" s="11" t="s">
        <v>3361</v>
      </c>
      <c r="F830" s="11" t="s">
        <v>3362</v>
      </c>
      <c r="G830" s="12">
        <f ca="1">IFERROR(__xludf.DUMMYFUNCTION(" VLOOKUP(A827, IMPORTRANGE(""https://docs.google.com/spreadsheets/d/1fj_Bhi2XPL3siwIh4sx4VRLAe31yD50oKdj5UlRYW0c/"", ""Сводка!A:AA""), 5, FALSE)"),220)</f>
        <v>220</v>
      </c>
      <c r="H830" s="12" t="s">
        <v>282</v>
      </c>
      <c r="I830" s="10">
        <f ca="1">IFERROR(__xludf.DUMMYFUNCTION(" VLOOKUP(A827, IMPORTRANGE(""https://docs.google.com/spreadsheets/d/1QNLbnkR_AongFt22vMfNzfpjZ0CjpI8QI-w0wBnYA1w/"", ""Инфа!A:AA""), 6, FALSE)"),2024)</f>
        <v>2024</v>
      </c>
      <c r="J830" s="5">
        <f ca="1">ROUND((5000+G830*60),-2)</f>
        <v>18200</v>
      </c>
      <c r="K830" s="12" t="s">
        <v>3363</v>
      </c>
      <c r="L830" s="16" t="s">
        <v>3364</v>
      </c>
    </row>
    <row r="831" spans="1:12" ht="202.5">
      <c r="A831" s="8" t="s">
        <v>3365</v>
      </c>
      <c r="B831" s="9" t="s">
        <v>12</v>
      </c>
      <c r="C831" s="12" t="s">
        <v>151</v>
      </c>
      <c r="D831" s="10" t="str">
        <f ca="1">IFERROR(__xludf.DUMMYFUNCTION(" VLOOKUP(A828, IMPORTRANGE(""https://docs.google.com/spreadsheets/d/1fj_Bhi2XPL3siwIh4sx4VRLAe31yD50oKdj5UlRYW0c/"", ""Сводка!A:AA""), 11, FALSE)"),"978-601-330-203-4")</f>
        <v>978-601-330-203-4</v>
      </c>
      <c r="E831" s="11" t="s">
        <v>3366</v>
      </c>
      <c r="F831" s="11" t="s">
        <v>3367</v>
      </c>
      <c r="G831" s="12">
        <f ca="1">IFERROR(__xludf.DUMMYFUNCTION(" VLOOKUP(A828, IMPORTRANGE(""https://docs.google.com/spreadsheets/d/1fj_Bhi2XPL3siwIh4sx4VRLAe31yD50oKdj5UlRYW0c/"", ""Сводка!A:AA""), 5, FALSE)"),196)</f>
        <v>196</v>
      </c>
      <c r="H831" s="12" t="s">
        <v>47</v>
      </c>
      <c r="I831" s="10">
        <f ca="1">IFERROR(__xludf.DUMMYFUNCTION(" VLOOKUP(A828, IMPORTRANGE(""https://docs.google.com/spreadsheets/d/1QNLbnkR_AongFt22vMfNzfpjZ0CjpI8QI-w0wBnYA1w/"", ""Инфа!A:AA""), 6, FALSE)"),2023)</f>
        <v>2023</v>
      </c>
      <c r="J831" s="5">
        <f ca="1">ROUND((5000+G831*30),-2)</f>
        <v>10900</v>
      </c>
      <c r="K831" s="12" t="s">
        <v>160</v>
      </c>
      <c r="L831" s="15" t="s">
        <v>3368</v>
      </c>
    </row>
    <row r="832" spans="1:12" ht="56.25">
      <c r="A832" s="8" t="s">
        <v>3369</v>
      </c>
      <c r="B832" s="9" t="s">
        <v>12</v>
      </c>
      <c r="C832" s="12" t="s">
        <v>151</v>
      </c>
      <c r="D832" s="10" t="str">
        <f ca="1">IFERROR(__xludf.DUMMYFUNCTION(" VLOOKUP(A829, IMPORTRANGE(""https://docs.google.com/spreadsheets/d/1fj_Bhi2XPL3siwIh4sx4VRLAe31yD50oKdj5UlRYW0c/"", ""Сводка!A:AA""), 11, FALSE)"),"978-601-279-038-5")</f>
        <v>978-601-279-038-5</v>
      </c>
      <c r="E832" s="11" t="s">
        <v>3366</v>
      </c>
      <c r="F832" s="11" t="s">
        <v>3370</v>
      </c>
      <c r="G832" s="12">
        <f ca="1">IFERROR(__xludf.DUMMYFUNCTION(" VLOOKUP(A829, IMPORTRANGE(""https://docs.google.com/spreadsheets/d/1fj_Bhi2XPL3siwIh4sx4VRLAe31yD50oKdj5UlRYW0c/"", ""Сводка!A:AA""), 5, FALSE)"),232)</f>
        <v>232</v>
      </c>
      <c r="H832" s="12" t="s">
        <v>47</v>
      </c>
      <c r="I832" s="10">
        <f ca="1">IFERROR(__xludf.DUMMYFUNCTION(" VLOOKUP(A829, IMPORTRANGE(""https://docs.google.com/spreadsheets/d/1QNLbnkR_AongFt22vMfNzfpjZ0CjpI8QI-w0wBnYA1w/"", ""Инфа!A:AA""), 6, FALSE)"),2024)</f>
        <v>2024</v>
      </c>
      <c r="J832" s="5">
        <f ca="1">ROUND((5000+G832*30),-2)</f>
        <v>12000</v>
      </c>
      <c r="K832" s="12" t="s">
        <v>3371</v>
      </c>
      <c r="L832" s="15" t="s">
        <v>3372</v>
      </c>
    </row>
    <row r="833" spans="1:12" ht="247.5">
      <c r="A833" s="8" t="s">
        <v>3373</v>
      </c>
      <c r="B833" s="9" t="s">
        <v>12</v>
      </c>
      <c r="C833" s="12" t="s">
        <v>151</v>
      </c>
      <c r="D833" s="10" t="str">
        <f ca="1">IFERROR(__xludf.DUMMYFUNCTION(" VLOOKUP(A830, IMPORTRANGE(""https://docs.google.com/spreadsheets/d/1fj_Bhi2XPL3siwIh4sx4VRLAe31yD50oKdj5UlRYW0c/"", ""Сводка!A:AA""), 11, FALSE)"),"978- 601-279-038 -2")</f>
        <v>978- 601-279-038 -2</v>
      </c>
      <c r="E833" s="11" t="s">
        <v>3366</v>
      </c>
      <c r="F833" s="11" t="s">
        <v>3374</v>
      </c>
      <c r="G833" s="12">
        <f ca="1">IFERROR(__xludf.DUMMYFUNCTION(" VLOOKUP(A830, IMPORTRANGE(""https://docs.google.com/spreadsheets/d/1fj_Bhi2XPL3siwIh4sx4VRLAe31yD50oKdj5UlRYW0c/"", ""Сводка!A:AA""), 5, FALSE)"),180)</f>
        <v>180</v>
      </c>
      <c r="H833" s="12" t="s">
        <v>47</v>
      </c>
      <c r="I833" s="10">
        <f ca="1">IFERROR(__xludf.DUMMYFUNCTION(" VLOOKUP(A830, IMPORTRANGE(""https://docs.google.com/spreadsheets/d/1QNLbnkR_AongFt22vMfNzfpjZ0CjpI8QI-w0wBnYA1w/"", ""Инфа!A:AA""), 6, FALSE)"),2023)</f>
        <v>2023</v>
      </c>
      <c r="J833" s="5">
        <f ca="1">ROUND((5000+G833*30),-2)</f>
        <v>10400</v>
      </c>
      <c r="K833" s="12" t="s">
        <v>160</v>
      </c>
      <c r="L833" s="15" t="s">
        <v>3375</v>
      </c>
    </row>
    <row r="834" spans="1:12" ht="101.25">
      <c r="A834" s="8" t="s">
        <v>3376</v>
      </c>
      <c r="B834" s="9" t="s">
        <v>12</v>
      </c>
      <c r="C834" s="12" t="s">
        <v>443</v>
      </c>
      <c r="D834" s="10" t="str">
        <f ca="1">IFERROR(__xludf.DUMMYFUNCTION(" VLOOKUP(A831, IMPORTRANGE(""https://docs.google.com/spreadsheets/d/1fj_Bhi2XPL3siwIh4sx4VRLAe31yD50oKdj5UlRYW0c/"", ""Сводка!A:AA""), 11, FALSE)"),"978-601-352-905-9")</f>
        <v>978-601-352-905-9</v>
      </c>
      <c r="E834" s="11" t="s">
        <v>3377</v>
      </c>
      <c r="F834" s="11" t="s">
        <v>3378</v>
      </c>
      <c r="G834" s="12">
        <f ca="1">IFERROR(__xludf.DUMMYFUNCTION(" VLOOKUP(A831, IMPORTRANGE(""https://docs.google.com/spreadsheets/d/1fj_Bhi2XPL3siwIh4sx4VRLAe31yD50oKdj5UlRYW0c/"", ""Сводка!A:AA""), 5, FALSE)"),256)</f>
        <v>256</v>
      </c>
      <c r="H834" s="12" t="s">
        <v>446</v>
      </c>
      <c r="I834" s="10">
        <f ca="1">IFERROR(__xludf.DUMMYFUNCTION(" VLOOKUP(A831, IMPORTRANGE(""https://docs.google.com/spreadsheets/d/1QNLbnkR_AongFt22vMfNzfpjZ0CjpI8QI-w0wBnYA1w/"", ""Инфа!A:AA""), 6, FALSE)"),2024)</f>
        <v>2024</v>
      </c>
      <c r="J834" s="5">
        <f ca="1">ROUND((5000+G834*30),-2)</f>
        <v>12700</v>
      </c>
      <c r="K834" s="12" t="s">
        <v>63</v>
      </c>
      <c r="L834" s="15" t="s">
        <v>3379</v>
      </c>
    </row>
    <row r="835" spans="1:12" ht="213.75">
      <c r="A835" s="8" t="s">
        <v>3380</v>
      </c>
      <c r="B835" s="9" t="s">
        <v>12</v>
      </c>
      <c r="C835" s="12" t="s">
        <v>443</v>
      </c>
      <c r="D835" s="10" t="str">
        <f ca="1">IFERROR(__xludf.DUMMYFUNCTION(" VLOOKUP(A832, IMPORTRANGE(""https://docs.google.com/spreadsheets/d/1fj_Bhi2XPL3siwIh4sx4VRLAe31yD50oKdj5UlRYW0c/"", ""Сводка!A:AA""), 11, FALSE)"),"978-601-330-215-7")</f>
        <v>978-601-330-215-7</v>
      </c>
      <c r="E835" s="11" t="s">
        <v>3381</v>
      </c>
      <c r="F835" s="11" t="s">
        <v>3382</v>
      </c>
      <c r="G835" s="12">
        <f ca="1">IFERROR(__xludf.DUMMYFUNCTION(" VLOOKUP(A832, IMPORTRANGE(""https://docs.google.com/spreadsheets/d/1fj_Bhi2XPL3siwIh4sx4VRLAe31yD50oKdj5UlRYW0c/"", ""Сводка!A:AA""), 5, FALSE)"),172)</f>
        <v>172</v>
      </c>
      <c r="H835" s="12" t="s">
        <v>446</v>
      </c>
      <c r="I835" s="10">
        <f ca="1">IFERROR(__xludf.DUMMYFUNCTION(" VLOOKUP(A832, IMPORTRANGE(""https://docs.google.com/spreadsheets/d/1QNLbnkR_AongFt22vMfNzfpjZ0CjpI8QI-w0wBnYA1w/"", ""Инфа!A:AA""), 6, FALSE)"),2023)</f>
        <v>2023</v>
      </c>
      <c r="J835" s="5">
        <f ca="1">ROUND((5000+G835*60),-2)</f>
        <v>15300</v>
      </c>
      <c r="K835" s="12" t="s">
        <v>3383</v>
      </c>
      <c r="L835" s="15" t="s">
        <v>3384</v>
      </c>
    </row>
    <row r="836" spans="1:12" ht="303.75">
      <c r="A836" s="8" t="s">
        <v>3385</v>
      </c>
      <c r="B836" s="9" t="s">
        <v>12</v>
      </c>
      <c r="C836" s="12" t="s">
        <v>443</v>
      </c>
      <c r="D836" s="40" t="s">
        <v>3386</v>
      </c>
      <c r="E836" s="11" t="s">
        <v>3387</v>
      </c>
      <c r="F836" s="11" t="s">
        <v>3388</v>
      </c>
      <c r="G836" s="12">
        <f ca="1">IFERROR(__xludf.DUMMYFUNCTION(" VLOOKUP(A833, IMPORTRANGE(""https://docs.google.com/spreadsheets/d/1fj_Bhi2XPL3siwIh4sx4VRLAe31yD50oKdj5UlRYW0c/"", ""Сводка!A:AA""), 5, FALSE)"),160)</f>
        <v>160</v>
      </c>
      <c r="H836" s="12" t="s">
        <v>446</v>
      </c>
      <c r="I836" s="10">
        <f ca="1">IFERROR(__xludf.DUMMYFUNCTION(" VLOOKUP(A833, IMPORTRANGE(""https://docs.google.com/spreadsheets/d/1QNLbnkR_AongFt22vMfNzfpjZ0CjpI8QI-w0wBnYA1w/"", ""Инфа!A:AA""), 6, FALSE)"),2024)</f>
        <v>2024</v>
      </c>
      <c r="J836" s="5">
        <f ca="1">ROUND((5000+G836*30),-2)</f>
        <v>9800</v>
      </c>
      <c r="K836" s="12" t="s">
        <v>1538</v>
      </c>
      <c r="L836" s="15" t="s">
        <v>3389</v>
      </c>
    </row>
    <row r="837" spans="1:12" ht="236.25">
      <c r="A837" s="8" t="s">
        <v>3390</v>
      </c>
      <c r="B837" s="9" t="s">
        <v>12</v>
      </c>
      <c r="C837" s="12" t="s">
        <v>151</v>
      </c>
      <c r="D837" s="10" t="str">
        <f ca="1">IFERROR(__xludf.DUMMYFUNCTION(" VLOOKUP(A834, IMPORTRANGE(""https://docs.google.com/spreadsheets/d/1fj_Bhi2XPL3siwIh4sx4VRLAe31yD50oKdj5UlRYW0c/"", ""Сводка!A:AA""), 11, FALSE)"),"")</f>
        <v/>
      </c>
      <c r="E837" s="11" t="s">
        <v>3391</v>
      </c>
      <c r="F837" s="11" t="s">
        <v>3392</v>
      </c>
      <c r="G837" s="12">
        <f ca="1">IFERROR(__xludf.DUMMYFUNCTION(" VLOOKUP(A834, IMPORTRANGE(""https://docs.google.com/spreadsheets/d/1fj_Bhi2XPL3siwIh4sx4VRLAe31yD50oKdj5UlRYW0c/"", ""Сводка!A:AA""), 5, FALSE)"),328)</f>
        <v>328</v>
      </c>
      <c r="H837" s="12" t="s">
        <v>47</v>
      </c>
      <c r="I837" s="10">
        <f ca="1">IFERROR(__xludf.DUMMYFUNCTION(" VLOOKUP(A834, IMPORTRANGE(""https://docs.google.com/spreadsheets/d/1QNLbnkR_AongFt22vMfNzfpjZ0CjpI8QI-w0wBnYA1w/"", ""Инфа!A:AA""), 6, FALSE)"),2024)</f>
        <v>2024</v>
      </c>
      <c r="J837" s="5">
        <f ca="1">ROUND((5000+G837*30),-2)</f>
        <v>14800</v>
      </c>
      <c r="K837" s="12" t="s">
        <v>3393</v>
      </c>
      <c r="L837" s="15" t="s">
        <v>3394</v>
      </c>
    </row>
    <row r="838" spans="1:12" ht="202.5">
      <c r="A838" s="8" t="s">
        <v>3395</v>
      </c>
      <c r="B838" s="9" t="s">
        <v>12</v>
      </c>
      <c r="C838" s="12" t="s">
        <v>443</v>
      </c>
      <c r="D838" s="10" t="str">
        <f ca="1">IFERROR(__xludf.DUMMYFUNCTION(" VLOOKUP(A835, IMPORTRANGE(""https://docs.google.com/spreadsheets/d/1fj_Bhi2XPL3siwIh4sx4VRLAe31yD50oKdj5UlRYW0c/"", ""Сводка!A:AA""), 11, FALSE)"),"978-601-330-083-2")</f>
        <v>978-601-330-083-2</v>
      </c>
      <c r="E838" s="22" t="s">
        <v>3396</v>
      </c>
      <c r="F838" s="22" t="s">
        <v>3397</v>
      </c>
      <c r="G838" s="12">
        <f ca="1">IFERROR(__xludf.DUMMYFUNCTION(" VLOOKUP(A835, IMPORTRANGE(""https://docs.google.com/spreadsheets/d/1fj_Bhi2XPL3siwIh4sx4VRLAe31yD50oKdj5UlRYW0c/"", ""Сводка!A:AA""), 5, FALSE)"),176)</f>
        <v>176</v>
      </c>
      <c r="H838" s="12" t="s">
        <v>777</v>
      </c>
      <c r="I838" s="10">
        <f ca="1">IFERROR(__xludf.DUMMYFUNCTION(" VLOOKUP(A835, IMPORTRANGE(""https://docs.google.com/spreadsheets/d/1QNLbnkR_AongFt22vMfNzfpjZ0CjpI8QI-w0wBnYA1w/"", ""Инфа!A:AA""), 6, FALSE)"),2023)</f>
        <v>2023</v>
      </c>
      <c r="J838" s="5">
        <f ca="1">ROUND((5000+G838*30),-2)</f>
        <v>10300</v>
      </c>
      <c r="K838" s="12" t="s">
        <v>139</v>
      </c>
      <c r="L838" s="15" t="s">
        <v>3398</v>
      </c>
    </row>
    <row r="839" spans="1:12" ht="202.5">
      <c r="A839" s="8" t="s">
        <v>3399</v>
      </c>
      <c r="B839" s="9" t="s">
        <v>12</v>
      </c>
      <c r="C839" s="12" t="s">
        <v>151</v>
      </c>
      <c r="D839" s="10" t="str">
        <f ca="1">IFERROR(__xludf.DUMMYFUNCTION(" VLOOKUP(A836, IMPORTRANGE(""https://docs.google.com/spreadsheets/d/1fj_Bhi2XPL3siwIh4sx4VRLAe31yD50oKdj5UlRYW0c/"", ""Сводка!A:AA""), 11, FALSE)"),"978-601-352-641-6")</f>
        <v>978-601-352-641-6</v>
      </c>
      <c r="E839" s="11" t="s">
        <v>3400</v>
      </c>
      <c r="F839" s="11" t="s">
        <v>3401</v>
      </c>
      <c r="G839" s="12">
        <f ca="1">IFERROR(__xludf.DUMMYFUNCTION(" VLOOKUP(A836, IMPORTRANGE(""https://docs.google.com/spreadsheets/d/1fj_Bhi2XPL3siwIh4sx4VRLAe31yD50oKdj5UlRYW0c/"", ""Сводка!A:AA""), 5, FALSE)"),124)</f>
        <v>124</v>
      </c>
      <c r="H839" s="12" t="s">
        <v>1577</v>
      </c>
      <c r="I839" s="10">
        <f ca="1">IFERROR(__xludf.DUMMYFUNCTION(" VLOOKUP(A836, IMPORTRANGE(""https://docs.google.com/spreadsheets/d/1QNLbnkR_AongFt22vMfNzfpjZ0CjpI8QI-w0wBnYA1w/"", ""Инфа!A:AA""), 6, FALSE)"),2024)</f>
        <v>2024</v>
      </c>
      <c r="J839" s="5">
        <f ca="1">ROUND((5000+G839*60),-2)</f>
        <v>12400</v>
      </c>
      <c r="K839" s="12" t="s">
        <v>3402</v>
      </c>
      <c r="L839" s="15" t="s">
        <v>3403</v>
      </c>
    </row>
    <row r="840" spans="1:12" ht="303.75">
      <c r="A840" s="8" t="s">
        <v>3404</v>
      </c>
      <c r="B840" s="9" t="s">
        <v>12</v>
      </c>
      <c r="C840" s="12" t="s">
        <v>151</v>
      </c>
      <c r="D840" s="10" t="str">
        <f ca="1">IFERROR(__xludf.DUMMYFUNCTION(" VLOOKUP(A837, IMPORTRANGE(""https://docs.google.com/spreadsheets/d/1fj_Bhi2XPL3siwIh4sx4VRLAe31yD50oKdj5UlRYW0c/"", ""Сводка!A:AA""), 11, FALSE)"),"978-601-330-068-9")</f>
        <v>978-601-330-068-9</v>
      </c>
      <c r="E840" s="11" t="s">
        <v>3400</v>
      </c>
      <c r="F840" s="11" t="s">
        <v>3405</v>
      </c>
      <c r="G840" s="12">
        <f ca="1">IFERROR(__xludf.DUMMYFUNCTION(" VLOOKUP(A837, IMPORTRANGE(""https://docs.google.com/spreadsheets/d/1fj_Bhi2XPL3siwIh4sx4VRLAe31yD50oKdj5UlRYW0c/"", ""Сводка!A:AA""), 5, FALSE)"),136)</f>
        <v>136</v>
      </c>
      <c r="H840" s="12" t="s">
        <v>1577</v>
      </c>
      <c r="I840" s="10">
        <f ca="1">IFERROR(__xludf.DUMMYFUNCTION(" VLOOKUP(A837, IMPORTRANGE(""https://docs.google.com/spreadsheets/d/1QNLbnkR_AongFt22vMfNzfpjZ0CjpI8QI-w0wBnYA1w/"", ""Инфа!A:AA""), 6, FALSE)"),2024)</f>
        <v>2024</v>
      </c>
      <c r="J840" s="5">
        <f ca="1">ROUND((5000+G840*60),-2)</f>
        <v>13200</v>
      </c>
      <c r="K840" s="12" t="s">
        <v>3406</v>
      </c>
      <c r="L840" s="15" t="s">
        <v>3407</v>
      </c>
    </row>
    <row r="841" spans="1:12" ht="157.5">
      <c r="A841" s="8" t="s">
        <v>3408</v>
      </c>
      <c r="B841" s="9" t="s">
        <v>12</v>
      </c>
      <c r="C841" s="12" t="s">
        <v>443</v>
      </c>
      <c r="D841" s="10" t="str">
        <f ca="1">IFERROR(__xludf.DUMMYFUNCTION(" VLOOKUP(A838, IMPORTRANGE(""https://docs.google.com/spreadsheets/d/1fj_Bhi2XPL3siwIh4sx4VRLAe31yD50oKdj5UlRYW0c/"", ""Сводка!A:AA""), 11, FALSE)"),"978-601-330-002-3")</f>
        <v>978-601-330-002-3</v>
      </c>
      <c r="E841" s="11" t="s">
        <v>3409</v>
      </c>
      <c r="F841" s="11" t="s">
        <v>3410</v>
      </c>
      <c r="G841" s="12">
        <f ca="1">IFERROR(__xludf.DUMMYFUNCTION(" VLOOKUP(A838, IMPORTRANGE(""https://docs.google.com/spreadsheets/d/1fj_Bhi2XPL3siwIh4sx4VRLAe31yD50oKdj5UlRYW0c/"", ""Сводка!A:AA""), 5, FALSE)"),140)</f>
        <v>140</v>
      </c>
      <c r="H841" s="12" t="s">
        <v>511</v>
      </c>
      <c r="I841" s="10">
        <f ca="1">IFERROR(__xludf.DUMMYFUNCTION(" VLOOKUP(A838, IMPORTRANGE(""https://docs.google.com/spreadsheets/d/1QNLbnkR_AongFt22vMfNzfpjZ0CjpI8QI-w0wBnYA1w/"", ""Инфа!A:AA""), 6, FALSE)"),2023)</f>
        <v>2023</v>
      </c>
      <c r="J841" s="5">
        <f ca="1">ROUND((5000+G841*30),-2)</f>
        <v>9200</v>
      </c>
      <c r="K841" s="12" t="s">
        <v>2217</v>
      </c>
      <c r="L841" s="15" t="s">
        <v>3411</v>
      </c>
    </row>
    <row r="842" spans="1:12" ht="258.75">
      <c r="A842" s="8" t="s">
        <v>3412</v>
      </c>
      <c r="B842" s="9" t="s">
        <v>12</v>
      </c>
      <c r="C842" s="12" t="s">
        <v>21</v>
      </c>
      <c r="D842" s="10" t="str">
        <f ca="1">IFERROR(__xludf.DUMMYFUNCTION(" VLOOKUP(A839, IMPORTRANGE(""https://docs.google.com/spreadsheets/d/1fj_Bhi2XPL3siwIh4sx4VRLAe31yD50oKdj5UlRYW0c/"", ""Сводка!A:AA""), 11, FALSE)"),"")</f>
        <v/>
      </c>
      <c r="E842" s="11" t="s">
        <v>3413</v>
      </c>
      <c r="F842" s="11" t="s">
        <v>3414</v>
      </c>
      <c r="G842" s="12">
        <f ca="1">IFERROR(__xludf.DUMMYFUNCTION(" VLOOKUP(A839, IMPORTRANGE(""https://docs.google.com/spreadsheets/d/1fj_Bhi2XPL3siwIh4sx4VRLAe31yD50oKdj5UlRYW0c/"", ""Сводка!A:AA""), 5, FALSE)"),160)</f>
        <v>160</v>
      </c>
      <c r="H842" s="12" t="s">
        <v>42</v>
      </c>
      <c r="I842" s="10">
        <f ca="1">IFERROR(__xludf.DUMMYFUNCTION(" VLOOKUP(A839, IMPORTRANGE(""https://docs.google.com/spreadsheets/d/1QNLbnkR_AongFt22vMfNzfpjZ0CjpI8QI-w0wBnYA1w/"", ""Инфа!A:AA""), 6, FALSE)"),2024)</f>
        <v>2024</v>
      </c>
      <c r="J842" s="5">
        <f ca="1">ROUND((5000+G842*30),-2)</f>
        <v>9800</v>
      </c>
      <c r="K842" s="12" t="s">
        <v>3402</v>
      </c>
      <c r="L842" s="15" t="s">
        <v>3415</v>
      </c>
    </row>
    <row r="843" spans="1:12" ht="180">
      <c r="A843" s="8" t="s">
        <v>3416</v>
      </c>
      <c r="B843" s="9" t="s">
        <v>12</v>
      </c>
      <c r="C843" s="10" t="s">
        <v>151</v>
      </c>
      <c r="D843" s="10" t="str">
        <f ca="1">IFERROR(__xludf.DUMMYFUNCTION(" VLOOKUP(A840, IMPORTRANGE(""https://docs.google.com/spreadsheets/d/1fj_Bhi2XPL3siwIh4sx4VRLAe31yD50oKdj5UlRYW0c/"", ""Сводка!A:AA""), 11, FALSE)"),"978-601-240-562-0")</f>
        <v>978-601-240-562-0</v>
      </c>
      <c r="E843" s="11" t="s">
        <v>3417</v>
      </c>
      <c r="F843" s="11" t="s">
        <v>3418</v>
      </c>
      <c r="G843" s="12">
        <f ca="1">IFERROR(__xludf.DUMMYFUNCTION(" VLOOKUP(A840, IMPORTRANGE(""https://docs.google.com/spreadsheets/d/1fj_Bhi2XPL3siwIh4sx4VRLAe31yD50oKdj5UlRYW0c/"", ""Сводка!A:AA""), 5, FALSE)"),84)</f>
        <v>84</v>
      </c>
      <c r="H843" s="12" t="s">
        <v>3419</v>
      </c>
      <c r="I843" s="10">
        <f ca="1">IFERROR(__xludf.DUMMYFUNCTION(" VLOOKUP(A840, IMPORTRANGE(""https://docs.google.com/spreadsheets/d/1QNLbnkR_AongFt22vMfNzfpjZ0CjpI8QI-w0wBnYA1w/"", ""Инфа!A:AA""), 6, FALSE)"),2024)</f>
        <v>2024</v>
      </c>
      <c r="J843" s="5">
        <f ca="1">ROUND((5000+G843*30),-2)</f>
        <v>7500</v>
      </c>
      <c r="K843" s="12" t="s">
        <v>160</v>
      </c>
      <c r="L843" s="15" t="s">
        <v>3420</v>
      </c>
    </row>
    <row r="844" spans="1:12" ht="202.5">
      <c r="A844" s="8" t="s">
        <v>3421</v>
      </c>
      <c r="B844" s="9" t="s">
        <v>12</v>
      </c>
      <c r="C844" s="10" t="s">
        <v>443</v>
      </c>
      <c r="D844" s="10" t="str">
        <f ca="1">IFERROR(__xludf.DUMMYFUNCTION(" VLOOKUP(A841, IMPORTRANGE(""https://docs.google.com/spreadsheets/d/1fj_Bhi2XPL3siwIh4sx4VRLAe31yD50oKdj5UlRYW0c/"", ""Сводка!A:AA""), 11, FALSE)"),"978-601-330-115-0")</f>
        <v>978-601-330-115-0</v>
      </c>
      <c r="E844" s="22" t="s">
        <v>3422</v>
      </c>
      <c r="F844" s="22" t="s">
        <v>3423</v>
      </c>
      <c r="G844" s="12">
        <f ca="1">IFERROR(__xludf.DUMMYFUNCTION(" VLOOKUP(A841, IMPORTRANGE(""https://docs.google.com/spreadsheets/d/1fj_Bhi2XPL3siwIh4sx4VRLAe31yD50oKdj5UlRYW0c/"", ""Сводка!A:AA""), 5, FALSE)"),172)</f>
        <v>172</v>
      </c>
      <c r="H844" s="10" t="s">
        <v>538</v>
      </c>
      <c r="I844" s="10">
        <f ca="1">IFERROR(__xludf.DUMMYFUNCTION(" VLOOKUP(A841, IMPORTRANGE(""https://docs.google.com/spreadsheets/d/1QNLbnkR_AongFt22vMfNzfpjZ0CjpI8QI-w0wBnYA1w/"", ""Инфа!A:AA""), 6, FALSE)"),2023)</f>
        <v>2023</v>
      </c>
      <c r="J844" s="5">
        <f ca="1">ROUND((5000+G844*60),-2)</f>
        <v>15300</v>
      </c>
      <c r="K844" s="10" t="s">
        <v>3424</v>
      </c>
      <c r="L844" s="23" t="s">
        <v>3425</v>
      </c>
    </row>
    <row r="845" spans="1:12" ht="180">
      <c r="A845" s="8" t="s">
        <v>3426</v>
      </c>
      <c r="B845" s="9" t="s">
        <v>12</v>
      </c>
      <c r="C845" s="10" t="s">
        <v>151</v>
      </c>
      <c r="D845" s="10" t="str">
        <f ca="1">IFERROR(__xludf.DUMMYFUNCTION(" VLOOKUP(A842, IMPORTRANGE(""https://docs.google.com/spreadsheets/d/1fj_Bhi2XPL3siwIh4sx4VRLAe31yD50oKdj5UlRYW0c/"", ""Сводка!A:AA""), 11, FALSE)"),"978-601-352-906-6")</f>
        <v>978-601-352-906-6</v>
      </c>
      <c r="E845" s="22" t="s">
        <v>3427</v>
      </c>
      <c r="F845" s="22" t="s">
        <v>3428</v>
      </c>
      <c r="G845" s="12">
        <f ca="1">IFERROR(__xludf.DUMMYFUNCTION(" VLOOKUP(A842, IMPORTRANGE(""https://docs.google.com/spreadsheets/d/1fj_Bhi2XPL3siwIh4sx4VRLAe31yD50oKdj5UlRYW0c/"", ""Сводка!A:AA""), 5, FALSE)"),140)</f>
        <v>140</v>
      </c>
      <c r="H845" s="10" t="s">
        <v>47</v>
      </c>
      <c r="I845" s="10">
        <f ca="1">IFERROR(__xludf.DUMMYFUNCTION(" VLOOKUP(A842, IMPORTRANGE(""https://docs.google.com/spreadsheets/d/1QNLbnkR_AongFt22vMfNzfpjZ0CjpI8QI-w0wBnYA1w/"", ""Инфа!A:AA""), 6, FALSE)"),2024)</f>
        <v>2024</v>
      </c>
      <c r="J845" s="5">
        <f t="shared" ref="J845:J850" ca="1" si="23">ROUND((5000+G845*30),-2)</f>
        <v>9200</v>
      </c>
      <c r="K845" s="10" t="s">
        <v>3429</v>
      </c>
      <c r="L845" s="23" t="s">
        <v>3430</v>
      </c>
    </row>
    <row r="846" spans="1:12" ht="51">
      <c r="A846" s="8" t="s">
        <v>3431</v>
      </c>
      <c r="B846" s="9" t="s">
        <v>12</v>
      </c>
      <c r="C846" s="12" t="s">
        <v>443</v>
      </c>
      <c r="D846" s="10" t="str">
        <f ca="1">IFERROR(__xludf.DUMMYFUNCTION(" VLOOKUP(A843, IMPORTRANGE(""https://docs.google.com/spreadsheets/d/1fj_Bhi2XPL3siwIh4sx4VRLAe31yD50oKdj5UlRYW0c/"", ""Сводка!A:AA""), 11, FALSE)"),"978-601-352-771-0")</f>
        <v>978-601-352-771-0</v>
      </c>
      <c r="E846" s="11" t="s">
        <v>3432</v>
      </c>
      <c r="F846" s="11" t="s">
        <v>3433</v>
      </c>
      <c r="G846" s="12">
        <f ca="1">IFERROR(__xludf.DUMMYFUNCTION(" VLOOKUP(A843, IMPORTRANGE(""https://docs.google.com/spreadsheets/d/1fj_Bhi2XPL3siwIh4sx4VRLAe31yD50oKdj5UlRYW0c/"", ""Сводка!A:AA""), 5, FALSE)"),100)</f>
        <v>100</v>
      </c>
      <c r="H846" s="12" t="s">
        <v>538</v>
      </c>
      <c r="I846" s="10">
        <f ca="1">IFERROR(__xludf.DUMMYFUNCTION(" VLOOKUP(A843, IMPORTRANGE(""https://docs.google.com/spreadsheets/d/1QNLbnkR_AongFt22vMfNzfpjZ0CjpI8QI-w0wBnYA1w/"", ""Инфа!A:AA""), 6, FALSE)"),2024)</f>
        <v>2024</v>
      </c>
      <c r="J846" s="5">
        <f t="shared" ca="1" si="23"/>
        <v>8000</v>
      </c>
      <c r="K846" s="10" t="s">
        <v>2167</v>
      </c>
      <c r="L846" s="15" t="s">
        <v>3434</v>
      </c>
    </row>
    <row r="847" spans="1:12" ht="51">
      <c r="A847" s="8" t="s">
        <v>3435</v>
      </c>
      <c r="B847" s="9" t="s">
        <v>12</v>
      </c>
      <c r="C847" s="12" t="s">
        <v>151</v>
      </c>
      <c r="D847" s="10" t="str">
        <f ca="1">IFERROR(__xludf.DUMMYFUNCTION(" VLOOKUP(A844, IMPORTRANGE(""https://docs.google.com/spreadsheets/d/1fj_Bhi2XPL3siwIh4sx4VRLAe31yD50oKdj5UlRYW0c/"", ""Сводка!A:AA""), 11, FALSE)"),"")</f>
        <v/>
      </c>
      <c r="E847" s="11" t="s">
        <v>3436</v>
      </c>
      <c r="F847" s="11" t="s">
        <v>3437</v>
      </c>
      <c r="G847" s="12">
        <f ca="1">IFERROR(__xludf.DUMMYFUNCTION(" VLOOKUP(A844, IMPORTRANGE(""https://docs.google.com/spreadsheets/d/1fj_Bhi2XPL3siwIh4sx4VRLAe31yD50oKdj5UlRYW0c/"", ""Сводка!A:AA""), 5, FALSE)"),100)</f>
        <v>100</v>
      </c>
      <c r="H847" s="12" t="s">
        <v>165</v>
      </c>
      <c r="I847" s="10">
        <f ca="1">IFERROR(__xludf.DUMMYFUNCTION(" VLOOKUP(A844, IMPORTRANGE(""https://docs.google.com/spreadsheets/d/1QNLbnkR_AongFt22vMfNzfpjZ0CjpI8QI-w0wBnYA1w/"", ""Инфа!A:AA""), 6, FALSE)"),2024)</f>
        <v>2024</v>
      </c>
      <c r="J847" s="5">
        <f t="shared" ca="1" si="23"/>
        <v>8000</v>
      </c>
      <c r="K847" s="10" t="s">
        <v>2167</v>
      </c>
      <c r="L847" s="15" t="s">
        <v>3438</v>
      </c>
    </row>
    <row r="848" spans="1:12" ht="180">
      <c r="A848" s="8" t="s">
        <v>3439</v>
      </c>
      <c r="B848" s="9" t="s">
        <v>12</v>
      </c>
      <c r="C848" s="10" t="s">
        <v>443</v>
      </c>
      <c r="D848" s="10" t="str">
        <f ca="1">IFERROR(__xludf.DUMMYFUNCTION(" VLOOKUP(A845, IMPORTRANGE(""https://docs.google.com/spreadsheets/d/1fj_Bhi2XPL3siwIh4sx4VRLAe31yD50oKdj5UlRYW0c/"", ""Сводка!A:AA""), 11, FALSE)"),"978-601-352-662-1")</f>
        <v>978-601-352-662-1</v>
      </c>
      <c r="E848" s="22" t="s">
        <v>3440</v>
      </c>
      <c r="F848" s="22" t="s">
        <v>587</v>
      </c>
      <c r="G848" s="12">
        <f ca="1">IFERROR(__xludf.DUMMYFUNCTION(" VLOOKUP(A845, IMPORTRANGE(""https://docs.google.com/spreadsheets/d/1fj_Bhi2XPL3siwIh4sx4VRLAe31yD50oKdj5UlRYW0c/"", ""Сводка!A:AA""), 5, FALSE)"),240)</f>
        <v>240</v>
      </c>
      <c r="H848" s="10" t="s">
        <v>538</v>
      </c>
      <c r="I848" s="10">
        <f ca="1">IFERROR(__xludf.DUMMYFUNCTION(" VLOOKUP(A845, IMPORTRANGE(""https://docs.google.com/spreadsheets/d/1QNLbnkR_AongFt22vMfNzfpjZ0CjpI8QI-w0wBnYA1w/"", ""Инфа!A:AA""), 6, FALSE)"),2023)</f>
        <v>2023</v>
      </c>
      <c r="J848" s="5">
        <f t="shared" ca="1" si="23"/>
        <v>12200</v>
      </c>
      <c r="K848" s="10" t="s">
        <v>2003</v>
      </c>
      <c r="L848" s="23" t="s">
        <v>3441</v>
      </c>
    </row>
    <row r="849" spans="1:12" ht="157.5">
      <c r="A849" s="8" t="s">
        <v>3442</v>
      </c>
      <c r="B849" s="9" t="s">
        <v>12</v>
      </c>
      <c r="C849" s="12" t="s">
        <v>151</v>
      </c>
      <c r="D849" s="10" t="str">
        <f ca="1">IFERROR(__xludf.DUMMYFUNCTION(" VLOOKUP(A846, IMPORTRANGE(""https://docs.google.com/spreadsheets/d/1fj_Bhi2XPL3siwIh4sx4VRLAe31yD50oKdj5UlRYW0c/"", ""Сводка!A:AA""), 11, FALSE)"),"978-601-7939-33-5")</f>
        <v>978-601-7939-33-5</v>
      </c>
      <c r="E849" s="11" t="s">
        <v>3443</v>
      </c>
      <c r="F849" s="11" t="s">
        <v>3444</v>
      </c>
      <c r="G849" s="12">
        <f ca="1">IFERROR(__xludf.DUMMYFUNCTION(" VLOOKUP(A846, IMPORTRANGE(""https://docs.google.com/spreadsheets/d/1fj_Bhi2XPL3siwIh4sx4VRLAe31yD50oKdj5UlRYW0c/"", ""Сводка!A:AA""), 5, FALSE)"),160)</f>
        <v>160</v>
      </c>
      <c r="H849" s="10" t="s">
        <v>47</v>
      </c>
      <c r="I849" s="10">
        <f ca="1">IFERROR(__xludf.DUMMYFUNCTION(" VLOOKUP(A846, IMPORTRANGE(""https://docs.google.com/spreadsheets/d/1QNLbnkR_AongFt22vMfNzfpjZ0CjpI8QI-w0wBnYA1w/"", ""Инфа!A:AA""), 6, FALSE)"),2023)</f>
        <v>2023</v>
      </c>
      <c r="J849" s="5">
        <f t="shared" ca="1" si="23"/>
        <v>9800</v>
      </c>
      <c r="K849" s="12" t="s">
        <v>3445</v>
      </c>
      <c r="L849" s="15" t="s">
        <v>3446</v>
      </c>
    </row>
    <row r="850" spans="1:12" ht="191.25">
      <c r="A850" s="8" t="s">
        <v>3447</v>
      </c>
      <c r="B850" s="9" t="s">
        <v>12</v>
      </c>
      <c r="C850" s="10" t="s">
        <v>443</v>
      </c>
      <c r="D850" s="10" t="s">
        <v>3448</v>
      </c>
      <c r="E850" s="22" t="s">
        <v>3449</v>
      </c>
      <c r="F850" s="22" t="s">
        <v>3450</v>
      </c>
      <c r="G850" s="12">
        <f ca="1">IFERROR(__xludf.DUMMYFUNCTION(" VLOOKUP(A847, IMPORTRANGE(""https://docs.google.com/spreadsheets/d/1fj_Bhi2XPL3siwIh4sx4VRLAe31yD50oKdj5UlRYW0c/"", ""Сводка!A:AA""), 5, FALSE)"),104)</f>
        <v>104</v>
      </c>
      <c r="H850" s="10" t="s">
        <v>538</v>
      </c>
      <c r="I850" s="10">
        <f ca="1">IFERROR(__xludf.DUMMYFUNCTION(" VLOOKUP(A847, IMPORTRANGE(""https://docs.google.com/spreadsheets/d/1QNLbnkR_AongFt22vMfNzfpjZ0CjpI8QI-w0wBnYA1w/"", ""Инфа!A:AA""), 6, FALSE)"),2024)</f>
        <v>2024</v>
      </c>
      <c r="J850" s="5">
        <f t="shared" ca="1" si="23"/>
        <v>8100</v>
      </c>
      <c r="K850" s="10" t="s">
        <v>3451</v>
      </c>
      <c r="L850" s="23" t="s">
        <v>3452</v>
      </c>
    </row>
    <row r="851" spans="1:12" ht="281.25">
      <c r="A851" s="8" t="s">
        <v>3453</v>
      </c>
      <c r="B851" s="9" t="s">
        <v>12</v>
      </c>
      <c r="C851" s="10" t="s">
        <v>2999</v>
      </c>
      <c r="D851" s="10" t="str">
        <f ca="1">IFERROR(__xludf.DUMMYFUNCTION(" VLOOKUP(A848, IMPORTRANGE(""https://docs.google.com/spreadsheets/d/1fj_Bhi2XPL3siwIh4sx4VRLAe31yD50oKdj5UlRYW0c/"", ""Сводка!A:AA""), 11, FALSE)"),"978-601-352-705-5")</f>
        <v>978-601-352-705-5</v>
      </c>
      <c r="E851" s="22" t="s">
        <v>3454</v>
      </c>
      <c r="F851" s="22" t="s">
        <v>3455</v>
      </c>
      <c r="G851" s="12">
        <f ca="1">IFERROR(__xludf.DUMMYFUNCTION(" VLOOKUP(A848, IMPORTRANGE(""https://docs.google.com/spreadsheets/d/1fj_Bhi2XPL3siwIh4sx4VRLAe31yD50oKdj5UlRYW0c/"", ""Сводка!A:AA""), 5, FALSE)"),172)</f>
        <v>172</v>
      </c>
      <c r="H851" s="10" t="s">
        <v>16</v>
      </c>
      <c r="I851" s="10">
        <f ca="1">IFERROR(__xludf.DUMMYFUNCTION(" VLOOKUP(A848, IMPORTRANGE(""https://docs.google.com/spreadsheets/d/1QNLbnkR_AongFt22vMfNzfpjZ0CjpI8QI-w0wBnYA1w/"", ""Инфа!A:AA""), 6, FALSE)"),2024)</f>
        <v>2024</v>
      </c>
      <c r="J851" s="5">
        <f ca="1">ROUND((5000+G851*60),-2)</f>
        <v>15300</v>
      </c>
      <c r="K851" s="10" t="s">
        <v>3002</v>
      </c>
      <c r="L851" s="23" t="s">
        <v>3456</v>
      </c>
    </row>
    <row r="852" spans="1:12" ht="225">
      <c r="A852" s="8" t="s">
        <v>3457</v>
      </c>
      <c r="B852" s="9" t="s">
        <v>12</v>
      </c>
      <c r="C852" s="12" t="s">
        <v>151</v>
      </c>
      <c r="D852" s="10" t="s">
        <v>3458</v>
      </c>
      <c r="E852" s="11" t="s">
        <v>3459</v>
      </c>
      <c r="F852" s="11" t="s">
        <v>3460</v>
      </c>
      <c r="G852" s="12">
        <f ca="1">IFERROR(__xludf.DUMMYFUNCTION(" VLOOKUP(A849, IMPORTRANGE(""https://docs.google.com/spreadsheets/d/1fj_Bhi2XPL3siwIh4sx4VRLAe31yD50oKdj5UlRYW0c/"", ""Сводка!A:AA""), 5, FALSE)"),184)</f>
        <v>184</v>
      </c>
      <c r="H852" s="12" t="s">
        <v>498</v>
      </c>
      <c r="I852" s="10">
        <f ca="1">IFERROR(__xludf.DUMMYFUNCTION(" VLOOKUP(A849, IMPORTRANGE(""https://docs.google.com/spreadsheets/d/1QNLbnkR_AongFt22vMfNzfpjZ0CjpI8QI-w0wBnYA1w/"", ""Инфа!A:AA""), 6, FALSE)"),2024)</f>
        <v>2024</v>
      </c>
      <c r="J852" s="5">
        <f ca="1">ROUND((5000+G852*30),-2)</f>
        <v>10500</v>
      </c>
      <c r="K852" s="12" t="s">
        <v>3461</v>
      </c>
      <c r="L852" s="15" t="s">
        <v>3462</v>
      </c>
    </row>
    <row r="853" spans="1:12" ht="180">
      <c r="A853" s="8" t="s">
        <v>3463</v>
      </c>
      <c r="B853" s="9" t="s">
        <v>12</v>
      </c>
      <c r="C853" s="12" t="s">
        <v>443</v>
      </c>
      <c r="D853" s="10" t="str">
        <f ca="1">IFERROR(__xludf.DUMMYFUNCTION(" VLOOKUP(A850, IMPORTRANGE(""https://docs.google.com/spreadsheets/d/1fj_Bhi2XPL3siwIh4sx4VRLAe31yD50oKdj5UlRYW0c/"", ""Сводка!A:AA""), 11, FALSE)"),"978-601-352-426-9")</f>
        <v>978-601-352-426-9</v>
      </c>
      <c r="E853" s="11" t="s">
        <v>3464</v>
      </c>
      <c r="F853" s="11" t="s">
        <v>3465</v>
      </c>
      <c r="G853" s="12">
        <f ca="1">IFERROR(__xludf.DUMMYFUNCTION(" VLOOKUP(A850, IMPORTRANGE(""https://docs.google.com/spreadsheets/d/1fj_Bhi2XPL3siwIh4sx4VRLAe31yD50oKdj5UlRYW0c/"", ""Сводка!A:AA""), 5, FALSE)"),152)</f>
        <v>152</v>
      </c>
      <c r="H853" s="12" t="s">
        <v>538</v>
      </c>
      <c r="I853" s="10">
        <f ca="1">IFERROR(__xludf.DUMMYFUNCTION(" VLOOKUP(A850, IMPORTRANGE(""https://docs.google.com/spreadsheets/d/1QNLbnkR_AongFt22vMfNzfpjZ0CjpI8QI-w0wBnYA1w/"", ""Инфа!A:AA""), 6, FALSE)"),2024)</f>
        <v>2024</v>
      </c>
      <c r="J853" s="5">
        <f ca="1">ROUND((5000+G853*30),-2)</f>
        <v>9600</v>
      </c>
      <c r="K853" s="12" t="s">
        <v>440</v>
      </c>
      <c r="L853" s="15" t="s">
        <v>3466</v>
      </c>
    </row>
    <row r="854" spans="1:12" ht="78.75">
      <c r="A854" s="8" t="s">
        <v>3467</v>
      </c>
      <c r="B854" s="9" t="s">
        <v>12</v>
      </c>
      <c r="C854" s="12" t="s">
        <v>151</v>
      </c>
      <c r="D854" s="10" t="s">
        <v>3468</v>
      </c>
      <c r="E854" s="11" t="s">
        <v>3469</v>
      </c>
      <c r="F854" s="11" t="s">
        <v>3470</v>
      </c>
      <c r="G854" s="12">
        <f ca="1">IFERROR(__xludf.DUMMYFUNCTION(" VLOOKUP(A851, IMPORTRANGE(""https://docs.google.com/spreadsheets/d/1fj_Bhi2XPL3siwIh4sx4VRLAe31yD50oKdj5UlRYW0c/"", ""Сводка!A:AA""), 5, FALSE)"),116)</f>
        <v>116</v>
      </c>
      <c r="H854" s="12" t="s">
        <v>47</v>
      </c>
      <c r="I854" s="10">
        <f ca="1">IFERROR(__xludf.DUMMYFUNCTION(" VLOOKUP(A851, IMPORTRANGE(""https://docs.google.com/spreadsheets/d/1QNLbnkR_AongFt22vMfNzfpjZ0CjpI8QI-w0wBnYA1w/"", ""Инфа!A:AA""), 6, FALSE)"),2024)</f>
        <v>2024</v>
      </c>
      <c r="J854" s="5">
        <f ca="1">ROUND((5000+G854*30),-2)</f>
        <v>8500</v>
      </c>
      <c r="K854" s="12" t="s">
        <v>440</v>
      </c>
      <c r="L854" s="15" t="s">
        <v>3471</v>
      </c>
    </row>
    <row r="855" spans="1:12" ht="191.25">
      <c r="A855" s="8" t="s">
        <v>3472</v>
      </c>
      <c r="B855" s="9" t="s">
        <v>12</v>
      </c>
      <c r="C855" s="12" t="s">
        <v>151</v>
      </c>
      <c r="D855" s="10" t="str">
        <f ca="1">IFERROR(__xludf.DUMMYFUNCTION(" VLOOKUP(A852, IMPORTRANGE(""https://docs.google.com/spreadsheets/d/1fj_Bhi2XPL3siwIh4sx4VRLAe31yD50oKdj5UlRYW0c/"", ""Сводка!A:AA""), 11, FALSE)"),"978-601-241-624-4")</f>
        <v>978-601-241-624-4</v>
      </c>
      <c r="E855" s="11" t="s">
        <v>3473</v>
      </c>
      <c r="F855" s="11" t="s">
        <v>3474</v>
      </c>
      <c r="G855" s="12">
        <f ca="1">IFERROR(__xludf.DUMMYFUNCTION(" VLOOKUP(A852, IMPORTRANGE(""https://docs.google.com/spreadsheets/d/1fj_Bhi2XPL3siwIh4sx4VRLAe31yD50oKdj5UlRYW0c/"", ""Сводка!A:AA""), 5, FALSE)"),284)</f>
        <v>284</v>
      </c>
      <c r="H855" s="12" t="s">
        <v>106</v>
      </c>
      <c r="I855" s="10">
        <f ca="1">IFERROR(__xludf.DUMMYFUNCTION(" VLOOKUP(A852, IMPORTRANGE(""https://docs.google.com/spreadsheets/d/1QNLbnkR_AongFt22vMfNzfpjZ0CjpI8QI-w0wBnYA1w/"", ""Инфа!A:AA""), 6, FALSE)"),2024)</f>
        <v>2024</v>
      </c>
      <c r="J855" s="5">
        <f ca="1">ROUND((5000+G855*30),-2)</f>
        <v>13500</v>
      </c>
      <c r="K855" s="12" t="s">
        <v>3475</v>
      </c>
      <c r="L855" s="15" t="s">
        <v>3476</v>
      </c>
    </row>
    <row r="856" spans="1:12" ht="168.75">
      <c r="A856" s="8" t="s">
        <v>3477</v>
      </c>
      <c r="B856" s="9" t="s">
        <v>12</v>
      </c>
      <c r="C856" s="12" t="s">
        <v>443</v>
      </c>
      <c r="D856" s="10" t="str">
        <f ca="1">IFERROR(__xludf.DUMMYFUNCTION(" VLOOKUP(A853, IMPORTRANGE(""https://docs.google.com/spreadsheets/d/1fj_Bhi2XPL3siwIh4sx4VRLAe31yD50oKdj5UlRYW0c/"", ""Сводка!A:AA""), 11, FALSE)"),"978-601-352-863-2")</f>
        <v>978-601-352-863-2</v>
      </c>
      <c r="E856" s="11" t="s">
        <v>3478</v>
      </c>
      <c r="F856" s="11" t="s">
        <v>213</v>
      </c>
      <c r="G856" s="12">
        <f ca="1">IFERROR(__xludf.DUMMYFUNCTION(" VLOOKUP(A853, IMPORTRANGE(""https://docs.google.com/spreadsheets/d/1fj_Bhi2XPL3siwIh4sx4VRLAe31yD50oKdj5UlRYW0c/"", ""Сводка!A:AA""), 5, FALSE)"),260)</f>
        <v>260</v>
      </c>
      <c r="H856" s="12" t="s">
        <v>538</v>
      </c>
      <c r="I856" s="10">
        <f ca="1">IFERROR(__xludf.DUMMYFUNCTION(" VLOOKUP(A853, IMPORTRANGE(""https://docs.google.com/spreadsheets/d/1QNLbnkR_AongFt22vMfNzfpjZ0CjpI8QI-w0wBnYA1w/"", ""Инфа!A:AA""), 6, FALSE)"),2024)</f>
        <v>2024</v>
      </c>
      <c r="J856" s="5">
        <f ca="1">ROUND((5000+G856*60),-2)</f>
        <v>20600</v>
      </c>
      <c r="K856" s="12" t="s">
        <v>213</v>
      </c>
      <c r="L856" s="15" t="s">
        <v>3479</v>
      </c>
    </row>
    <row r="857" spans="1:12" ht="112.5">
      <c r="A857" s="8" t="s">
        <v>3480</v>
      </c>
      <c r="B857" s="9" t="s">
        <v>12</v>
      </c>
      <c r="C857" s="12" t="s">
        <v>443</v>
      </c>
      <c r="D857" s="10" t="str">
        <f ca="1">IFERROR(__xludf.DUMMYFUNCTION(" VLOOKUP(A854, IMPORTRANGE(""https://docs.google.com/spreadsheets/d/1fj_Bhi2XPL3siwIh4sx4VRLAe31yD50oKdj5UlRYW0c/"", ""Сводка!A:AA""), 11, FALSE)"),"978-601-352-637-9")</f>
        <v>978-601-352-637-9</v>
      </c>
      <c r="E857" s="11" t="s">
        <v>3481</v>
      </c>
      <c r="F857" s="11" t="s">
        <v>3482</v>
      </c>
      <c r="G857" s="12">
        <f ca="1">IFERROR(__xludf.DUMMYFUNCTION(" VLOOKUP(A854, IMPORTRANGE(""https://docs.google.com/spreadsheets/d/1fj_Bhi2XPL3siwIh4sx4VRLAe31yD50oKdj5UlRYW0c/"", ""Сводка!A:AA""), 5, FALSE)"),324)</f>
        <v>324</v>
      </c>
      <c r="H857" s="12" t="s">
        <v>511</v>
      </c>
      <c r="I857" s="10">
        <f ca="1">IFERROR(__xludf.DUMMYFUNCTION(" VLOOKUP(A854, IMPORTRANGE(""https://docs.google.com/spreadsheets/d/1QNLbnkR_AongFt22vMfNzfpjZ0CjpI8QI-w0wBnYA1w/"", ""Инфа!A:AA""), 6, FALSE)"),2024)</f>
        <v>2024</v>
      </c>
      <c r="J857" s="5">
        <f ca="1">ROUND((5000+G857*60),-2)</f>
        <v>24400</v>
      </c>
      <c r="K857" s="12" t="s">
        <v>3483</v>
      </c>
      <c r="L857" s="15" t="s">
        <v>3484</v>
      </c>
    </row>
    <row r="858" spans="1:12" ht="112.5">
      <c r="A858" s="8" t="s">
        <v>3485</v>
      </c>
      <c r="B858" s="9" t="s">
        <v>12</v>
      </c>
      <c r="C858" s="12" t="s">
        <v>443</v>
      </c>
      <c r="D858" s="10" t="str">
        <f ca="1">IFERROR(__xludf.DUMMYFUNCTION(" VLOOKUP(A855, IMPORTRANGE(""https://docs.google.com/spreadsheets/d/1fj_Bhi2XPL3siwIh4sx4VRLAe31yD50oKdj5UlRYW0c/"", ""Сводка!A:AA""), 11, FALSE)"),"978-601-352-637-9")</f>
        <v>978-601-352-637-9</v>
      </c>
      <c r="E858" s="11" t="s">
        <v>3481</v>
      </c>
      <c r="F858" s="11" t="s">
        <v>3486</v>
      </c>
      <c r="G858" s="12">
        <f ca="1">IFERROR(__xludf.DUMMYFUNCTION(" VLOOKUP(A855, IMPORTRANGE(""https://docs.google.com/spreadsheets/d/1fj_Bhi2XPL3siwIh4sx4VRLAe31yD50oKdj5UlRYW0c/"", ""Сводка!A:AA""), 5, FALSE)"),276)</f>
        <v>276</v>
      </c>
      <c r="H858" s="12" t="s">
        <v>511</v>
      </c>
      <c r="I858" s="10">
        <f ca="1">IFERROR(__xludf.DUMMYFUNCTION(" VLOOKUP(A855, IMPORTRANGE(""https://docs.google.com/spreadsheets/d/1QNLbnkR_AongFt22vMfNzfpjZ0CjpI8QI-w0wBnYA1w/"", ""Инфа!A:AA""), 6, FALSE)"),2024)</f>
        <v>2024</v>
      </c>
      <c r="J858" s="5">
        <f ca="1">ROUND((5000+G858*60),-2)</f>
        <v>21600</v>
      </c>
      <c r="K858" s="12" t="s">
        <v>3483</v>
      </c>
      <c r="L858" s="15" t="s">
        <v>3484</v>
      </c>
    </row>
    <row r="859" spans="1:12" ht="180">
      <c r="A859" s="8" t="s">
        <v>3487</v>
      </c>
      <c r="B859" s="9" t="s">
        <v>12</v>
      </c>
      <c r="C859" s="12" t="s">
        <v>151</v>
      </c>
      <c r="D859" s="10" t="str">
        <f ca="1">IFERROR(__xludf.DUMMYFUNCTION(" VLOOKUP(A856, IMPORTRANGE(""https://docs.google.com/spreadsheets/d/1fj_Bhi2XPL3siwIh4sx4VRLAe31yD50oKdj5UlRYW0c/"", ""Сводка!A:AA""), 11, FALSE)"),"978-601-330-054-2")</f>
        <v>978-601-330-054-2</v>
      </c>
      <c r="E859" s="11" t="s">
        <v>3488</v>
      </c>
      <c r="F859" s="11" t="s">
        <v>3489</v>
      </c>
      <c r="G859" s="12">
        <f ca="1">IFERROR(__xludf.DUMMYFUNCTION(" VLOOKUP(A856, IMPORTRANGE(""https://docs.google.com/spreadsheets/d/1fj_Bhi2XPL3siwIh4sx4VRLAe31yD50oKdj5UlRYW0c/"", ""Сводка!A:AA""), 5, FALSE)"),112)</f>
        <v>112</v>
      </c>
      <c r="H859" s="12" t="s">
        <v>498</v>
      </c>
      <c r="I859" s="10">
        <f ca="1">IFERROR(__xludf.DUMMYFUNCTION(" VLOOKUP(A856, IMPORTRANGE(""https://docs.google.com/spreadsheets/d/1QNLbnkR_AongFt22vMfNzfpjZ0CjpI8QI-w0wBnYA1w/"", ""Инфа!A:AA""), 6, FALSE)"),2024)</f>
        <v>2024</v>
      </c>
      <c r="J859" s="5">
        <f ca="1">ROUND((5000+G859*30),-2)</f>
        <v>8400</v>
      </c>
      <c r="K859" s="12" t="s">
        <v>2398</v>
      </c>
      <c r="L859" s="15" t="s">
        <v>3490</v>
      </c>
    </row>
    <row r="860" spans="1:12" ht="157.5">
      <c r="A860" s="8" t="s">
        <v>3491</v>
      </c>
      <c r="B860" s="9" t="s">
        <v>12</v>
      </c>
      <c r="C860" s="12" t="s">
        <v>443</v>
      </c>
      <c r="D860" s="10" t="s">
        <v>3492</v>
      </c>
      <c r="E860" s="11" t="s">
        <v>3488</v>
      </c>
      <c r="F860" s="11" t="s">
        <v>3493</v>
      </c>
      <c r="G860" s="12">
        <f ca="1">IFERROR(__xludf.DUMMYFUNCTION(" VLOOKUP(A857, IMPORTRANGE(""https://docs.google.com/spreadsheets/d/1fj_Bhi2XPL3siwIh4sx4VRLAe31yD50oKdj5UlRYW0c/"", ""Сводка!A:AA""), 5, FALSE)"),104)</f>
        <v>104</v>
      </c>
      <c r="H860" s="12" t="s">
        <v>511</v>
      </c>
      <c r="I860" s="10">
        <f ca="1">IFERROR(__xludf.DUMMYFUNCTION(" VLOOKUP(A857, IMPORTRANGE(""https://docs.google.com/spreadsheets/d/1QNLbnkR_AongFt22vMfNzfpjZ0CjpI8QI-w0wBnYA1w/"", ""Инфа!A:AA""), 6, FALSE)"),2024)</f>
        <v>2024</v>
      </c>
      <c r="J860" s="5">
        <f ca="1">ROUND((5000+G860*30),-2)</f>
        <v>8100</v>
      </c>
      <c r="K860" s="12" t="s">
        <v>2398</v>
      </c>
      <c r="L860" s="15" t="s">
        <v>3494</v>
      </c>
    </row>
    <row r="861" spans="1:12" ht="326.25">
      <c r="A861" s="8" t="s">
        <v>3495</v>
      </c>
      <c r="B861" s="9" t="s">
        <v>12</v>
      </c>
      <c r="C861" s="12" t="s">
        <v>151</v>
      </c>
      <c r="D861" s="10" t="str">
        <f ca="1">IFERROR(__xludf.DUMMYFUNCTION(" VLOOKUP(A858, IMPORTRANGE(""https://docs.google.com/spreadsheets/d/1fj_Bhi2XPL3siwIh4sx4VRLAe31yD50oKdj5UlRYW0c/"", ""Сводка!A:AA""), 11, FALSE)"),"978-601-352-718-5")</f>
        <v>978-601-352-718-5</v>
      </c>
      <c r="E861" s="11" t="s">
        <v>2648</v>
      </c>
      <c r="F861" s="11" t="s">
        <v>3496</v>
      </c>
      <c r="G861" s="12">
        <f ca="1">IFERROR(__xludf.DUMMYFUNCTION(" VLOOKUP(A858, IMPORTRANGE(""https://docs.google.com/spreadsheets/d/1fj_Bhi2XPL3siwIh4sx4VRLAe31yD50oKdj5UlRYW0c/"", ""Сводка!A:AA""), 5, FALSE)"),100)</f>
        <v>100</v>
      </c>
      <c r="H861" s="12" t="s">
        <v>47</v>
      </c>
      <c r="I861" s="10">
        <f ca="1">IFERROR(__xludf.DUMMYFUNCTION(" VLOOKUP(A858, IMPORTRANGE(""https://docs.google.com/spreadsheets/d/1QNLbnkR_AongFt22vMfNzfpjZ0CjpI8QI-w0wBnYA1w/"", ""Инфа!A:AA""), 6, FALSE)"),2024)</f>
        <v>2024</v>
      </c>
      <c r="J861" s="5">
        <f ca="1">ROUND((5000+G861*30),-2)</f>
        <v>8000</v>
      </c>
      <c r="K861" s="12" t="s">
        <v>3497</v>
      </c>
      <c r="L861" s="15" t="s">
        <v>3498</v>
      </c>
    </row>
    <row r="862" spans="1:12" ht="281.25">
      <c r="A862" s="8" t="s">
        <v>3499</v>
      </c>
      <c r="B862" s="9" t="s">
        <v>12</v>
      </c>
      <c r="C862" s="12" t="s">
        <v>443</v>
      </c>
      <c r="D862" s="10" t="s">
        <v>3500</v>
      </c>
      <c r="E862" s="11" t="s">
        <v>3501</v>
      </c>
      <c r="F862" s="11" t="s">
        <v>3502</v>
      </c>
      <c r="G862" s="12">
        <f ca="1">IFERROR(__xludf.DUMMYFUNCTION(" VLOOKUP(A859, IMPORTRANGE(""https://docs.google.com/spreadsheets/d/1fj_Bhi2XPL3siwIh4sx4VRLAe31yD50oKdj5UlRYW0c/"", ""Сводка!A:AA""), 5, FALSE)"),264)</f>
        <v>264</v>
      </c>
      <c r="H862" s="12" t="s">
        <v>106</v>
      </c>
      <c r="I862" s="10">
        <f ca="1">IFERROR(__xludf.DUMMYFUNCTION(" VLOOKUP(A859, IMPORTRANGE(""https://docs.google.com/spreadsheets/d/1QNLbnkR_AongFt22vMfNzfpjZ0CjpI8QI-w0wBnYA1w/"", ""Инфа!A:AA""), 6, FALSE)"),2024)</f>
        <v>2024</v>
      </c>
      <c r="J862" s="5">
        <f ca="1">ROUND((5000+G862*30),-2)</f>
        <v>12900</v>
      </c>
      <c r="K862" s="12" t="s">
        <v>3503</v>
      </c>
      <c r="L862" s="15" t="s">
        <v>3504</v>
      </c>
    </row>
    <row r="863" spans="1:12" ht="146.25">
      <c r="A863" s="8" t="s">
        <v>3505</v>
      </c>
      <c r="B863" s="9" t="s">
        <v>12</v>
      </c>
      <c r="C863" s="12" t="s">
        <v>443</v>
      </c>
      <c r="D863" s="10" t="str">
        <f ca="1">IFERROR(__xludf.DUMMYFUNCTION(" VLOOKUP(A860, IMPORTRANGE(""https://docs.google.com/spreadsheets/d/1fj_Bhi2XPL3siwIh4sx4VRLAe31yD50oKdj5UlRYW0c/"", ""Сводка!A:AA""), 11, FALSE)"),"978-601-352-642-3")</f>
        <v>978-601-352-642-3</v>
      </c>
      <c r="E863" s="11" t="s">
        <v>3506</v>
      </c>
      <c r="F863" s="11" t="s">
        <v>3507</v>
      </c>
      <c r="G863" s="12">
        <f ca="1">IFERROR(__xludf.DUMMYFUNCTION(" VLOOKUP(A860, IMPORTRANGE(""https://docs.google.com/spreadsheets/d/1fj_Bhi2XPL3siwIh4sx4VRLAe31yD50oKdj5UlRYW0c/"", ""Сводка!A:AA""), 5, FALSE)"),152)</f>
        <v>152</v>
      </c>
      <c r="H863" s="12" t="s">
        <v>538</v>
      </c>
      <c r="I863" s="10">
        <f ca="1">IFERROR(__xludf.DUMMYFUNCTION(" VLOOKUP(A860, IMPORTRANGE(""https://docs.google.com/spreadsheets/d/1QNLbnkR_AongFt22vMfNzfpjZ0CjpI8QI-w0wBnYA1w/"", ""Инфа!A:AA""), 6, FALSE)"),2024)</f>
        <v>2024</v>
      </c>
      <c r="J863" s="5">
        <f ca="1">ROUND((5000+G863*60),-2)</f>
        <v>14100</v>
      </c>
      <c r="K863" s="12" t="s">
        <v>3508</v>
      </c>
      <c r="L863" s="15" t="s">
        <v>3509</v>
      </c>
    </row>
    <row r="864" spans="1:12" ht="303.75">
      <c r="A864" s="8" t="s">
        <v>3510</v>
      </c>
      <c r="B864" s="9" t="s">
        <v>12</v>
      </c>
      <c r="C864" s="12" t="s">
        <v>443</v>
      </c>
      <c r="D864" s="10" t="str">
        <f ca="1">IFERROR(__xludf.DUMMYFUNCTION(" VLOOKUP(A861, IMPORTRANGE(""https://docs.google.com/spreadsheets/d/1fj_Bhi2XPL3siwIh4sx4VRLAe31yD50oKdj5UlRYW0c/"", ""Сводка!A:AA""), 11, FALSE)"),"978-601-330-255-3")</f>
        <v>978-601-330-255-3</v>
      </c>
      <c r="E864" s="11" t="s">
        <v>3511</v>
      </c>
      <c r="F864" s="11" t="s">
        <v>3512</v>
      </c>
      <c r="G864" s="12">
        <f ca="1">IFERROR(__xludf.DUMMYFUNCTION(" VLOOKUP(A861, IMPORTRANGE(""https://docs.google.com/spreadsheets/d/1fj_Bhi2XPL3siwIh4sx4VRLAe31yD50oKdj5UlRYW0c/"", ""Сводка!A:AA""), 5, FALSE)"),196)</f>
        <v>196</v>
      </c>
      <c r="H864" s="12" t="s">
        <v>511</v>
      </c>
      <c r="I864" s="10">
        <f ca="1">IFERROR(__xludf.DUMMYFUNCTION(" VLOOKUP(A861, IMPORTRANGE(""https://docs.google.com/spreadsheets/d/1QNLbnkR_AongFt22vMfNzfpjZ0CjpI8QI-w0wBnYA1w/"", ""Инфа!A:AA""), 6, FALSE)"),2023)</f>
        <v>2023</v>
      </c>
      <c r="J864" s="5">
        <f ca="1">ROUND((5000+G864*30),-2)</f>
        <v>10900</v>
      </c>
      <c r="K864" s="12" t="s">
        <v>3513</v>
      </c>
      <c r="L864" s="15" t="s">
        <v>3514</v>
      </c>
    </row>
    <row r="865" spans="1:12" ht="292.5">
      <c r="A865" s="8" t="s">
        <v>3515</v>
      </c>
      <c r="B865" s="9" t="s">
        <v>12</v>
      </c>
      <c r="C865" s="12" t="s">
        <v>443</v>
      </c>
      <c r="D865" s="10" t="str">
        <f ca="1">IFERROR(__xludf.DUMMYFUNCTION(" VLOOKUP(A862, IMPORTRANGE(""https://docs.google.com/spreadsheets/d/1fj_Bhi2XPL3siwIh4sx4VRLAe31yD50oKdj5UlRYW0c/"", ""Сводка!A:AA""), 11, FALSE)"),"978-601-330-256-0")</f>
        <v>978-601-330-256-0</v>
      </c>
      <c r="E865" s="11" t="s">
        <v>3511</v>
      </c>
      <c r="F865" s="11" t="s">
        <v>3516</v>
      </c>
      <c r="G865" s="12">
        <f ca="1">IFERROR(__xludf.DUMMYFUNCTION(" VLOOKUP(A862, IMPORTRANGE(""https://docs.google.com/spreadsheets/d/1fj_Bhi2XPL3siwIh4sx4VRLAe31yD50oKdj5UlRYW0c/"", ""Сводка!A:AA""), 5, FALSE)"),208)</f>
        <v>208</v>
      </c>
      <c r="H865" s="12" t="s">
        <v>511</v>
      </c>
      <c r="I865" s="10">
        <f ca="1">IFERROR(__xludf.DUMMYFUNCTION(" VLOOKUP(A862, IMPORTRANGE(""https://docs.google.com/spreadsheets/d/1QNLbnkR_AongFt22vMfNzfpjZ0CjpI8QI-w0wBnYA1w/"", ""Инфа!A:AA""), 6, FALSE)"),2023)</f>
        <v>2023</v>
      </c>
      <c r="J865" s="5">
        <f ca="1">ROUND((5000+G865*30),-2)</f>
        <v>11200</v>
      </c>
      <c r="K865" s="12" t="s">
        <v>3513</v>
      </c>
      <c r="L865" s="15" t="s">
        <v>3517</v>
      </c>
    </row>
    <row r="866" spans="1:12" ht="315">
      <c r="A866" s="8" t="s">
        <v>3518</v>
      </c>
      <c r="B866" s="9" t="s">
        <v>12</v>
      </c>
      <c r="C866" s="12" t="s">
        <v>151</v>
      </c>
      <c r="D866" s="10" t="str">
        <f ca="1">IFERROR(__xludf.DUMMYFUNCTION(" VLOOKUP(A863, IMPORTRANGE(""https://docs.google.com/spreadsheets/d/1fj_Bhi2XPL3siwIh4sx4VRLAe31yD50oKdj5UlRYW0c/"", ""Сводка!A:AA""), 11, FALSE)"),"978-601-352-674-4")</f>
        <v>978-601-352-674-4</v>
      </c>
      <c r="E866" s="11" t="s">
        <v>3519</v>
      </c>
      <c r="F866" s="11" t="s">
        <v>3520</v>
      </c>
      <c r="G866" s="12">
        <f ca="1">IFERROR(__xludf.DUMMYFUNCTION(" VLOOKUP(A863, IMPORTRANGE(""https://docs.google.com/spreadsheets/d/1fj_Bhi2XPL3siwIh4sx4VRLAe31yD50oKdj5UlRYW0c/"", ""Сводка!A:AA""), 5, FALSE)"),204)</f>
        <v>204</v>
      </c>
      <c r="H866" s="12" t="s">
        <v>498</v>
      </c>
      <c r="I866" s="10">
        <f ca="1">IFERROR(__xludf.DUMMYFUNCTION(" VLOOKUP(A863, IMPORTRANGE(""https://docs.google.com/spreadsheets/d/1QNLbnkR_AongFt22vMfNzfpjZ0CjpI8QI-w0wBnYA1w/"", ""Инфа!A:AA""), 6, FALSE)"),2023)</f>
        <v>2023</v>
      </c>
      <c r="J866" s="5">
        <f ca="1">ROUND((5000+G866*60),-2)</f>
        <v>17200</v>
      </c>
      <c r="K866" s="12" t="s">
        <v>3513</v>
      </c>
      <c r="L866" s="15" t="s">
        <v>3521</v>
      </c>
    </row>
    <row r="867" spans="1:12" ht="303.75">
      <c r="A867" s="8" t="s">
        <v>3522</v>
      </c>
      <c r="B867" s="9" t="s">
        <v>12</v>
      </c>
      <c r="C867" s="12" t="s">
        <v>151</v>
      </c>
      <c r="D867" s="10" t="str">
        <f ca="1">IFERROR(__xludf.DUMMYFUNCTION(" VLOOKUP(A864, IMPORTRANGE(""https://docs.google.com/spreadsheets/d/1fj_Bhi2XPL3siwIh4sx4VRLAe31yD50oKdj5UlRYW0c/"", ""Сводка!A:AA""), 11, FALSE)"),"978-601-352-674-4")</f>
        <v>978-601-352-674-4</v>
      </c>
      <c r="E867" s="11" t="s">
        <v>3519</v>
      </c>
      <c r="F867" s="11" t="s">
        <v>3523</v>
      </c>
      <c r="G867" s="12">
        <f ca="1">IFERROR(__xludf.DUMMYFUNCTION(" VLOOKUP(A864, IMPORTRANGE(""https://docs.google.com/spreadsheets/d/1fj_Bhi2XPL3siwIh4sx4VRLAe31yD50oKdj5UlRYW0c/"", ""Сводка!A:AA""), 5, FALSE)"),232)</f>
        <v>232</v>
      </c>
      <c r="H867" s="12" t="s">
        <v>498</v>
      </c>
      <c r="I867" s="10">
        <f ca="1">IFERROR(__xludf.DUMMYFUNCTION(" VLOOKUP(A864, IMPORTRANGE(""https://docs.google.com/spreadsheets/d/1QNLbnkR_AongFt22vMfNzfpjZ0CjpI8QI-w0wBnYA1w/"", ""Инфа!A:AA""), 6, FALSE)"),2023)</f>
        <v>2023</v>
      </c>
      <c r="J867" s="5">
        <f ca="1">ROUND((5000+G867*30),-2)</f>
        <v>12000</v>
      </c>
      <c r="K867" s="12" t="s">
        <v>3513</v>
      </c>
      <c r="L867" s="15" t="s">
        <v>3524</v>
      </c>
    </row>
    <row r="868" spans="1:12" ht="135">
      <c r="A868" s="8" t="s">
        <v>3525</v>
      </c>
      <c r="B868" s="9" t="s">
        <v>12</v>
      </c>
      <c r="C868" s="12" t="s">
        <v>443</v>
      </c>
      <c r="D868" s="10" t="str">
        <f ca="1">IFERROR(__xludf.DUMMYFUNCTION(" VLOOKUP(A865, IMPORTRANGE(""https://docs.google.com/spreadsheets/d/1fj_Bhi2XPL3siwIh4sx4VRLAe31yD50oKdj5UlRYW0c/"", ""Сводка!A:AA""), 11, FALSE)"),"978-601-352-996-7")</f>
        <v>978-601-352-996-7</v>
      </c>
      <c r="E868" s="11" t="s">
        <v>3526</v>
      </c>
      <c r="F868" s="11" t="s">
        <v>3527</v>
      </c>
      <c r="G868" s="12">
        <f ca="1">IFERROR(__xludf.DUMMYFUNCTION(" VLOOKUP(A865, IMPORTRANGE(""https://docs.google.com/spreadsheets/d/1fj_Bhi2XPL3siwIh4sx4VRLAe31yD50oKdj5UlRYW0c/"", ""Сводка!A:AA""), 5, FALSE)"),256)</f>
        <v>256</v>
      </c>
      <c r="H868" s="12" t="s">
        <v>538</v>
      </c>
      <c r="I868" s="10">
        <f ca="1">IFERROR(__xludf.DUMMYFUNCTION(" VLOOKUP(A865, IMPORTRANGE(""https://docs.google.com/spreadsheets/d/1QNLbnkR_AongFt22vMfNzfpjZ0CjpI8QI-w0wBnYA1w/"", ""Инфа!A:AA""), 6, FALSE)"),2023)</f>
        <v>2023</v>
      </c>
      <c r="J868" s="5">
        <f ca="1">ROUND((5000+G868*30),-2)</f>
        <v>12700</v>
      </c>
      <c r="K868" s="12" t="s">
        <v>84</v>
      </c>
      <c r="L868" s="15" t="s">
        <v>3528</v>
      </c>
    </row>
    <row r="869" spans="1:12" ht="135">
      <c r="A869" s="8" t="s">
        <v>3529</v>
      </c>
      <c r="B869" s="9" t="s">
        <v>12</v>
      </c>
      <c r="C869" s="12" t="s">
        <v>443</v>
      </c>
      <c r="D869" s="10" t="str">
        <f ca="1">IFERROR(__xludf.DUMMYFUNCTION(" VLOOKUP(A866, IMPORTRANGE(""https://docs.google.com/spreadsheets/d/1fj_Bhi2XPL3siwIh4sx4VRLAe31yD50oKdj5UlRYW0c/"", ""Сводка!A:AA""), 11, FALSE)"),"978-601-352-996-8")</f>
        <v>978-601-352-996-8</v>
      </c>
      <c r="E869" s="11" t="s">
        <v>3526</v>
      </c>
      <c r="F869" s="11" t="s">
        <v>3530</v>
      </c>
      <c r="G869" s="12">
        <f ca="1">IFERROR(__xludf.DUMMYFUNCTION(" VLOOKUP(A866, IMPORTRANGE(""https://docs.google.com/spreadsheets/d/1fj_Bhi2XPL3siwIh4sx4VRLAe31yD50oKdj5UlRYW0c/"", ""Сводка!A:AA""), 5, FALSE)"),192)</f>
        <v>192</v>
      </c>
      <c r="H869" s="12" t="s">
        <v>538</v>
      </c>
      <c r="I869" s="10">
        <f ca="1">IFERROR(__xludf.DUMMYFUNCTION(" VLOOKUP(A866, IMPORTRANGE(""https://docs.google.com/spreadsheets/d/1QNLbnkR_AongFt22vMfNzfpjZ0CjpI8QI-w0wBnYA1w/"", ""Инфа!A:AA""), 6, FALSE)"),2023)</f>
        <v>2023</v>
      </c>
      <c r="J869" s="5">
        <f ca="1">ROUND((5000+G869*30),-2)</f>
        <v>10800</v>
      </c>
      <c r="K869" s="12" t="s">
        <v>84</v>
      </c>
      <c r="L869" s="15" t="s">
        <v>3528</v>
      </c>
    </row>
    <row r="870" spans="1:12" ht="191.25">
      <c r="A870" s="8" t="s">
        <v>3531</v>
      </c>
      <c r="B870" s="9" t="s">
        <v>12</v>
      </c>
      <c r="C870" s="12" t="s">
        <v>151</v>
      </c>
      <c r="D870" s="10" t="str">
        <f ca="1">IFERROR(__xludf.DUMMYFUNCTION(" VLOOKUP(A867, IMPORTRANGE(""https://docs.google.com/spreadsheets/d/1fj_Bhi2XPL3siwIh4sx4VRLAe31yD50oKdj5UlRYW0c/"", ""Сводка!A:AA""), 11, FALSE)"),"978-601-330-211-9")</f>
        <v>978-601-330-211-9</v>
      </c>
      <c r="E870" s="11" t="s">
        <v>3532</v>
      </c>
      <c r="F870" s="11" t="s">
        <v>3533</v>
      </c>
      <c r="G870" s="12">
        <f ca="1">IFERROR(__xludf.DUMMYFUNCTION(" VLOOKUP(A867, IMPORTRANGE(""https://docs.google.com/spreadsheets/d/1fj_Bhi2XPL3siwIh4sx4VRLAe31yD50oKdj5UlRYW0c/"", ""Сводка!A:AA""), 5, FALSE)"),132)</f>
        <v>132</v>
      </c>
      <c r="H870" s="12" t="s">
        <v>47</v>
      </c>
      <c r="I870" s="10">
        <f ca="1">IFERROR(__xludf.DUMMYFUNCTION(" VLOOKUP(A867, IMPORTRANGE(""https://docs.google.com/spreadsheets/d/1QNLbnkR_AongFt22vMfNzfpjZ0CjpI8QI-w0wBnYA1w/"", ""Инфа!A:AA""), 6, FALSE)"),2023)</f>
        <v>2023</v>
      </c>
      <c r="J870" s="5">
        <f ca="1">ROUND((5000+G870*60),-2)</f>
        <v>12900</v>
      </c>
      <c r="K870" s="12" t="s">
        <v>248</v>
      </c>
      <c r="L870" s="15" t="s">
        <v>3534</v>
      </c>
    </row>
    <row r="871" spans="1:12" ht="168.75">
      <c r="A871" s="8" t="s">
        <v>3535</v>
      </c>
      <c r="B871" s="9" t="s">
        <v>12</v>
      </c>
      <c r="C871" s="12" t="s">
        <v>151</v>
      </c>
      <c r="D871" s="10" t="str">
        <f ca="1">IFERROR(__xludf.DUMMYFUNCTION(" VLOOKUP(A868, IMPORTRANGE(""https://docs.google.com/spreadsheets/d/1fj_Bhi2XPL3siwIh4sx4VRLAe31yD50oKdj5UlRYW0c/"", ""Сводка!A:AA""), 11, FALSE)"),"978-601-352-871-7")</f>
        <v>978-601-352-871-7</v>
      </c>
      <c r="E871" s="11" t="s">
        <v>3536</v>
      </c>
      <c r="F871" s="11" t="s">
        <v>3537</v>
      </c>
      <c r="G871" s="12">
        <f ca="1">IFERROR(__xludf.DUMMYFUNCTION(" VLOOKUP(A868, IMPORTRANGE(""https://docs.google.com/spreadsheets/d/1fj_Bhi2XPL3siwIh4sx4VRLAe31yD50oKdj5UlRYW0c/"", ""Сводка!A:AA""), 5, FALSE)"),104)</f>
        <v>104</v>
      </c>
      <c r="H871" s="12" t="s">
        <v>47</v>
      </c>
      <c r="I871" s="10">
        <f ca="1">IFERROR(__xludf.DUMMYFUNCTION(" VLOOKUP(A868, IMPORTRANGE(""https://docs.google.com/spreadsheets/d/1QNLbnkR_AongFt22vMfNzfpjZ0CjpI8QI-w0wBnYA1w/"", ""Инфа!A:AA""), 6, FALSE)"),2024)</f>
        <v>2024</v>
      </c>
      <c r="J871" s="5">
        <f ca="1">ROUND((5000+G871*60),-2)</f>
        <v>11200</v>
      </c>
      <c r="K871" s="12" t="s">
        <v>248</v>
      </c>
      <c r="L871" s="15" t="s">
        <v>3538</v>
      </c>
    </row>
    <row r="872" spans="1:12" ht="135">
      <c r="A872" s="8" t="s">
        <v>3539</v>
      </c>
      <c r="B872" s="9" t="s">
        <v>12</v>
      </c>
      <c r="C872" s="12" t="s">
        <v>443</v>
      </c>
      <c r="D872" s="10" t="s">
        <v>3540</v>
      </c>
      <c r="E872" s="11" t="s">
        <v>3536</v>
      </c>
      <c r="F872" s="11" t="s">
        <v>3541</v>
      </c>
      <c r="G872" s="12">
        <f ca="1">IFERROR(__xludf.DUMMYFUNCTION(" VLOOKUP(A869, IMPORTRANGE(""https://docs.google.com/spreadsheets/d/1fj_Bhi2XPL3siwIh4sx4VRLAe31yD50oKdj5UlRYW0c/"", ""Сводка!A:AA""), 5, FALSE)"),148)</f>
        <v>148</v>
      </c>
      <c r="H872" s="12" t="s">
        <v>538</v>
      </c>
      <c r="I872" s="10">
        <f ca="1">IFERROR(__xludf.DUMMYFUNCTION(" VLOOKUP(A869, IMPORTRANGE(""https://docs.google.com/spreadsheets/d/1QNLbnkR_AongFt22vMfNzfpjZ0CjpI8QI-w0wBnYA1w/"", ""Инфа!A:AA""), 6, FALSE)"),2024)</f>
        <v>2024</v>
      </c>
      <c r="J872" s="5">
        <f t="shared" ref="J872:J883" ca="1" si="24">ROUND((5000+G872*30),-2)</f>
        <v>9400</v>
      </c>
      <c r="K872" s="12" t="s">
        <v>248</v>
      </c>
      <c r="L872" s="15" t="s">
        <v>3542</v>
      </c>
    </row>
    <row r="873" spans="1:12" ht="135">
      <c r="A873" s="8" t="s">
        <v>3543</v>
      </c>
      <c r="B873" s="9" t="s">
        <v>12</v>
      </c>
      <c r="C873" s="12" t="s">
        <v>151</v>
      </c>
      <c r="D873" s="10" t="s">
        <v>3544</v>
      </c>
      <c r="E873" s="11" t="s">
        <v>3536</v>
      </c>
      <c r="F873" s="11" t="s">
        <v>3545</v>
      </c>
      <c r="G873" s="12">
        <f ca="1">IFERROR(__xludf.DUMMYFUNCTION(" VLOOKUP(A870, IMPORTRANGE(""https://docs.google.com/spreadsheets/d/1fj_Bhi2XPL3siwIh4sx4VRLAe31yD50oKdj5UlRYW0c/"", ""Сводка!A:AA""), 5, FALSE)"),144)</f>
        <v>144</v>
      </c>
      <c r="H873" s="12" t="s">
        <v>47</v>
      </c>
      <c r="I873" s="10">
        <f ca="1">IFERROR(__xludf.DUMMYFUNCTION(" VLOOKUP(A870, IMPORTRANGE(""https://docs.google.com/spreadsheets/d/1QNLbnkR_AongFt22vMfNzfpjZ0CjpI8QI-w0wBnYA1w/"", ""Инфа!A:AA""), 6, FALSE)"),2024)</f>
        <v>2024</v>
      </c>
      <c r="J873" s="5">
        <f t="shared" ca="1" si="24"/>
        <v>9300</v>
      </c>
      <c r="K873" s="12" t="s">
        <v>3546</v>
      </c>
      <c r="L873" s="15" t="s">
        <v>3547</v>
      </c>
    </row>
    <row r="874" spans="1:12" ht="67.5">
      <c r="A874" s="8" t="s">
        <v>3548</v>
      </c>
      <c r="B874" s="9" t="s">
        <v>12</v>
      </c>
      <c r="C874" s="12" t="s">
        <v>443</v>
      </c>
      <c r="D874" s="10" t="s">
        <v>3549</v>
      </c>
      <c r="E874" s="11" t="s">
        <v>3536</v>
      </c>
      <c r="F874" s="11" t="s">
        <v>3550</v>
      </c>
      <c r="G874" s="12">
        <f ca="1">IFERROR(__xludf.DUMMYFUNCTION(" VLOOKUP(A871, IMPORTRANGE(""https://docs.google.com/spreadsheets/d/1fj_Bhi2XPL3siwIh4sx4VRLAe31yD50oKdj5UlRYW0c/"", ""Сводка!A:AA""), 5, FALSE)"),116)</f>
        <v>116</v>
      </c>
      <c r="H874" s="12" t="s">
        <v>2442</v>
      </c>
      <c r="I874" s="10">
        <f ca="1">IFERROR(__xludf.DUMMYFUNCTION(" VLOOKUP(A871, IMPORTRANGE(""https://docs.google.com/spreadsheets/d/1QNLbnkR_AongFt22vMfNzfpjZ0CjpI8QI-w0wBnYA1w/"", ""Инфа!A:AA""), 6, FALSE)"),2024)</f>
        <v>2024</v>
      </c>
      <c r="J874" s="5">
        <f t="shared" ca="1" si="24"/>
        <v>8500</v>
      </c>
      <c r="K874" s="12" t="s">
        <v>248</v>
      </c>
      <c r="L874" s="15" t="s">
        <v>3551</v>
      </c>
    </row>
    <row r="875" spans="1:12" ht="315">
      <c r="A875" s="8" t="s">
        <v>3552</v>
      </c>
      <c r="B875" s="9" t="s">
        <v>12</v>
      </c>
      <c r="C875" s="12" t="s">
        <v>151</v>
      </c>
      <c r="D875" s="10" t="str">
        <f ca="1">IFERROR(__xludf.DUMMYFUNCTION(" VLOOKUP(A872, IMPORTRANGE(""https://docs.google.com/spreadsheets/d/1fj_Bhi2XPL3siwIh4sx4VRLAe31yD50oKdj5UlRYW0c/"", ""Сводка!A:AA""), 11, FALSE)"),"978-601-352-596-9")</f>
        <v>978-601-352-596-9</v>
      </c>
      <c r="E875" s="11" t="s">
        <v>3553</v>
      </c>
      <c r="F875" s="11" t="s">
        <v>3554</v>
      </c>
      <c r="G875" s="12">
        <f ca="1">IFERROR(__xludf.DUMMYFUNCTION(" VLOOKUP(A872, IMPORTRANGE(""https://docs.google.com/spreadsheets/d/1fj_Bhi2XPL3siwIh4sx4VRLAe31yD50oKdj5UlRYW0c/"", ""Сводка!A:AA""), 5, FALSE)"),332)</f>
        <v>332</v>
      </c>
      <c r="H875" s="12" t="s">
        <v>106</v>
      </c>
      <c r="I875" s="10">
        <f ca="1">IFERROR(__xludf.DUMMYFUNCTION(" VLOOKUP(A872, IMPORTRANGE(""https://docs.google.com/spreadsheets/d/1QNLbnkR_AongFt22vMfNzfpjZ0CjpI8QI-w0wBnYA1w/"", ""Инфа!A:AA""), 6, FALSE)"),2024)</f>
        <v>2024</v>
      </c>
      <c r="J875" s="5">
        <f t="shared" ca="1" si="24"/>
        <v>15000</v>
      </c>
      <c r="K875" s="12" t="s">
        <v>3555</v>
      </c>
      <c r="L875" s="15" t="s">
        <v>3556</v>
      </c>
    </row>
    <row r="876" spans="1:12" ht="101.25">
      <c r="A876" s="8" t="s">
        <v>3557</v>
      </c>
      <c r="B876" s="9" t="s">
        <v>12</v>
      </c>
      <c r="C876" s="12" t="s">
        <v>151</v>
      </c>
      <c r="D876" s="10" t="s">
        <v>3558</v>
      </c>
      <c r="E876" s="11" t="s">
        <v>3559</v>
      </c>
      <c r="F876" s="11" t="s">
        <v>3560</v>
      </c>
      <c r="G876" s="12">
        <f ca="1">IFERROR(__xludf.DUMMYFUNCTION(" VLOOKUP(A873, IMPORTRANGE(""https://docs.google.com/spreadsheets/d/1fj_Bhi2XPL3siwIh4sx4VRLAe31yD50oKdj5UlRYW0c/"", ""Сводка!A:AA""), 5, FALSE)"),344)</f>
        <v>344</v>
      </c>
      <c r="H876" s="12" t="s">
        <v>498</v>
      </c>
      <c r="I876" s="10">
        <f ca="1">IFERROR(__xludf.DUMMYFUNCTION(" VLOOKUP(A873, IMPORTRANGE(""https://docs.google.com/spreadsheets/d/1QNLbnkR_AongFt22vMfNzfpjZ0CjpI8QI-w0wBnYA1w/"", ""Инфа!A:AA""), 6, FALSE)"),2024)</f>
        <v>2024</v>
      </c>
      <c r="J876" s="5">
        <f t="shared" ca="1" si="24"/>
        <v>15300</v>
      </c>
      <c r="K876" s="12" t="s">
        <v>257</v>
      </c>
      <c r="L876" s="15" t="s">
        <v>3561</v>
      </c>
    </row>
    <row r="877" spans="1:12" ht="168.75">
      <c r="A877" s="8" t="s">
        <v>3562</v>
      </c>
      <c r="B877" s="9" t="s">
        <v>12</v>
      </c>
      <c r="C877" s="12" t="s">
        <v>443</v>
      </c>
      <c r="D877" s="10" t="str">
        <f ca="1">IFERROR(__xludf.DUMMYFUNCTION(" VLOOKUP(A874, IMPORTRANGE(""https://docs.google.com/spreadsheets/d/1fj_Bhi2XPL3siwIh4sx4VRLAe31yD50oKdj5UlRYW0c/"", ""Сводка!A:AA""), 11, FALSE)"),"978-601-267-645-7")</f>
        <v>978-601-267-645-7</v>
      </c>
      <c r="E877" s="11" t="s">
        <v>3563</v>
      </c>
      <c r="F877" s="11" t="s">
        <v>3564</v>
      </c>
      <c r="G877" s="12">
        <f ca="1">IFERROR(__xludf.DUMMYFUNCTION(" VLOOKUP(A874, IMPORTRANGE(""https://docs.google.com/spreadsheets/d/1fj_Bhi2XPL3siwIh4sx4VRLAe31yD50oKdj5UlRYW0c/"", ""Сводка!A:AA""), 5, FALSE)"),132)</f>
        <v>132</v>
      </c>
      <c r="H877" s="12" t="s">
        <v>538</v>
      </c>
      <c r="I877" s="10">
        <f ca="1">IFERROR(__xludf.DUMMYFUNCTION(" VLOOKUP(A874, IMPORTRANGE(""https://docs.google.com/spreadsheets/d/1QNLbnkR_AongFt22vMfNzfpjZ0CjpI8QI-w0wBnYA1w/"", ""Инфа!A:AA""), 6, FALSE)"),2024)</f>
        <v>2024</v>
      </c>
      <c r="J877" s="5">
        <f t="shared" ca="1" si="24"/>
        <v>9000</v>
      </c>
      <c r="K877" s="12" t="s">
        <v>3565</v>
      </c>
      <c r="L877" s="15" t="s">
        <v>3566</v>
      </c>
    </row>
    <row r="878" spans="1:12" ht="180">
      <c r="A878" s="8" t="s">
        <v>3567</v>
      </c>
      <c r="B878" s="9" t="s">
        <v>12</v>
      </c>
      <c r="C878" s="12" t="s">
        <v>443</v>
      </c>
      <c r="D878" s="10" t="str">
        <f ca="1">IFERROR(__xludf.DUMMYFUNCTION(" VLOOKUP(A875, IMPORTRANGE(""https://docs.google.com/spreadsheets/d/1fj_Bhi2XPL3siwIh4sx4VRLAe31yD50oKdj5UlRYW0c/"", ""Сводка!A:AA""), 11, FALSE)"),"978-601-267-634-1")</f>
        <v>978-601-267-634-1</v>
      </c>
      <c r="E878" s="11" t="s">
        <v>3568</v>
      </c>
      <c r="F878" s="11" t="s">
        <v>3569</v>
      </c>
      <c r="G878" s="12">
        <f ca="1">IFERROR(__xludf.DUMMYFUNCTION(" VLOOKUP(A875, IMPORTRANGE(""https://docs.google.com/spreadsheets/d/1fj_Bhi2XPL3siwIh4sx4VRLAe31yD50oKdj5UlRYW0c/"", ""Сводка!A:AA""), 5, FALSE)"),136)</f>
        <v>136</v>
      </c>
      <c r="H878" s="12" t="s">
        <v>538</v>
      </c>
      <c r="I878" s="10">
        <f ca="1">IFERROR(__xludf.DUMMYFUNCTION(" VLOOKUP(A875, IMPORTRANGE(""https://docs.google.com/spreadsheets/d/1QNLbnkR_AongFt22vMfNzfpjZ0CjpI8QI-w0wBnYA1w/"", ""Инфа!A:AA""), 6, FALSE)"),2024)</f>
        <v>2024</v>
      </c>
      <c r="J878" s="5">
        <f t="shared" ca="1" si="24"/>
        <v>9100</v>
      </c>
      <c r="K878" s="12" t="s">
        <v>2003</v>
      </c>
      <c r="L878" s="15" t="s">
        <v>3570</v>
      </c>
    </row>
    <row r="879" spans="1:12" ht="168.75">
      <c r="A879" s="8" t="s">
        <v>3571</v>
      </c>
      <c r="B879" s="9" t="s">
        <v>12</v>
      </c>
      <c r="C879" s="12" t="s">
        <v>443</v>
      </c>
      <c r="D879" s="10" t="str">
        <f ca="1">IFERROR(__xludf.DUMMYFUNCTION(" VLOOKUP(A876, IMPORTRANGE(""https://docs.google.com/spreadsheets/d/1fj_Bhi2XPL3siwIh4sx4VRLAe31yD50oKdj5UlRYW0c/"", ""Сводка!A:AA""), 11, FALSE)"),"978-601-352-858-8")</f>
        <v>978-601-352-858-8</v>
      </c>
      <c r="E879" s="11" t="s">
        <v>3572</v>
      </c>
      <c r="F879" s="11" t="s">
        <v>3573</v>
      </c>
      <c r="G879" s="12">
        <f ca="1">IFERROR(__xludf.DUMMYFUNCTION(" VLOOKUP(A876, IMPORTRANGE(""https://docs.google.com/spreadsheets/d/1fj_Bhi2XPL3siwIh4sx4VRLAe31yD50oKdj5UlRYW0c/"", ""Сводка!A:AA""), 5, FALSE)"),280)</f>
        <v>280</v>
      </c>
      <c r="H879" s="12" t="s">
        <v>538</v>
      </c>
      <c r="I879" s="10">
        <f ca="1">IFERROR(__xludf.DUMMYFUNCTION(" VLOOKUP(A876, IMPORTRANGE(""https://docs.google.com/spreadsheets/d/1QNLbnkR_AongFt22vMfNzfpjZ0CjpI8QI-w0wBnYA1w/"", ""Инфа!A:AA""), 6, FALSE)"),2024)</f>
        <v>2024</v>
      </c>
      <c r="J879" s="5">
        <f t="shared" ca="1" si="24"/>
        <v>13400</v>
      </c>
      <c r="K879" s="12" t="s">
        <v>3574</v>
      </c>
      <c r="L879" s="15" t="s">
        <v>3575</v>
      </c>
    </row>
    <row r="880" spans="1:12" ht="180">
      <c r="A880" s="8" t="s">
        <v>3576</v>
      </c>
      <c r="B880" s="9" t="s">
        <v>12</v>
      </c>
      <c r="C880" s="12" t="s">
        <v>443</v>
      </c>
      <c r="D880" s="10" t="str">
        <f ca="1">IFERROR(__xludf.DUMMYFUNCTION(" VLOOKUP(A877, IMPORTRANGE(""https://docs.google.com/spreadsheets/d/1fj_Bhi2XPL3siwIh4sx4VRLAe31yD50oKdj5UlRYW0c/"", ""Сводка!A:AA""), 11, FALSE)"),"978-601-352-916-5")</f>
        <v>978-601-352-916-5</v>
      </c>
      <c r="E880" s="11" t="s">
        <v>3577</v>
      </c>
      <c r="F880" s="11" t="s">
        <v>3578</v>
      </c>
      <c r="G880" s="12">
        <f ca="1">IFERROR(__xludf.DUMMYFUNCTION(" VLOOKUP(A877, IMPORTRANGE(""https://docs.google.com/spreadsheets/d/1fj_Bhi2XPL3siwIh4sx4VRLAe31yD50oKdj5UlRYW0c/"", ""Сводка!A:AA""), 5, FALSE)"),132)</f>
        <v>132</v>
      </c>
      <c r="H880" s="12" t="s">
        <v>538</v>
      </c>
      <c r="I880" s="10">
        <f ca="1">IFERROR(__xludf.DUMMYFUNCTION(" VLOOKUP(A877, IMPORTRANGE(""https://docs.google.com/spreadsheets/d/1QNLbnkR_AongFt22vMfNzfpjZ0CjpI8QI-w0wBnYA1w/"", ""Инфа!A:AA""), 6, FALSE)"),2024)</f>
        <v>2024</v>
      </c>
      <c r="J880" s="5">
        <f t="shared" ca="1" si="24"/>
        <v>9000</v>
      </c>
      <c r="K880" s="12" t="s">
        <v>2003</v>
      </c>
      <c r="L880" s="15" t="s">
        <v>3579</v>
      </c>
    </row>
    <row r="881" spans="1:12" ht="45">
      <c r="A881" s="8" t="s">
        <v>3580</v>
      </c>
      <c r="B881" s="9" t="s">
        <v>12</v>
      </c>
      <c r="C881" s="10" t="s">
        <v>443</v>
      </c>
      <c r="D881" s="10" t="str">
        <f ca="1">IFERROR(__xludf.DUMMYFUNCTION(" VLOOKUP(A878, IMPORTRANGE(""https://docs.google.com/spreadsheets/d/1fj_Bhi2XPL3siwIh4sx4VRLAe31yD50oKdj5UlRYW0c/"", ""Сводка!A:AA""), 11, FALSE)"),"978-601-352-903-5")</f>
        <v>978-601-352-903-5</v>
      </c>
      <c r="E881" s="11" t="s">
        <v>3581</v>
      </c>
      <c r="F881" s="11" t="s">
        <v>3582</v>
      </c>
      <c r="G881" s="12">
        <f ca="1">IFERROR(__xludf.DUMMYFUNCTION(" VLOOKUP(A878, IMPORTRANGE(""https://docs.google.com/spreadsheets/d/1fj_Bhi2XPL3siwIh4sx4VRLAe31yD50oKdj5UlRYW0c/"", ""Сводка!A:AA""), 5, FALSE)"),132)</f>
        <v>132</v>
      </c>
      <c r="H881" s="12" t="s">
        <v>671</v>
      </c>
      <c r="I881" s="10">
        <f ca="1">IFERROR(__xludf.DUMMYFUNCTION(" VLOOKUP(A878, IMPORTRANGE(""https://docs.google.com/spreadsheets/d/1QNLbnkR_AongFt22vMfNzfpjZ0CjpI8QI-w0wBnYA1w/"", ""Инфа!A:AA""), 6, FALSE)"),2024)</f>
        <v>2024</v>
      </c>
      <c r="J881" s="5">
        <f t="shared" ca="1" si="24"/>
        <v>9000</v>
      </c>
      <c r="K881" s="12" t="s">
        <v>1299</v>
      </c>
      <c r="L881" s="15" t="s">
        <v>3583</v>
      </c>
    </row>
    <row r="882" spans="1:12" ht="168.75">
      <c r="A882" s="8" t="s">
        <v>3584</v>
      </c>
      <c r="B882" s="9" t="s">
        <v>12</v>
      </c>
      <c r="C882" s="12" t="s">
        <v>443</v>
      </c>
      <c r="D882" s="10" t="str">
        <f ca="1">IFERROR(__xludf.DUMMYFUNCTION(" VLOOKUP(A879, IMPORTRANGE(""https://docs.google.com/spreadsheets/d/1fj_Bhi2XPL3siwIh4sx4VRLAe31yD50oKdj5UlRYW0c/"", ""Сводка!A:AA""), 11, FALSE)"),"978-601-352-903-5")</f>
        <v>978-601-352-903-5</v>
      </c>
      <c r="E882" s="11" t="s">
        <v>3577</v>
      </c>
      <c r="F882" s="11" t="s">
        <v>3585</v>
      </c>
      <c r="G882" s="12">
        <f ca="1">IFERROR(__xludf.DUMMYFUNCTION(" VLOOKUP(A879, IMPORTRANGE(""https://docs.google.com/spreadsheets/d/1fj_Bhi2XPL3siwIh4sx4VRLAe31yD50oKdj5UlRYW0c/"", ""Сводка!A:AA""), 5, FALSE)"),132)</f>
        <v>132</v>
      </c>
      <c r="H882" s="12" t="s">
        <v>538</v>
      </c>
      <c r="I882" s="10">
        <f ca="1">IFERROR(__xludf.DUMMYFUNCTION(" VLOOKUP(A879, IMPORTRANGE(""https://docs.google.com/spreadsheets/d/1QNLbnkR_AongFt22vMfNzfpjZ0CjpI8QI-w0wBnYA1w/"", ""Инфа!A:AA""), 6, FALSE)"),2024)</f>
        <v>2024</v>
      </c>
      <c r="J882" s="5">
        <f t="shared" ca="1" si="24"/>
        <v>9000</v>
      </c>
      <c r="K882" s="12" t="s">
        <v>3586</v>
      </c>
      <c r="L882" s="15" t="s">
        <v>3566</v>
      </c>
    </row>
    <row r="883" spans="1:12" ht="213.75">
      <c r="A883" s="8" t="s">
        <v>3587</v>
      </c>
      <c r="B883" s="9" t="s">
        <v>12</v>
      </c>
      <c r="C883" s="12" t="s">
        <v>151</v>
      </c>
      <c r="D883" s="10" t="str">
        <f ca="1">IFERROR(__xludf.DUMMYFUNCTION(" VLOOKUP(A880, IMPORTRANGE(""https://docs.google.com/spreadsheets/d/1fj_Bhi2XPL3siwIh4sx4VRLAe31yD50oKdj5UlRYW0c/"", ""Сводка!A:AA""), 11, FALSE)"),"978-601-352-822-7")</f>
        <v>978-601-352-822-7</v>
      </c>
      <c r="E883" s="42" t="s">
        <v>3588</v>
      </c>
      <c r="F883" s="11" t="s">
        <v>3589</v>
      </c>
      <c r="G883" s="12">
        <f ca="1">IFERROR(__xludf.DUMMYFUNCTION(" VLOOKUP(A880, IMPORTRANGE(""https://docs.google.com/spreadsheets/d/1fj_Bhi2XPL3siwIh4sx4VRLAe31yD50oKdj5UlRYW0c/"", ""Сводка!A:AA""), 5, FALSE)"),188)</f>
        <v>188</v>
      </c>
      <c r="H883" s="12" t="s">
        <v>3590</v>
      </c>
      <c r="I883" s="10">
        <f ca="1">IFERROR(__xludf.DUMMYFUNCTION(" VLOOKUP(A880, IMPORTRANGE(""https://docs.google.com/spreadsheets/d/1QNLbnkR_AongFt22vMfNzfpjZ0CjpI8QI-w0wBnYA1w/"", ""Инфа!A:AA""), 6, FALSE)"),2024)</f>
        <v>2024</v>
      </c>
      <c r="J883" s="5">
        <f t="shared" ca="1" si="24"/>
        <v>10600</v>
      </c>
      <c r="K883" s="12" t="s">
        <v>3591</v>
      </c>
      <c r="L883" s="15" t="s">
        <v>3592</v>
      </c>
    </row>
    <row r="884" spans="1:12" ht="202.5">
      <c r="A884" s="8" t="s">
        <v>3593</v>
      </c>
      <c r="B884" s="9" t="s">
        <v>12</v>
      </c>
      <c r="C884" s="12" t="s">
        <v>151</v>
      </c>
      <c r="D884" s="10" t="str">
        <f ca="1">IFERROR(__xludf.DUMMYFUNCTION(" VLOOKUP(A881, IMPORTRANGE(""https://docs.google.com/spreadsheets/d/1fj_Bhi2XPL3siwIh4sx4VRLAe31yD50oKdj5UlRYW0c/"", ""Сводка!A:AA""), 11, FALSE)"),"978-601-224-610-0")</f>
        <v>978-601-224-610-0</v>
      </c>
      <c r="E884" s="11" t="s">
        <v>3594</v>
      </c>
      <c r="F884" s="11" t="s">
        <v>3595</v>
      </c>
      <c r="G884" s="12">
        <f ca="1">IFERROR(__xludf.DUMMYFUNCTION(" VLOOKUP(A881, IMPORTRANGE(""https://docs.google.com/spreadsheets/d/1fj_Bhi2XPL3siwIh4sx4VRLAe31yD50oKdj5UlRYW0c/"", ""Сводка!A:AA""), 5, FALSE)"),208)</f>
        <v>208</v>
      </c>
      <c r="H884" s="12" t="s">
        <v>47</v>
      </c>
      <c r="I884" s="10">
        <f ca="1">IFERROR(__xludf.DUMMYFUNCTION(" VLOOKUP(A881, IMPORTRANGE(""https://docs.google.com/spreadsheets/d/1QNLbnkR_AongFt22vMfNzfpjZ0CjpI8QI-w0wBnYA1w/"", ""Инфа!A:AA""), 6, FALSE)"),2023)</f>
        <v>2023</v>
      </c>
      <c r="J884" s="5">
        <f ca="1">ROUND((5000+G884*60),-2)</f>
        <v>17500</v>
      </c>
      <c r="K884" s="12" t="s">
        <v>248</v>
      </c>
      <c r="L884" s="15" t="s">
        <v>3596</v>
      </c>
    </row>
    <row r="885" spans="1:12" ht="157.5">
      <c r="A885" s="8" t="s">
        <v>3597</v>
      </c>
      <c r="B885" s="9" t="s">
        <v>12</v>
      </c>
      <c r="C885" s="43" t="s">
        <v>443</v>
      </c>
      <c r="D885" s="10" t="str">
        <f ca="1">IFERROR(__xludf.DUMMYFUNCTION(" VLOOKUP(A882, IMPORTRANGE(""https://docs.google.com/spreadsheets/d/1fj_Bhi2XPL3siwIh4sx4VRLAe31yD50oKdj5UlRYW0c/"", ""Сводка!A:AA""), 11, FALSE)"),"978-601-308-325-4")</f>
        <v>978-601-308-325-4</v>
      </c>
      <c r="E885" s="11" t="s">
        <v>3598</v>
      </c>
      <c r="F885" s="11" t="s">
        <v>3599</v>
      </c>
      <c r="G885" s="12">
        <f ca="1">IFERROR(__xludf.DUMMYFUNCTION(" VLOOKUP(A882, IMPORTRANGE(""https://docs.google.com/spreadsheets/d/1fj_Bhi2XPL3siwIh4sx4VRLAe31yD50oKdj5UlRYW0c/"", ""Сводка!A:AA""), 5, FALSE)"),104)</f>
        <v>104</v>
      </c>
      <c r="H885" s="12" t="s">
        <v>538</v>
      </c>
      <c r="I885" s="10">
        <f ca="1">IFERROR(__xludf.DUMMYFUNCTION(" VLOOKUP(A882, IMPORTRANGE(""https://docs.google.com/spreadsheets/d/1QNLbnkR_AongFt22vMfNzfpjZ0CjpI8QI-w0wBnYA1w/"", ""Инфа!A:AA""), 6, FALSE)"),2024)</f>
        <v>2024</v>
      </c>
      <c r="J885" s="5">
        <f ca="1">ROUND((5000+G885*30),-2)</f>
        <v>8100</v>
      </c>
      <c r="K885" s="43" t="s">
        <v>3591</v>
      </c>
      <c r="L885" s="15" t="s">
        <v>3600</v>
      </c>
    </row>
    <row r="886" spans="1:12" ht="123.75">
      <c r="A886" s="8" t="s">
        <v>3601</v>
      </c>
      <c r="B886" s="9" t="s">
        <v>12</v>
      </c>
      <c r="C886" s="12" t="s">
        <v>151</v>
      </c>
      <c r="D886" s="10" t="str">
        <f ca="1">IFERROR(__xludf.DUMMYFUNCTION(" VLOOKUP(A883, IMPORTRANGE(""https://docs.google.com/spreadsheets/d/1fj_Bhi2XPL3siwIh4sx4VRLAe31yD50oKdj5UlRYW0c/"", ""Сводка!A:AA""), 11, FALSE)"),"978-601-760-152-4")</f>
        <v>978-601-760-152-4</v>
      </c>
      <c r="E886" s="11" t="s">
        <v>3602</v>
      </c>
      <c r="F886" s="11" t="s">
        <v>3603</v>
      </c>
      <c r="G886" s="12">
        <f ca="1">IFERROR(__xludf.DUMMYFUNCTION(" VLOOKUP(A883, IMPORTRANGE(""https://docs.google.com/spreadsheets/d/1fj_Bhi2XPL3siwIh4sx4VRLAe31yD50oKdj5UlRYW0c/"", ""Сводка!A:AA""), 5, FALSE)"),144)</f>
        <v>144</v>
      </c>
      <c r="H886" s="12" t="s">
        <v>282</v>
      </c>
      <c r="I886" s="10">
        <f ca="1">IFERROR(__xludf.DUMMYFUNCTION(" VLOOKUP(A883, IMPORTRANGE(""https://docs.google.com/spreadsheets/d/1QNLbnkR_AongFt22vMfNzfpjZ0CjpI8QI-w0wBnYA1w/"", ""Инфа!A:AA""), 6, FALSE)"),2024)</f>
        <v>2024</v>
      </c>
      <c r="J886" s="5">
        <f ca="1">ROUND((5000+G886*60),-2)</f>
        <v>13600</v>
      </c>
      <c r="K886" s="12" t="s">
        <v>570</v>
      </c>
      <c r="L886" s="15" t="s">
        <v>3604</v>
      </c>
    </row>
    <row r="887" spans="1:12" ht="191.25">
      <c r="A887" s="8" t="s">
        <v>3605</v>
      </c>
      <c r="B887" s="9" t="s">
        <v>12</v>
      </c>
      <c r="C887" s="12" t="s">
        <v>443</v>
      </c>
      <c r="D887" s="10" t="str">
        <f ca="1">IFERROR(__xludf.DUMMYFUNCTION(" VLOOKUP(A884, IMPORTRANGE(""https://docs.google.com/spreadsheets/d/1fj_Bhi2XPL3siwIh4sx4VRLAe31yD50oKdj5UlRYW0c/"", ""Сводка!A:AA""), 11, FALSE)"),"978-601-352-633-1")</f>
        <v>978-601-352-633-1</v>
      </c>
      <c r="E887" s="11" t="s">
        <v>3606</v>
      </c>
      <c r="F887" s="11" t="s">
        <v>3607</v>
      </c>
      <c r="G887" s="12">
        <f ca="1">IFERROR(__xludf.DUMMYFUNCTION(" VLOOKUP(A884, IMPORTRANGE(""https://docs.google.com/spreadsheets/d/1fj_Bhi2XPL3siwIh4sx4VRLAe31yD50oKdj5UlRYW0c/"", ""Сводка!A:AA""), 5, FALSE)"),164)</f>
        <v>164</v>
      </c>
      <c r="H887" s="10" t="s">
        <v>538</v>
      </c>
      <c r="I887" s="10">
        <f ca="1">IFERROR(__xludf.DUMMYFUNCTION(" VLOOKUP(A884, IMPORTRANGE(""https://docs.google.com/spreadsheets/d/1QNLbnkR_AongFt22vMfNzfpjZ0CjpI8QI-w0wBnYA1w/"", ""Инфа!A:AA""), 6, FALSE)"),2024)</f>
        <v>2024</v>
      </c>
      <c r="J887" s="5">
        <f ca="1">ROUND(((5000+G887*60)*1.3),-2)</f>
        <v>19300</v>
      </c>
      <c r="K887" s="12" t="s">
        <v>3608</v>
      </c>
      <c r="L887" s="15" t="s">
        <v>3609</v>
      </c>
    </row>
    <row r="888" spans="1:12" ht="292.5">
      <c r="A888" s="8" t="s">
        <v>3610</v>
      </c>
      <c r="B888" s="9" t="s">
        <v>12</v>
      </c>
      <c r="C888" s="12" t="s">
        <v>443</v>
      </c>
      <c r="D888" s="10" t="str">
        <f ca="1">IFERROR(__xludf.DUMMYFUNCTION(" VLOOKUP(A885, IMPORTRANGE(""https://docs.google.com/spreadsheets/d/1fj_Bhi2XPL3siwIh4sx4VRLAe31yD50oKdj5UlRYW0c/"", ""Сводка!A:AA""), 11, FALSE)"),"978-601-352-616-4")</f>
        <v>978-601-352-616-4</v>
      </c>
      <c r="E888" s="11" t="s">
        <v>3611</v>
      </c>
      <c r="F888" s="11" t="s">
        <v>3612</v>
      </c>
      <c r="G888" s="12">
        <f ca="1">IFERROR(__xludf.DUMMYFUNCTION(" VLOOKUP(A885, IMPORTRANGE(""https://docs.google.com/spreadsheets/d/1fj_Bhi2XPL3siwIh4sx4VRLAe31yD50oKdj5UlRYW0c/"", ""Сводка!A:AA""), 5, FALSE)"),212)</f>
        <v>212</v>
      </c>
      <c r="H888" s="10" t="s">
        <v>446</v>
      </c>
      <c r="I888" s="10">
        <f ca="1">IFERROR(__xludf.DUMMYFUNCTION(" VLOOKUP(A885, IMPORTRANGE(""https://docs.google.com/spreadsheets/d/1QNLbnkR_AongFt22vMfNzfpjZ0CjpI8QI-w0wBnYA1w/"", ""Инфа!A:AA""), 6, FALSE)"),2024)</f>
        <v>2024</v>
      </c>
      <c r="J888" s="5">
        <f ca="1">ROUND((5000+G888*30),-2)</f>
        <v>11400</v>
      </c>
      <c r="K888" s="12" t="s">
        <v>3608</v>
      </c>
      <c r="L888" s="15" t="s">
        <v>3613</v>
      </c>
    </row>
    <row r="889" spans="1:12" ht="191.25">
      <c r="A889" s="8" t="s">
        <v>3614</v>
      </c>
      <c r="B889" s="9" t="s">
        <v>12</v>
      </c>
      <c r="C889" s="10" t="s">
        <v>443</v>
      </c>
      <c r="D889" s="10" t="str">
        <f ca="1">IFERROR(__xludf.DUMMYFUNCTION(" VLOOKUP(A886, IMPORTRANGE(""https://docs.google.com/spreadsheets/d/1fj_Bhi2XPL3siwIh4sx4VRLAe31yD50oKdj5UlRYW0c/"", ""Сводка!A:AA""), 11, FALSE)"),"978-601-352-946-2")</f>
        <v>978-601-352-946-2</v>
      </c>
      <c r="E889" s="22" t="s">
        <v>3615</v>
      </c>
      <c r="F889" s="22" t="s">
        <v>3616</v>
      </c>
      <c r="G889" s="12">
        <f ca="1">IFERROR(__xludf.DUMMYFUNCTION(" VLOOKUP(A886, IMPORTRANGE(""https://docs.google.com/spreadsheets/d/1fj_Bhi2XPL3siwIh4sx4VRLAe31yD50oKdj5UlRYW0c/"", ""Сводка!A:AA""), 5, FALSE)"),212)</f>
        <v>212</v>
      </c>
      <c r="H889" s="10" t="s">
        <v>538</v>
      </c>
      <c r="I889" s="10">
        <f ca="1">IFERROR(__xludf.DUMMYFUNCTION(" VLOOKUP(A886, IMPORTRANGE(""https://docs.google.com/spreadsheets/d/1QNLbnkR_AongFt22vMfNzfpjZ0CjpI8QI-w0wBnYA1w/"", ""Инфа!A:AA""), 6, FALSE)"),2024)</f>
        <v>2024</v>
      </c>
      <c r="J889" s="5">
        <f ca="1">ROUND((5000+G889*30),-2)</f>
        <v>11400</v>
      </c>
      <c r="K889" s="10" t="s">
        <v>3591</v>
      </c>
      <c r="L889" s="23" t="s">
        <v>3617</v>
      </c>
    </row>
    <row r="890" spans="1:12" ht="303.75">
      <c r="A890" s="8" t="s">
        <v>3618</v>
      </c>
      <c r="B890" s="9" t="s">
        <v>12</v>
      </c>
      <c r="C890" s="10" t="s">
        <v>151</v>
      </c>
      <c r="D890" s="10" t="str">
        <f ca="1">IFERROR(__xludf.DUMMYFUNCTION(" VLOOKUP(A887, IMPORTRANGE(""https://docs.google.com/spreadsheets/d/1fj_Bhi2XPL3siwIh4sx4VRLAe31yD50oKdj5UlRYW0c/"", ""Сводка!A:AA""), 11, FALSE)"),"978-601-330-125-9")</f>
        <v>978-601-330-125-9</v>
      </c>
      <c r="E890" s="22" t="s">
        <v>3619</v>
      </c>
      <c r="F890" s="22" t="s">
        <v>3620</v>
      </c>
      <c r="G890" s="12">
        <f ca="1">IFERROR(__xludf.DUMMYFUNCTION(" VLOOKUP(A887, IMPORTRANGE(""https://docs.google.com/spreadsheets/d/1fj_Bhi2XPL3siwIh4sx4VRLAe31yD50oKdj5UlRYW0c/"", ""Сводка!A:AA""), 5, FALSE)"),244)</f>
        <v>244</v>
      </c>
      <c r="H890" s="10" t="s">
        <v>106</v>
      </c>
      <c r="I890" s="10">
        <f ca="1">IFERROR(__xludf.DUMMYFUNCTION(" VLOOKUP(A887, IMPORTRANGE(""https://docs.google.com/spreadsheets/d/1QNLbnkR_AongFt22vMfNzfpjZ0CjpI8QI-w0wBnYA1w/"", ""Инфа!A:AA""), 6, FALSE)"),2024)</f>
        <v>2024</v>
      </c>
      <c r="J890" s="5">
        <f ca="1">ROUND((5000+G890*30),-2)</f>
        <v>12300</v>
      </c>
      <c r="K890" s="10" t="s">
        <v>101</v>
      </c>
      <c r="L890" s="23" t="s">
        <v>3621</v>
      </c>
    </row>
    <row r="891" spans="1:12" ht="191.25">
      <c r="A891" s="8" t="s">
        <v>3622</v>
      </c>
      <c r="B891" s="9" t="s">
        <v>12</v>
      </c>
      <c r="C891" s="10" t="s">
        <v>151</v>
      </c>
      <c r="D891" s="10" t="str">
        <f ca="1">IFERROR(__xludf.DUMMYFUNCTION(" VLOOKUP(A888, IMPORTRANGE(""https://docs.google.com/spreadsheets/d/1fj_Bhi2XPL3siwIh4sx4VRLAe31yD50oKdj5UlRYW0c/"", ""Сводка!A:AA""), 11, FALSE)"),"978-601-352-886-1")</f>
        <v>978-601-352-886-1</v>
      </c>
      <c r="E891" s="22" t="s">
        <v>3623</v>
      </c>
      <c r="F891" s="22" t="s">
        <v>3624</v>
      </c>
      <c r="G891" s="12">
        <f ca="1">IFERROR(__xludf.DUMMYFUNCTION(" VLOOKUP(A888, IMPORTRANGE(""https://docs.google.com/spreadsheets/d/1fj_Bhi2XPL3siwIh4sx4VRLAe31yD50oKdj5UlRYW0c/"", ""Сводка!A:AA""), 5, FALSE)"),180)</f>
        <v>180</v>
      </c>
      <c r="H891" s="10" t="s">
        <v>47</v>
      </c>
      <c r="I891" s="10">
        <f ca="1">IFERROR(__xludf.DUMMYFUNCTION(" VLOOKUP(A888, IMPORTRANGE(""https://docs.google.com/spreadsheets/d/1QNLbnkR_AongFt22vMfNzfpjZ0CjpI8QI-w0wBnYA1w/"", ""Инфа!A:AA""), 6, FALSE)"),2024)</f>
        <v>2024</v>
      </c>
      <c r="J891" s="5">
        <f ca="1">ROUND((5000+G891*60),-2)</f>
        <v>15800</v>
      </c>
      <c r="K891" s="10" t="s">
        <v>2614</v>
      </c>
      <c r="L891" s="23" t="s">
        <v>3625</v>
      </c>
    </row>
    <row r="892" spans="1:12" ht="135">
      <c r="A892" s="8" t="s">
        <v>3626</v>
      </c>
      <c r="B892" s="9" t="s">
        <v>12</v>
      </c>
      <c r="C892" s="12" t="s">
        <v>443</v>
      </c>
      <c r="D892" s="10" t="str">
        <f ca="1">IFERROR(__xludf.DUMMYFUNCTION(" VLOOKUP(A889, IMPORTRANGE(""https://docs.google.com/spreadsheets/d/1fj_Bhi2XPL3siwIh4sx4VRLAe31yD50oKdj5UlRYW0c/"", ""Сводка!A:AA""), 11, FALSE)"),"978-601-352-867-0")</f>
        <v>978-601-352-867-0</v>
      </c>
      <c r="E892" s="11" t="s">
        <v>3627</v>
      </c>
      <c r="F892" s="11" t="s">
        <v>3628</v>
      </c>
      <c r="G892" s="12">
        <f ca="1">IFERROR(__xludf.DUMMYFUNCTION(" VLOOKUP(A889, IMPORTRANGE(""https://docs.google.com/spreadsheets/d/1fj_Bhi2XPL3siwIh4sx4VRLAe31yD50oKdj5UlRYW0c/"", ""Сводка!A:AA""), 5, FALSE)"),344)</f>
        <v>344</v>
      </c>
      <c r="H892" s="12" t="s">
        <v>538</v>
      </c>
      <c r="I892" s="10">
        <f ca="1">IFERROR(__xludf.DUMMYFUNCTION(" VLOOKUP(A889, IMPORTRANGE(""https://docs.google.com/spreadsheets/d/1QNLbnkR_AongFt22vMfNzfpjZ0CjpI8QI-w0wBnYA1w/"", ""Инфа!A:AA""), 6, FALSE)"),2024)</f>
        <v>2024</v>
      </c>
      <c r="J892" s="5">
        <f ca="1">ROUND((5000+G892*30),-2)</f>
        <v>15300</v>
      </c>
      <c r="K892" s="12" t="s">
        <v>3629</v>
      </c>
      <c r="L892" s="15" t="s">
        <v>3630</v>
      </c>
    </row>
    <row r="893" spans="1:12" ht="135">
      <c r="A893" s="8" t="s">
        <v>3631</v>
      </c>
      <c r="B893" s="9" t="s">
        <v>12</v>
      </c>
      <c r="C893" s="12" t="s">
        <v>443</v>
      </c>
      <c r="D893" s="10" t="str">
        <f ca="1">IFERROR(__xludf.DUMMYFUNCTION(" VLOOKUP(A890, IMPORTRANGE(""https://docs.google.com/spreadsheets/d/1fj_Bhi2XPL3siwIh4sx4VRLAe31yD50oKdj5UlRYW0c/"", ""Сводка!A:AA""), 11, FALSE)"),"978-601-352-868-7")</f>
        <v>978-601-352-868-7</v>
      </c>
      <c r="E893" s="11" t="s">
        <v>3627</v>
      </c>
      <c r="F893" s="11" t="s">
        <v>3632</v>
      </c>
      <c r="G893" s="12">
        <f ca="1">IFERROR(__xludf.DUMMYFUNCTION(" VLOOKUP(A890, IMPORTRANGE(""https://docs.google.com/spreadsheets/d/1fj_Bhi2XPL3siwIh4sx4VRLAe31yD50oKdj5UlRYW0c/"", ""Сводка!A:AA""), 5, FALSE)"),268)</f>
        <v>268</v>
      </c>
      <c r="H893" s="12" t="s">
        <v>538</v>
      </c>
      <c r="I893" s="10">
        <f ca="1">IFERROR(__xludf.DUMMYFUNCTION(" VLOOKUP(A890, IMPORTRANGE(""https://docs.google.com/spreadsheets/d/1QNLbnkR_AongFt22vMfNzfpjZ0CjpI8QI-w0wBnYA1w/"", ""Инфа!A:AA""), 6, FALSE)"),2023)</f>
        <v>2023</v>
      </c>
      <c r="J893" s="5">
        <f ca="1">ROUND((5000+G893*30),-2)</f>
        <v>13000</v>
      </c>
      <c r="K893" s="12" t="s">
        <v>3629</v>
      </c>
      <c r="L893" s="15" t="s">
        <v>3633</v>
      </c>
    </row>
    <row r="894" spans="1:12" ht="202.5">
      <c r="A894" s="8" t="s">
        <v>3634</v>
      </c>
      <c r="B894" s="9" t="s">
        <v>12</v>
      </c>
      <c r="C894" s="12" t="s">
        <v>151</v>
      </c>
      <c r="D894" s="10" t="str">
        <f ca="1">IFERROR(__xludf.DUMMYFUNCTION(" VLOOKUP(A891, IMPORTRANGE(""https://docs.google.com/spreadsheets/d/1fj_Bhi2XPL3siwIh4sx4VRLAe31yD50oKdj5UlRYW0c/"", ""Сводка!A:AA""), 11, FALSE)"),"978-601-330-007-8")</f>
        <v>978-601-330-007-8</v>
      </c>
      <c r="E894" s="11" t="s">
        <v>3635</v>
      </c>
      <c r="F894" s="11" t="s">
        <v>3636</v>
      </c>
      <c r="G894" s="12">
        <f ca="1">IFERROR(__xludf.DUMMYFUNCTION(" VLOOKUP(A891, IMPORTRANGE(""https://docs.google.com/spreadsheets/d/1fj_Bhi2XPL3siwIh4sx4VRLAe31yD50oKdj5UlRYW0c/"", ""Сводка!A:AA""), 5, FALSE)"),116)</f>
        <v>116</v>
      </c>
      <c r="H894" s="12" t="s">
        <v>24</v>
      </c>
      <c r="I894" s="10">
        <f ca="1">IFERROR(__xludf.DUMMYFUNCTION(" VLOOKUP(A891, IMPORTRANGE(""https://docs.google.com/spreadsheets/d/1QNLbnkR_AongFt22vMfNzfpjZ0CjpI8QI-w0wBnYA1w/"", ""Инфа!A:AA""), 6, FALSE)"),2023)</f>
        <v>2023</v>
      </c>
      <c r="J894" s="5">
        <f ca="1">ROUND((5000+G894*30),-2)</f>
        <v>8500</v>
      </c>
      <c r="K894" s="12" t="s">
        <v>3637</v>
      </c>
      <c r="L894" s="16" t="s">
        <v>3638</v>
      </c>
    </row>
    <row r="895" spans="1:12" ht="270">
      <c r="A895" s="8" t="s">
        <v>3639</v>
      </c>
      <c r="B895" s="9" t="s">
        <v>12</v>
      </c>
      <c r="C895" s="12" t="s">
        <v>21</v>
      </c>
      <c r="D895" s="10" t="str">
        <f ca="1">IFERROR(__xludf.DUMMYFUNCTION(" VLOOKUP(A892, IMPORTRANGE(""https://docs.google.com/spreadsheets/d/1fj_Bhi2XPL3siwIh4sx4VRLAe31yD50oKdj5UlRYW0c/"", ""Сводка!A:AA""), 11, FALSE)"),"978-601-330-030-6")</f>
        <v>978-601-330-030-6</v>
      </c>
      <c r="E895" s="11" t="s">
        <v>3640</v>
      </c>
      <c r="F895" s="11" t="s">
        <v>3641</v>
      </c>
      <c r="G895" s="12">
        <f ca="1">IFERROR(__xludf.DUMMYFUNCTION(" VLOOKUP(A892, IMPORTRANGE(""https://docs.google.com/spreadsheets/d/1fj_Bhi2XPL3siwIh4sx4VRLAe31yD50oKdj5UlRYW0c/"", ""Сводка!A:AA""), 5, FALSE)"),104)</f>
        <v>104</v>
      </c>
      <c r="H895" s="12" t="s">
        <v>62</v>
      </c>
      <c r="I895" s="10">
        <f ca="1">IFERROR(__xludf.DUMMYFUNCTION(" VLOOKUP(A892, IMPORTRANGE(""https://docs.google.com/spreadsheets/d/1QNLbnkR_AongFt22vMfNzfpjZ0CjpI8QI-w0wBnYA1w/"", ""Инфа!A:AA""), 6, FALSE)"),2024)</f>
        <v>2024</v>
      </c>
      <c r="J895" s="5">
        <f ca="1">ROUND((5000+G895*30),-2)</f>
        <v>8100</v>
      </c>
      <c r="K895" s="12" t="s">
        <v>3637</v>
      </c>
      <c r="L895" s="15" t="s">
        <v>3642</v>
      </c>
    </row>
    <row r="896" spans="1:12" ht="168.75">
      <c r="A896" s="8" t="s">
        <v>3643</v>
      </c>
      <c r="B896" s="9" t="s">
        <v>12</v>
      </c>
      <c r="C896" s="12" t="s">
        <v>443</v>
      </c>
      <c r="D896" s="10" t="str">
        <f ca="1">IFERROR(__xludf.DUMMYFUNCTION(" VLOOKUP(A893, IMPORTRANGE(""https://docs.google.com/spreadsheets/d/1fj_Bhi2XPL3siwIh4sx4VRLAe31yD50oKdj5UlRYW0c/"", ""Сводка!A:AA""), 11, FALSE)"),"978-601-352-795-6")</f>
        <v>978-601-352-795-6</v>
      </c>
      <c r="E896" s="11" t="s">
        <v>3644</v>
      </c>
      <c r="F896" s="11" t="s">
        <v>3645</v>
      </c>
      <c r="G896" s="12">
        <f ca="1">IFERROR(__xludf.DUMMYFUNCTION(" VLOOKUP(A893, IMPORTRANGE(""https://docs.google.com/spreadsheets/d/1fj_Bhi2XPL3siwIh4sx4VRLAe31yD50oKdj5UlRYW0c/"", ""Сводка!A:AA""), 5, FALSE)"),80)</f>
        <v>80</v>
      </c>
      <c r="H896" s="12" t="s">
        <v>446</v>
      </c>
      <c r="I896" s="10">
        <f ca="1">IFERROR(__xludf.DUMMYFUNCTION(" VLOOKUP(A893, IMPORTRANGE(""https://docs.google.com/spreadsheets/d/1QNLbnkR_AongFt22vMfNzfpjZ0CjpI8QI-w0wBnYA1w/"", ""Инфа!A:AA""), 6, FALSE)"),2024)</f>
        <v>2024</v>
      </c>
      <c r="J896" s="5">
        <f ca="1">ROUND((5000+G896*30),-2)</f>
        <v>7400</v>
      </c>
      <c r="K896" s="12" t="s">
        <v>3646</v>
      </c>
      <c r="L896" s="15" t="s">
        <v>3647</v>
      </c>
    </row>
    <row r="897" spans="1:12" ht="157.5">
      <c r="A897" s="8" t="s">
        <v>3648</v>
      </c>
      <c r="B897" s="9" t="s">
        <v>12</v>
      </c>
      <c r="C897" s="12" t="s">
        <v>21</v>
      </c>
      <c r="D897" s="10" t="str">
        <f ca="1">IFERROR(__xludf.DUMMYFUNCTION(" VLOOKUP(A894, IMPORTRANGE(""https://docs.google.com/spreadsheets/d/1fj_Bhi2XPL3siwIh4sx4VRLAe31yD50oKdj5UlRYW0c/"", ""Сводка!A:AA""), 11, FALSE)"),"978-601-352-939-4")</f>
        <v>978-601-352-939-4</v>
      </c>
      <c r="E897" s="11" t="s">
        <v>3649</v>
      </c>
      <c r="F897" s="11" t="s">
        <v>3650</v>
      </c>
      <c r="G897" s="12">
        <f ca="1">IFERROR(__xludf.DUMMYFUNCTION(" VLOOKUP(A894, IMPORTRANGE(""https://docs.google.com/spreadsheets/d/1fj_Bhi2XPL3siwIh4sx4VRLAe31yD50oKdj5UlRYW0c/"", ""Сводка!A:AA""), 5, FALSE)"),144)</f>
        <v>144</v>
      </c>
      <c r="H897" s="12" t="s">
        <v>354</v>
      </c>
      <c r="I897" s="10">
        <f ca="1">IFERROR(__xludf.DUMMYFUNCTION(" VLOOKUP(A894, IMPORTRANGE(""https://docs.google.com/spreadsheets/d/1QNLbnkR_AongFt22vMfNzfpjZ0CjpI8QI-w0wBnYA1w/"", ""Инфа!A:AA""), 6, FALSE)"),2023)</f>
        <v>2023</v>
      </c>
      <c r="J897" s="5">
        <f ca="1">ROUND((5000+G897*60),-2)</f>
        <v>13600</v>
      </c>
      <c r="K897" s="12" t="s">
        <v>25</v>
      </c>
      <c r="L897" s="15" t="s">
        <v>3651</v>
      </c>
    </row>
    <row r="898" spans="1:12" ht="123.75">
      <c r="A898" s="8" t="s">
        <v>3652</v>
      </c>
      <c r="B898" s="9" t="s">
        <v>12</v>
      </c>
      <c r="C898" s="12" t="s">
        <v>443</v>
      </c>
      <c r="D898" s="40" t="s">
        <v>3653</v>
      </c>
      <c r="E898" s="11" t="s">
        <v>3654</v>
      </c>
      <c r="F898" s="11" t="s">
        <v>3655</v>
      </c>
      <c r="G898" s="12">
        <f ca="1">IFERROR(__xludf.DUMMYFUNCTION(" VLOOKUP(A895, IMPORTRANGE(""https://docs.google.com/spreadsheets/d/1fj_Bhi2XPL3siwIh4sx4VRLAe31yD50oKdj5UlRYW0c/"", ""Сводка!A:AA""), 5, FALSE)"),176)</f>
        <v>176</v>
      </c>
      <c r="H898" s="12" t="s">
        <v>24</v>
      </c>
      <c r="I898" s="10">
        <f ca="1">IFERROR(__xludf.DUMMYFUNCTION(" VLOOKUP(A895, IMPORTRANGE(""https://docs.google.com/spreadsheets/d/1QNLbnkR_AongFt22vMfNzfpjZ0CjpI8QI-w0wBnYA1w/"", ""Инфа!A:AA""), 6, FALSE)"),2024)</f>
        <v>2024</v>
      </c>
      <c r="J898" s="5">
        <f ca="1">ROUND((5000+G898*30),-2)</f>
        <v>10300</v>
      </c>
      <c r="K898" s="12" t="s">
        <v>3656</v>
      </c>
      <c r="L898" s="15" t="s">
        <v>3657</v>
      </c>
    </row>
    <row r="899" spans="1:12" ht="101.25">
      <c r="A899" s="8" t="s">
        <v>3658</v>
      </c>
      <c r="B899" s="9" t="s">
        <v>12</v>
      </c>
      <c r="C899" s="12" t="s">
        <v>151</v>
      </c>
      <c r="D899" s="10" t="str">
        <f ca="1">IFERROR(__xludf.DUMMYFUNCTION(" VLOOKUP(A896, IMPORTRANGE(""https://docs.google.com/spreadsheets/d/1fj_Bhi2XPL3siwIh4sx4VRLAe31yD50oKdj5UlRYW0c/"", ""Сводка!A:AA""), 11, FALSE)"),"978-601-352-851-9")</f>
        <v>978-601-352-851-9</v>
      </c>
      <c r="E899" s="11" t="s">
        <v>3659</v>
      </c>
      <c r="F899" s="11" t="s">
        <v>3660</v>
      </c>
      <c r="G899" s="12">
        <f ca="1">IFERROR(__xludf.DUMMYFUNCTION(" VLOOKUP(A896, IMPORTRANGE(""https://docs.google.com/spreadsheets/d/1fj_Bhi2XPL3siwIh4sx4VRLAe31yD50oKdj5UlRYW0c/"", ""Сводка!A:AA""), 5, FALSE)"),344)</f>
        <v>344</v>
      </c>
      <c r="H899" s="12" t="s">
        <v>47</v>
      </c>
      <c r="I899" s="10">
        <f ca="1">IFERROR(__xludf.DUMMYFUNCTION(" VLOOKUP(A896, IMPORTRANGE(""https://docs.google.com/spreadsheets/d/1QNLbnkR_AongFt22vMfNzfpjZ0CjpI8QI-w0wBnYA1w/"", ""Инфа!A:AA""), 6, FALSE)"),2022)</f>
        <v>2022</v>
      </c>
      <c r="J899" s="5">
        <f ca="1">ROUND((5000+G899*60),-2)</f>
        <v>25600</v>
      </c>
      <c r="K899" s="12" t="s">
        <v>26</v>
      </c>
      <c r="L899" s="15" t="s">
        <v>3661</v>
      </c>
    </row>
    <row r="900" spans="1:12" ht="112.5">
      <c r="A900" s="8" t="s">
        <v>3662</v>
      </c>
      <c r="B900" s="9" t="s">
        <v>12</v>
      </c>
      <c r="C900" s="12" t="s">
        <v>443</v>
      </c>
      <c r="D900" s="10" t="str">
        <f ca="1">IFERROR(__xludf.DUMMYFUNCTION(" VLOOKUP(A897, IMPORTRANGE(""https://docs.google.com/spreadsheets/d/1fj_Bhi2XPL3siwIh4sx4VRLAe31yD50oKdj5UlRYW0c/"", ""Сводка!A:AA""), 11, FALSE)"),"978-601-352-770-3")</f>
        <v>978-601-352-770-3</v>
      </c>
      <c r="E900" s="11" t="s">
        <v>3663</v>
      </c>
      <c r="F900" s="11" t="s">
        <v>3664</v>
      </c>
      <c r="G900" s="12">
        <f ca="1">IFERROR(__xludf.DUMMYFUNCTION(" VLOOKUP(A897, IMPORTRANGE(""https://docs.google.com/spreadsheets/d/1fj_Bhi2XPL3siwIh4sx4VRLAe31yD50oKdj5UlRYW0c/"", ""Сводка!A:AA""), 5, FALSE)"),220)</f>
        <v>220</v>
      </c>
      <c r="H900" s="12" t="s">
        <v>3665</v>
      </c>
      <c r="I900" s="10">
        <f ca="1">IFERROR(__xludf.DUMMYFUNCTION(" VLOOKUP(A897, IMPORTRANGE(""https://docs.google.com/spreadsheets/d/1QNLbnkR_AongFt22vMfNzfpjZ0CjpI8QI-w0wBnYA1w/"", ""Инфа!A:AA""), 6, FALSE)"),2024)</f>
        <v>2024</v>
      </c>
      <c r="J900" s="5">
        <f ca="1">ROUND((5000+G900*30),-2)</f>
        <v>11600</v>
      </c>
      <c r="K900" s="12" t="s">
        <v>26</v>
      </c>
      <c r="L900" s="15" t="s">
        <v>3666</v>
      </c>
    </row>
    <row r="901" spans="1:12" ht="112.5">
      <c r="A901" s="8" t="s">
        <v>3667</v>
      </c>
      <c r="B901" s="9" t="s">
        <v>12</v>
      </c>
      <c r="C901" s="12" t="s">
        <v>151</v>
      </c>
      <c r="D901" s="10" t="str">
        <f ca="1">IFERROR(__xludf.DUMMYFUNCTION(" VLOOKUP(A898, IMPORTRANGE(""https://docs.google.com/spreadsheets/d/1fj_Bhi2XPL3siwIh4sx4VRLAe31yD50oKdj5UlRYW0c/"", ""Сводка!A:AA""), 11, FALSE)"),"978-601-330-095-5")</f>
        <v>978-601-330-095-5</v>
      </c>
      <c r="E901" s="11" t="s">
        <v>3668</v>
      </c>
      <c r="F901" s="11" t="s">
        <v>3669</v>
      </c>
      <c r="G901" s="12">
        <f ca="1">IFERROR(__xludf.DUMMYFUNCTION(" VLOOKUP(A898, IMPORTRANGE(""https://docs.google.com/spreadsheets/d/1fj_Bhi2XPL3siwIh4sx4VRLAe31yD50oKdj5UlRYW0c/"", ""Сводка!A:AA""), 5, FALSE)"),228)</f>
        <v>228</v>
      </c>
      <c r="H901" s="12" t="s">
        <v>282</v>
      </c>
      <c r="I901" s="10">
        <f ca="1">IFERROR(__xludf.DUMMYFUNCTION(" VLOOKUP(A898, IMPORTRANGE(""https://docs.google.com/spreadsheets/d/1QNLbnkR_AongFt22vMfNzfpjZ0CjpI8QI-w0wBnYA1w/"", ""Инфа!A:AA""), 6, FALSE)"),2024)</f>
        <v>2024</v>
      </c>
      <c r="J901" s="5">
        <f ca="1">ROUND((5000+G901*30),-2)</f>
        <v>11800</v>
      </c>
      <c r="K901" s="12" t="s">
        <v>26</v>
      </c>
      <c r="L901" s="16" t="s">
        <v>3670</v>
      </c>
    </row>
    <row r="902" spans="1:12" ht="112.5">
      <c r="A902" s="8" t="s">
        <v>3671</v>
      </c>
      <c r="B902" s="9" t="s">
        <v>12</v>
      </c>
      <c r="C902" s="12" t="s">
        <v>151</v>
      </c>
      <c r="D902" s="10" t="str">
        <f ca="1">IFERROR(__xludf.DUMMYFUNCTION(" VLOOKUP(A899, IMPORTRANGE(""https://docs.google.com/spreadsheets/d/1fj_Bhi2XPL3siwIh4sx4VRLAe31yD50oKdj5UlRYW0c/"", ""Сводка!A:AA""), 11, FALSE)"),"978-601-352-767-3")</f>
        <v>978-601-352-767-3</v>
      </c>
      <c r="E902" s="11" t="s">
        <v>3672</v>
      </c>
      <c r="F902" s="11" t="s">
        <v>3673</v>
      </c>
      <c r="G902" s="12">
        <f ca="1">IFERROR(__xludf.DUMMYFUNCTION(" VLOOKUP(A899, IMPORTRANGE(""https://docs.google.com/spreadsheets/d/1fj_Bhi2XPL3siwIh4sx4VRLAe31yD50oKdj5UlRYW0c/"", ""Сводка!A:AA""), 5, FALSE)"),292)</f>
        <v>292</v>
      </c>
      <c r="H902" s="12" t="s">
        <v>47</v>
      </c>
      <c r="I902" s="10">
        <f ca="1">IFERROR(__xludf.DUMMYFUNCTION(" VLOOKUP(A899, IMPORTRANGE(""https://docs.google.com/spreadsheets/d/1QNLbnkR_AongFt22vMfNzfpjZ0CjpI8QI-w0wBnYA1w/"", ""Инфа!A:AA""), 6, FALSE)"),2023)</f>
        <v>2023</v>
      </c>
      <c r="J902" s="5">
        <f ca="1">ROUND((5000+G902*60),-2)</f>
        <v>22500</v>
      </c>
      <c r="K902" s="12" t="s">
        <v>26</v>
      </c>
      <c r="L902" s="15" t="s">
        <v>3674</v>
      </c>
    </row>
    <row r="903" spans="1:12" ht="123.75">
      <c r="A903" s="8" t="s">
        <v>3675</v>
      </c>
      <c r="B903" s="9" t="s">
        <v>12</v>
      </c>
      <c r="C903" s="12" t="s">
        <v>151</v>
      </c>
      <c r="D903" s="10" t="str">
        <f ca="1">IFERROR(__xludf.DUMMYFUNCTION(" VLOOKUP(A900, IMPORTRANGE(""https://docs.google.com/spreadsheets/d/1fj_Bhi2XPL3siwIh4sx4VRLAe31yD50oKdj5UlRYW0c/"", ""Сводка!A:AA""), 11, FALSE)"),"978-601-352-775-8")</f>
        <v>978-601-352-775-8</v>
      </c>
      <c r="E903" s="11" t="s">
        <v>3676</v>
      </c>
      <c r="F903" s="11" t="s">
        <v>3677</v>
      </c>
      <c r="G903" s="12">
        <f ca="1">IFERROR(__xludf.DUMMYFUNCTION(" VLOOKUP(A900, IMPORTRANGE(""https://docs.google.com/spreadsheets/d/1fj_Bhi2XPL3siwIh4sx4VRLAe31yD50oKdj5UlRYW0c/"", ""Сводка!A:AA""), 5, FALSE)"),216)</f>
        <v>216</v>
      </c>
      <c r="H903" s="12" t="s">
        <v>282</v>
      </c>
      <c r="I903" s="10">
        <f ca="1">IFERROR(__xludf.DUMMYFUNCTION(" VLOOKUP(A900, IMPORTRANGE(""https://docs.google.com/spreadsheets/d/1QNLbnkR_AongFt22vMfNzfpjZ0CjpI8QI-w0wBnYA1w/"", ""Инфа!A:AA""), 6, FALSE)"),2024)</f>
        <v>2024</v>
      </c>
      <c r="J903" s="5">
        <f ca="1">ROUND((5000+G903*60),-2)</f>
        <v>18000</v>
      </c>
      <c r="K903" s="12" t="s">
        <v>26</v>
      </c>
      <c r="L903" s="15" t="s">
        <v>3678</v>
      </c>
    </row>
    <row r="904" spans="1:12" ht="112.5">
      <c r="A904" s="8" t="s">
        <v>3679</v>
      </c>
      <c r="B904" s="9" t="s">
        <v>12</v>
      </c>
      <c r="C904" s="12" t="s">
        <v>443</v>
      </c>
      <c r="D904" s="10" t="str">
        <f ca="1">IFERROR(__xludf.DUMMYFUNCTION(" VLOOKUP(A901, IMPORTRANGE(""https://docs.google.com/spreadsheets/d/1fj_Bhi2XPL3siwIh4sx4VRLAe31yD50oKdj5UlRYW0c/"", ""Сводка!A:AA""), 11, FALSE)"),"978-601-352-766-6")</f>
        <v>978-601-352-766-6</v>
      </c>
      <c r="E904" s="11" t="s">
        <v>3680</v>
      </c>
      <c r="F904" s="11" t="s">
        <v>3681</v>
      </c>
      <c r="G904" s="12">
        <f ca="1">IFERROR(__xludf.DUMMYFUNCTION(" VLOOKUP(A901, IMPORTRANGE(""https://docs.google.com/spreadsheets/d/1fj_Bhi2XPL3siwIh4sx4VRLAe31yD50oKdj5UlRYW0c/"", ""Сводка!A:AA""), 5, FALSE)"),284)</f>
        <v>284</v>
      </c>
      <c r="H904" s="12" t="s">
        <v>538</v>
      </c>
      <c r="I904" s="10">
        <f ca="1">IFERROR(__xludf.DUMMYFUNCTION(" VLOOKUP(A901, IMPORTRANGE(""https://docs.google.com/spreadsheets/d/1QNLbnkR_AongFt22vMfNzfpjZ0CjpI8QI-w0wBnYA1w/"", ""Инфа!A:AA""), 6, FALSE)"),2024)</f>
        <v>2024</v>
      </c>
      <c r="J904" s="5">
        <f ca="1">ROUND((5000+G904*60),-2)</f>
        <v>22000</v>
      </c>
      <c r="K904" s="12" t="s">
        <v>26</v>
      </c>
      <c r="L904" s="15" t="s">
        <v>3682</v>
      </c>
    </row>
    <row r="905" spans="1:12" ht="90">
      <c r="A905" s="8" t="s">
        <v>3683</v>
      </c>
      <c r="B905" s="9" t="s">
        <v>12</v>
      </c>
      <c r="C905" s="12" t="s">
        <v>443</v>
      </c>
      <c r="D905" s="10" t="str">
        <f ca="1">IFERROR(__xludf.DUMMYFUNCTION(" VLOOKUP(A902, IMPORTRANGE(""https://docs.google.com/spreadsheets/d/1fj_Bhi2XPL3siwIh4sx4VRLAe31yD50oKdj5UlRYW0c/"", ""Сводка!A:AA""), 11, FALSE)"),"978-601-352-841-0")</f>
        <v>978-601-352-841-0</v>
      </c>
      <c r="E905" s="11" t="s">
        <v>3684</v>
      </c>
      <c r="F905" s="11" t="s">
        <v>3685</v>
      </c>
      <c r="G905" s="12">
        <f ca="1">IFERROR(__xludf.DUMMYFUNCTION(" VLOOKUP(A902, IMPORTRANGE(""https://docs.google.com/spreadsheets/d/1fj_Bhi2XPL3siwIh4sx4VRLAe31yD50oKdj5UlRYW0c/"", ""Сводка!A:AA""), 5, FALSE)"),324)</f>
        <v>324</v>
      </c>
      <c r="H905" s="12" t="s">
        <v>538</v>
      </c>
      <c r="I905" s="10">
        <f ca="1">IFERROR(__xludf.DUMMYFUNCTION(" VLOOKUP(A902, IMPORTRANGE(""https://docs.google.com/spreadsheets/d/1QNLbnkR_AongFt22vMfNzfpjZ0CjpI8QI-w0wBnYA1w/"", ""Инфа!A:AA""), 6, FALSE)"),2023)</f>
        <v>2023</v>
      </c>
      <c r="J905" s="5">
        <f ca="1">ROUND((5000+G905*60),-2)</f>
        <v>24400</v>
      </c>
      <c r="K905" s="12" t="s">
        <v>26</v>
      </c>
      <c r="L905" s="44" t="s">
        <v>3686</v>
      </c>
    </row>
    <row r="906" spans="1:12" ht="112.5">
      <c r="A906" s="8" t="s">
        <v>3687</v>
      </c>
      <c r="B906" s="9" t="s">
        <v>12</v>
      </c>
      <c r="C906" s="12" t="s">
        <v>151</v>
      </c>
      <c r="D906" s="10" t="str">
        <f ca="1">IFERROR(__xludf.DUMMYFUNCTION(" VLOOKUP(A903, IMPORTRANGE(""https://docs.google.com/spreadsheets/d/1fj_Bhi2XPL3siwIh4sx4VRLAe31yD50oKdj5UlRYW0c/"", ""Сводка!A:AA""), 11, FALSE)"),"978-601-352-781-9")</f>
        <v>978-601-352-781-9</v>
      </c>
      <c r="E906" s="11" t="s">
        <v>3688</v>
      </c>
      <c r="F906" s="11" t="s">
        <v>3689</v>
      </c>
      <c r="G906" s="12">
        <f ca="1">IFERROR(__xludf.DUMMYFUNCTION(" VLOOKUP(A903, IMPORTRANGE(""https://docs.google.com/spreadsheets/d/1fj_Bhi2XPL3siwIh4sx4VRLAe31yD50oKdj5UlRYW0c/"", ""Сводка!A:AA""), 5, FALSE)"),176)</f>
        <v>176</v>
      </c>
      <c r="H906" s="12" t="s">
        <v>47</v>
      </c>
      <c r="I906" s="10">
        <f ca="1">IFERROR(__xludf.DUMMYFUNCTION(" VLOOKUP(A903, IMPORTRANGE(""https://docs.google.com/spreadsheets/d/1QNLbnkR_AongFt22vMfNzfpjZ0CjpI8QI-w0wBnYA1w/"", ""Инфа!A:AA""), 6, FALSE)"),2024)</f>
        <v>2024</v>
      </c>
      <c r="J906" s="5">
        <f ca="1">ROUND((5000+G906*30),-2)</f>
        <v>10300</v>
      </c>
      <c r="K906" s="12" t="s">
        <v>160</v>
      </c>
      <c r="L906" s="15" t="s">
        <v>3690</v>
      </c>
    </row>
    <row r="907" spans="1:12" ht="112.5">
      <c r="A907" s="8" t="s">
        <v>3691</v>
      </c>
      <c r="B907" s="9" t="s">
        <v>12</v>
      </c>
      <c r="C907" s="12" t="s">
        <v>151</v>
      </c>
      <c r="D907" s="10" t="str">
        <f ca="1">IFERROR(__xludf.DUMMYFUNCTION(" VLOOKUP(A904, IMPORTRANGE(""https://docs.google.com/spreadsheets/d/1fj_Bhi2XPL3siwIh4sx4VRLAe31yD50oKdj5UlRYW0c/"", ""Сводка!A:AA""), 11, FALSE)"),"978-601-352-782-6")</f>
        <v>978-601-352-782-6</v>
      </c>
      <c r="E907" s="11" t="s">
        <v>3692</v>
      </c>
      <c r="F907" s="11" t="s">
        <v>3693</v>
      </c>
      <c r="G907" s="12">
        <f ca="1">IFERROR(__xludf.DUMMYFUNCTION(" VLOOKUP(A904, IMPORTRANGE(""https://docs.google.com/spreadsheets/d/1fj_Bhi2XPL3siwIh4sx4VRLAe31yD50oKdj5UlRYW0c/"", ""Сводка!A:AA""), 5, FALSE)"),176)</f>
        <v>176</v>
      </c>
      <c r="H907" s="12" t="s">
        <v>47</v>
      </c>
      <c r="I907" s="10">
        <f ca="1">IFERROR(__xludf.DUMMYFUNCTION(" VLOOKUP(A904, IMPORTRANGE(""https://docs.google.com/spreadsheets/d/1QNLbnkR_AongFt22vMfNzfpjZ0CjpI8QI-w0wBnYA1w/"", ""Инфа!A:AA""), 6, FALSE)"),2024)</f>
        <v>2024</v>
      </c>
      <c r="J907" s="5">
        <f ca="1">ROUND((5000+G907*60),-2)</f>
        <v>15600</v>
      </c>
      <c r="K907" s="12" t="s">
        <v>160</v>
      </c>
      <c r="L907" s="15" t="s">
        <v>3694</v>
      </c>
    </row>
    <row r="908" spans="1:12" ht="157.5">
      <c r="A908" s="8" t="s">
        <v>3695</v>
      </c>
      <c r="B908" s="9" t="s">
        <v>12</v>
      </c>
      <c r="C908" s="12" t="s">
        <v>151</v>
      </c>
      <c r="D908" s="10" t="s">
        <v>3696</v>
      </c>
      <c r="E908" s="11" t="s">
        <v>3697</v>
      </c>
      <c r="F908" s="11" t="s">
        <v>3698</v>
      </c>
      <c r="G908" s="12">
        <f ca="1">IFERROR(__xludf.DUMMYFUNCTION(" VLOOKUP(A905, IMPORTRANGE(""https://docs.google.com/spreadsheets/d/1fj_Bhi2XPL3siwIh4sx4VRLAe31yD50oKdj5UlRYW0c/"", ""Сводка!A:AA""), 5, FALSE)"),232)</f>
        <v>232</v>
      </c>
      <c r="H908" s="12" t="s">
        <v>3699</v>
      </c>
      <c r="I908" s="10">
        <f ca="1">IFERROR(__xludf.DUMMYFUNCTION(" VLOOKUP(A905, IMPORTRANGE(""https://docs.google.com/spreadsheets/d/1QNLbnkR_AongFt22vMfNzfpjZ0CjpI8QI-w0wBnYA1w/"", ""Инфа!A:AA""), 6, FALSE)"),2024)</f>
        <v>2024</v>
      </c>
      <c r="J908" s="5">
        <f ca="1">ROUND((5000+G908*30),-2)</f>
        <v>12000</v>
      </c>
      <c r="K908" s="12" t="s">
        <v>26</v>
      </c>
      <c r="L908" s="15" t="s">
        <v>3700</v>
      </c>
    </row>
    <row r="909" spans="1:12" ht="157.5">
      <c r="A909" s="8" t="s">
        <v>3701</v>
      </c>
      <c r="B909" s="9" t="s">
        <v>12</v>
      </c>
      <c r="C909" s="12" t="s">
        <v>151</v>
      </c>
      <c r="D909" s="10" t="s">
        <v>3702</v>
      </c>
      <c r="E909" s="11" t="s">
        <v>3697</v>
      </c>
      <c r="F909" s="11" t="s">
        <v>3703</v>
      </c>
      <c r="G909" s="12">
        <f ca="1">IFERROR(__xludf.DUMMYFUNCTION(" VLOOKUP(A906, IMPORTRANGE(""https://docs.google.com/spreadsheets/d/1fj_Bhi2XPL3siwIh4sx4VRLAe31yD50oKdj5UlRYW0c/"", ""Сводка!A:AA""), 5, FALSE)"),236)</f>
        <v>236</v>
      </c>
      <c r="H909" s="12" t="s">
        <v>3699</v>
      </c>
      <c r="I909" s="10">
        <f ca="1">IFERROR(__xludf.DUMMYFUNCTION(" VLOOKUP(A906, IMPORTRANGE(""https://docs.google.com/spreadsheets/d/1QNLbnkR_AongFt22vMfNzfpjZ0CjpI8QI-w0wBnYA1w/"", ""Инфа!A:AA""), 6, FALSE)"),2024)</f>
        <v>2024</v>
      </c>
      <c r="J909" s="5">
        <f ca="1">ROUND((5000+G909*30),-2)</f>
        <v>12100</v>
      </c>
      <c r="K909" s="12" t="s">
        <v>26</v>
      </c>
      <c r="L909" s="15" t="s">
        <v>3700</v>
      </c>
    </row>
    <row r="910" spans="1:12" ht="236.25">
      <c r="A910" s="8" t="s">
        <v>3704</v>
      </c>
      <c r="B910" s="9" t="s">
        <v>12</v>
      </c>
      <c r="C910" s="12" t="s">
        <v>443</v>
      </c>
      <c r="D910" s="10" t="str">
        <f ca="1">IFERROR(__xludf.DUMMYFUNCTION(" VLOOKUP(A907, IMPORTRANGE(""https://docs.google.com/spreadsheets/d/1fj_Bhi2XPL3siwIh4sx4VRLAe31yD50oKdj5UlRYW0c/"", ""Сводка!A:AA""), 11, FALSE)"),"978-601-352-632-4")</f>
        <v>978-601-352-632-4</v>
      </c>
      <c r="E910" s="11" t="s">
        <v>3705</v>
      </c>
      <c r="F910" s="11" t="s">
        <v>3706</v>
      </c>
      <c r="G910" s="12">
        <f ca="1">IFERROR(__xludf.DUMMYFUNCTION(" VLOOKUP(A907, IMPORTRANGE(""https://docs.google.com/spreadsheets/d/1fj_Bhi2XPL3siwIh4sx4VRLAe31yD50oKdj5UlRYW0c/"", ""Сводка!A:AA""), 5, FALSE)"),104)</f>
        <v>104</v>
      </c>
      <c r="H910" s="12" t="s">
        <v>538</v>
      </c>
      <c r="I910" s="10">
        <f ca="1">IFERROR(__xludf.DUMMYFUNCTION(" VLOOKUP(A907, IMPORTRANGE(""https://docs.google.com/spreadsheets/d/1QNLbnkR_AongFt22vMfNzfpjZ0CjpI8QI-w0wBnYA1w/"", ""Инфа!A:AA""), 6, FALSE)"),2024)</f>
        <v>2024</v>
      </c>
      <c r="J910" s="5">
        <f ca="1">ROUND((5000+G910*60),-2)</f>
        <v>11200</v>
      </c>
      <c r="K910" s="12" t="s">
        <v>3707</v>
      </c>
      <c r="L910" s="15" t="s">
        <v>3708</v>
      </c>
    </row>
    <row r="911" spans="1:12" ht="191.25">
      <c r="A911" s="8" t="s">
        <v>3709</v>
      </c>
      <c r="B911" s="9" t="s">
        <v>12</v>
      </c>
      <c r="C911" s="12" t="s">
        <v>151</v>
      </c>
      <c r="D911" s="10" t="str">
        <f ca="1">IFERROR(__xludf.DUMMYFUNCTION(" VLOOKUP(A908, IMPORTRANGE(""https://docs.google.com/spreadsheets/d/1fj_Bhi2XPL3siwIh4sx4VRLAe31yD50oKdj5UlRYW0c/"", ""Сводка!A:AA""), 11, FALSE)"),"978-601-267-604-4")</f>
        <v>978-601-267-604-4</v>
      </c>
      <c r="E911" s="11" t="s">
        <v>3710</v>
      </c>
      <c r="F911" s="11" t="s">
        <v>3711</v>
      </c>
      <c r="G911" s="12">
        <f ca="1">IFERROR(__xludf.DUMMYFUNCTION(" VLOOKUP(A908, IMPORTRANGE(""https://docs.google.com/spreadsheets/d/1fj_Bhi2XPL3siwIh4sx4VRLAe31yD50oKdj5UlRYW0c/"", ""Сводка!A:AA""), 5, FALSE)"),256)</f>
        <v>256</v>
      </c>
      <c r="H911" s="12" t="s">
        <v>47</v>
      </c>
      <c r="I911" s="10">
        <f ca="1">IFERROR(__xludf.DUMMYFUNCTION(" VLOOKUP(A908, IMPORTRANGE(""https://docs.google.com/spreadsheets/d/1QNLbnkR_AongFt22vMfNzfpjZ0CjpI8QI-w0wBnYA1w/"", ""Инфа!A:AA""), 6, FALSE)"),2023)</f>
        <v>2023</v>
      </c>
      <c r="J911" s="5">
        <f ca="1">ROUND((5000+G911*30),-2)</f>
        <v>12700</v>
      </c>
      <c r="K911" s="12" t="s">
        <v>3712</v>
      </c>
      <c r="L911" s="16" t="s">
        <v>3713</v>
      </c>
    </row>
    <row r="912" spans="1:12" ht="247.5">
      <c r="A912" s="8" t="s">
        <v>3714</v>
      </c>
      <c r="B912" s="9" t="s">
        <v>12</v>
      </c>
      <c r="C912" s="12" t="s">
        <v>151</v>
      </c>
      <c r="D912" s="10" t="str">
        <f ca="1">IFERROR(__xludf.DUMMYFUNCTION(" VLOOKUP(A909, IMPORTRANGE(""https://docs.google.com/spreadsheets/d/1fj_Bhi2XPL3siwIh4sx4VRLAe31yD50oKdj5UlRYW0c/"", ""Сводка!A:AA""), 11, FALSE)"),"978-601-352-647-8")</f>
        <v>978-601-352-647-8</v>
      </c>
      <c r="E912" s="11" t="s">
        <v>3715</v>
      </c>
      <c r="F912" s="11" t="s">
        <v>3716</v>
      </c>
      <c r="G912" s="12">
        <f ca="1">IFERROR(__xludf.DUMMYFUNCTION(" VLOOKUP(A909, IMPORTRANGE(""https://docs.google.com/spreadsheets/d/1fj_Bhi2XPL3siwIh4sx4VRLAe31yD50oKdj5UlRYW0c/"", ""Сводка!A:AA""), 5, FALSE)"),112)</f>
        <v>112</v>
      </c>
      <c r="H912" s="12" t="s">
        <v>1950</v>
      </c>
      <c r="I912" s="10">
        <f ca="1">IFERROR(__xludf.DUMMYFUNCTION(" VLOOKUP(A909, IMPORTRANGE(""https://docs.google.com/spreadsheets/d/1QNLbnkR_AongFt22vMfNzfpjZ0CjpI8QI-w0wBnYA1w/"", ""Инфа!A:AA""), 6, FALSE)"),2024)</f>
        <v>2024</v>
      </c>
      <c r="J912" s="5">
        <f ca="1">ROUND((5000+G912*60),-2)</f>
        <v>11700</v>
      </c>
      <c r="K912" s="12" t="s">
        <v>3717</v>
      </c>
      <c r="L912" s="15" t="s">
        <v>3718</v>
      </c>
    </row>
    <row r="913" spans="1:12" ht="180">
      <c r="A913" s="8" t="s">
        <v>3719</v>
      </c>
      <c r="B913" s="9" t="s">
        <v>12</v>
      </c>
      <c r="C913" s="12" t="s">
        <v>443</v>
      </c>
      <c r="D913" s="10" t="str">
        <f ca="1">IFERROR(__xludf.DUMMYFUNCTION(" VLOOKUP(A910, IMPORTRANGE(""https://docs.google.com/spreadsheets/d/1fj_Bhi2XPL3siwIh4sx4VRLAe31yD50oKdj5UlRYW0c/"", ""Сводка!A:AA""), 11, FALSE)"),"978-601-352-720-8")</f>
        <v>978-601-352-720-8</v>
      </c>
      <c r="E913" s="11" t="s">
        <v>3720</v>
      </c>
      <c r="F913" s="11" t="s">
        <v>3721</v>
      </c>
      <c r="G913" s="12">
        <f ca="1">IFERROR(__xludf.DUMMYFUNCTION(" VLOOKUP(A910, IMPORTRANGE(""https://docs.google.com/spreadsheets/d/1fj_Bhi2XPL3siwIh4sx4VRLAe31yD50oKdj5UlRYW0c/"", ""Сводка!A:AA""), 5, FALSE)"),220)</f>
        <v>220</v>
      </c>
      <c r="H913" s="12" t="s">
        <v>538</v>
      </c>
      <c r="I913" s="10">
        <f ca="1">IFERROR(__xludf.DUMMYFUNCTION(" VLOOKUP(A910, IMPORTRANGE(""https://docs.google.com/spreadsheets/d/1QNLbnkR_AongFt22vMfNzfpjZ0CjpI8QI-w0wBnYA1w/"", ""Инфа!A:AA""), 6, FALSE)"),2024)</f>
        <v>2024</v>
      </c>
      <c r="J913" s="5">
        <f ca="1">ROUND((5000+G913*30),-2)</f>
        <v>11600</v>
      </c>
      <c r="K913" s="12" t="s">
        <v>3722</v>
      </c>
      <c r="L913" s="15" t="s">
        <v>3723</v>
      </c>
    </row>
    <row r="914" spans="1:12" ht="157.5">
      <c r="A914" s="8" t="s">
        <v>3724</v>
      </c>
      <c r="B914" s="9" t="s">
        <v>12</v>
      </c>
      <c r="C914" s="12" t="s">
        <v>151</v>
      </c>
      <c r="D914" s="10" t="str">
        <f ca="1">IFERROR(__xludf.DUMMYFUNCTION(" VLOOKUP(A911, IMPORTRANGE(""https://docs.google.com/spreadsheets/d/1fj_Bhi2XPL3siwIh4sx4VRLAe31yD50oKdj5UlRYW0c/"", ""Сводка!A:AA""), 11, FALSE)"),"978-601-352-854-0")</f>
        <v>978-601-352-854-0</v>
      </c>
      <c r="E914" s="11" t="s">
        <v>3725</v>
      </c>
      <c r="F914" s="11" t="s">
        <v>3726</v>
      </c>
      <c r="G914" s="12">
        <f ca="1">IFERROR(__xludf.DUMMYFUNCTION(" VLOOKUP(A911, IMPORTRANGE(""https://docs.google.com/spreadsheets/d/1fj_Bhi2XPL3siwIh4sx4VRLAe31yD50oKdj5UlRYW0c/"", ""Сводка!A:AA""), 5, FALSE)"),244)</f>
        <v>244</v>
      </c>
      <c r="H914" s="12" t="s">
        <v>47</v>
      </c>
      <c r="I914" s="10">
        <f ca="1">IFERROR(__xludf.DUMMYFUNCTION(" VLOOKUP(A911, IMPORTRANGE(""https://docs.google.com/spreadsheets/d/1QNLbnkR_AongFt22vMfNzfpjZ0CjpI8QI-w0wBnYA1w/"", ""Инфа!A:AA""), 6, FALSE)"),2024)</f>
        <v>2024</v>
      </c>
      <c r="J914" s="5">
        <f ca="1">ROUND((5000+G914*30),-2)</f>
        <v>12300</v>
      </c>
      <c r="K914" s="12" t="s">
        <v>3727</v>
      </c>
      <c r="L914" s="15" t="s">
        <v>3728</v>
      </c>
    </row>
    <row r="915" spans="1:12" ht="191.25">
      <c r="A915" s="8" t="s">
        <v>3729</v>
      </c>
      <c r="B915" s="9" t="s">
        <v>12</v>
      </c>
      <c r="C915" s="12" t="s">
        <v>151</v>
      </c>
      <c r="D915" s="10" t="str">
        <f ca="1">IFERROR(__xludf.DUMMYFUNCTION(" VLOOKUP(A912, IMPORTRANGE(""https://docs.google.com/spreadsheets/d/1fj_Bhi2XPL3siwIh4sx4VRLAe31yD50oKdj5UlRYW0c/"", ""Сводка!A:AA""), 11, FALSE)"),"978-601-352-853-3")</f>
        <v>978-601-352-853-3</v>
      </c>
      <c r="E915" s="11" t="s">
        <v>3725</v>
      </c>
      <c r="F915" s="11" t="s">
        <v>3730</v>
      </c>
      <c r="G915" s="12">
        <f ca="1">IFERROR(__xludf.DUMMYFUNCTION(" VLOOKUP(A912, IMPORTRANGE(""https://docs.google.com/spreadsheets/d/1fj_Bhi2XPL3siwIh4sx4VRLAe31yD50oKdj5UlRYW0c/"", ""Сводка!A:AA""), 5, FALSE)"),200)</f>
        <v>200</v>
      </c>
      <c r="H915" s="12" t="s">
        <v>165</v>
      </c>
      <c r="I915" s="10">
        <f ca="1">IFERROR(__xludf.DUMMYFUNCTION(" VLOOKUP(A912, IMPORTRANGE(""https://docs.google.com/spreadsheets/d/1QNLbnkR_AongFt22vMfNzfpjZ0CjpI8QI-w0wBnYA1w/"", ""Инфа!A:AA""), 6, FALSE)"),2024)</f>
        <v>2024</v>
      </c>
      <c r="J915" s="5">
        <f ca="1">ROUND((5000+G915*30),-2)</f>
        <v>11000</v>
      </c>
      <c r="K915" s="12" t="s">
        <v>3731</v>
      </c>
      <c r="L915" s="15" t="s">
        <v>3732</v>
      </c>
    </row>
    <row r="916" spans="1:12" ht="191.25">
      <c r="A916" s="8" t="s">
        <v>3733</v>
      </c>
      <c r="B916" s="9" t="s">
        <v>12</v>
      </c>
      <c r="C916" s="12" t="s">
        <v>151</v>
      </c>
      <c r="D916" s="10" t="str">
        <f ca="1">IFERROR(__xludf.DUMMYFUNCTION(" VLOOKUP(A913, IMPORTRANGE(""https://docs.google.com/spreadsheets/d/1fj_Bhi2XPL3siwIh4sx4VRLAe31yD50oKdj5UlRYW0c/"", ""Сводка!A:AA""), 11, FALSE)"),"978-601-352-855-7")</f>
        <v>978-601-352-855-7</v>
      </c>
      <c r="E916" s="11" t="s">
        <v>3725</v>
      </c>
      <c r="F916" s="11" t="s">
        <v>3734</v>
      </c>
      <c r="G916" s="12">
        <f ca="1">IFERROR(__xludf.DUMMYFUNCTION(" VLOOKUP(A913, IMPORTRANGE(""https://docs.google.com/spreadsheets/d/1fj_Bhi2XPL3siwIh4sx4VRLAe31yD50oKdj5UlRYW0c/"", ""Сводка!A:AA""), 5, FALSE)"),184)</f>
        <v>184</v>
      </c>
      <c r="H916" s="12" t="s">
        <v>165</v>
      </c>
      <c r="I916" s="10">
        <f ca="1">IFERROR(__xludf.DUMMYFUNCTION(" VLOOKUP(A913, IMPORTRANGE(""https://docs.google.com/spreadsheets/d/1QNLbnkR_AongFt22vMfNzfpjZ0CjpI8QI-w0wBnYA1w/"", ""Инфа!A:AA""), 6, FALSE)"),2023)</f>
        <v>2023</v>
      </c>
      <c r="J916" s="5">
        <f ca="1">ROUND((5000+G916*30),-2)</f>
        <v>10500</v>
      </c>
      <c r="K916" s="12" t="s">
        <v>1332</v>
      </c>
      <c r="L916" s="15" t="s">
        <v>3735</v>
      </c>
    </row>
    <row r="917" spans="1:12" ht="157.5">
      <c r="A917" s="8" t="s">
        <v>3736</v>
      </c>
      <c r="B917" s="9" t="s">
        <v>12</v>
      </c>
      <c r="C917" s="12" t="s">
        <v>151</v>
      </c>
      <c r="D917" s="10" t="str">
        <f ca="1">IFERROR(__xludf.DUMMYFUNCTION(" VLOOKUP(A914, IMPORTRANGE(""https://docs.google.com/spreadsheets/d/1fj_Bhi2XPL3siwIh4sx4VRLAe31yD50oKdj5UlRYW0c/"", ""Сводка!A:AA""), 11, FALSE)"),"978-601-352-892-2")</f>
        <v>978-601-352-892-2</v>
      </c>
      <c r="E917" s="11" t="s">
        <v>3725</v>
      </c>
      <c r="F917" s="11" t="s">
        <v>3737</v>
      </c>
      <c r="G917" s="12">
        <f ca="1">IFERROR(__xludf.DUMMYFUNCTION(" VLOOKUP(A914, IMPORTRANGE(""https://docs.google.com/spreadsheets/d/1fj_Bhi2XPL3siwIh4sx4VRLAe31yD50oKdj5UlRYW0c/"", ""Сводка!A:AA""), 5, FALSE)"),248)</f>
        <v>248</v>
      </c>
      <c r="H917" s="12" t="s">
        <v>165</v>
      </c>
      <c r="I917" s="10">
        <f ca="1">IFERROR(__xludf.DUMMYFUNCTION(" VLOOKUP(A914, IMPORTRANGE(""https://docs.google.com/spreadsheets/d/1QNLbnkR_AongFt22vMfNzfpjZ0CjpI8QI-w0wBnYA1w/"", ""Инфа!A:AA""), 6, FALSE)"),2024)</f>
        <v>2024</v>
      </c>
      <c r="J917" s="5">
        <f ca="1">ROUND((5000+G917*60),-2)</f>
        <v>19900</v>
      </c>
      <c r="K917" s="12" t="s">
        <v>3738</v>
      </c>
      <c r="L917" s="15" t="s">
        <v>3739</v>
      </c>
    </row>
    <row r="918" spans="1:12" ht="146.25">
      <c r="A918" s="8" t="s">
        <v>3740</v>
      </c>
      <c r="B918" s="9" t="s">
        <v>12</v>
      </c>
      <c r="C918" s="12" t="s">
        <v>151</v>
      </c>
      <c r="D918" s="10" t="str">
        <f ca="1">IFERROR(__xludf.DUMMYFUNCTION(" VLOOKUP(A915, IMPORTRANGE(""https://docs.google.com/spreadsheets/d/1fj_Bhi2XPL3siwIh4sx4VRLAe31yD50oKdj5UlRYW0c/"", ""Сводка!A:AA""), 11, FALSE)"),"978-601-352-659-1")</f>
        <v>978-601-352-659-1</v>
      </c>
      <c r="E918" s="11" t="s">
        <v>3741</v>
      </c>
      <c r="F918" s="11" t="s">
        <v>3742</v>
      </c>
      <c r="G918" s="12">
        <f ca="1">IFERROR(__xludf.DUMMYFUNCTION(" VLOOKUP(A915, IMPORTRANGE(""https://docs.google.com/spreadsheets/d/1fj_Bhi2XPL3siwIh4sx4VRLAe31yD50oKdj5UlRYW0c/"", ""Сводка!A:AA""), 5, FALSE)"),132)</f>
        <v>132</v>
      </c>
      <c r="H918" s="12" t="s">
        <v>47</v>
      </c>
      <c r="I918" s="10">
        <f ca="1">IFERROR(__xludf.DUMMYFUNCTION(" VLOOKUP(A915, IMPORTRANGE(""https://docs.google.com/spreadsheets/d/1QNLbnkR_AongFt22vMfNzfpjZ0CjpI8QI-w0wBnYA1w/"", ""Инфа!A:AA""), 6, FALSE)"),2024)</f>
        <v>2024</v>
      </c>
      <c r="J918" s="5">
        <f ca="1">ROUND((5000+G918*60),-2)</f>
        <v>12900</v>
      </c>
      <c r="K918" s="12" t="s">
        <v>1603</v>
      </c>
      <c r="L918" s="15" t="s">
        <v>3743</v>
      </c>
    </row>
    <row r="919" spans="1:12" ht="270">
      <c r="A919" s="8" t="s">
        <v>3744</v>
      </c>
      <c r="B919" s="9" t="s">
        <v>12</v>
      </c>
      <c r="C919" s="12" t="s">
        <v>13</v>
      </c>
      <c r="D919" s="10" t="str">
        <f ca="1">IFERROR(__xludf.DUMMYFUNCTION(" VLOOKUP(A916, IMPORTRANGE(""https://docs.google.com/spreadsheets/d/1fj_Bhi2XPL3siwIh4sx4VRLAe31yD50oKdj5UlRYW0c/"", ""Сводка!A:AA""), 11, FALSE)"),"978-601-352-542-6")</f>
        <v>978-601-352-542-6</v>
      </c>
      <c r="E919" s="11" t="s">
        <v>3745</v>
      </c>
      <c r="F919" s="11" t="s">
        <v>3746</v>
      </c>
      <c r="G919" s="12">
        <f ca="1">IFERROR(__xludf.DUMMYFUNCTION(" VLOOKUP(A916, IMPORTRANGE(""https://docs.google.com/spreadsheets/d/1fj_Bhi2XPL3siwIh4sx4VRLAe31yD50oKdj5UlRYW0c/"", ""Сводка!A:AA""), 5, FALSE)"),176)</f>
        <v>176</v>
      </c>
      <c r="H919" s="12" t="s">
        <v>42</v>
      </c>
      <c r="I919" s="10">
        <f ca="1">IFERROR(__xludf.DUMMYFUNCTION(" VLOOKUP(A916, IMPORTRANGE(""https://docs.google.com/spreadsheets/d/1QNLbnkR_AongFt22vMfNzfpjZ0CjpI8QI-w0wBnYA1w/"", ""Инфа!A:AA""), 6, FALSE)"),2024)</f>
        <v>2024</v>
      </c>
      <c r="J919" s="5">
        <f ca="1">ROUND((5000+G919*30),-2)</f>
        <v>10300</v>
      </c>
      <c r="K919" s="12" t="s">
        <v>1450</v>
      </c>
      <c r="L919" s="15" t="s">
        <v>3747</v>
      </c>
    </row>
    <row r="920" spans="1:12" ht="281.25">
      <c r="A920" s="8" t="s">
        <v>3748</v>
      </c>
      <c r="B920" s="9" t="s">
        <v>12</v>
      </c>
      <c r="C920" s="12" t="s">
        <v>13</v>
      </c>
      <c r="D920" s="10" t="s">
        <v>3749</v>
      </c>
      <c r="E920" s="11" t="s">
        <v>3750</v>
      </c>
      <c r="F920" s="11" t="s">
        <v>3751</v>
      </c>
      <c r="G920" s="12">
        <f ca="1">IFERROR(__xludf.DUMMYFUNCTION(" VLOOKUP(A917, IMPORTRANGE(""https://docs.google.com/spreadsheets/d/1fj_Bhi2XPL3siwIh4sx4VRLAe31yD50oKdj5UlRYW0c/"", ""Сводка!A:AA""), 5, FALSE)"),112)</f>
        <v>112</v>
      </c>
      <c r="H920" s="12" t="s">
        <v>62</v>
      </c>
      <c r="I920" s="10">
        <f ca="1">IFERROR(__xludf.DUMMYFUNCTION(" VLOOKUP(A917, IMPORTRANGE(""https://docs.google.com/spreadsheets/d/1QNLbnkR_AongFt22vMfNzfpjZ0CjpI8QI-w0wBnYA1w/"", ""Инфа!A:AA""), 6, FALSE)"),2024)</f>
        <v>2024</v>
      </c>
      <c r="J920" s="5">
        <f ca="1">ROUND((5000+G920*30),-2)</f>
        <v>8400</v>
      </c>
      <c r="K920" s="12" t="s">
        <v>3752</v>
      </c>
      <c r="L920" s="15" t="s">
        <v>3753</v>
      </c>
    </row>
    <row r="921" spans="1:12" ht="191.25">
      <c r="A921" s="8" t="s">
        <v>3754</v>
      </c>
      <c r="B921" s="9" t="s">
        <v>12</v>
      </c>
      <c r="C921" s="12" t="s">
        <v>151</v>
      </c>
      <c r="D921" s="10" t="str">
        <f ca="1">IFERROR(__xludf.DUMMYFUNCTION(" VLOOKUP(A918, IMPORTRANGE(""https://docs.google.com/spreadsheets/d/1fj_Bhi2XPL3siwIh4sx4VRLAe31yD50oKdj5UlRYW0c/"", ""Сводка!A:AA""), 11, FALSE)"),"978-601-352-743-7")</f>
        <v>978-601-352-743-7</v>
      </c>
      <c r="E921" s="11" t="s">
        <v>3755</v>
      </c>
      <c r="F921" s="11" t="s">
        <v>3756</v>
      </c>
      <c r="G921" s="12">
        <f ca="1">IFERROR(__xludf.DUMMYFUNCTION(" VLOOKUP(A918, IMPORTRANGE(""https://docs.google.com/spreadsheets/d/1fj_Bhi2XPL3siwIh4sx4VRLAe31yD50oKdj5UlRYW0c/"", ""Сводка!A:AA""), 5, FALSE)"),252)</f>
        <v>252</v>
      </c>
      <c r="H921" s="12" t="s">
        <v>24</v>
      </c>
      <c r="I921" s="10">
        <f ca="1">IFERROR(__xludf.DUMMYFUNCTION(" VLOOKUP(A918, IMPORTRANGE(""https://docs.google.com/spreadsheets/d/1QNLbnkR_AongFt22vMfNzfpjZ0CjpI8QI-w0wBnYA1w/"", ""Инфа!A:AA""), 6, FALSE)"),2024)</f>
        <v>2024</v>
      </c>
      <c r="J921" s="5">
        <f ca="1">ROUND((5000+G921*30),-2)</f>
        <v>12600</v>
      </c>
      <c r="K921" s="12" t="s">
        <v>197</v>
      </c>
      <c r="L921" s="15" t="s">
        <v>3757</v>
      </c>
    </row>
    <row r="922" spans="1:12" ht="112.5">
      <c r="A922" s="8" t="s">
        <v>3758</v>
      </c>
      <c r="B922" s="9" t="s">
        <v>12</v>
      </c>
      <c r="C922" s="12" t="s">
        <v>443</v>
      </c>
      <c r="D922" s="10" t="str">
        <f ca="1">IFERROR(__xludf.DUMMYFUNCTION(" VLOOKUP(A919, IMPORTRANGE(""https://docs.google.com/spreadsheets/d/1fj_Bhi2XPL3siwIh4sx4VRLAe31yD50oKdj5UlRYW0c/"", ""Сводка!A:AA""), 11, FALSE)"),"978-601-352-976-9")</f>
        <v>978-601-352-976-9</v>
      </c>
      <c r="E922" s="11" t="s">
        <v>3759</v>
      </c>
      <c r="F922" s="11" t="s">
        <v>3760</v>
      </c>
      <c r="G922" s="12">
        <f ca="1">IFERROR(__xludf.DUMMYFUNCTION(" VLOOKUP(A919, IMPORTRANGE(""https://docs.google.com/spreadsheets/d/1fj_Bhi2XPL3siwIh4sx4VRLAe31yD50oKdj5UlRYW0c/"", ""Сводка!A:AA""), 5, FALSE)"),124)</f>
        <v>124</v>
      </c>
      <c r="H922" s="12" t="s">
        <v>538</v>
      </c>
      <c r="I922" s="10">
        <f ca="1">IFERROR(__xludf.DUMMYFUNCTION(" VLOOKUP(A919, IMPORTRANGE(""https://docs.google.com/spreadsheets/d/1QNLbnkR_AongFt22vMfNzfpjZ0CjpI8QI-w0wBnYA1w/"", ""Инфа!A:AA""), 6, FALSE)"),2024)</f>
        <v>2024</v>
      </c>
      <c r="J922" s="5">
        <f ca="1">ROUND((5000+G922*60),-2)</f>
        <v>12400</v>
      </c>
      <c r="K922" s="12" t="s">
        <v>3761</v>
      </c>
      <c r="L922" s="15" t="s">
        <v>3762</v>
      </c>
    </row>
    <row r="923" spans="1:12" ht="146.25">
      <c r="A923" s="8" t="s">
        <v>3763</v>
      </c>
      <c r="B923" s="9" t="s">
        <v>12</v>
      </c>
      <c r="C923" s="12" t="s">
        <v>151</v>
      </c>
      <c r="D923" s="10" t="str">
        <f ca="1">IFERROR(__xludf.DUMMYFUNCTION(" VLOOKUP(A920, IMPORTRANGE(""https://docs.google.com/spreadsheets/d/1fj_Bhi2XPL3siwIh4sx4VRLAe31yD50oKdj5UlRYW0c/"", ""Сводка!A:AA""), 11, FALSE)"),"978-601-352-975-2")</f>
        <v>978-601-352-975-2</v>
      </c>
      <c r="E923" s="11" t="s">
        <v>3759</v>
      </c>
      <c r="F923" s="11" t="s">
        <v>3764</v>
      </c>
      <c r="G923" s="12">
        <f ca="1">IFERROR(__xludf.DUMMYFUNCTION(" VLOOKUP(A920, IMPORTRANGE(""https://docs.google.com/spreadsheets/d/1fj_Bhi2XPL3siwIh4sx4VRLAe31yD50oKdj5UlRYW0c/"", ""Сводка!A:AA""), 5, FALSE)"),144)</f>
        <v>144</v>
      </c>
      <c r="H923" s="12" t="s">
        <v>282</v>
      </c>
      <c r="I923" s="10">
        <f ca="1">IFERROR(__xludf.DUMMYFUNCTION(" VLOOKUP(A920, IMPORTRANGE(""https://docs.google.com/spreadsheets/d/1QNLbnkR_AongFt22vMfNzfpjZ0CjpI8QI-w0wBnYA1w/"", ""Инфа!A:AA""), 6, FALSE)"),2024)</f>
        <v>2024</v>
      </c>
      <c r="J923" s="5">
        <f ca="1">ROUND((5000+G923*60),-2)</f>
        <v>13600</v>
      </c>
      <c r="K923" s="12" t="s">
        <v>3761</v>
      </c>
      <c r="L923" s="15" t="s">
        <v>3765</v>
      </c>
    </row>
    <row r="924" spans="1:12" ht="90">
      <c r="A924" s="8" t="s">
        <v>3766</v>
      </c>
      <c r="B924" s="9" t="s">
        <v>12</v>
      </c>
      <c r="C924" s="12" t="s">
        <v>443</v>
      </c>
      <c r="D924" s="10" t="str">
        <f ca="1">IFERROR(__xludf.DUMMYFUNCTION(" VLOOKUP(A921, IMPORTRANGE(""https://docs.google.com/spreadsheets/d/1fj_Bhi2XPL3siwIh4sx4VRLAe31yD50oKdj5UlRYW0c/"", ""Сводка!A:AA""), 11, FALSE)"),"978-601-352-904-2")</f>
        <v>978-601-352-904-2</v>
      </c>
      <c r="E924" s="22" t="s">
        <v>3767</v>
      </c>
      <c r="F924" s="22" t="s">
        <v>3768</v>
      </c>
      <c r="G924" s="12">
        <f ca="1">IFERROR(__xludf.DUMMYFUNCTION(" VLOOKUP(A921, IMPORTRANGE(""https://docs.google.com/spreadsheets/d/1fj_Bhi2XPL3siwIh4sx4VRLAe31yD50oKdj5UlRYW0c/"", ""Сводка!A:AA""), 5, FALSE)"),236)</f>
        <v>236</v>
      </c>
      <c r="H924" s="10" t="s">
        <v>538</v>
      </c>
      <c r="I924" s="10">
        <f ca="1">IFERROR(__xludf.DUMMYFUNCTION(" VLOOKUP(A921, IMPORTRANGE(""https://docs.google.com/spreadsheets/d/1QNLbnkR_AongFt22vMfNzfpjZ0CjpI8QI-w0wBnYA1w/"", ""Инфа!A:AA""), 6, FALSE)"),2024)</f>
        <v>2024</v>
      </c>
      <c r="J924" s="5">
        <f ca="1">ROUND((5000+G924*30),-2)</f>
        <v>12100</v>
      </c>
      <c r="K924" s="10" t="s">
        <v>3769</v>
      </c>
      <c r="L924" s="23" t="s">
        <v>3770</v>
      </c>
    </row>
    <row r="925" spans="1:12" ht="168.75">
      <c r="A925" s="8" t="s">
        <v>3771</v>
      </c>
      <c r="B925" s="9" t="s">
        <v>12</v>
      </c>
      <c r="C925" s="10" t="s">
        <v>443</v>
      </c>
      <c r="D925" s="10" t="str">
        <f ca="1">IFERROR(__xludf.DUMMYFUNCTION(" VLOOKUP(A922, IMPORTRANGE(""https://docs.google.com/spreadsheets/d/1fj_Bhi2XPL3siwIh4sx4VRLAe31yD50oKdj5UlRYW0c/"", ""Сводка!A:AA""), 11, FALSE)"),"978-601-352-822-9")</f>
        <v>978-601-352-822-9</v>
      </c>
      <c r="E925" s="22" t="s">
        <v>3772</v>
      </c>
      <c r="F925" s="22" t="s">
        <v>3773</v>
      </c>
      <c r="G925" s="12">
        <f ca="1">IFERROR(__xludf.DUMMYFUNCTION(" VLOOKUP(A922, IMPORTRANGE(""https://docs.google.com/spreadsheets/d/1fj_Bhi2XPL3siwIh4sx4VRLAe31yD50oKdj5UlRYW0c/"", ""Сводка!A:AA""), 5, FALSE)"),244)</f>
        <v>244</v>
      </c>
      <c r="H925" s="10" t="s">
        <v>511</v>
      </c>
      <c r="I925" s="10">
        <f ca="1">IFERROR(__xludf.DUMMYFUNCTION(" VLOOKUP(A922, IMPORTRANGE(""https://docs.google.com/spreadsheets/d/1QNLbnkR_AongFt22vMfNzfpjZ0CjpI8QI-w0wBnYA1w/"", ""Инфа!A:AA""), 6, FALSE)"),2023)</f>
        <v>2023</v>
      </c>
      <c r="J925" s="5">
        <f ca="1">ROUND((5000+G925*60),-2)</f>
        <v>19600</v>
      </c>
      <c r="K925" s="10" t="s">
        <v>248</v>
      </c>
      <c r="L925" s="23" t="s">
        <v>3774</v>
      </c>
    </row>
    <row r="926" spans="1:12" ht="168.75">
      <c r="A926" s="8" t="s">
        <v>3775</v>
      </c>
      <c r="B926" s="9" t="s">
        <v>12</v>
      </c>
      <c r="C926" s="10" t="s">
        <v>443</v>
      </c>
      <c r="D926" s="10" t="str">
        <f ca="1">IFERROR(__xludf.DUMMYFUNCTION(" VLOOKUP(A923, IMPORTRANGE(""https://docs.google.com/spreadsheets/d/1fj_Bhi2XPL3siwIh4sx4VRLAe31yD50oKdj5UlRYW0c/"", ""Сводка!A:AA""), 11, FALSE)"),"978-601-352-822-9")</f>
        <v>978-601-352-822-9</v>
      </c>
      <c r="E926" s="22" t="s">
        <v>3772</v>
      </c>
      <c r="F926" s="22" t="s">
        <v>3776</v>
      </c>
      <c r="G926" s="12">
        <f ca="1">IFERROR(__xludf.DUMMYFUNCTION(" VLOOKUP(A923, IMPORTRANGE(""https://docs.google.com/spreadsheets/d/1fj_Bhi2XPL3siwIh4sx4VRLAe31yD50oKdj5UlRYW0c/"", ""Сводка!A:AA""), 5, FALSE)"),184)</f>
        <v>184</v>
      </c>
      <c r="H926" s="10" t="s">
        <v>511</v>
      </c>
      <c r="I926" s="10">
        <f ca="1">IFERROR(__xludf.DUMMYFUNCTION(" VLOOKUP(A923, IMPORTRANGE(""https://docs.google.com/spreadsheets/d/1QNLbnkR_AongFt22vMfNzfpjZ0CjpI8QI-w0wBnYA1w/"", ""Инфа!A:AA""), 6, FALSE)"),2023)</f>
        <v>2023</v>
      </c>
      <c r="J926" s="5">
        <f ca="1">ROUND((5000+G926*60),-2)</f>
        <v>16000</v>
      </c>
      <c r="K926" s="10" t="s">
        <v>248</v>
      </c>
      <c r="L926" s="23" t="s">
        <v>3774</v>
      </c>
    </row>
    <row r="927" spans="1:12" ht="90">
      <c r="A927" s="8" t="s">
        <v>3777</v>
      </c>
      <c r="B927" s="9" t="s">
        <v>12</v>
      </c>
      <c r="C927" s="10" t="s">
        <v>443</v>
      </c>
      <c r="D927" s="10" t="str">
        <f ca="1">IFERROR(__xludf.DUMMYFUNCTION(" VLOOKUP(A924, IMPORTRANGE(""https://docs.google.com/spreadsheets/d/1fj_Bhi2XPL3siwIh4sx4VRLAe31yD50oKdj5UlRYW0c/"", ""Сводка!A:AA""), 11, FALSE)"),"978-601-352-997-4")</f>
        <v>978-601-352-997-4</v>
      </c>
      <c r="E927" s="22" t="s">
        <v>3778</v>
      </c>
      <c r="F927" s="22" t="s">
        <v>3779</v>
      </c>
      <c r="G927" s="12">
        <f ca="1">IFERROR(__xludf.DUMMYFUNCTION(" VLOOKUP(A924, IMPORTRANGE(""https://docs.google.com/spreadsheets/d/1fj_Bhi2XPL3siwIh4sx4VRLAe31yD50oKdj5UlRYW0c/"", ""Сводка!A:AA""), 5, FALSE)"),120)</f>
        <v>120</v>
      </c>
      <c r="H927" s="10" t="s">
        <v>538</v>
      </c>
      <c r="I927" s="10">
        <f ca="1">IFERROR(__xludf.DUMMYFUNCTION(" VLOOKUP(A924, IMPORTRANGE(""https://docs.google.com/spreadsheets/d/1QNLbnkR_AongFt22vMfNzfpjZ0CjpI8QI-w0wBnYA1w/"", ""Инфа!A:AA""), 6, FALSE)"),2024)</f>
        <v>2024</v>
      </c>
      <c r="J927" s="5">
        <f ca="1">ROUND((5000+G927*30),-2)</f>
        <v>8600</v>
      </c>
      <c r="K927" s="10" t="s">
        <v>3780</v>
      </c>
      <c r="L927" s="23" t="s">
        <v>3781</v>
      </c>
    </row>
    <row r="928" spans="1:12" ht="213.75">
      <c r="A928" s="8" t="s">
        <v>3782</v>
      </c>
      <c r="B928" s="9" t="s">
        <v>12</v>
      </c>
      <c r="C928" s="10" t="s">
        <v>443</v>
      </c>
      <c r="D928" s="10" t="str">
        <f ca="1">IFERROR(__xludf.DUMMYFUNCTION(" VLOOKUP(A925, IMPORTRANGE(""https://docs.google.com/spreadsheets/d/1fj_Bhi2XPL3siwIh4sx4VRLAe31yD50oKdj5UlRYW0c/"", ""Сводка!A:AA""), 11, FALSE)"),"978-601-352-823-6")</f>
        <v>978-601-352-823-6</v>
      </c>
      <c r="E928" s="22" t="s">
        <v>3783</v>
      </c>
      <c r="F928" s="22" t="s">
        <v>3784</v>
      </c>
      <c r="G928" s="12">
        <f ca="1">IFERROR(__xludf.DUMMYFUNCTION(" VLOOKUP(A925, IMPORTRANGE(""https://docs.google.com/spreadsheets/d/1fj_Bhi2XPL3siwIh4sx4VRLAe31yD50oKdj5UlRYW0c/"", ""Сводка!A:AA""), 5, FALSE)"),260)</f>
        <v>260</v>
      </c>
      <c r="H928" s="10" t="s">
        <v>538</v>
      </c>
      <c r="I928" s="10">
        <f ca="1">IFERROR(__xludf.DUMMYFUNCTION(" VLOOKUP(A925, IMPORTRANGE(""https://docs.google.com/spreadsheets/d/1QNLbnkR_AongFt22vMfNzfpjZ0CjpI8QI-w0wBnYA1w/"", ""Инфа!A:AA""), 6, FALSE)"),2024)</f>
        <v>2024</v>
      </c>
      <c r="J928" s="5">
        <f ca="1">ROUND((5000+G928*60),-2)</f>
        <v>20600</v>
      </c>
      <c r="K928" s="10" t="s">
        <v>2046</v>
      </c>
      <c r="L928" s="23" t="s">
        <v>3785</v>
      </c>
    </row>
    <row r="929" spans="1:12" ht="157.5">
      <c r="A929" s="8" t="s">
        <v>3786</v>
      </c>
      <c r="B929" s="9" t="s">
        <v>12</v>
      </c>
      <c r="C929" s="10" t="s">
        <v>443</v>
      </c>
      <c r="D929" s="10" t="str">
        <f ca="1">IFERROR(__xludf.DUMMYFUNCTION(" VLOOKUP(A926, IMPORTRANGE(""https://docs.google.com/spreadsheets/d/1fj_Bhi2XPL3siwIh4sx4VRLAe31yD50oKdj5UlRYW0c/"", ""Сводка!A:AA""), 11, FALSE)"),"978-601-352-876-2")</f>
        <v>978-601-352-876-2</v>
      </c>
      <c r="E929" s="22" t="s">
        <v>3787</v>
      </c>
      <c r="F929" s="22" t="s">
        <v>3788</v>
      </c>
      <c r="G929" s="12">
        <f ca="1">IFERROR(__xludf.DUMMYFUNCTION(" VLOOKUP(A926, IMPORTRANGE(""https://docs.google.com/spreadsheets/d/1fj_Bhi2XPL3siwIh4sx4VRLAe31yD50oKdj5UlRYW0c/"", ""Сводка!A:AA""), 5, FALSE)"),104)</f>
        <v>104</v>
      </c>
      <c r="H929" s="10" t="s">
        <v>538</v>
      </c>
      <c r="I929" s="10">
        <f ca="1">IFERROR(__xludf.DUMMYFUNCTION(" VLOOKUP(A926, IMPORTRANGE(""https://docs.google.com/spreadsheets/d/1QNLbnkR_AongFt22vMfNzfpjZ0CjpI8QI-w0wBnYA1w/"", ""Инфа!A:AA""), 6, FALSE)"),2023)</f>
        <v>2023</v>
      </c>
      <c r="J929" s="5">
        <f ca="1">ROUND((5000+G929*60),-2)</f>
        <v>11200</v>
      </c>
      <c r="K929" s="10" t="s">
        <v>2421</v>
      </c>
      <c r="L929" s="23" t="s">
        <v>3789</v>
      </c>
    </row>
    <row r="930" spans="1:12" ht="292.5">
      <c r="A930" s="8" t="s">
        <v>3790</v>
      </c>
      <c r="B930" s="9" t="s">
        <v>12</v>
      </c>
      <c r="C930" s="10" t="s">
        <v>13</v>
      </c>
      <c r="D930" s="10" t="str">
        <f ca="1">IFERROR(__xludf.DUMMYFUNCTION(" VLOOKUP(A927, IMPORTRANGE(""https://docs.google.com/spreadsheets/d/1fj_Bhi2XPL3siwIh4sx4VRLAe31yD50oKdj5UlRYW0c/"", ""Сводка!A:AA""), 11, FALSE)"),"978-601-352-944-8")</f>
        <v>978-601-352-944-8</v>
      </c>
      <c r="E930" s="22" t="s">
        <v>3791</v>
      </c>
      <c r="F930" s="11" t="s">
        <v>3792</v>
      </c>
      <c r="G930" s="12">
        <f ca="1">IFERROR(__xludf.DUMMYFUNCTION(" VLOOKUP(A927, IMPORTRANGE(""https://docs.google.com/spreadsheets/d/1fj_Bhi2XPL3siwIh4sx4VRLAe31yD50oKdj5UlRYW0c/"", ""Сводка!A:AA""), 5, FALSE)"),208)</f>
        <v>208</v>
      </c>
      <c r="H930" s="10" t="s">
        <v>42</v>
      </c>
      <c r="I930" s="10">
        <f ca="1">IFERROR(__xludf.DUMMYFUNCTION(" VLOOKUP(A927, IMPORTRANGE(""https://docs.google.com/spreadsheets/d/1QNLbnkR_AongFt22vMfNzfpjZ0CjpI8QI-w0wBnYA1w/"", ""Инфа!A:AA""), 6, FALSE)"),2024)</f>
        <v>2024</v>
      </c>
      <c r="J930" s="5">
        <f ca="1">ROUND((5000+G930*30),-2)</f>
        <v>11200</v>
      </c>
      <c r="K930" s="10" t="s">
        <v>3793</v>
      </c>
      <c r="L930" s="23" t="s">
        <v>3794</v>
      </c>
    </row>
    <row r="931" spans="1:12" ht="135">
      <c r="A931" s="8" t="s">
        <v>3795</v>
      </c>
      <c r="B931" s="9" t="s">
        <v>12</v>
      </c>
      <c r="C931" s="10" t="s">
        <v>151</v>
      </c>
      <c r="D931" s="10" t="s">
        <v>3796</v>
      </c>
      <c r="E931" s="22" t="s">
        <v>3797</v>
      </c>
      <c r="F931" s="22" t="s">
        <v>3798</v>
      </c>
      <c r="G931" s="12">
        <f ca="1">IFERROR(__xludf.DUMMYFUNCTION(" VLOOKUP(A928, IMPORTRANGE(""https://docs.google.com/spreadsheets/d/1fj_Bhi2XPL3siwIh4sx4VRLAe31yD50oKdj5UlRYW0c/"", ""Сводка!A:AA""), 5, FALSE)"),212)</f>
        <v>212</v>
      </c>
      <c r="H931" s="10" t="s">
        <v>47</v>
      </c>
      <c r="I931" s="10">
        <f ca="1">IFERROR(__xludf.DUMMYFUNCTION(" VLOOKUP(A928, IMPORTRANGE(""https://docs.google.com/spreadsheets/d/1QNLbnkR_AongFt22vMfNzfpjZ0CjpI8QI-w0wBnYA1w/"", ""Инфа!A:AA""), 6, FALSE)"),2024)</f>
        <v>2024</v>
      </c>
      <c r="J931" s="5">
        <f ca="1">ROUND((5000+G931*30),-2)</f>
        <v>11400</v>
      </c>
      <c r="K931" s="10" t="s">
        <v>3799</v>
      </c>
      <c r="L931" s="23" t="s">
        <v>3800</v>
      </c>
    </row>
    <row r="932" spans="1:12" ht="101.25">
      <c r="A932" s="8" t="s">
        <v>3801</v>
      </c>
      <c r="B932" s="9" t="s">
        <v>12</v>
      </c>
      <c r="C932" s="10" t="s">
        <v>443</v>
      </c>
      <c r="D932" s="10" t="str">
        <f ca="1">IFERROR(__xludf.DUMMYFUNCTION(" VLOOKUP(A929, IMPORTRANGE(""https://docs.google.com/spreadsheets/d/1fj_Bhi2XPL3siwIh4sx4VRLAe31yD50oKdj5UlRYW0c/"", ""Сводка!A:AA""), 11, FALSE)"),"978-601-352-934-9")</f>
        <v>978-601-352-934-9</v>
      </c>
      <c r="E932" s="22" t="s">
        <v>3802</v>
      </c>
      <c r="F932" s="22" t="s">
        <v>3803</v>
      </c>
      <c r="G932" s="12">
        <f ca="1">IFERROR(__xludf.DUMMYFUNCTION(" VLOOKUP(A929, IMPORTRANGE(""https://docs.google.com/spreadsheets/d/1fj_Bhi2XPL3siwIh4sx4VRLAe31yD50oKdj5UlRYW0c/"", ""Сводка!A:AA""), 5, FALSE)"),128)</f>
        <v>128</v>
      </c>
      <c r="H932" s="10" t="s">
        <v>538</v>
      </c>
      <c r="I932" s="10">
        <f ca="1">IFERROR(__xludf.DUMMYFUNCTION(" VLOOKUP(A929, IMPORTRANGE(""https://docs.google.com/spreadsheets/d/1QNLbnkR_AongFt22vMfNzfpjZ0CjpI8QI-w0wBnYA1w/"", ""Инфа!A:AA""), 6, FALSE)"),2023)</f>
        <v>2023</v>
      </c>
      <c r="J932" s="5">
        <f ca="1">ROUND((5000+G932*60),-2)</f>
        <v>12700</v>
      </c>
      <c r="K932" s="10" t="s">
        <v>3804</v>
      </c>
      <c r="L932" s="15" t="s">
        <v>3805</v>
      </c>
    </row>
    <row r="933" spans="1:12" ht="101.25">
      <c r="A933" s="8" t="s">
        <v>3806</v>
      </c>
      <c r="B933" s="9" t="s">
        <v>12</v>
      </c>
      <c r="C933" s="10" t="s">
        <v>443</v>
      </c>
      <c r="D933" s="10" t="str">
        <f ca="1">IFERROR(__xludf.DUMMYFUNCTION(" VLOOKUP(A930, IMPORTRANGE(""https://docs.google.com/spreadsheets/d/1fj_Bhi2XPL3siwIh4sx4VRLAe31yD50oKdj5UlRYW0c/"", ""Сводка!A:AA""), 11, FALSE)"),"978-601-352-935-6")</f>
        <v>978-601-352-935-6</v>
      </c>
      <c r="E933" s="22" t="s">
        <v>3802</v>
      </c>
      <c r="F933" s="22" t="s">
        <v>3807</v>
      </c>
      <c r="G933" s="12">
        <f ca="1">IFERROR(__xludf.DUMMYFUNCTION(" VLOOKUP(A930, IMPORTRANGE(""https://docs.google.com/spreadsheets/d/1fj_Bhi2XPL3siwIh4sx4VRLAe31yD50oKdj5UlRYW0c/"", ""Сводка!A:AA""), 5, FALSE)"),192)</f>
        <v>192</v>
      </c>
      <c r="H933" s="10" t="s">
        <v>538</v>
      </c>
      <c r="I933" s="10">
        <f ca="1">IFERROR(__xludf.DUMMYFUNCTION(" VLOOKUP(A930, IMPORTRANGE(""https://docs.google.com/spreadsheets/d/1QNLbnkR_AongFt22vMfNzfpjZ0CjpI8QI-w0wBnYA1w/"", ""Инфа!A:AA""), 6, FALSE)"),2023)</f>
        <v>2023</v>
      </c>
      <c r="J933" s="5">
        <f ca="1">ROUND((5000+G933*60),-2)</f>
        <v>16500</v>
      </c>
      <c r="K933" s="10" t="s">
        <v>3808</v>
      </c>
      <c r="L933" s="15" t="s">
        <v>3809</v>
      </c>
    </row>
    <row r="934" spans="1:12" ht="157.5">
      <c r="A934" s="8" t="s">
        <v>3810</v>
      </c>
      <c r="B934" s="9" t="s">
        <v>12</v>
      </c>
      <c r="C934" s="13" t="s">
        <v>13</v>
      </c>
      <c r="D934" s="10" t="str">
        <f ca="1">IFERROR(__xludf.DUMMYFUNCTION(" VLOOKUP(A931, IMPORTRANGE(""https://docs.google.com/spreadsheets/d/1fj_Bhi2XPL3siwIh4sx4VRLAe31yD50oKdj5UlRYW0c/"", ""Сводка!A:AA""), 11, FALSE)"),"978-601-310-648-9")</f>
        <v>978-601-310-648-9</v>
      </c>
      <c r="E934" s="19" t="s">
        <v>3811</v>
      </c>
      <c r="F934" s="19" t="s">
        <v>3812</v>
      </c>
      <c r="G934" s="12">
        <f ca="1">IFERROR(__xludf.DUMMYFUNCTION(" VLOOKUP(A931, IMPORTRANGE(""https://docs.google.com/spreadsheets/d/1fj_Bhi2XPL3siwIh4sx4VRLAe31yD50oKdj5UlRYW0c/"", ""Сводка!A:AA""), 5, FALSE)"),112)</f>
        <v>112</v>
      </c>
      <c r="H934" s="9" t="s">
        <v>47</v>
      </c>
      <c r="I934" s="10">
        <f ca="1">IFERROR(__xludf.DUMMYFUNCTION(" VLOOKUP(A931, IMPORTRANGE(""https://docs.google.com/spreadsheets/d/1QNLbnkR_AongFt22vMfNzfpjZ0CjpI8QI-w0wBnYA1w/"", ""Инфа!A:AA""), 6, FALSE)"),2024)</f>
        <v>2024</v>
      </c>
      <c r="J934" s="5">
        <f ca="1">ROUND((5000+G934*30),-2)</f>
        <v>8400</v>
      </c>
      <c r="K934" s="12" t="s">
        <v>213</v>
      </c>
      <c r="L934" s="21" t="s">
        <v>3813</v>
      </c>
    </row>
    <row r="935" spans="1:12" ht="101.25">
      <c r="A935" s="8" t="s">
        <v>3814</v>
      </c>
      <c r="B935" s="9" t="s">
        <v>12</v>
      </c>
      <c r="C935" s="10" t="s">
        <v>443</v>
      </c>
      <c r="D935" s="10" t="str">
        <f ca="1">IFERROR(__xludf.DUMMYFUNCTION(" VLOOKUP(A932, IMPORTRANGE(""https://docs.google.com/spreadsheets/d/1fj_Bhi2XPL3siwIh4sx4VRLAe31yD50oKdj5UlRYW0c/"", ""Сводка!A:AA""), 11, FALSE)"),"978-601-352-936-3")</f>
        <v>978-601-352-936-3</v>
      </c>
      <c r="E935" s="22" t="s">
        <v>3802</v>
      </c>
      <c r="F935" s="22" t="s">
        <v>3815</v>
      </c>
      <c r="G935" s="12">
        <f ca="1">IFERROR(__xludf.DUMMYFUNCTION(" VLOOKUP(A932, IMPORTRANGE(""https://docs.google.com/spreadsheets/d/1fj_Bhi2XPL3siwIh4sx4VRLAe31yD50oKdj5UlRYW0c/"", ""Сводка!A:AA""), 5, FALSE)"),132)</f>
        <v>132</v>
      </c>
      <c r="H935" s="10" t="s">
        <v>538</v>
      </c>
      <c r="I935" s="10">
        <f ca="1">IFERROR(__xludf.DUMMYFUNCTION(" VLOOKUP(A932, IMPORTRANGE(""https://docs.google.com/spreadsheets/d/1QNLbnkR_AongFt22vMfNzfpjZ0CjpI8QI-w0wBnYA1w/"", ""Инфа!A:AA""), 6, FALSE)"),2023)</f>
        <v>2023</v>
      </c>
      <c r="J935" s="5">
        <f ca="1">ROUND((5000+G935*60),-2)</f>
        <v>12900</v>
      </c>
      <c r="K935" s="10" t="s">
        <v>3816</v>
      </c>
      <c r="L935" s="15" t="s">
        <v>3817</v>
      </c>
    </row>
    <row r="936" spans="1:12" ht="180">
      <c r="A936" s="8" t="s">
        <v>3818</v>
      </c>
      <c r="B936" s="9" t="s">
        <v>12</v>
      </c>
      <c r="C936" s="12" t="s">
        <v>443</v>
      </c>
      <c r="D936" s="10" t="str">
        <f ca="1">IFERROR(__xludf.DUMMYFUNCTION(" VLOOKUP(A933, IMPORTRANGE(""https://docs.google.com/spreadsheets/d/1fj_Bhi2XPL3siwIh4sx4VRLAe31yD50oKdj5UlRYW0c/"", ""Сводка!A:AA""), 11, FALSE)"),"978-601-352-861-8")</f>
        <v>978-601-352-861-8</v>
      </c>
      <c r="E936" s="11" t="s">
        <v>3819</v>
      </c>
      <c r="F936" s="11" t="s">
        <v>3820</v>
      </c>
      <c r="G936" s="12">
        <f ca="1">IFERROR(__xludf.DUMMYFUNCTION(" VLOOKUP(A933, IMPORTRANGE(""https://docs.google.com/spreadsheets/d/1fj_Bhi2XPL3siwIh4sx4VRLAe31yD50oKdj5UlRYW0c/"", ""Сводка!A:AA""), 5, FALSE)"),236)</f>
        <v>236</v>
      </c>
      <c r="H936" s="12" t="s">
        <v>538</v>
      </c>
      <c r="I936" s="10">
        <f ca="1">IFERROR(__xludf.DUMMYFUNCTION(" VLOOKUP(A933, IMPORTRANGE(""https://docs.google.com/spreadsheets/d/1QNLbnkR_AongFt22vMfNzfpjZ0CjpI8QI-w0wBnYA1w/"", ""Инфа!A:AA""), 6, FALSE)"),2024)</f>
        <v>2024</v>
      </c>
      <c r="J936" s="5">
        <f ca="1">ROUND((5000+G936*60),-2)</f>
        <v>19200</v>
      </c>
      <c r="K936" s="12" t="s">
        <v>3821</v>
      </c>
      <c r="L936" s="15" t="s">
        <v>3822</v>
      </c>
    </row>
    <row r="937" spans="1:12" ht="180">
      <c r="A937" s="8" t="s">
        <v>3823</v>
      </c>
      <c r="B937" s="9" t="s">
        <v>12</v>
      </c>
      <c r="C937" s="12" t="s">
        <v>443</v>
      </c>
      <c r="D937" s="10" t="str">
        <f ca="1">IFERROR(__xludf.DUMMYFUNCTION(" VLOOKUP(A934, IMPORTRANGE(""https://docs.google.com/spreadsheets/d/1fj_Bhi2XPL3siwIh4sx4VRLAe31yD50oKdj5UlRYW0c/"", ""Сводка!A:AA""), 11, FALSE)"),"978-601-352-764-2")</f>
        <v>978-601-352-764-2</v>
      </c>
      <c r="E937" s="11" t="s">
        <v>3824</v>
      </c>
      <c r="F937" s="11" t="s">
        <v>3825</v>
      </c>
      <c r="G937" s="12">
        <f ca="1">IFERROR(__xludf.DUMMYFUNCTION(" VLOOKUP(A934, IMPORTRANGE(""https://docs.google.com/spreadsheets/d/1fj_Bhi2XPL3siwIh4sx4VRLAe31yD50oKdj5UlRYW0c/"", ""Сводка!A:AA""), 5, FALSE)"),224)</f>
        <v>224</v>
      </c>
      <c r="H937" s="12" t="s">
        <v>511</v>
      </c>
      <c r="I937" s="10">
        <f ca="1">IFERROR(__xludf.DUMMYFUNCTION(" VLOOKUP(A934, IMPORTRANGE(""https://docs.google.com/spreadsheets/d/1QNLbnkR_AongFt22vMfNzfpjZ0CjpI8QI-w0wBnYA1w/"", ""Инфа!A:AA""), 6, FALSE)"),2024)</f>
        <v>2024</v>
      </c>
      <c r="J937" s="5">
        <f ca="1">ROUND((5000+G937*60),-2)</f>
        <v>18400</v>
      </c>
      <c r="K937" s="12" t="s">
        <v>3826</v>
      </c>
      <c r="L937" s="15" t="s">
        <v>3827</v>
      </c>
    </row>
    <row r="938" spans="1:12" ht="90">
      <c r="A938" s="8" t="s">
        <v>3828</v>
      </c>
      <c r="B938" s="9" t="s">
        <v>12</v>
      </c>
      <c r="C938" s="43" t="s">
        <v>443</v>
      </c>
      <c r="D938" s="10" t="str">
        <f ca="1">IFERROR(__xludf.DUMMYFUNCTION(" VLOOKUP(A935, IMPORTRANGE(""https://docs.google.com/spreadsheets/d/1fj_Bhi2XPL3siwIh4sx4VRLAe31yD50oKdj5UlRYW0c/"", ""Сводка!A:AA""), 11, FALSE)"),"978-601-352-978-3")</f>
        <v>978-601-352-978-3</v>
      </c>
      <c r="E938" s="42" t="s">
        <v>3829</v>
      </c>
      <c r="F938" s="11" t="s">
        <v>3830</v>
      </c>
      <c r="G938" s="12">
        <f ca="1">IFERROR(__xludf.DUMMYFUNCTION(" VLOOKUP(A935, IMPORTRANGE(""https://docs.google.com/spreadsheets/d/1fj_Bhi2XPL3siwIh4sx4VRLAe31yD50oKdj5UlRYW0c/"", ""Сводка!A:AA""), 5, FALSE)"),220)</f>
        <v>220</v>
      </c>
      <c r="H938" s="12" t="s">
        <v>538</v>
      </c>
      <c r="I938" s="10">
        <f ca="1">IFERROR(__xludf.DUMMYFUNCTION(" VLOOKUP(A935, IMPORTRANGE(""https://docs.google.com/spreadsheets/d/1QNLbnkR_AongFt22vMfNzfpjZ0CjpI8QI-w0wBnYA1w/"", ""Инфа!A:AA""), 6, FALSE)"),2023)</f>
        <v>2023</v>
      </c>
      <c r="J938" s="5">
        <f t="shared" ref="J938:J946" ca="1" si="25">ROUND((5000+G938*30),-2)</f>
        <v>11600</v>
      </c>
      <c r="K938" s="43" t="s">
        <v>197</v>
      </c>
      <c r="L938" s="15" t="s">
        <v>3831</v>
      </c>
    </row>
    <row r="939" spans="1:12" ht="258.75">
      <c r="A939" s="8" t="s">
        <v>3832</v>
      </c>
      <c r="B939" s="9" t="s">
        <v>12</v>
      </c>
      <c r="C939" s="12" t="s">
        <v>151</v>
      </c>
      <c r="D939" s="10" t="str">
        <f ca="1">IFERROR(__xludf.DUMMYFUNCTION(" VLOOKUP(A936, IMPORTRANGE(""https://docs.google.com/spreadsheets/d/1fj_Bhi2XPL3siwIh4sx4VRLAe31yD50oKdj5UlRYW0c/"", ""Сводка!A:AA""), 11, FALSE)"),"978-601-330-212-6")</f>
        <v>978-601-330-212-6</v>
      </c>
      <c r="E939" s="11" t="s">
        <v>3833</v>
      </c>
      <c r="F939" s="11" t="s">
        <v>3834</v>
      </c>
      <c r="G939" s="12">
        <f ca="1">IFERROR(__xludf.DUMMYFUNCTION(" VLOOKUP(A936, IMPORTRANGE(""https://docs.google.com/spreadsheets/d/1fj_Bhi2XPL3siwIh4sx4VRLAe31yD50oKdj5UlRYW0c/"", ""Сводка!A:AA""), 5, FALSE)"),152)</f>
        <v>152</v>
      </c>
      <c r="H939" s="12" t="s">
        <v>106</v>
      </c>
      <c r="I939" s="10">
        <f ca="1">IFERROR(__xludf.DUMMYFUNCTION(" VLOOKUP(A936, IMPORTRANGE(""https://docs.google.com/spreadsheets/d/1QNLbnkR_AongFt22vMfNzfpjZ0CjpI8QI-w0wBnYA1w/"", ""Инфа!A:AA""), 6, FALSE)"),2023)</f>
        <v>2023</v>
      </c>
      <c r="J939" s="5">
        <f t="shared" ca="1" si="25"/>
        <v>9600</v>
      </c>
      <c r="K939" s="43" t="s">
        <v>139</v>
      </c>
      <c r="L939" s="15" t="s">
        <v>3835</v>
      </c>
    </row>
    <row r="940" spans="1:12" ht="180">
      <c r="A940" s="8" t="s">
        <v>3836</v>
      </c>
      <c r="B940" s="9" t="s">
        <v>12</v>
      </c>
      <c r="C940" s="12" t="s">
        <v>151</v>
      </c>
      <c r="D940" s="10" t="str">
        <f ca="1">IFERROR(__xludf.DUMMYFUNCTION(" VLOOKUP(A937, IMPORTRANGE(""https://docs.google.com/spreadsheets/d/1fj_Bhi2XPL3siwIh4sx4VRLAe31yD50oKdj5UlRYW0c/"", ""Сводка!A:AA""), 11, FALSE)"),"978-601-352-843-4")</f>
        <v>978-601-352-843-4</v>
      </c>
      <c r="E940" s="11" t="s">
        <v>3837</v>
      </c>
      <c r="F940" s="11" t="s">
        <v>3838</v>
      </c>
      <c r="G940" s="12">
        <f ca="1">IFERROR(__xludf.DUMMYFUNCTION(" VLOOKUP(A937, IMPORTRANGE(""https://docs.google.com/spreadsheets/d/1fj_Bhi2XPL3siwIh4sx4VRLAe31yD50oKdj5UlRYW0c/"", ""Сводка!A:AA""), 5, FALSE)"),112)</f>
        <v>112</v>
      </c>
      <c r="H940" s="12" t="s">
        <v>3839</v>
      </c>
      <c r="I940" s="10">
        <f ca="1">IFERROR(__xludf.DUMMYFUNCTION(" VLOOKUP(A937, IMPORTRANGE(""https://docs.google.com/spreadsheets/d/1QNLbnkR_AongFt22vMfNzfpjZ0CjpI8QI-w0wBnYA1w/"", ""Инфа!A:AA""), 6, FALSE)"),2024)</f>
        <v>2024</v>
      </c>
      <c r="J940" s="5">
        <f t="shared" ca="1" si="25"/>
        <v>8400</v>
      </c>
      <c r="K940" s="12" t="s">
        <v>3208</v>
      </c>
      <c r="L940" s="15" t="s">
        <v>3840</v>
      </c>
    </row>
    <row r="941" spans="1:12" ht="146.25">
      <c r="A941" s="8" t="s">
        <v>3841</v>
      </c>
      <c r="B941" s="9" t="s">
        <v>12</v>
      </c>
      <c r="C941" s="12" t="s">
        <v>443</v>
      </c>
      <c r="D941" s="10" t="str">
        <f ca="1">IFERROR(__xludf.DUMMYFUNCTION(" VLOOKUP(A938, IMPORTRANGE(""https://docs.google.com/spreadsheets/d/1fj_Bhi2XPL3siwIh4sx4VRLAe31yD50oKdj5UlRYW0c/"", ""Сводка!A:AA""), 11, FALSE)"),"978-601-352-844-1")</f>
        <v>978-601-352-844-1</v>
      </c>
      <c r="E941" s="11" t="s">
        <v>3837</v>
      </c>
      <c r="F941" s="11" t="s">
        <v>3842</v>
      </c>
      <c r="G941" s="12">
        <f ca="1">IFERROR(__xludf.DUMMYFUNCTION(" VLOOKUP(A938, IMPORTRANGE(""https://docs.google.com/spreadsheets/d/1fj_Bhi2XPL3siwIh4sx4VRLAe31yD50oKdj5UlRYW0c/"", ""Сводка!A:AA""), 5, FALSE)"),176)</f>
        <v>176</v>
      </c>
      <c r="H941" s="12" t="s">
        <v>2012</v>
      </c>
      <c r="I941" s="10">
        <f ca="1">IFERROR(__xludf.DUMMYFUNCTION(" VLOOKUP(A938, IMPORTRANGE(""https://docs.google.com/spreadsheets/d/1QNLbnkR_AongFt22vMfNzfpjZ0CjpI8QI-w0wBnYA1w/"", ""Инфа!A:AA""), 6, FALSE)"),2024)</f>
        <v>2024</v>
      </c>
      <c r="J941" s="5">
        <f t="shared" ca="1" si="25"/>
        <v>10300</v>
      </c>
      <c r="K941" s="12" t="s">
        <v>3208</v>
      </c>
      <c r="L941" s="15" t="s">
        <v>3843</v>
      </c>
    </row>
    <row r="942" spans="1:12" ht="101.25">
      <c r="A942" s="8" t="s">
        <v>3844</v>
      </c>
      <c r="B942" s="9" t="s">
        <v>12</v>
      </c>
      <c r="C942" s="12" t="s">
        <v>443</v>
      </c>
      <c r="D942" s="10" t="s">
        <v>3845</v>
      </c>
      <c r="E942" s="11" t="s">
        <v>3846</v>
      </c>
      <c r="F942" s="11" t="s">
        <v>3847</v>
      </c>
      <c r="G942" s="12">
        <f ca="1">IFERROR(__xludf.DUMMYFUNCTION(" VLOOKUP(A939, IMPORTRANGE(""https://docs.google.com/spreadsheets/d/1fj_Bhi2XPL3siwIh4sx4VRLAe31yD50oKdj5UlRYW0c/"", ""Сводка!A:AA""), 5, FALSE)"),252)</f>
        <v>252</v>
      </c>
      <c r="H942" s="12" t="s">
        <v>106</v>
      </c>
      <c r="I942" s="10">
        <f ca="1">IFERROR(__xludf.DUMMYFUNCTION(" VLOOKUP(A939, IMPORTRANGE(""https://docs.google.com/spreadsheets/d/1QNLbnkR_AongFt22vMfNzfpjZ0CjpI8QI-w0wBnYA1w/"", ""Инфа!A:AA""), 6, FALSE)"),2024)</f>
        <v>2024</v>
      </c>
      <c r="J942" s="5">
        <f t="shared" ca="1" si="25"/>
        <v>12600</v>
      </c>
      <c r="K942" s="12" t="s">
        <v>197</v>
      </c>
      <c r="L942" s="15" t="s">
        <v>3848</v>
      </c>
    </row>
    <row r="943" spans="1:12" ht="135">
      <c r="A943" s="8" t="s">
        <v>3849</v>
      </c>
      <c r="B943" s="9" t="s">
        <v>12</v>
      </c>
      <c r="C943" s="12" t="s">
        <v>443</v>
      </c>
      <c r="D943" s="10" t="str">
        <f ca="1">IFERROR(__xludf.DUMMYFUNCTION(" VLOOKUP(A940, IMPORTRANGE(""https://docs.google.com/spreadsheets/d/1fj_Bhi2XPL3siwIh4sx4VRLAe31yD50oKdj5UlRYW0c/"", ""Сводка!A:AA""), 11, FALSE)"),"978-601-352-907-3")</f>
        <v>978-601-352-907-3</v>
      </c>
      <c r="E943" s="11" t="s">
        <v>3850</v>
      </c>
      <c r="F943" s="11" t="s">
        <v>3851</v>
      </c>
      <c r="G943" s="12">
        <f ca="1">IFERROR(__xludf.DUMMYFUNCTION(" VLOOKUP(A940, IMPORTRANGE(""https://docs.google.com/spreadsheets/d/1fj_Bhi2XPL3siwIh4sx4VRLAe31yD50oKdj5UlRYW0c/"", ""Сводка!A:AA""), 5, FALSE)"),200)</f>
        <v>200</v>
      </c>
      <c r="H943" s="12" t="s">
        <v>538</v>
      </c>
      <c r="I943" s="10">
        <f ca="1">IFERROR(__xludf.DUMMYFUNCTION(" VLOOKUP(A940, IMPORTRANGE(""https://docs.google.com/spreadsheets/d/1QNLbnkR_AongFt22vMfNzfpjZ0CjpI8QI-w0wBnYA1w/"", ""Инфа!A:AA""), 6, FALSE)"),2024)</f>
        <v>2024</v>
      </c>
      <c r="J943" s="5">
        <f t="shared" ca="1" si="25"/>
        <v>11000</v>
      </c>
      <c r="K943" s="12" t="s">
        <v>197</v>
      </c>
      <c r="L943" s="15" t="s">
        <v>3852</v>
      </c>
    </row>
    <row r="944" spans="1:12" ht="202.5">
      <c r="A944" s="8" t="s">
        <v>3853</v>
      </c>
      <c r="B944" s="9" t="s">
        <v>12</v>
      </c>
      <c r="C944" s="12" t="s">
        <v>443</v>
      </c>
      <c r="D944" s="10" t="str">
        <f ca="1">IFERROR(__xludf.DUMMYFUNCTION(" VLOOKUP(A941, IMPORTRANGE(""https://docs.google.com/spreadsheets/d/1fj_Bhi2XPL3siwIh4sx4VRLAe31yD50oKdj5UlRYW0c/"", ""Сводка!A:AA""), 11, FALSE)"),"978-601-352-969-1")</f>
        <v>978-601-352-969-1</v>
      </c>
      <c r="E944" s="11" t="s">
        <v>3854</v>
      </c>
      <c r="F944" s="11" t="s">
        <v>3855</v>
      </c>
      <c r="G944" s="12">
        <f ca="1">IFERROR(__xludf.DUMMYFUNCTION(" VLOOKUP(A941, IMPORTRANGE(""https://docs.google.com/spreadsheets/d/1fj_Bhi2XPL3siwIh4sx4VRLAe31yD50oKdj5UlRYW0c/"", ""Сводка!A:AA""), 5, FALSE)"),344)</f>
        <v>344</v>
      </c>
      <c r="H944" s="12" t="s">
        <v>106</v>
      </c>
      <c r="I944" s="10">
        <f ca="1">IFERROR(__xludf.DUMMYFUNCTION(" VLOOKUP(A941, IMPORTRANGE(""https://docs.google.com/spreadsheets/d/1QNLbnkR_AongFt22vMfNzfpjZ0CjpI8QI-w0wBnYA1w/"", ""Инфа!A:AA""), 6, FALSE)"),2024)</f>
        <v>2024</v>
      </c>
      <c r="J944" s="5">
        <f t="shared" ca="1" si="25"/>
        <v>15300</v>
      </c>
      <c r="K944" s="12" t="s">
        <v>197</v>
      </c>
      <c r="L944" s="15" t="s">
        <v>3856</v>
      </c>
    </row>
    <row r="945" spans="1:12" ht="213.75">
      <c r="A945" s="8" t="s">
        <v>3857</v>
      </c>
      <c r="B945" s="9" t="s">
        <v>12</v>
      </c>
      <c r="C945" s="12" t="s">
        <v>443</v>
      </c>
      <c r="D945" s="10" t="str">
        <f ca="1">IFERROR(__xludf.DUMMYFUNCTION(" VLOOKUP(A942, IMPORTRANGE(""https://docs.google.com/spreadsheets/d/1fj_Bhi2XPL3siwIh4sx4VRLAe31yD50oKdj5UlRYW0c/"", ""Сводка!A:AA""), 11, FALSE)"),"978-601-330-225-6")</f>
        <v>978-601-330-225-6</v>
      </c>
      <c r="E945" s="11" t="s">
        <v>3858</v>
      </c>
      <c r="F945" s="11" t="s">
        <v>3859</v>
      </c>
      <c r="G945" s="12">
        <f ca="1">IFERROR(__xludf.DUMMYFUNCTION(" VLOOKUP(A942, IMPORTRANGE(""https://docs.google.com/spreadsheets/d/1fj_Bhi2XPL3siwIh4sx4VRLAe31yD50oKdj5UlRYW0c/"", ""Сводка!A:AA""), 5, FALSE)"),192)</f>
        <v>192</v>
      </c>
      <c r="H945" s="12" t="s">
        <v>538</v>
      </c>
      <c r="I945" s="10">
        <f ca="1">IFERROR(__xludf.DUMMYFUNCTION(" VLOOKUP(A942, IMPORTRANGE(""https://docs.google.com/spreadsheets/d/1QNLbnkR_AongFt22vMfNzfpjZ0CjpI8QI-w0wBnYA1w/"", ""Инфа!A:AA""), 6, FALSE)"),2023)</f>
        <v>2023</v>
      </c>
      <c r="J945" s="5">
        <f t="shared" ca="1" si="25"/>
        <v>10800</v>
      </c>
      <c r="K945" s="12" t="s">
        <v>197</v>
      </c>
      <c r="L945" s="15" t="s">
        <v>3860</v>
      </c>
    </row>
    <row r="946" spans="1:12" ht="247.5">
      <c r="A946" s="8" t="s">
        <v>3861</v>
      </c>
      <c r="B946" s="9" t="s">
        <v>12</v>
      </c>
      <c r="C946" s="12" t="s">
        <v>443</v>
      </c>
      <c r="D946" s="10" t="s">
        <v>3862</v>
      </c>
      <c r="E946" s="11" t="s">
        <v>3863</v>
      </c>
      <c r="F946" s="11" t="s">
        <v>3864</v>
      </c>
      <c r="G946" s="12">
        <f ca="1">IFERROR(__xludf.DUMMYFUNCTION(" VLOOKUP(A943, IMPORTRANGE(""https://docs.google.com/spreadsheets/d/1fj_Bhi2XPL3siwIh4sx4VRLAe31yD50oKdj5UlRYW0c/"", ""Сводка!A:AA""), 5, FALSE)"),212)</f>
        <v>212</v>
      </c>
      <c r="H946" s="12" t="s">
        <v>1016</v>
      </c>
      <c r="I946" s="10">
        <f ca="1">IFERROR(__xludf.DUMMYFUNCTION(" VLOOKUP(A943, IMPORTRANGE(""https://docs.google.com/spreadsheets/d/1QNLbnkR_AongFt22vMfNzfpjZ0CjpI8QI-w0wBnYA1w/"", ""Инфа!A:AA""), 6, FALSE)"),2024)</f>
        <v>2024</v>
      </c>
      <c r="J946" s="5">
        <f t="shared" ca="1" si="25"/>
        <v>11400</v>
      </c>
      <c r="K946" s="12" t="s">
        <v>197</v>
      </c>
      <c r="L946" s="15" t="s">
        <v>3865</v>
      </c>
    </row>
    <row r="947" spans="1:12" ht="292.5">
      <c r="A947" s="8" t="s">
        <v>3866</v>
      </c>
      <c r="B947" s="9" t="s">
        <v>12</v>
      </c>
      <c r="C947" s="12" t="s">
        <v>443</v>
      </c>
      <c r="D947" s="10" t="str">
        <f ca="1">IFERROR(__xludf.DUMMYFUNCTION(" VLOOKUP(A944, IMPORTRANGE(""https://docs.google.com/spreadsheets/d/1fj_Bhi2XPL3siwIh4sx4VRLAe31yD50oKdj5UlRYW0c/"", ""Сводка!A:AA""), 11, FALSE)"),"978-601-04-2163-9")</f>
        <v>978-601-04-2163-9</v>
      </c>
      <c r="E947" s="11" t="s">
        <v>3867</v>
      </c>
      <c r="F947" s="11" t="s">
        <v>3868</v>
      </c>
      <c r="G947" s="12">
        <f ca="1">IFERROR(__xludf.DUMMYFUNCTION(" VLOOKUP(A944, IMPORTRANGE(""https://docs.google.com/spreadsheets/d/1fj_Bhi2XPL3siwIh4sx4VRLAe31yD50oKdj5UlRYW0c/"", ""Сводка!A:AA""), 5, FALSE)"),228)</f>
        <v>228</v>
      </c>
      <c r="H947" s="12" t="s">
        <v>538</v>
      </c>
      <c r="I947" s="10">
        <f ca="1">IFERROR(__xludf.DUMMYFUNCTION(" VLOOKUP(A944, IMPORTRANGE(""https://docs.google.com/spreadsheets/d/1QNLbnkR_AongFt22vMfNzfpjZ0CjpI8QI-w0wBnYA1w/"", ""Инфа!A:AA""), 6, FALSE)"),2023)</f>
        <v>2023</v>
      </c>
      <c r="J947" s="5">
        <f ca="1">ROUND((5000+G947*60),-2)</f>
        <v>18700</v>
      </c>
      <c r="K947" s="12" t="s">
        <v>257</v>
      </c>
      <c r="L947" s="15" t="s">
        <v>3869</v>
      </c>
    </row>
    <row r="948" spans="1:12" ht="292.5">
      <c r="A948" s="8" t="s">
        <v>3870</v>
      </c>
      <c r="B948" s="9" t="s">
        <v>12</v>
      </c>
      <c r="C948" s="12" t="s">
        <v>443</v>
      </c>
      <c r="D948" s="10" t="str">
        <f ca="1">IFERROR(__xludf.DUMMYFUNCTION(" VLOOKUP(A945, IMPORTRANGE(""https://docs.google.com/spreadsheets/d/1fj_Bhi2XPL3siwIh4sx4VRLAe31yD50oKdj5UlRYW0c/"", ""Сводка!A:AA""), 11, FALSE)"),"978-9965-862-26-7")</f>
        <v>978-9965-862-26-7</v>
      </c>
      <c r="E948" s="11" t="s">
        <v>3871</v>
      </c>
      <c r="F948" s="11" t="s">
        <v>3872</v>
      </c>
      <c r="G948" s="12">
        <f ca="1">IFERROR(__xludf.DUMMYFUNCTION(" VLOOKUP(A945, IMPORTRANGE(""https://docs.google.com/spreadsheets/d/1fj_Bhi2XPL3siwIh4sx4VRLAe31yD50oKdj5UlRYW0c/"", ""Сводка!A:AA""), 5, FALSE)"),172)</f>
        <v>172</v>
      </c>
      <c r="H948" s="12" t="s">
        <v>538</v>
      </c>
      <c r="I948" s="10">
        <f ca="1">IFERROR(__xludf.DUMMYFUNCTION(" VLOOKUP(A945, IMPORTRANGE(""https://docs.google.com/spreadsheets/d/1QNLbnkR_AongFt22vMfNzfpjZ0CjpI8QI-w0wBnYA1w/"", ""Инфа!A:AA""), 6, FALSE)"),2023)</f>
        <v>2023</v>
      </c>
      <c r="J948" s="5">
        <f ca="1">ROUND((5000+G948*30),-2)</f>
        <v>10200</v>
      </c>
      <c r="K948" s="12" t="s">
        <v>197</v>
      </c>
      <c r="L948" s="15" t="s">
        <v>3873</v>
      </c>
    </row>
    <row r="949" spans="1:12" ht="101.25">
      <c r="A949" s="8" t="s">
        <v>3874</v>
      </c>
      <c r="B949" s="9" t="s">
        <v>12</v>
      </c>
      <c r="C949" s="12" t="s">
        <v>443</v>
      </c>
      <c r="D949" s="10" t="str">
        <f ca="1">IFERROR(__xludf.DUMMYFUNCTION(" VLOOKUP(A946, IMPORTRANGE(""https://docs.google.com/spreadsheets/d/1fj_Bhi2XPL3siwIh4sx4VRLAe31yD50oKdj5UlRYW0c/"", ""Сводка!A:AA""), 11, FALSE)"),"978-601-352-862-5")</f>
        <v>978-601-352-862-5</v>
      </c>
      <c r="E949" s="11" t="s">
        <v>3875</v>
      </c>
      <c r="F949" s="11" t="s">
        <v>3876</v>
      </c>
      <c r="G949" s="12">
        <f ca="1">IFERROR(__xludf.DUMMYFUNCTION(" VLOOKUP(A946, IMPORTRANGE(""https://docs.google.com/spreadsheets/d/1fj_Bhi2XPL3siwIh4sx4VRLAe31yD50oKdj5UlRYW0c/"", ""Сводка!A:AA""), 5, FALSE)"),172)</f>
        <v>172</v>
      </c>
      <c r="H949" s="12" t="s">
        <v>538</v>
      </c>
      <c r="I949" s="10">
        <f ca="1">IFERROR(__xludf.DUMMYFUNCTION(" VLOOKUP(A946, IMPORTRANGE(""https://docs.google.com/spreadsheets/d/1QNLbnkR_AongFt22vMfNzfpjZ0CjpI8QI-w0wBnYA1w/"", ""Инфа!A:AA""), 6, FALSE)"),2023)</f>
        <v>2023</v>
      </c>
      <c r="J949" s="5">
        <f ca="1">ROUND((5000+G949*60),-2)</f>
        <v>15300</v>
      </c>
      <c r="K949" s="12" t="s">
        <v>160</v>
      </c>
      <c r="L949" s="15" t="s">
        <v>3877</v>
      </c>
    </row>
    <row r="950" spans="1:12" ht="146.25">
      <c r="A950" s="8" t="s">
        <v>3878</v>
      </c>
      <c r="B950" s="9" t="s">
        <v>12</v>
      </c>
      <c r="C950" s="12" t="s">
        <v>151</v>
      </c>
      <c r="D950" s="10" t="str">
        <f ca="1">IFERROR(__xludf.DUMMYFUNCTION(" VLOOKUP(A947, IMPORTRANGE(""https://docs.google.com/spreadsheets/d/1fj_Bhi2XPL3siwIh4sx4VRLAe31yD50oKdj5UlRYW0c/"", ""Сводка!A:AA""), 11, FALSE)"),"978-9965-07-324-3")</f>
        <v>978-9965-07-324-3</v>
      </c>
      <c r="E950" s="11" t="s">
        <v>3879</v>
      </c>
      <c r="F950" s="11" t="s">
        <v>3880</v>
      </c>
      <c r="G950" s="12">
        <f ca="1">IFERROR(__xludf.DUMMYFUNCTION(" VLOOKUP(A947, IMPORTRANGE(""https://docs.google.com/spreadsheets/d/1fj_Bhi2XPL3siwIh4sx4VRLAe31yD50oKdj5UlRYW0c/"", ""Сводка!A:AA""), 5, FALSE)"),248)</f>
        <v>248</v>
      </c>
      <c r="H950" s="12" t="s">
        <v>47</v>
      </c>
      <c r="I950" s="10">
        <f ca="1">IFERROR(__xludf.DUMMYFUNCTION(" VLOOKUP(A947, IMPORTRANGE(""https://docs.google.com/spreadsheets/d/1QNLbnkR_AongFt22vMfNzfpjZ0CjpI8QI-w0wBnYA1w/"", ""Инфа!A:AA""), 6, FALSE)"),2023)</f>
        <v>2023</v>
      </c>
      <c r="J950" s="5">
        <f ca="1">ROUND((5000+G950*60),-2)</f>
        <v>19900</v>
      </c>
      <c r="K950" s="12" t="s">
        <v>26</v>
      </c>
      <c r="L950" s="15" t="s">
        <v>3881</v>
      </c>
    </row>
    <row r="951" spans="1:12" ht="315">
      <c r="A951" s="8" t="s">
        <v>3882</v>
      </c>
      <c r="B951" s="9" t="s">
        <v>12</v>
      </c>
      <c r="C951" s="12" t="s">
        <v>151</v>
      </c>
      <c r="D951" s="10" t="str">
        <f ca="1">IFERROR(__xludf.DUMMYFUNCTION(" VLOOKUP(A948, IMPORTRANGE(""https://docs.google.com/spreadsheets/d/1fj_Bhi2XPL3siwIh4sx4VRLAe31yD50oKdj5UlRYW0c/"", ""Сводка!A:AA""), 11, FALSE)"),"978-9965-07-698-5")</f>
        <v>978-9965-07-698-5</v>
      </c>
      <c r="E951" s="11" t="s">
        <v>3193</v>
      </c>
      <c r="F951" s="11" t="s">
        <v>3883</v>
      </c>
      <c r="G951" s="12">
        <f ca="1">IFERROR(__xludf.DUMMYFUNCTION(" VLOOKUP(A948, IMPORTRANGE(""https://docs.google.com/spreadsheets/d/1fj_Bhi2XPL3siwIh4sx4VRLAe31yD50oKdj5UlRYW0c/"", ""Сводка!A:AA""), 5, FALSE)"),172)</f>
        <v>172</v>
      </c>
      <c r="H951" s="12" t="s">
        <v>47</v>
      </c>
      <c r="I951" s="10">
        <f ca="1">IFERROR(__xludf.DUMMYFUNCTION(" VLOOKUP(A948, IMPORTRANGE(""https://docs.google.com/spreadsheets/d/1QNLbnkR_AongFt22vMfNzfpjZ0CjpI8QI-w0wBnYA1w/"", ""Инфа!A:AA""), 6, FALSE)"),2024)</f>
        <v>2024</v>
      </c>
      <c r="J951" s="5">
        <f ca="1">ROUND((5000+G951*30),-2)</f>
        <v>10200</v>
      </c>
      <c r="K951" s="12" t="s">
        <v>26</v>
      </c>
      <c r="L951" s="15" t="s">
        <v>3884</v>
      </c>
    </row>
    <row r="952" spans="1:12" ht="213.75">
      <c r="A952" s="8" t="s">
        <v>3885</v>
      </c>
      <c r="B952" s="9" t="s">
        <v>12</v>
      </c>
      <c r="C952" s="12" t="s">
        <v>443</v>
      </c>
      <c r="D952" s="10" t="str">
        <f ca="1">IFERROR(__xludf.DUMMYFUNCTION(" VLOOKUP(A949, IMPORTRANGE(""https://docs.google.com/spreadsheets/d/1fj_Bhi2XPL3siwIh4sx4VRLAe31yD50oKdj5UlRYW0c/"", ""Сводка!A:AA""), 11, FALSE)"),"978-601-330-011-5")</f>
        <v>978-601-330-011-5</v>
      </c>
      <c r="E952" s="11" t="s">
        <v>3886</v>
      </c>
      <c r="F952" s="11" t="s">
        <v>3887</v>
      </c>
      <c r="G952" s="12">
        <f ca="1">IFERROR(__xludf.DUMMYFUNCTION(" VLOOKUP(A949, IMPORTRANGE(""https://docs.google.com/spreadsheets/d/1fj_Bhi2XPL3siwIh4sx4VRLAe31yD50oKdj5UlRYW0c/"", ""Сводка!A:AA""), 5, FALSE)"),172)</f>
        <v>172</v>
      </c>
      <c r="H952" s="12" t="s">
        <v>538</v>
      </c>
      <c r="I952" s="10">
        <f ca="1">IFERROR(__xludf.DUMMYFUNCTION(" VLOOKUP(A949, IMPORTRANGE(""https://docs.google.com/spreadsheets/d/1QNLbnkR_AongFt22vMfNzfpjZ0CjpI8QI-w0wBnYA1w/"", ""Инфа!A:AA""), 6, FALSE)"),2023)</f>
        <v>2023</v>
      </c>
      <c r="J952" s="5">
        <f ca="1">ROUND((5000+G952*60),-2)</f>
        <v>15300</v>
      </c>
      <c r="K952" s="12" t="s">
        <v>197</v>
      </c>
      <c r="L952" s="15" t="s">
        <v>3888</v>
      </c>
    </row>
    <row r="953" spans="1:12" ht="191.25">
      <c r="A953" s="8" t="s">
        <v>3889</v>
      </c>
      <c r="B953" s="9" t="s">
        <v>12</v>
      </c>
      <c r="C953" s="10" t="s">
        <v>151</v>
      </c>
      <c r="D953" s="10" t="str">
        <f ca="1">IFERROR(__xludf.DUMMYFUNCTION(" VLOOKUP(A950, IMPORTRANGE(""https://docs.google.com/spreadsheets/d/1fj_Bhi2XPL3siwIh4sx4VRLAe31yD50oKdj5UlRYW0c/"", ""Сводка!A:AA""), 11, FALSE)"),"978-601-240-544-6")</f>
        <v>978-601-240-544-6</v>
      </c>
      <c r="E953" s="11" t="s">
        <v>3890</v>
      </c>
      <c r="F953" s="11" t="s">
        <v>3891</v>
      </c>
      <c r="G953" s="12">
        <f ca="1">IFERROR(__xludf.DUMMYFUNCTION(" VLOOKUP(A950, IMPORTRANGE(""https://docs.google.com/spreadsheets/d/1fj_Bhi2XPL3siwIh4sx4VRLAe31yD50oKdj5UlRYW0c/"", ""Сводка!A:AA""), 5, FALSE)"),152)</f>
        <v>152</v>
      </c>
      <c r="H953" s="12" t="s">
        <v>47</v>
      </c>
      <c r="I953" s="10">
        <f ca="1">IFERROR(__xludf.DUMMYFUNCTION(" VLOOKUP(A950, IMPORTRANGE(""https://docs.google.com/spreadsheets/d/1QNLbnkR_AongFt22vMfNzfpjZ0CjpI8QI-w0wBnYA1w/"", ""Инфа!A:AA""), 6, FALSE)"),2024)</f>
        <v>2024</v>
      </c>
      <c r="J953" s="5">
        <f ca="1">ROUND((5000+G953*30),-2)</f>
        <v>9600</v>
      </c>
      <c r="K953" s="9" t="s">
        <v>257</v>
      </c>
      <c r="L953" s="15" t="s">
        <v>3892</v>
      </c>
    </row>
    <row r="954" spans="1:12" ht="78.75">
      <c r="A954" s="8" t="s">
        <v>3893</v>
      </c>
      <c r="B954" s="9" t="s">
        <v>12</v>
      </c>
      <c r="C954" s="12" t="s">
        <v>443</v>
      </c>
      <c r="D954" s="10" t="str">
        <f ca="1">IFERROR(__xludf.DUMMYFUNCTION(" VLOOKUP(A951, IMPORTRANGE(""https://docs.google.com/spreadsheets/d/1fj_Bhi2XPL3siwIh4sx4VRLAe31yD50oKdj5UlRYW0c/"", ""Сводка!A:AA""), 11, FALSE)"),"978-601-352-933-2")</f>
        <v>978-601-352-933-2</v>
      </c>
      <c r="E954" s="11" t="s">
        <v>3894</v>
      </c>
      <c r="F954" s="11" t="s">
        <v>3895</v>
      </c>
      <c r="G954" s="12">
        <f ca="1">IFERROR(__xludf.DUMMYFUNCTION(" VLOOKUP(A951, IMPORTRANGE(""https://docs.google.com/spreadsheets/d/1fj_Bhi2XPL3siwIh4sx4VRLAe31yD50oKdj5UlRYW0c/"", ""Сводка!A:AA""), 5, FALSE)"),152)</f>
        <v>152</v>
      </c>
      <c r="H954" s="12" t="s">
        <v>538</v>
      </c>
      <c r="I954" s="10">
        <f ca="1">IFERROR(__xludf.DUMMYFUNCTION(" VLOOKUP(A951, IMPORTRANGE(""https://docs.google.com/spreadsheets/d/1QNLbnkR_AongFt22vMfNzfpjZ0CjpI8QI-w0wBnYA1w/"", ""Инфа!A:AA""), 6, FALSE)"),2024)</f>
        <v>2024</v>
      </c>
      <c r="J954" s="5">
        <f ca="1">ROUND((5000+G954*60),-2)</f>
        <v>14100</v>
      </c>
      <c r="K954" s="12" t="s">
        <v>3896</v>
      </c>
      <c r="L954" s="15" t="s">
        <v>3897</v>
      </c>
    </row>
    <row r="955" spans="1:12" ht="157.5">
      <c r="A955" s="8" t="s">
        <v>3898</v>
      </c>
      <c r="B955" s="9" t="s">
        <v>12</v>
      </c>
      <c r="C955" s="12" t="s">
        <v>443</v>
      </c>
      <c r="D955" s="10" t="str">
        <f ca="1">IFERROR(__xludf.DUMMYFUNCTION(" VLOOKUP(A952, IMPORTRANGE(""https://docs.google.com/spreadsheets/d/1fj_Bhi2XPL3siwIh4sx4VRLAe31yD50oKdj5UlRYW0c/"", ""Сводка!A:AA""), 11, FALSE)"),"978-601-352-249-4")</f>
        <v>978-601-352-249-4</v>
      </c>
      <c r="E955" s="11" t="s">
        <v>3899</v>
      </c>
      <c r="F955" s="11" t="s">
        <v>3900</v>
      </c>
      <c r="G955" s="12">
        <f ca="1">IFERROR(__xludf.DUMMYFUNCTION(" VLOOKUP(A952, IMPORTRANGE(""https://docs.google.com/spreadsheets/d/1fj_Bhi2XPL3siwIh4sx4VRLAe31yD50oKdj5UlRYW0c/"", ""Сводка!A:AA""), 5, FALSE)"),292)</f>
        <v>292</v>
      </c>
      <c r="H955" s="12" t="s">
        <v>511</v>
      </c>
      <c r="I955" s="10">
        <f ca="1">IFERROR(__xludf.DUMMYFUNCTION(" VLOOKUP(A952, IMPORTRANGE(""https://docs.google.com/spreadsheets/d/1QNLbnkR_AongFt22vMfNzfpjZ0CjpI8QI-w0wBnYA1w/"", ""Инфа!A:AA""), 6, FALSE)"),2024)</f>
        <v>2024</v>
      </c>
      <c r="J955" s="5">
        <f ca="1">ROUND((5000+G955*30),-2)</f>
        <v>13800</v>
      </c>
      <c r="K955" s="12" t="s">
        <v>3901</v>
      </c>
      <c r="L955" s="15" t="s">
        <v>3902</v>
      </c>
    </row>
    <row r="956" spans="1:12" ht="135">
      <c r="A956" s="8" t="s">
        <v>3903</v>
      </c>
      <c r="B956" s="9" t="s">
        <v>12</v>
      </c>
      <c r="C956" s="12" t="s">
        <v>443</v>
      </c>
      <c r="D956" s="10" t="str">
        <f ca="1">IFERROR(__xludf.DUMMYFUNCTION(" VLOOKUP(A953, IMPORTRANGE(""https://docs.google.com/spreadsheets/d/1fj_Bhi2XPL3siwIh4sx4VRLAe31yD50oKdj5UlRYW0c/"", ""Сводка!A:AA""), 11, FALSE)"),"978-601-330-037-1")</f>
        <v>978-601-330-037-1</v>
      </c>
      <c r="E956" s="11" t="s">
        <v>3904</v>
      </c>
      <c r="F956" s="11" t="s">
        <v>3905</v>
      </c>
      <c r="G956" s="12">
        <f ca="1">IFERROR(__xludf.DUMMYFUNCTION(" VLOOKUP(A953, IMPORTRANGE(""https://docs.google.com/spreadsheets/d/1fj_Bhi2XPL3siwIh4sx4VRLAe31yD50oKdj5UlRYW0c/"", ""Сводка!A:AA""), 5, FALSE)"),168)</f>
        <v>168</v>
      </c>
      <c r="H956" s="12" t="s">
        <v>538</v>
      </c>
      <c r="I956" s="10">
        <f ca="1">IFERROR(__xludf.DUMMYFUNCTION(" VLOOKUP(A953, IMPORTRANGE(""https://docs.google.com/spreadsheets/d/1QNLbnkR_AongFt22vMfNzfpjZ0CjpI8QI-w0wBnYA1w/"", ""Инфа!A:AA""), 6, FALSE)"),2024)</f>
        <v>2024</v>
      </c>
      <c r="J956" s="5">
        <f ca="1">ROUND((5000+G956*30),-2)</f>
        <v>10000</v>
      </c>
      <c r="K956" s="12" t="s">
        <v>3901</v>
      </c>
      <c r="L956" s="15" t="s">
        <v>3906</v>
      </c>
    </row>
    <row r="957" spans="1:12" ht="90">
      <c r="A957" s="8" t="s">
        <v>3907</v>
      </c>
      <c r="B957" s="9" t="s">
        <v>12</v>
      </c>
      <c r="C957" s="12" t="s">
        <v>151</v>
      </c>
      <c r="D957" s="10" t="str">
        <f ca="1">IFERROR(__xludf.DUMMYFUNCTION(" VLOOKUP(A954, IMPORTRANGE(""https://docs.google.com/spreadsheets/d/1fj_Bhi2XPL3siwIh4sx4VRLAe31yD50oKdj5UlRYW0c/"", ""Сводка!A:AA""), 11, FALSE)"),"978-601-330-108-2")</f>
        <v>978-601-330-108-2</v>
      </c>
      <c r="E957" s="11" t="s">
        <v>3908</v>
      </c>
      <c r="F957" s="11" t="s">
        <v>3909</v>
      </c>
      <c r="G957" s="12">
        <f ca="1">IFERROR(__xludf.DUMMYFUNCTION(" VLOOKUP(A954, IMPORTRANGE(""https://docs.google.com/spreadsheets/d/1fj_Bhi2XPL3siwIh4sx4VRLAe31yD50oKdj5UlRYW0c/"", ""Сводка!A:AA""), 5, FALSE)"),240)</f>
        <v>240</v>
      </c>
      <c r="H957" s="12" t="s">
        <v>56</v>
      </c>
      <c r="I957" s="10">
        <f ca="1">IFERROR(__xludf.DUMMYFUNCTION(" VLOOKUP(A954, IMPORTRANGE(""https://docs.google.com/spreadsheets/d/1QNLbnkR_AongFt22vMfNzfpjZ0CjpI8QI-w0wBnYA1w/"", ""Инфа!A:AA""), 6, FALSE)"),2024)</f>
        <v>2024</v>
      </c>
      <c r="J957" s="5">
        <f ca="1">ROUND((5000+G957*60),-2)</f>
        <v>19400</v>
      </c>
      <c r="K957" s="12" t="s">
        <v>3901</v>
      </c>
      <c r="L957" s="15" t="s">
        <v>3910</v>
      </c>
    </row>
    <row r="958" spans="1:12" ht="90">
      <c r="A958" s="8" t="s">
        <v>3911</v>
      </c>
      <c r="B958" s="9" t="s">
        <v>12</v>
      </c>
      <c r="C958" s="12" t="s">
        <v>151</v>
      </c>
      <c r="D958" s="10" t="str">
        <f ca="1">IFERROR(__xludf.DUMMYFUNCTION(" VLOOKUP(A955, IMPORTRANGE(""https://docs.google.com/spreadsheets/d/1fj_Bhi2XPL3siwIh4sx4VRLAe31yD50oKdj5UlRYW0c/"", ""Сводка!A:AA""), 11, FALSE)"),"978-601-330-108-3")</f>
        <v>978-601-330-108-3</v>
      </c>
      <c r="E958" s="11" t="s">
        <v>3908</v>
      </c>
      <c r="F958" s="11" t="s">
        <v>3912</v>
      </c>
      <c r="G958" s="12">
        <f ca="1">IFERROR(__xludf.DUMMYFUNCTION(" VLOOKUP(A955, IMPORTRANGE(""https://docs.google.com/spreadsheets/d/1fj_Bhi2XPL3siwIh4sx4VRLAe31yD50oKdj5UlRYW0c/"", ""Сводка!A:AA""), 5, FALSE)"),284)</f>
        <v>284</v>
      </c>
      <c r="H958" s="12" t="s">
        <v>56</v>
      </c>
      <c r="I958" s="10">
        <f ca="1">IFERROR(__xludf.DUMMYFUNCTION(" VLOOKUP(A955, IMPORTRANGE(""https://docs.google.com/spreadsheets/d/1QNLbnkR_AongFt22vMfNzfpjZ0CjpI8QI-w0wBnYA1w/"", ""Инфа!A:AA""), 6, FALSE)"),2024)</f>
        <v>2024</v>
      </c>
      <c r="J958" s="5">
        <f ca="1">ROUND((5000+G958*60),-2)</f>
        <v>22000</v>
      </c>
      <c r="K958" s="12" t="s">
        <v>3901</v>
      </c>
      <c r="L958" s="15" t="s">
        <v>3910</v>
      </c>
    </row>
    <row r="959" spans="1:12" ht="225">
      <c r="A959" s="8" t="s">
        <v>3913</v>
      </c>
      <c r="B959" s="9" t="s">
        <v>12</v>
      </c>
      <c r="C959" s="12" t="s">
        <v>151</v>
      </c>
      <c r="D959" s="10" t="str">
        <f ca="1">IFERROR(__xludf.DUMMYFUNCTION(" VLOOKUP(A956, IMPORTRANGE(""https://docs.google.com/spreadsheets/d/1fj_Bhi2XPL3siwIh4sx4VRLAe31yD50oKdj5UlRYW0c/"", ""Сводка!A:AA""), 11, FALSE)"),"978-601-352-880-9")</f>
        <v>978-601-352-880-9</v>
      </c>
      <c r="E959" s="11" t="s">
        <v>3914</v>
      </c>
      <c r="F959" s="11" t="s">
        <v>3915</v>
      </c>
      <c r="G959" s="12">
        <f ca="1">IFERROR(__xludf.DUMMYFUNCTION(" VLOOKUP(A956, IMPORTRANGE(""https://docs.google.com/spreadsheets/d/1fj_Bhi2XPL3siwIh4sx4VRLAe31yD50oKdj5UlRYW0c/"", ""Сводка!A:AA""), 5, FALSE)"),172)</f>
        <v>172</v>
      </c>
      <c r="H959" s="12" t="s">
        <v>165</v>
      </c>
      <c r="I959" s="10">
        <f ca="1">IFERROR(__xludf.DUMMYFUNCTION(" VLOOKUP(A956, IMPORTRANGE(""https://docs.google.com/spreadsheets/d/1QNLbnkR_AongFt22vMfNzfpjZ0CjpI8QI-w0wBnYA1w/"", ""Инфа!A:AA""), 6, FALSE)"),2024)</f>
        <v>2024</v>
      </c>
      <c r="J959" s="5">
        <f t="shared" ref="J959:J965" ca="1" si="26">ROUND((5000+G959*30),-2)</f>
        <v>10200</v>
      </c>
      <c r="K959" s="12" t="s">
        <v>1105</v>
      </c>
      <c r="L959" s="15" t="s">
        <v>3916</v>
      </c>
    </row>
    <row r="960" spans="1:12" ht="303.75">
      <c r="A960" s="8" t="s">
        <v>3917</v>
      </c>
      <c r="B960" s="9" t="s">
        <v>12</v>
      </c>
      <c r="C960" s="12" t="s">
        <v>151</v>
      </c>
      <c r="D960" s="10" t="s">
        <v>3918</v>
      </c>
      <c r="E960" s="11" t="s">
        <v>3120</v>
      </c>
      <c r="F960" s="11" t="s">
        <v>3919</v>
      </c>
      <c r="G960" s="12">
        <f ca="1">IFERROR(__xludf.DUMMYFUNCTION(" VLOOKUP(A957, IMPORTRANGE(""https://docs.google.com/spreadsheets/d/1fj_Bhi2XPL3siwIh4sx4VRLAe31yD50oKdj5UlRYW0c/"", ""Сводка!A:AA""), 5, FALSE)"),252)</f>
        <v>252</v>
      </c>
      <c r="H960" s="12" t="s">
        <v>24</v>
      </c>
      <c r="I960" s="10">
        <f ca="1">IFERROR(__xludf.DUMMYFUNCTION(" VLOOKUP(A957, IMPORTRANGE(""https://docs.google.com/spreadsheets/d/1QNLbnkR_AongFt22vMfNzfpjZ0CjpI8QI-w0wBnYA1w/"", ""Инфа!A:AA""), 6, FALSE)"),2024)</f>
        <v>2024</v>
      </c>
      <c r="J960" s="5">
        <f t="shared" ca="1" si="26"/>
        <v>12600</v>
      </c>
      <c r="K960" s="12" t="s">
        <v>3920</v>
      </c>
      <c r="L960" s="15" t="s">
        <v>3921</v>
      </c>
    </row>
    <row r="961" spans="1:12" ht="303.75">
      <c r="A961" s="8" t="s">
        <v>3922</v>
      </c>
      <c r="B961" s="9" t="s">
        <v>12</v>
      </c>
      <c r="C961" s="12" t="s">
        <v>151</v>
      </c>
      <c r="D961" s="10" t="s">
        <v>3923</v>
      </c>
      <c r="E961" s="11" t="s">
        <v>3120</v>
      </c>
      <c r="F961" s="11" t="s">
        <v>3924</v>
      </c>
      <c r="G961" s="12">
        <f ca="1">IFERROR(__xludf.DUMMYFUNCTION(" VLOOKUP(A958, IMPORTRANGE(""https://docs.google.com/spreadsheets/d/1fj_Bhi2XPL3siwIh4sx4VRLAe31yD50oKdj5UlRYW0c/"", ""Сводка!A:AA""), 5, FALSE)"),172)</f>
        <v>172</v>
      </c>
      <c r="H961" s="12" t="s">
        <v>24</v>
      </c>
      <c r="I961" s="10">
        <f ca="1">IFERROR(__xludf.DUMMYFUNCTION(" VLOOKUP(A958, IMPORTRANGE(""https://docs.google.com/spreadsheets/d/1QNLbnkR_AongFt22vMfNzfpjZ0CjpI8QI-w0wBnYA1w/"", ""Инфа!A:AA""), 6, FALSE)"),2024)</f>
        <v>2024</v>
      </c>
      <c r="J961" s="5">
        <f t="shared" ca="1" si="26"/>
        <v>10200</v>
      </c>
      <c r="K961" s="12" t="s">
        <v>3920</v>
      </c>
      <c r="L961" s="15" t="s">
        <v>3921</v>
      </c>
    </row>
    <row r="962" spans="1:12" ht="281.25">
      <c r="A962" s="8" t="s">
        <v>3925</v>
      </c>
      <c r="B962" s="9" t="s">
        <v>12</v>
      </c>
      <c r="C962" s="12" t="s">
        <v>151</v>
      </c>
      <c r="D962" s="10" t="str">
        <f ca="1">IFERROR(__xludf.DUMMYFUNCTION(" VLOOKUP(A959, IMPORTRANGE(""https://docs.google.com/spreadsheets/d/1fj_Bhi2XPL3siwIh4sx4VRLAe31yD50oKdj5UlRYW0c/"", ""Сводка!A:AA""), 11, FALSE)"),"978-601-330-201-0")</f>
        <v>978-601-330-201-0</v>
      </c>
      <c r="E962" s="11" t="s">
        <v>3926</v>
      </c>
      <c r="F962" s="11" t="s">
        <v>3927</v>
      </c>
      <c r="G962" s="12">
        <f ca="1">IFERROR(__xludf.DUMMYFUNCTION(" VLOOKUP(A959, IMPORTRANGE(""https://docs.google.com/spreadsheets/d/1fj_Bhi2XPL3siwIh4sx4VRLAe31yD50oKdj5UlRYW0c/"", ""Сводка!A:AA""), 5, FALSE)"),152)</f>
        <v>152</v>
      </c>
      <c r="H962" s="12" t="s">
        <v>165</v>
      </c>
      <c r="I962" s="10">
        <f ca="1">IFERROR(__xludf.DUMMYFUNCTION(" VLOOKUP(A959, IMPORTRANGE(""https://docs.google.com/spreadsheets/d/1QNLbnkR_AongFt22vMfNzfpjZ0CjpI8QI-w0wBnYA1w/"", ""Инфа!A:AA""), 6, FALSE)"),2023)</f>
        <v>2023</v>
      </c>
      <c r="J962" s="5">
        <f t="shared" ca="1" si="26"/>
        <v>9600</v>
      </c>
      <c r="K962" s="12" t="s">
        <v>1075</v>
      </c>
      <c r="L962" s="15" t="s">
        <v>3928</v>
      </c>
    </row>
    <row r="963" spans="1:12" ht="135">
      <c r="A963" s="8" t="s">
        <v>3929</v>
      </c>
      <c r="B963" s="9" t="s">
        <v>12</v>
      </c>
      <c r="C963" s="10" t="s">
        <v>151</v>
      </c>
      <c r="D963" s="10" t="str">
        <f ca="1">IFERROR(__xludf.DUMMYFUNCTION(" VLOOKUP(A960, IMPORTRANGE(""https://docs.google.com/spreadsheets/d/1fj_Bhi2XPL3siwIh4sx4VRLAe31yD50oKdj5UlRYW0c/"", ""Сводка!A:AA""), 11, FALSE)"),"978-601-310-070-8")</f>
        <v>978-601-310-070-8</v>
      </c>
      <c r="E963" s="11" t="s">
        <v>3930</v>
      </c>
      <c r="F963" s="11" t="s">
        <v>3931</v>
      </c>
      <c r="G963" s="12">
        <f ca="1">IFERROR(__xludf.DUMMYFUNCTION(" VLOOKUP(A960, IMPORTRANGE(""https://docs.google.com/spreadsheets/d/1fj_Bhi2XPL3siwIh4sx4VRLAe31yD50oKdj5UlRYW0c/"", ""Сводка!A:AA""), 5, FALSE)"),224)</f>
        <v>224</v>
      </c>
      <c r="H963" s="12" t="s">
        <v>47</v>
      </c>
      <c r="I963" s="10">
        <f ca="1">IFERROR(__xludf.DUMMYFUNCTION(" VLOOKUP(A960, IMPORTRANGE(""https://docs.google.com/spreadsheets/d/1QNLbnkR_AongFt22vMfNzfpjZ0CjpI8QI-w0wBnYA1w/"", ""Инфа!A:AA""), 6, FALSE)"),2024)</f>
        <v>2024</v>
      </c>
      <c r="J963" s="5">
        <f t="shared" ca="1" si="26"/>
        <v>11700</v>
      </c>
      <c r="K963" s="12" t="s">
        <v>961</v>
      </c>
      <c r="L963" s="15" t="s">
        <v>3932</v>
      </c>
    </row>
    <row r="964" spans="1:12" ht="326.25">
      <c r="A964" s="8" t="s">
        <v>3933</v>
      </c>
      <c r="B964" s="9" t="s">
        <v>12</v>
      </c>
      <c r="C964" s="12" t="s">
        <v>151</v>
      </c>
      <c r="D964" s="10" t="str">
        <f ca="1">IFERROR(__xludf.DUMMYFUNCTION(" VLOOKUP(A961, IMPORTRANGE(""https://docs.google.com/spreadsheets/d/1fj_Bhi2XPL3siwIh4sx4VRLAe31yD50oKdj5UlRYW0c/"", ""Сводка!A:AA""), 11, FALSE)"),"")</f>
        <v/>
      </c>
      <c r="E964" s="11" t="s">
        <v>3120</v>
      </c>
      <c r="F964" s="11" t="s">
        <v>3934</v>
      </c>
      <c r="G964" s="12">
        <f ca="1">IFERROR(__xludf.DUMMYFUNCTION(" VLOOKUP(A961, IMPORTRANGE(""https://docs.google.com/spreadsheets/d/1fj_Bhi2XPL3siwIh4sx4VRLAe31yD50oKdj5UlRYW0c/"", ""Сводка!A:AA""), 5, FALSE)"),320)</f>
        <v>320</v>
      </c>
      <c r="H964" s="12" t="s">
        <v>24</v>
      </c>
      <c r="I964" s="10">
        <f ca="1">IFERROR(__xludf.DUMMYFUNCTION(" VLOOKUP(A961, IMPORTRANGE(""https://docs.google.com/spreadsheets/d/1QNLbnkR_AongFt22vMfNzfpjZ0CjpI8QI-w0wBnYA1w/"", ""Инфа!A:AA""), 6, FALSE)"),2024)</f>
        <v>2024</v>
      </c>
      <c r="J964" s="5">
        <f t="shared" ca="1" si="26"/>
        <v>14600</v>
      </c>
      <c r="K964" s="12" t="s">
        <v>2929</v>
      </c>
      <c r="L964" s="15" t="s">
        <v>3935</v>
      </c>
    </row>
    <row r="965" spans="1:12" ht="315">
      <c r="A965" s="8" t="s">
        <v>3936</v>
      </c>
      <c r="B965" s="9" t="s">
        <v>12</v>
      </c>
      <c r="C965" s="12" t="s">
        <v>151</v>
      </c>
      <c r="D965" s="10" t="str">
        <f ca="1">IFERROR(__xludf.DUMMYFUNCTION(" VLOOKUP(A962, IMPORTRANGE(""https://docs.google.com/spreadsheets/d/1fj_Bhi2XPL3siwIh4sx4VRLAe31yD50oKdj5UlRYW0c/"", ""Сводка!A:AA""), 11, FALSE)"),"")</f>
        <v/>
      </c>
      <c r="E965" s="11" t="s">
        <v>3120</v>
      </c>
      <c r="F965" s="11" t="s">
        <v>3937</v>
      </c>
      <c r="G965" s="12">
        <f ca="1">IFERROR(__xludf.DUMMYFUNCTION(" VLOOKUP(A962, IMPORTRANGE(""https://docs.google.com/spreadsheets/d/1fj_Bhi2XPL3siwIh4sx4VRLAe31yD50oKdj5UlRYW0c/"", ""Сводка!A:AA""), 5, FALSE)"),316)</f>
        <v>316</v>
      </c>
      <c r="H965" s="12" t="s">
        <v>24</v>
      </c>
      <c r="I965" s="10">
        <f ca="1">IFERROR(__xludf.DUMMYFUNCTION(" VLOOKUP(A962, IMPORTRANGE(""https://docs.google.com/spreadsheets/d/1QNLbnkR_AongFt22vMfNzfpjZ0CjpI8QI-w0wBnYA1w/"", ""Инфа!A:AA""), 6, FALSE)"),2024)</f>
        <v>2024</v>
      </c>
      <c r="J965" s="5">
        <f t="shared" ca="1" si="26"/>
        <v>14500</v>
      </c>
      <c r="K965" s="12" t="s">
        <v>2929</v>
      </c>
      <c r="L965" s="15" t="s">
        <v>3938</v>
      </c>
    </row>
    <row r="966" spans="1:12" ht="157.5">
      <c r="A966" s="8" t="s">
        <v>3939</v>
      </c>
      <c r="B966" s="9" t="s">
        <v>12</v>
      </c>
      <c r="C966" s="12" t="s">
        <v>151</v>
      </c>
      <c r="D966" s="10" t="str">
        <f ca="1">IFERROR(__xludf.DUMMYFUNCTION(" VLOOKUP(A963, IMPORTRANGE(""https://docs.google.com/spreadsheets/d/1fj_Bhi2XPL3siwIh4sx4VRLAe31yD50oKdj5UlRYW0c/"", ""Сводка!A:AA""), 11, FALSE)"),"978-601-352-746-8")</f>
        <v>978-601-352-746-8</v>
      </c>
      <c r="E966" s="11" t="s">
        <v>3120</v>
      </c>
      <c r="F966" s="11" t="s">
        <v>3940</v>
      </c>
      <c r="G966" s="12">
        <f ca="1">IFERROR(__xludf.DUMMYFUNCTION(" VLOOKUP(A963, IMPORTRANGE(""https://docs.google.com/spreadsheets/d/1fj_Bhi2XPL3siwIh4sx4VRLAe31yD50oKdj5UlRYW0c/"", ""Сводка!A:AA""), 5, FALSE)"),256)</f>
        <v>256</v>
      </c>
      <c r="H966" s="12" t="s">
        <v>24</v>
      </c>
      <c r="I966" s="10">
        <f ca="1">IFERROR(__xludf.DUMMYFUNCTION(" VLOOKUP(A963, IMPORTRANGE(""https://docs.google.com/spreadsheets/d/1QNLbnkR_AongFt22vMfNzfpjZ0CjpI8QI-w0wBnYA1w/"", ""Инфа!A:AA""), 6, FALSE)"),2024)</f>
        <v>2024</v>
      </c>
      <c r="J966" s="5">
        <f ca="1">ROUND((5000+G966*60),-2)</f>
        <v>20400</v>
      </c>
      <c r="K966" s="12" t="s">
        <v>2046</v>
      </c>
      <c r="L966" s="15" t="s">
        <v>3941</v>
      </c>
    </row>
    <row r="967" spans="1:12" ht="303.75">
      <c r="A967" s="8" t="s">
        <v>3942</v>
      </c>
      <c r="B967" s="9" t="s">
        <v>12</v>
      </c>
      <c r="C967" s="12" t="s">
        <v>151</v>
      </c>
      <c r="D967" s="10" t="str">
        <f ca="1">IFERROR(__xludf.DUMMYFUNCTION(" VLOOKUP(A964, IMPORTRANGE(""https://docs.google.com/spreadsheets/d/1fj_Bhi2XPL3siwIh4sx4VRLAe31yD50oKdj5UlRYW0c/"", ""Сводка!A:AA""), 11, FALSE)"),"978-601-330-253-9")</f>
        <v>978-601-330-253-9</v>
      </c>
      <c r="E967" s="11" t="s">
        <v>3120</v>
      </c>
      <c r="F967" s="11" t="s">
        <v>3943</v>
      </c>
      <c r="G967" s="12">
        <f ca="1">IFERROR(__xludf.DUMMYFUNCTION(" VLOOKUP(A964, IMPORTRANGE(""https://docs.google.com/spreadsheets/d/1fj_Bhi2XPL3siwIh4sx4VRLAe31yD50oKdj5UlRYW0c/"", ""Сводка!A:AA""), 5, FALSE)"),312)</f>
        <v>312</v>
      </c>
      <c r="H967" s="12" t="s">
        <v>24</v>
      </c>
      <c r="I967" s="10">
        <f ca="1">IFERROR(__xludf.DUMMYFUNCTION(" VLOOKUP(A964, IMPORTRANGE(""https://docs.google.com/spreadsheets/d/1QNLbnkR_AongFt22vMfNzfpjZ0CjpI8QI-w0wBnYA1w/"", ""Инфа!A:AA""), 6, FALSE)"),2023)</f>
        <v>2023</v>
      </c>
      <c r="J967" s="5">
        <f ca="1">ROUND((5000+G967*30),-2)</f>
        <v>14400</v>
      </c>
      <c r="K967" s="12" t="s">
        <v>3920</v>
      </c>
      <c r="L967" s="15" t="s">
        <v>3944</v>
      </c>
    </row>
    <row r="968" spans="1:12" ht="168.75">
      <c r="A968" s="8" t="s">
        <v>3945</v>
      </c>
      <c r="B968" s="9" t="s">
        <v>12</v>
      </c>
      <c r="C968" s="12" t="s">
        <v>151</v>
      </c>
      <c r="D968" s="10" t="str">
        <f ca="1">IFERROR(__xludf.DUMMYFUNCTION(" VLOOKUP(A965, IMPORTRANGE(""https://docs.google.com/spreadsheets/d/1fj_Bhi2XPL3siwIh4sx4VRLAe31yD50oKdj5UlRYW0c/"", ""Сводка!A:AA""), 11, FALSE)"),"978-601-330-252-2")</f>
        <v>978-601-330-252-2</v>
      </c>
      <c r="E968" s="11" t="s">
        <v>3120</v>
      </c>
      <c r="F968" s="11" t="s">
        <v>3946</v>
      </c>
      <c r="G968" s="12">
        <f ca="1">IFERROR(__xludf.DUMMYFUNCTION(" VLOOKUP(A965, IMPORTRANGE(""https://docs.google.com/spreadsheets/d/1fj_Bhi2XPL3siwIh4sx4VRLAe31yD50oKdj5UlRYW0c/"", ""Сводка!A:AA""), 5, FALSE)"),172)</f>
        <v>172</v>
      </c>
      <c r="H968" s="12" t="s">
        <v>24</v>
      </c>
      <c r="I968" s="10">
        <f ca="1">IFERROR(__xludf.DUMMYFUNCTION(" VLOOKUP(A965, IMPORTRANGE(""https://docs.google.com/spreadsheets/d/1QNLbnkR_AongFt22vMfNzfpjZ0CjpI8QI-w0wBnYA1w/"", ""Инфа!A:AA""), 6, FALSE)"),2023)</f>
        <v>2023</v>
      </c>
      <c r="J968" s="5">
        <f ca="1">ROUND((5000+G968*30),-2)</f>
        <v>10200</v>
      </c>
      <c r="K968" s="12" t="s">
        <v>3920</v>
      </c>
      <c r="L968" s="15" t="s">
        <v>3947</v>
      </c>
    </row>
    <row r="969" spans="1:12" ht="168.75">
      <c r="A969" s="8" t="s">
        <v>3948</v>
      </c>
      <c r="B969" s="9" t="s">
        <v>12</v>
      </c>
      <c r="C969" s="10" t="s">
        <v>3949</v>
      </c>
      <c r="D969" s="10" t="str">
        <f ca="1">IFERROR(__xludf.DUMMYFUNCTION(" VLOOKUP(A966, IMPORTRANGE(""https://docs.google.com/spreadsheets/d/1fj_Bhi2XPL3siwIh4sx4VRLAe31yD50oKdj5UlRYW0c/"", ""Сводка!A:AA""), 11, FALSE)"),"978-601-352-914-1")</f>
        <v>978-601-352-914-1</v>
      </c>
      <c r="E969" s="11" t="s">
        <v>3950</v>
      </c>
      <c r="F969" s="11" t="s">
        <v>3951</v>
      </c>
      <c r="G969" s="12">
        <f ca="1">IFERROR(__xludf.DUMMYFUNCTION(" VLOOKUP(A966, IMPORTRANGE(""https://docs.google.com/spreadsheets/d/1fj_Bhi2XPL3siwIh4sx4VRLAe31yD50oKdj5UlRYW0c/"", ""Сводка!A:AA""), 5, FALSE)"),268)</f>
        <v>268</v>
      </c>
      <c r="H969" s="10" t="s">
        <v>47</v>
      </c>
      <c r="I969" s="10">
        <f ca="1">IFERROR(__xludf.DUMMYFUNCTION(" VLOOKUP(A966, IMPORTRANGE(""https://docs.google.com/spreadsheets/d/1QNLbnkR_AongFt22vMfNzfpjZ0CjpI8QI-w0wBnYA1w/"", ""Инфа!A:AA""), 6, FALSE)"),2023)</f>
        <v>2023</v>
      </c>
      <c r="J969" s="5">
        <f ca="1">ROUND((5000+G969*30),-2)</f>
        <v>13000</v>
      </c>
      <c r="K969" s="10" t="s">
        <v>25</v>
      </c>
      <c r="L969" s="23" t="s">
        <v>3952</v>
      </c>
    </row>
    <row r="970" spans="1:12" ht="191.25">
      <c r="A970" s="8" t="s">
        <v>3953</v>
      </c>
      <c r="B970" s="9" t="s">
        <v>12</v>
      </c>
      <c r="C970" s="10" t="s">
        <v>151</v>
      </c>
      <c r="D970" s="10" t="str">
        <f ca="1">IFERROR(__xludf.DUMMYFUNCTION(" VLOOKUP(A967, IMPORTRANGE(""https://docs.google.com/spreadsheets/d/1fj_Bhi2XPL3siwIh4sx4VRLAe31yD50oKdj5UlRYW0c/"", ""Сводка!A:AA""), 11, FALSE)"),"978-601-330-226-3")</f>
        <v>978-601-330-226-3</v>
      </c>
      <c r="E970" s="11" t="s">
        <v>3954</v>
      </c>
      <c r="F970" s="11" t="s">
        <v>3955</v>
      </c>
      <c r="G970" s="12">
        <f ca="1">IFERROR(__xludf.DUMMYFUNCTION(" VLOOKUP(A967, IMPORTRANGE(""https://docs.google.com/spreadsheets/d/1fj_Bhi2XPL3siwIh4sx4VRLAe31yD50oKdj5UlRYW0c/"", ""Сводка!A:AA""), 5, FALSE)"),147)</f>
        <v>147</v>
      </c>
      <c r="H970" s="10" t="s">
        <v>47</v>
      </c>
      <c r="I970" s="10">
        <f ca="1">IFERROR(__xludf.DUMMYFUNCTION(" VLOOKUP(A967, IMPORTRANGE(""https://docs.google.com/spreadsheets/d/1QNLbnkR_AongFt22vMfNzfpjZ0CjpI8QI-w0wBnYA1w/"", ""Инфа!A:AA""), 6, FALSE)"),2023)</f>
        <v>2023</v>
      </c>
      <c r="J970" s="5">
        <f ca="1">ROUND((5000+G970*60),-2)</f>
        <v>13800</v>
      </c>
      <c r="K970" s="10" t="s">
        <v>3956</v>
      </c>
      <c r="L970" s="23" t="s">
        <v>3957</v>
      </c>
    </row>
    <row r="971" spans="1:12" ht="303.75">
      <c r="A971" s="8" t="s">
        <v>3958</v>
      </c>
      <c r="B971" s="9" t="s">
        <v>12</v>
      </c>
      <c r="C971" s="10" t="s">
        <v>151</v>
      </c>
      <c r="D971" s="10" t="str">
        <f ca="1">IFERROR(__xludf.DUMMYFUNCTION(" VLOOKUP(A968, IMPORTRANGE(""https://docs.google.com/spreadsheets/d/1fj_Bhi2XPL3siwIh4sx4VRLAe31yD50oKdj5UlRYW0c/"", ""Сводка!A:AA""), 11, FALSE)"),"978-601-352-893-9")</f>
        <v>978-601-352-893-9</v>
      </c>
      <c r="E971" s="11" t="s">
        <v>3959</v>
      </c>
      <c r="F971" s="11" t="s">
        <v>3960</v>
      </c>
      <c r="G971" s="12">
        <f ca="1">IFERROR(__xludf.DUMMYFUNCTION(" VLOOKUP(A968, IMPORTRANGE(""https://docs.google.com/spreadsheets/d/1fj_Bhi2XPL3siwIh4sx4VRLAe31yD50oKdj5UlRYW0c/"", ""Сводка!A:AA""), 5, FALSE)"),176)</f>
        <v>176</v>
      </c>
      <c r="H971" s="10" t="s">
        <v>47</v>
      </c>
      <c r="I971" s="10">
        <f ca="1">IFERROR(__xludf.DUMMYFUNCTION(" VLOOKUP(A968, IMPORTRANGE(""https://docs.google.com/spreadsheets/d/1QNLbnkR_AongFt22vMfNzfpjZ0CjpI8QI-w0wBnYA1w/"", ""Инфа!A:AA""), 6, FALSE)"),2024)</f>
        <v>2024</v>
      </c>
      <c r="J971" s="5">
        <f ca="1">ROUND((5000+G971*30),-2)</f>
        <v>10300</v>
      </c>
      <c r="K971" s="10" t="s">
        <v>3961</v>
      </c>
      <c r="L971" s="23" t="s">
        <v>3962</v>
      </c>
    </row>
    <row r="972" spans="1:12" ht="303.75">
      <c r="A972" s="8" t="s">
        <v>3963</v>
      </c>
      <c r="B972" s="9" t="s">
        <v>12</v>
      </c>
      <c r="C972" s="10" t="s">
        <v>151</v>
      </c>
      <c r="D972" s="10" t="s">
        <v>3964</v>
      </c>
      <c r="E972" s="11" t="s">
        <v>3959</v>
      </c>
      <c r="F972" s="11" t="s">
        <v>3965</v>
      </c>
      <c r="G972" s="12">
        <f ca="1">IFERROR(__xludf.DUMMYFUNCTION(" VLOOKUP(A969, IMPORTRANGE(""https://docs.google.com/spreadsheets/d/1fj_Bhi2XPL3siwIh4sx4VRLAe31yD50oKdj5UlRYW0c/"", ""Сводка!A:AA""), 5, FALSE)"),112)</f>
        <v>112</v>
      </c>
      <c r="H972" s="10" t="s">
        <v>47</v>
      </c>
      <c r="I972" s="10">
        <f ca="1">IFERROR(__xludf.DUMMYFUNCTION(" VLOOKUP(A969, IMPORTRANGE(""https://docs.google.com/spreadsheets/d/1QNLbnkR_AongFt22vMfNzfpjZ0CjpI8QI-w0wBnYA1w/"", ""Инфа!A:AA""), 6, FALSE)"),2024)</f>
        <v>2024</v>
      </c>
      <c r="J972" s="5">
        <f ca="1">ROUND((5000+G972*60),-2)</f>
        <v>11700</v>
      </c>
      <c r="K972" s="10" t="s">
        <v>3961</v>
      </c>
      <c r="L972" s="23" t="s">
        <v>3966</v>
      </c>
    </row>
    <row r="973" spans="1:12" ht="45">
      <c r="A973" s="8" t="s">
        <v>3967</v>
      </c>
      <c r="B973" s="9" t="s">
        <v>12</v>
      </c>
      <c r="C973" s="10" t="s">
        <v>443</v>
      </c>
      <c r="D973" s="10" t="str">
        <f ca="1">IFERROR(__xludf.DUMMYFUNCTION(" VLOOKUP(A970, IMPORTRANGE(""https://docs.google.com/spreadsheets/d/1fj_Bhi2XPL3siwIh4sx4VRLAe31yD50oKdj5UlRYW0c/"", ""Сводка!A:AA""), 11, FALSE)"),"978-601-246-058-2")</f>
        <v>978-601-246-058-2</v>
      </c>
      <c r="E973" s="11" t="s">
        <v>3930</v>
      </c>
      <c r="F973" s="11" t="s">
        <v>3968</v>
      </c>
      <c r="G973" s="12">
        <f ca="1">IFERROR(__xludf.DUMMYFUNCTION(" VLOOKUP(A970, IMPORTRANGE(""https://docs.google.com/spreadsheets/d/1fj_Bhi2XPL3siwIh4sx4VRLAe31yD50oKdj5UlRYW0c/"", ""Сводка!A:AA""), 5, FALSE)"),232)</f>
        <v>232</v>
      </c>
      <c r="H973" s="12" t="s">
        <v>47</v>
      </c>
      <c r="I973" s="10">
        <f ca="1">IFERROR(__xludf.DUMMYFUNCTION(" VLOOKUP(A970, IMPORTRANGE(""https://docs.google.com/spreadsheets/d/1QNLbnkR_AongFt22vMfNzfpjZ0CjpI8QI-w0wBnYA1w/"", ""Инфа!A:AA""), 6, FALSE)"),2024)</f>
        <v>2024</v>
      </c>
      <c r="J973" s="5">
        <f ca="1">ROUND((5000+G973*30),-2)</f>
        <v>12000</v>
      </c>
      <c r="K973" s="12" t="s">
        <v>961</v>
      </c>
      <c r="L973" s="15" t="s">
        <v>3969</v>
      </c>
    </row>
    <row r="974" spans="1:12" ht="281.25">
      <c r="A974" s="8" t="s">
        <v>3970</v>
      </c>
      <c r="B974" s="9" t="s">
        <v>12</v>
      </c>
      <c r="C974" s="10" t="s">
        <v>151</v>
      </c>
      <c r="D974" s="10" t="str">
        <f ca="1">IFERROR(__xludf.DUMMYFUNCTION(" VLOOKUP(A971, IMPORTRANGE(""https://docs.google.com/spreadsheets/d/1fj_Bhi2XPL3siwIh4sx4VRLAe31yD50oKdj5UlRYW0c/"", ""Сводка!A:AA""), 11, FALSE)"),"978-601-208-724-6")</f>
        <v>978-601-208-724-6</v>
      </c>
      <c r="E974" s="11" t="s">
        <v>3971</v>
      </c>
      <c r="F974" s="11" t="s">
        <v>3972</v>
      </c>
      <c r="G974" s="12">
        <f ca="1">IFERROR(__xludf.DUMMYFUNCTION(" VLOOKUP(A971, IMPORTRANGE(""https://docs.google.com/spreadsheets/d/1fj_Bhi2XPL3siwIh4sx4VRLAe31yD50oKdj5UlRYW0c/"", ""Сводка!A:AA""), 5, FALSE)"),224)</f>
        <v>224</v>
      </c>
      <c r="H974" s="10" t="s">
        <v>106</v>
      </c>
      <c r="I974" s="10">
        <f ca="1">IFERROR(__xludf.DUMMYFUNCTION(" VLOOKUP(A971, IMPORTRANGE(""https://docs.google.com/spreadsheets/d/1QNLbnkR_AongFt22vMfNzfpjZ0CjpI8QI-w0wBnYA1w/"", ""Инфа!A:AA""), 6, FALSE)"),2024)</f>
        <v>2024</v>
      </c>
      <c r="J974" s="5">
        <f ca="1">ROUND(((5000+G974*60)*1.3),-2)</f>
        <v>24000</v>
      </c>
      <c r="K974" s="10" t="s">
        <v>63</v>
      </c>
      <c r="L974" s="23" t="s">
        <v>3973</v>
      </c>
    </row>
    <row r="975" spans="1:12" ht="202.5">
      <c r="A975" s="8" t="s">
        <v>3974</v>
      </c>
      <c r="B975" s="9" t="s">
        <v>12</v>
      </c>
      <c r="C975" s="10" t="s">
        <v>3975</v>
      </c>
      <c r="D975" s="10" t="str">
        <f ca="1">IFERROR(__xludf.DUMMYFUNCTION(" VLOOKUP(A972, IMPORTRANGE(""https://docs.google.com/spreadsheets/d/1fj_Bhi2XPL3siwIh4sx4VRLAe31yD50oKdj5UlRYW0c/"", ""Сводка!A:AA""), 11, FALSE)"),"978-601-352-896-0")</f>
        <v>978-601-352-896-0</v>
      </c>
      <c r="E975" s="11" t="s">
        <v>3976</v>
      </c>
      <c r="F975" s="11" t="s">
        <v>3977</v>
      </c>
      <c r="G975" s="12">
        <f ca="1">IFERROR(__xludf.DUMMYFUNCTION(" VLOOKUP(A972, IMPORTRANGE(""https://docs.google.com/spreadsheets/d/1fj_Bhi2XPL3siwIh4sx4VRLAe31yD50oKdj5UlRYW0c/"", ""Сводка!A:AA""), 5, FALSE)"),172)</f>
        <v>172</v>
      </c>
      <c r="H975" s="10" t="s">
        <v>3978</v>
      </c>
      <c r="I975" s="10">
        <f ca="1">IFERROR(__xludf.DUMMYFUNCTION(" VLOOKUP(A972, IMPORTRANGE(""https://docs.google.com/spreadsheets/d/1QNLbnkR_AongFt22vMfNzfpjZ0CjpI8QI-w0wBnYA1w/"", ""Инфа!A:AA""), 6, FALSE)"),2024)</f>
        <v>2024</v>
      </c>
      <c r="J975" s="5">
        <f ca="1">ROUND(((5000+G975*60)*1.3),-2)</f>
        <v>19900</v>
      </c>
      <c r="K975" s="10" t="s">
        <v>3979</v>
      </c>
      <c r="L975" s="23" t="s">
        <v>3980</v>
      </c>
    </row>
    <row r="976" spans="1:12" ht="225">
      <c r="A976" s="8" t="s">
        <v>3981</v>
      </c>
      <c r="B976" s="9" t="s">
        <v>12</v>
      </c>
      <c r="C976" s="12" t="s">
        <v>151</v>
      </c>
      <c r="D976" s="10" t="str">
        <f ca="1">IFERROR(__xludf.DUMMYFUNCTION(" VLOOKUP(A973, IMPORTRANGE(""https://docs.google.com/spreadsheets/d/1fj_Bhi2XPL3siwIh4sx4VRLAe31yD50oKdj5UlRYW0c/"", ""Сводка!A:AA""), 11, FALSE)"),"978-601-352-643-0")</f>
        <v>978-601-352-643-0</v>
      </c>
      <c r="E976" s="11" t="s">
        <v>3982</v>
      </c>
      <c r="F976" s="11" t="s">
        <v>3983</v>
      </c>
      <c r="G976" s="12">
        <f ca="1">IFERROR(__xludf.DUMMYFUNCTION(" VLOOKUP(A973, IMPORTRANGE(""https://docs.google.com/spreadsheets/d/1fj_Bhi2XPL3siwIh4sx4VRLAe31yD50oKdj5UlRYW0c/"", ""Сводка!A:AA""), 5, FALSE)"),180)</f>
        <v>180</v>
      </c>
      <c r="H976" s="12" t="s">
        <v>106</v>
      </c>
      <c r="I976" s="10">
        <f ca="1">IFERROR(__xludf.DUMMYFUNCTION(" VLOOKUP(A973, IMPORTRANGE(""https://docs.google.com/spreadsheets/d/1QNLbnkR_AongFt22vMfNzfpjZ0CjpI8QI-w0wBnYA1w/"", ""Инфа!A:AA""), 6, FALSE)"),2024)</f>
        <v>2024</v>
      </c>
      <c r="J976" s="5">
        <f ca="1">ROUND((5000+G976*60),-2)</f>
        <v>15800</v>
      </c>
      <c r="K976" s="12" t="s">
        <v>3984</v>
      </c>
      <c r="L976" s="15" t="s">
        <v>3985</v>
      </c>
    </row>
    <row r="977" spans="1:12" ht="213.75">
      <c r="A977" s="8" t="s">
        <v>3986</v>
      </c>
      <c r="B977" s="9" t="s">
        <v>12</v>
      </c>
      <c r="C977" s="12" t="s">
        <v>151</v>
      </c>
      <c r="D977" s="10" t="str">
        <f ca="1">IFERROR(__xludf.DUMMYFUNCTION(" VLOOKUP(A974, IMPORTRANGE(""https://docs.google.com/spreadsheets/d/1fj_Bhi2XPL3siwIh4sx4VRLAe31yD50oKdj5UlRYW0c/"", ""Сводка!A:AA""), 11, FALSE)"),"978-601-352-644-7")</f>
        <v>978-601-352-644-7</v>
      </c>
      <c r="E977" s="11" t="s">
        <v>3987</v>
      </c>
      <c r="F977" s="11" t="s">
        <v>3988</v>
      </c>
      <c r="G977" s="12">
        <f ca="1">IFERROR(__xludf.DUMMYFUNCTION(" VLOOKUP(A974, IMPORTRANGE(""https://docs.google.com/spreadsheets/d/1fj_Bhi2XPL3siwIh4sx4VRLAe31yD50oKdj5UlRYW0c/"", ""Сводка!A:AA""), 5, FALSE)"),112)</f>
        <v>112</v>
      </c>
      <c r="H977" s="12" t="s">
        <v>1950</v>
      </c>
      <c r="I977" s="10">
        <f ca="1">IFERROR(__xludf.DUMMYFUNCTION(" VLOOKUP(A974, IMPORTRANGE(""https://docs.google.com/spreadsheets/d/1QNLbnkR_AongFt22vMfNzfpjZ0CjpI8QI-w0wBnYA1w/"", ""Инфа!A:AA""), 6, FALSE)"),2024)</f>
        <v>2024</v>
      </c>
      <c r="J977" s="5">
        <f ca="1">ROUND((5000+G977*30),-2)</f>
        <v>8400</v>
      </c>
      <c r="K977" s="12" t="s">
        <v>3406</v>
      </c>
      <c r="L977" s="15" t="s">
        <v>3989</v>
      </c>
    </row>
    <row r="978" spans="1:12" ht="135">
      <c r="A978" s="8" t="s">
        <v>3990</v>
      </c>
      <c r="B978" s="9" t="s">
        <v>12</v>
      </c>
      <c r="C978" s="12" t="s">
        <v>151</v>
      </c>
      <c r="D978" s="10" t="str">
        <f ca="1">IFERROR(__xludf.DUMMYFUNCTION(" VLOOKUP(A975, IMPORTRANGE(""https://docs.google.com/spreadsheets/d/1fj_Bhi2XPL3siwIh4sx4VRLAe31yD50oKdj5UlRYW0c/"", ""Сводка!A:AA""), 11, FALSE)"),"978-601-352-929-5")</f>
        <v>978-601-352-929-5</v>
      </c>
      <c r="E978" s="11" t="s">
        <v>3725</v>
      </c>
      <c r="F978" s="11" t="s">
        <v>3991</v>
      </c>
      <c r="G978" s="12">
        <f ca="1">IFERROR(__xludf.DUMMYFUNCTION(" VLOOKUP(A975, IMPORTRANGE(""https://docs.google.com/spreadsheets/d/1fj_Bhi2XPL3siwIh4sx4VRLAe31yD50oKdj5UlRYW0c/"", ""Сводка!A:AA""), 5, FALSE)"),348)</f>
        <v>348</v>
      </c>
      <c r="H978" s="12" t="s">
        <v>165</v>
      </c>
      <c r="I978" s="10">
        <f ca="1">IFERROR(__xludf.DUMMYFUNCTION(" VLOOKUP(A975, IMPORTRANGE(""https://docs.google.com/spreadsheets/d/1QNLbnkR_AongFt22vMfNzfpjZ0CjpI8QI-w0wBnYA1w/"", ""Инфа!A:AA""), 6, FALSE)"),2024)</f>
        <v>2024</v>
      </c>
      <c r="J978" s="5">
        <f ca="1">ROUND((5000+G978*60),-2)</f>
        <v>25900</v>
      </c>
      <c r="K978" s="12" t="s">
        <v>69</v>
      </c>
      <c r="L978" s="15" t="s">
        <v>3992</v>
      </c>
    </row>
    <row r="979" spans="1:12" ht="202.5">
      <c r="A979" s="8" t="s">
        <v>3993</v>
      </c>
      <c r="B979" s="9" t="s">
        <v>12</v>
      </c>
      <c r="C979" s="12" t="s">
        <v>151</v>
      </c>
      <c r="D979" s="10" t="str">
        <f ca="1">IFERROR(__xludf.DUMMYFUNCTION(" VLOOKUP(A976, IMPORTRANGE(""https://docs.google.com/spreadsheets/d/1fj_Bhi2XPL3siwIh4sx4VRLAe31yD50oKdj5UlRYW0c/"", ""Сводка!A:AA""), 11, FALSE)"),"978-601-352-846-5")</f>
        <v>978-601-352-846-5</v>
      </c>
      <c r="E979" s="11" t="s">
        <v>3994</v>
      </c>
      <c r="F979" s="11" t="s">
        <v>3995</v>
      </c>
      <c r="G979" s="12">
        <f ca="1">IFERROR(__xludf.DUMMYFUNCTION(" VLOOKUP(A976, IMPORTRANGE(""https://docs.google.com/spreadsheets/d/1fj_Bhi2XPL3siwIh4sx4VRLAe31yD50oKdj5UlRYW0c/"", ""Сводка!A:AA""), 5, FALSE)"),156)</f>
        <v>156</v>
      </c>
      <c r="H979" s="12" t="s">
        <v>165</v>
      </c>
      <c r="I979" s="10">
        <f ca="1">IFERROR(__xludf.DUMMYFUNCTION(" VLOOKUP(A976, IMPORTRANGE(""https://docs.google.com/spreadsheets/d/1QNLbnkR_AongFt22vMfNzfpjZ0CjpI8QI-w0wBnYA1w/"", ""Инфа!A:AA""), 6, FALSE)"),2024)</f>
        <v>2024</v>
      </c>
      <c r="J979" s="5">
        <f ca="1">ROUND((5000+G979*60),-2)</f>
        <v>14400</v>
      </c>
      <c r="K979" s="12" t="s">
        <v>84</v>
      </c>
      <c r="L979" s="15" t="s">
        <v>3996</v>
      </c>
    </row>
    <row r="980" spans="1:12" ht="157.5">
      <c r="A980" s="8" t="s">
        <v>3997</v>
      </c>
      <c r="B980" s="9" t="s">
        <v>12</v>
      </c>
      <c r="C980" s="12" t="s">
        <v>151</v>
      </c>
      <c r="D980" s="10" t="str">
        <f ca="1">IFERROR(__xludf.DUMMYFUNCTION(" VLOOKUP(A977, IMPORTRANGE(""https://docs.google.com/spreadsheets/d/1fj_Bhi2XPL3siwIh4sx4VRLAe31yD50oKdj5UlRYW0c/"", ""Сводка!A:AA""), 11, FALSE)"),"978-601-352-847-2")</f>
        <v>978-601-352-847-2</v>
      </c>
      <c r="E980" s="11" t="s">
        <v>3998</v>
      </c>
      <c r="F980" s="11" t="s">
        <v>3999</v>
      </c>
      <c r="G980" s="12">
        <f ca="1">IFERROR(__xludf.DUMMYFUNCTION(" VLOOKUP(A977, IMPORTRANGE(""https://docs.google.com/spreadsheets/d/1fj_Bhi2XPL3siwIh4sx4VRLAe31yD50oKdj5UlRYW0c/"", ""Сводка!A:AA""), 5, FALSE)"),152)</f>
        <v>152</v>
      </c>
      <c r="H980" s="12" t="s">
        <v>165</v>
      </c>
      <c r="I980" s="10">
        <f ca="1">IFERROR(__xludf.DUMMYFUNCTION(" VLOOKUP(A977, IMPORTRANGE(""https://docs.google.com/spreadsheets/d/1QNLbnkR_AongFt22vMfNzfpjZ0CjpI8QI-w0wBnYA1w/"", ""Инфа!A:AA""), 6, FALSE)"),2024)</f>
        <v>2024</v>
      </c>
      <c r="J980" s="5">
        <f ca="1">ROUND((5000+G980*60),-2)</f>
        <v>14100</v>
      </c>
      <c r="K980" s="12" t="s">
        <v>84</v>
      </c>
      <c r="L980" s="15" t="s">
        <v>4000</v>
      </c>
    </row>
    <row r="981" spans="1:12" ht="236.25">
      <c r="A981" s="8" t="s">
        <v>4001</v>
      </c>
      <c r="B981" s="9" t="s">
        <v>12</v>
      </c>
      <c r="C981" s="12" t="s">
        <v>151</v>
      </c>
      <c r="D981" s="40" t="s">
        <v>4002</v>
      </c>
      <c r="E981" s="11" t="s">
        <v>3120</v>
      </c>
      <c r="F981" s="11" t="s">
        <v>4003</v>
      </c>
      <c r="G981" s="12">
        <f ca="1">IFERROR(__xludf.DUMMYFUNCTION(" VLOOKUP(A978, IMPORTRANGE(""https://docs.google.com/spreadsheets/d/1fj_Bhi2XPL3siwIh4sx4VRLAe31yD50oKdj5UlRYW0c/"", ""Сводка!A:AA""), 5, FALSE)"),200)</f>
        <v>200</v>
      </c>
      <c r="H981" s="12" t="s">
        <v>24</v>
      </c>
      <c r="I981" s="10">
        <f ca="1">IFERROR(__xludf.DUMMYFUNCTION(" VLOOKUP(A978, IMPORTRANGE(""https://docs.google.com/spreadsheets/d/1QNLbnkR_AongFt22vMfNzfpjZ0CjpI8QI-w0wBnYA1w/"", ""Инфа!A:AA""), 6, FALSE)"),2024)</f>
        <v>2024</v>
      </c>
      <c r="J981" s="5">
        <f ca="1">ROUND((5000+G981*30),-2)</f>
        <v>11000</v>
      </c>
      <c r="K981" s="12" t="s">
        <v>2046</v>
      </c>
      <c r="L981" s="15" t="s">
        <v>4004</v>
      </c>
    </row>
    <row r="982" spans="1:12" ht="90">
      <c r="A982" s="8" t="s">
        <v>4005</v>
      </c>
      <c r="B982" s="9" t="s">
        <v>12</v>
      </c>
      <c r="C982" s="10" t="s">
        <v>443</v>
      </c>
      <c r="D982" s="10" t="str">
        <f ca="1">IFERROR(__xludf.DUMMYFUNCTION(" VLOOKUP(A979, IMPORTRANGE(""https://docs.google.com/spreadsheets/d/1fj_Bhi2XPL3siwIh4sx4VRLAe31yD50oKdj5UlRYW0c/"", ""Сводка!A:AA""), 11, FALSE)"),"978-601-352-921-9")</f>
        <v>978-601-352-921-9</v>
      </c>
      <c r="E982" s="22" t="s">
        <v>3767</v>
      </c>
      <c r="F982" s="22" t="s">
        <v>4006</v>
      </c>
      <c r="G982" s="12">
        <f ca="1">IFERROR(__xludf.DUMMYFUNCTION(" VLOOKUP(A979, IMPORTRANGE(""https://docs.google.com/spreadsheets/d/1fj_Bhi2XPL3siwIh4sx4VRLAe31yD50oKdj5UlRYW0c/"", ""Сводка!A:AA""), 5, FALSE)"),256)</f>
        <v>256</v>
      </c>
      <c r="H982" s="10" t="s">
        <v>446</v>
      </c>
      <c r="I982" s="10">
        <f ca="1">IFERROR(__xludf.DUMMYFUNCTION(" VLOOKUP(A979, IMPORTRANGE(""https://docs.google.com/spreadsheets/d/1QNLbnkR_AongFt22vMfNzfpjZ0CjpI8QI-w0wBnYA1w/"", ""Инфа!A:AA""), 6, FALSE)"),2024)</f>
        <v>2024</v>
      </c>
      <c r="J982" s="5">
        <f ca="1">ROUND((5000+G982*60),-2)</f>
        <v>20400</v>
      </c>
      <c r="K982" s="10" t="s">
        <v>3769</v>
      </c>
      <c r="L982" s="23" t="s">
        <v>3770</v>
      </c>
    </row>
    <row r="983" spans="1:12" ht="168.75">
      <c r="A983" s="8" t="s">
        <v>4007</v>
      </c>
      <c r="B983" s="9" t="s">
        <v>12</v>
      </c>
      <c r="C983" s="12" t="s">
        <v>151</v>
      </c>
      <c r="D983" s="10" t="str">
        <f ca="1">IFERROR(__xludf.DUMMYFUNCTION(" VLOOKUP(A980, IMPORTRANGE(""https://docs.google.com/spreadsheets/d/1fj_Bhi2XPL3siwIh4sx4VRLAe31yD50oKdj5UlRYW0c/"", ""Сводка!A:AA""), 11, FALSE)"),"978-601-352-719-2")</f>
        <v>978-601-352-719-2</v>
      </c>
      <c r="E983" s="11" t="s">
        <v>4008</v>
      </c>
      <c r="F983" s="11" t="s">
        <v>4009</v>
      </c>
      <c r="G983" s="12">
        <f ca="1">IFERROR(__xludf.DUMMYFUNCTION(" VLOOKUP(A980, IMPORTRANGE(""https://docs.google.com/spreadsheets/d/1fj_Bhi2XPL3siwIh4sx4VRLAe31yD50oKdj5UlRYW0c/"", ""Сводка!A:AA""), 5, FALSE)"),216)</f>
        <v>216</v>
      </c>
      <c r="H983" s="12" t="s">
        <v>47</v>
      </c>
      <c r="I983" s="10">
        <f ca="1">IFERROR(__xludf.DUMMYFUNCTION(" VLOOKUP(A980, IMPORTRANGE(""https://docs.google.com/spreadsheets/d/1QNLbnkR_AongFt22vMfNzfpjZ0CjpI8QI-w0wBnYA1w/"", ""Инфа!A:AA""), 6, FALSE)"),2024)</f>
        <v>2024</v>
      </c>
      <c r="J983" s="5">
        <f ca="1">ROUND((5000+G983*30),-2)</f>
        <v>11500</v>
      </c>
      <c r="K983" s="12" t="s">
        <v>3722</v>
      </c>
      <c r="L983" s="15" t="s">
        <v>4010</v>
      </c>
    </row>
    <row r="984" spans="1:12" ht="180">
      <c r="A984" s="8" t="s">
        <v>4011</v>
      </c>
      <c r="B984" s="9" t="s">
        <v>12</v>
      </c>
      <c r="C984" s="10" t="s">
        <v>4012</v>
      </c>
      <c r="D984" s="10" t="str">
        <f ca="1">IFERROR(__xludf.DUMMYFUNCTION(" VLOOKUP(A981, IMPORTRANGE(""https://docs.google.com/spreadsheets/d/1fj_Bhi2XPL3siwIh4sx4VRLAe31yD50oKdj5UlRYW0c/"", ""Сводка!A:AA""), 11, FALSE)"),"978-601-327-079-1")</f>
        <v>978-601-327-079-1</v>
      </c>
      <c r="E984" s="11" t="s">
        <v>4013</v>
      </c>
      <c r="F984" s="11" t="s">
        <v>4014</v>
      </c>
      <c r="G984" s="12">
        <v>160</v>
      </c>
      <c r="H984" s="12" t="s">
        <v>165</v>
      </c>
      <c r="I984" s="10">
        <f ca="1">IFERROR(__xludf.DUMMYFUNCTION(" VLOOKUP(A981, IMPORTRANGE(""https://docs.google.com/spreadsheets/d/1QNLbnkR_AongFt22vMfNzfpjZ0CjpI8QI-w0wBnYA1w/"", ""Инфа!A:AA""), 6, FALSE)"),2024)</f>
        <v>2024</v>
      </c>
      <c r="J984" s="5">
        <f>ROUND((5000+G984*30),-2)</f>
        <v>9800</v>
      </c>
      <c r="K984" s="12" t="s">
        <v>4015</v>
      </c>
      <c r="L984" s="15" t="s">
        <v>4016</v>
      </c>
    </row>
    <row r="985" spans="1:12" ht="236.25">
      <c r="A985" s="8" t="s">
        <v>4017</v>
      </c>
      <c r="B985" s="9" t="s">
        <v>12</v>
      </c>
      <c r="C985" s="12" t="s">
        <v>443</v>
      </c>
      <c r="D985" s="10" t="str">
        <f ca="1">IFERROR(__xludf.DUMMYFUNCTION(" VLOOKUP(A982, IMPORTRANGE(""https://docs.google.com/spreadsheets/d/1fj_Bhi2XPL3siwIh4sx4VRLAe31yD50oKdj5UlRYW0c/"", ""Сводка!A:AA""), 11, FALSE)"),"978-601-352-721-5")</f>
        <v>978-601-352-721-5</v>
      </c>
      <c r="E985" s="11" t="s">
        <v>4018</v>
      </c>
      <c r="F985" s="11" t="s">
        <v>4019</v>
      </c>
      <c r="G985" s="12">
        <f ca="1">IFERROR(__xludf.DUMMYFUNCTION(" VLOOKUP(A982, IMPORTRANGE(""https://docs.google.com/spreadsheets/d/1fj_Bhi2XPL3siwIh4sx4VRLAe31yD50oKdj5UlRYW0c/"", ""Сводка!A:AA""), 5, FALSE)"),96)</f>
        <v>96</v>
      </c>
      <c r="H985" s="12" t="s">
        <v>777</v>
      </c>
      <c r="I985" s="10">
        <f ca="1">IFERROR(__xludf.DUMMYFUNCTION(" VLOOKUP(A982, IMPORTRANGE(""https://docs.google.com/spreadsheets/d/1QNLbnkR_AongFt22vMfNzfpjZ0CjpI8QI-w0wBnYA1w/"", ""Инфа!A:AA""), 6, FALSE)"),2024)</f>
        <v>2024</v>
      </c>
      <c r="J985" s="5">
        <f ca="1">ROUND((5000+G985*60),-2)</f>
        <v>10800</v>
      </c>
      <c r="K985" s="12" t="s">
        <v>4020</v>
      </c>
      <c r="L985" s="15" t="s">
        <v>4021</v>
      </c>
    </row>
    <row r="986" spans="1:12" ht="225">
      <c r="A986" s="8" t="s">
        <v>4022</v>
      </c>
      <c r="B986" s="9" t="s">
        <v>12</v>
      </c>
      <c r="C986" s="12" t="s">
        <v>151</v>
      </c>
      <c r="D986" s="10" t="str">
        <f ca="1">IFERROR(__xludf.DUMMYFUNCTION(" VLOOKUP(A983, IMPORTRANGE(""https://docs.google.com/spreadsheets/d/1fj_Bhi2XPL3siwIh4sx4VRLAe31yD50oKdj5UlRYW0c/"", ""Сводка!A:AA""), 11, FALSE)"),"978-601-352-860-1")</f>
        <v>978-601-352-860-1</v>
      </c>
      <c r="E986" s="45" t="s">
        <v>4023</v>
      </c>
      <c r="F986" s="11" t="s">
        <v>4024</v>
      </c>
      <c r="G986" s="12">
        <f ca="1">IFERROR(__xludf.DUMMYFUNCTION(" VLOOKUP(A983, IMPORTRANGE(""https://docs.google.com/spreadsheets/d/1fj_Bhi2XPL3siwIh4sx4VRLAe31yD50oKdj5UlRYW0c/"", ""Сводка!A:AA""), 5, FALSE)"),272)</f>
        <v>272</v>
      </c>
      <c r="H986" s="12" t="s">
        <v>556</v>
      </c>
      <c r="I986" s="10">
        <f ca="1">IFERROR(__xludf.DUMMYFUNCTION(" VLOOKUP(A983, IMPORTRANGE(""https://docs.google.com/spreadsheets/d/1QNLbnkR_AongFt22vMfNzfpjZ0CjpI8QI-w0wBnYA1w/"", ""Инфа!A:AA""), 6, FALSE)"),2024)</f>
        <v>2024</v>
      </c>
      <c r="J986" s="5">
        <f t="shared" ref="J986:J992" ca="1" si="27">ROUND((5000+G986*30),-2)</f>
        <v>13200</v>
      </c>
      <c r="K986" s="12" t="s">
        <v>277</v>
      </c>
      <c r="L986" s="15" t="s">
        <v>4025</v>
      </c>
    </row>
    <row r="987" spans="1:12" ht="236.25">
      <c r="A987" s="8" t="s">
        <v>4026</v>
      </c>
      <c r="B987" s="9" t="s">
        <v>12</v>
      </c>
      <c r="C987" s="12" t="s">
        <v>151</v>
      </c>
      <c r="D987" s="10" t="str">
        <f ca="1">IFERROR(__xludf.DUMMYFUNCTION(" VLOOKUP(A984, IMPORTRANGE(""https://docs.google.com/spreadsheets/d/1fj_Bhi2XPL3siwIh4sx4VRLAe31yD50oKdj5UlRYW0c/"", ""Сводка!A:AA""), 11, FALSE)"),"")</f>
        <v/>
      </c>
      <c r="E987" s="11" t="s">
        <v>4027</v>
      </c>
      <c r="F987" s="11" t="s">
        <v>4028</v>
      </c>
      <c r="G987" s="12">
        <f ca="1">IFERROR(__xludf.DUMMYFUNCTION(" VLOOKUP(A984, IMPORTRANGE(""https://docs.google.com/spreadsheets/d/1fj_Bhi2XPL3siwIh4sx4VRLAe31yD50oKdj5UlRYW0c/"", ""Сводка!A:AA""), 5, FALSE)"),152)</f>
        <v>152</v>
      </c>
      <c r="H987" s="12" t="s">
        <v>106</v>
      </c>
      <c r="I987" s="10">
        <f ca="1">IFERROR(__xludf.DUMMYFUNCTION(" VLOOKUP(A984, IMPORTRANGE(""https://docs.google.com/spreadsheets/d/1QNLbnkR_AongFt22vMfNzfpjZ0CjpI8QI-w0wBnYA1w/"", ""Инфа!A:AA""), 6, FALSE)"),2024)</f>
        <v>2024</v>
      </c>
      <c r="J987" s="5">
        <f t="shared" ca="1" si="27"/>
        <v>9600</v>
      </c>
      <c r="K987" s="12" t="s">
        <v>3591</v>
      </c>
      <c r="L987" s="15" t="s">
        <v>4029</v>
      </c>
    </row>
    <row r="988" spans="1:12" ht="90">
      <c r="A988" s="8" t="s">
        <v>4030</v>
      </c>
      <c r="B988" s="9" t="s">
        <v>12</v>
      </c>
      <c r="C988" s="12" t="s">
        <v>443</v>
      </c>
      <c r="D988" s="10" t="s">
        <v>4031</v>
      </c>
      <c r="E988" s="11" t="s">
        <v>4032</v>
      </c>
      <c r="F988" s="11" t="s">
        <v>4033</v>
      </c>
      <c r="G988" s="12">
        <f ca="1">IFERROR(__xludf.DUMMYFUNCTION(" VLOOKUP(A985, IMPORTRANGE(""https://docs.google.com/spreadsheets/d/1fj_Bhi2XPL3siwIh4sx4VRLAe31yD50oKdj5UlRYW0c/"", ""Сводка!A:AA""), 5, FALSE)"),88)</f>
        <v>88</v>
      </c>
      <c r="H988" s="12" t="s">
        <v>538</v>
      </c>
      <c r="I988" s="10">
        <f ca="1">IFERROR(__xludf.DUMMYFUNCTION(" VLOOKUP(A985, IMPORTRANGE(""https://docs.google.com/spreadsheets/d/1QNLbnkR_AongFt22vMfNzfpjZ0CjpI8QI-w0wBnYA1w/"", ""Инфа!A:AA""), 6, FALSE)"),2024)</f>
        <v>2024</v>
      </c>
      <c r="J988" s="5">
        <f t="shared" ca="1" si="27"/>
        <v>7600</v>
      </c>
      <c r="K988" s="12" t="s">
        <v>4034</v>
      </c>
      <c r="L988" s="15" t="s">
        <v>4035</v>
      </c>
    </row>
    <row r="989" spans="1:12" ht="135">
      <c r="A989" s="8" t="s">
        <v>4036</v>
      </c>
      <c r="B989" s="9" t="s">
        <v>12</v>
      </c>
      <c r="C989" s="12" t="s">
        <v>443</v>
      </c>
      <c r="D989" s="10" t="str">
        <f ca="1">IFERROR(__xludf.DUMMYFUNCTION(" VLOOKUP(A986, IMPORTRANGE(""https://docs.google.com/spreadsheets/d/1fj_Bhi2XPL3siwIh4sx4VRLAe31yD50oKdj5UlRYW0c/"", ""Сводка!A:AA""), 11, FALSE)"),"978-601-337-622-6")</f>
        <v>978-601-337-622-6</v>
      </c>
      <c r="E989" s="11" t="s">
        <v>4037</v>
      </c>
      <c r="F989" s="11" t="s">
        <v>4038</v>
      </c>
      <c r="G989" s="12">
        <f ca="1">IFERROR(__xludf.DUMMYFUNCTION(" VLOOKUP(A986, IMPORTRANGE(""https://docs.google.com/spreadsheets/d/1fj_Bhi2XPL3siwIh4sx4VRLAe31yD50oKdj5UlRYW0c/"", ""Сводка!A:AA""), 5, FALSE)"),196)</f>
        <v>196</v>
      </c>
      <c r="H989" s="12" t="s">
        <v>106</v>
      </c>
      <c r="I989" s="10">
        <f ca="1">IFERROR(__xludf.DUMMYFUNCTION(" VLOOKUP(A986, IMPORTRANGE(""https://docs.google.com/spreadsheets/d/1QNLbnkR_AongFt22vMfNzfpjZ0CjpI8QI-w0wBnYA1w/"", ""Инфа!A:AA""), 6, FALSE)"),2023)</f>
        <v>2023</v>
      </c>
      <c r="J989" s="5">
        <f t="shared" ca="1" si="27"/>
        <v>10900</v>
      </c>
      <c r="K989" s="12" t="s">
        <v>257</v>
      </c>
      <c r="L989" s="15" t="s">
        <v>4039</v>
      </c>
    </row>
    <row r="990" spans="1:12" ht="123.75">
      <c r="A990" s="8" t="s">
        <v>4040</v>
      </c>
      <c r="B990" s="9" t="s">
        <v>12</v>
      </c>
      <c r="C990" s="12" t="s">
        <v>151</v>
      </c>
      <c r="D990" s="10" t="str">
        <f ca="1">IFERROR(__xludf.DUMMYFUNCTION(" VLOOKUP(A987, IMPORTRANGE(""https://docs.google.com/spreadsheets/d/1fj_Bhi2XPL3siwIh4sx4VRLAe31yD50oKdj5UlRYW0c/"", ""Сводка!A:AA""), 11, FALSE)"),"978-601-352-927-1")</f>
        <v>978-601-352-927-1</v>
      </c>
      <c r="E990" s="11" t="s">
        <v>4041</v>
      </c>
      <c r="F990" s="11" t="s">
        <v>4042</v>
      </c>
      <c r="G990" s="12">
        <f ca="1">IFERROR(__xludf.DUMMYFUNCTION(" VLOOKUP(A987, IMPORTRANGE(""https://docs.google.com/spreadsheets/d/1fj_Bhi2XPL3siwIh4sx4VRLAe31yD50oKdj5UlRYW0c/"", ""Сводка!A:AA""), 5, FALSE)"),220)</f>
        <v>220</v>
      </c>
      <c r="H990" s="12" t="s">
        <v>282</v>
      </c>
      <c r="I990" s="10">
        <f ca="1">IFERROR(__xludf.DUMMYFUNCTION(" VLOOKUP(A987, IMPORTRANGE(""https://docs.google.com/spreadsheets/d/1QNLbnkR_AongFt22vMfNzfpjZ0CjpI8QI-w0wBnYA1w/"", ""Инфа!A:AA""), 6, FALSE)"),2023)</f>
        <v>2023</v>
      </c>
      <c r="J990" s="5">
        <f t="shared" ca="1" si="27"/>
        <v>11600</v>
      </c>
      <c r="K990" s="12" t="s">
        <v>4043</v>
      </c>
      <c r="L990" s="15" t="s">
        <v>4044</v>
      </c>
    </row>
    <row r="991" spans="1:12" ht="135">
      <c r="A991" s="8" t="s">
        <v>4045</v>
      </c>
      <c r="B991" s="9" t="s">
        <v>12</v>
      </c>
      <c r="C991" s="12" t="s">
        <v>151</v>
      </c>
      <c r="D991" s="10" t="str">
        <f ca="1">IFERROR(__xludf.DUMMYFUNCTION(" VLOOKUP(A988, IMPORTRANGE(""https://docs.google.com/spreadsheets/d/1fj_Bhi2XPL3siwIh4sx4VRLAe31yD50oKdj5UlRYW0c/"", ""Сводка!A:AA""), 11, FALSE)"),"978-601-766-55-48")</f>
        <v>978-601-766-55-48</v>
      </c>
      <c r="E991" s="11" t="s">
        <v>4041</v>
      </c>
      <c r="F991" s="11" t="s">
        <v>4046</v>
      </c>
      <c r="G991" s="12">
        <f ca="1">IFERROR(__xludf.DUMMYFUNCTION(" VLOOKUP(A988, IMPORTRANGE(""https://docs.google.com/spreadsheets/d/1fj_Bhi2XPL3siwIh4sx4VRLAe31yD50oKdj5UlRYW0c/"", ""Сводка!A:AA""), 5, FALSE)"),196)</f>
        <v>196</v>
      </c>
      <c r="H991" s="12" t="s">
        <v>282</v>
      </c>
      <c r="I991" s="10">
        <f ca="1">IFERROR(__xludf.DUMMYFUNCTION(" VLOOKUP(A988, IMPORTRANGE(""https://docs.google.com/spreadsheets/d/1QNLbnkR_AongFt22vMfNzfpjZ0CjpI8QI-w0wBnYA1w/"", ""Инфа!A:AA""), 6, FALSE)"),2023)</f>
        <v>2023</v>
      </c>
      <c r="J991" s="5">
        <f t="shared" ca="1" si="27"/>
        <v>10900</v>
      </c>
      <c r="K991" s="12" t="s">
        <v>4047</v>
      </c>
      <c r="L991" s="15" t="s">
        <v>4048</v>
      </c>
    </row>
    <row r="992" spans="1:12" ht="202.5">
      <c r="A992" s="8" t="s">
        <v>4049</v>
      </c>
      <c r="B992" s="9" t="s">
        <v>12</v>
      </c>
      <c r="C992" s="10" t="s">
        <v>21</v>
      </c>
      <c r="D992" s="10" t="str">
        <f ca="1">IFERROR(__xludf.DUMMYFUNCTION(" VLOOKUP(A989, IMPORTRANGE(""https://docs.google.com/spreadsheets/d/1fj_Bhi2XPL3siwIh4sx4VRLAe31yD50oKdj5UlRYW0c/"", ""Сводка!A:AA""), 11, FALSE)"),"978-601-352-883-0")</f>
        <v>978-601-352-883-0</v>
      </c>
      <c r="E992" s="22" t="s">
        <v>4050</v>
      </c>
      <c r="F992" s="22" t="s">
        <v>4051</v>
      </c>
      <c r="G992" s="12">
        <f ca="1">IFERROR(__xludf.DUMMYFUNCTION(" VLOOKUP(A989, IMPORTRANGE(""https://docs.google.com/spreadsheets/d/1fj_Bhi2XPL3siwIh4sx4VRLAe31yD50oKdj5UlRYW0c/"", ""Сводка!A:AA""), 5, FALSE)"),104)</f>
        <v>104</v>
      </c>
      <c r="H992" s="10" t="s">
        <v>16</v>
      </c>
      <c r="I992" s="10">
        <f ca="1">IFERROR(__xludf.DUMMYFUNCTION(" VLOOKUP(A989, IMPORTRANGE(""https://docs.google.com/spreadsheets/d/1QNLbnkR_AongFt22vMfNzfpjZ0CjpI8QI-w0wBnYA1w/"", ""Инфа!A:AA""), 6, FALSE)"),2024)</f>
        <v>2024</v>
      </c>
      <c r="J992" s="5">
        <f t="shared" ca="1" si="27"/>
        <v>8100</v>
      </c>
      <c r="K992" s="10" t="s">
        <v>4052</v>
      </c>
      <c r="L992" s="23" t="s">
        <v>4053</v>
      </c>
    </row>
    <row r="993" spans="1:12" ht="180">
      <c r="A993" s="8" t="s">
        <v>4054</v>
      </c>
      <c r="B993" s="9" t="s">
        <v>12</v>
      </c>
      <c r="C993" s="12" t="s">
        <v>151</v>
      </c>
      <c r="D993" s="10" t="str">
        <f ca="1">IFERROR(__xludf.DUMMYFUNCTION(" VLOOKUP(A990, IMPORTRANGE(""https://docs.google.com/spreadsheets/d/1fj_Bhi2XPL3siwIh4sx4VRLAe31yD50oKdj5UlRYW0c/"", ""Сводка!A:AA""), 11, FALSE)"),"978-601-257-325-1")</f>
        <v>978-601-257-325-1</v>
      </c>
      <c r="E993" s="11" t="s">
        <v>4055</v>
      </c>
      <c r="F993" s="11" t="s">
        <v>4056</v>
      </c>
      <c r="G993" s="12">
        <f ca="1">IFERROR(__xludf.DUMMYFUNCTION(" VLOOKUP(A990, IMPORTRANGE(""https://docs.google.com/spreadsheets/d/1fj_Bhi2XPL3siwIh4sx4VRLAe31yD50oKdj5UlRYW0c/"", ""Сводка!A:AA""), 5, FALSE)"),248)</f>
        <v>248</v>
      </c>
      <c r="H993" s="12" t="s">
        <v>47</v>
      </c>
      <c r="I993" s="10">
        <f ca="1">IFERROR(__xludf.DUMMYFUNCTION(" VLOOKUP(A990, IMPORTRANGE(""https://docs.google.com/spreadsheets/d/1QNLbnkR_AongFt22vMfNzfpjZ0CjpI8QI-w0wBnYA1w/"", ""Инфа!A:AA""), 6, FALSE)"),2024)</f>
        <v>2024</v>
      </c>
      <c r="J993" s="5">
        <f ca="1">ROUND((5000+G993*60),-2)</f>
        <v>19900</v>
      </c>
      <c r="K993" s="12" t="s">
        <v>4057</v>
      </c>
      <c r="L993" s="15" t="s">
        <v>4058</v>
      </c>
    </row>
    <row r="994" spans="1:12" ht="247.5">
      <c r="A994" s="8" t="s">
        <v>4059</v>
      </c>
      <c r="B994" s="9" t="s">
        <v>2231</v>
      </c>
      <c r="C994" s="12" t="s">
        <v>443</v>
      </c>
      <c r="D994" s="10" t="s">
        <v>4060</v>
      </c>
      <c r="E994" s="11" t="s">
        <v>4061</v>
      </c>
      <c r="F994" s="11" t="s">
        <v>4062</v>
      </c>
      <c r="G994" s="12">
        <f ca="1">IFERROR(__xludf.DUMMYFUNCTION(" VLOOKUP(A991, IMPORTRANGE(""https://docs.google.com/spreadsheets/d/1fj_Bhi2XPL3siwIh4sx4VRLAe31yD50oKdj5UlRYW0c/"", ""Сводка!A:AA""), 5, FALSE)"),164)</f>
        <v>164</v>
      </c>
      <c r="H994" s="12" t="s">
        <v>538</v>
      </c>
      <c r="I994" s="10">
        <f ca="1">IFERROR(__xludf.DUMMYFUNCTION(" VLOOKUP(A991, IMPORTRANGE(""https://docs.google.com/spreadsheets/d/1QNLbnkR_AongFt22vMfNzfpjZ0CjpI8QI-w0wBnYA1w/"", ""Инфа!A:AA""), 6, FALSE)"),2023)</f>
        <v>2023</v>
      </c>
      <c r="J994" s="5">
        <f ca="1">ROUND((5000+G994*30),-2)</f>
        <v>9900</v>
      </c>
      <c r="K994" s="12" t="s">
        <v>4063</v>
      </c>
      <c r="L994" s="15" t="s">
        <v>4064</v>
      </c>
    </row>
    <row r="995" spans="1:12" ht="281.25">
      <c r="A995" s="8" t="s">
        <v>4065</v>
      </c>
      <c r="B995" s="9" t="s">
        <v>12</v>
      </c>
      <c r="C995" s="10" t="s">
        <v>21</v>
      </c>
      <c r="D995" s="10" t="str">
        <f ca="1">IFERROR(__xludf.DUMMYFUNCTION(" VLOOKUP(A992, IMPORTRANGE(""https://docs.google.com/spreadsheets/d/1fj_Bhi2XPL3siwIh4sx4VRLAe31yD50oKdj5UlRYW0c/"", ""Сводка!A:AA""), 11, FALSE)"),"978-601-202-157-8")</f>
        <v>978-601-202-157-8</v>
      </c>
      <c r="E995" s="11" t="s">
        <v>4066</v>
      </c>
      <c r="F995" s="11" t="s">
        <v>4067</v>
      </c>
      <c r="G995" s="12">
        <f ca="1">IFERROR(__xludf.DUMMYFUNCTION(" VLOOKUP(A992, IMPORTRANGE(""https://docs.google.com/spreadsheets/d/1fj_Bhi2XPL3siwIh4sx4VRLAe31yD50oKdj5UlRYW0c/"", ""Сводка!A:AA""), 5, FALSE)"),196)</f>
        <v>196</v>
      </c>
      <c r="H995" s="12" t="s">
        <v>165</v>
      </c>
      <c r="I995" s="10">
        <f ca="1">IFERROR(__xludf.DUMMYFUNCTION(" VLOOKUP(A992, IMPORTRANGE(""https://docs.google.com/spreadsheets/d/1QNLbnkR_AongFt22vMfNzfpjZ0CjpI8QI-w0wBnYA1w/"", ""Инфа!A:AA""), 6, FALSE)"),2024)</f>
        <v>2024</v>
      </c>
      <c r="J995" s="5">
        <f ca="1">ROUND((5000+G995*30),-2)</f>
        <v>10900</v>
      </c>
      <c r="K995" s="12" t="s">
        <v>2421</v>
      </c>
      <c r="L995" s="15" t="s">
        <v>4068</v>
      </c>
    </row>
    <row r="996" spans="1:12" ht="112.5">
      <c r="A996" s="8" t="s">
        <v>4069</v>
      </c>
      <c r="B996" s="9" t="s">
        <v>12</v>
      </c>
      <c r="C996" s="12" t="s">
        <v>443</v>
      </c>
      <c r="D996" s="10" t="str">
        <f ca="1">IFERROR(__xludf.DUMMYFUNCTION(" VLOOKUP(A993, IMPORTRANGE(""https://docs.google.com/spreadsheets/d/1fj_Bhi2XPL3siwIh4sx4VRLAe31yD50oKdj5UlRYW0c/"", ""Сводка!A:AA""), 11, FALSE)"),"978-601-352-953-0")</f>
        <v>978-601-352-953-0</v>
      </c>
      <c r="E996" s="11" t="s">
        <v>4070</v>
      </c>
      <c r="F996" s="11" t="s">
        <v>4071</v>
      </c>
      <c r="G996" s="12">
        <f ca="1">IFERROR(__xludf.DUMMYFUNCTION(" VLOOKUP(A993, IMPORTRANGE(""https://docs.google.com/spreadsheets/d/1fj_Bhi2XPL3siwIh4sx4VRLAe31yD50oKdj5UlRYW0c/"", ""Сводка!A:AA""), 5, FALSE)"),92)</f>
        <v>92</v>
      </c>
      <c r="H996" s="12" t="s">
        <v>538</v>
      </c>
      <c r="I996" s="10">
        <f ca="1">IFERROR(__xludf.DUMMYFUNCTION(" VLOOKUP(A993, IMPORTRANGE(""https://docs.google.com/spreadsheets/d/1QNLbnkR_AongFt22vMfNzfpjZ0CjpI8QI-w0wBnYA1w/"", ""Инфа!A:AA""), 6, FALSE)"),2024)</f>
        <v>2024</v>
      </c>
      <c r="J996" s="5">
        <f ca="1">ROUND((5000+G996*60),-2)</f>
        <v>10500</v>
      </c>
      <c r="K996" s="12" t="s">
        <v>4072</v>
      </c>
      <c r="L996" s="15" t="s">
        <v>4073</v>
      </c>
    </row>
    <row r="997" spans="1:12" ht="270">
      <c r="A997" s="8" t="s">
        <v>4074</v>
      </c>
      <c r="B997" s="9" t="s">
        <v>12</v>
      </c>
      <c r="C997" s="12" t="s">
        <v>443</v>
      </c>
      <c r="D997" s="10" t="str">
        <f ca="1">IFERROR(__xludf.DUMMYFUNCTION(" VLOOKUP(A994, IMPORTRANGE(""https://docs.google.com/spreadsheets/d/1fj_Bhi2XPL3siwIh4sx4VRLAe31yD50oKdj5UlRYW0c/"", ""Сводка!A:AA""), 11, FALSE)"),"978-601-552-849-6")</f>
        <v>978-601-552-849-6</v>
      </c>
      <c r="E997" s="22" t="s">
        <v>4075</v>
      </c>
      <c r="F997" s="22" t="s">
        <v>4076</v>
      </c>
      <c r="G997" s="12">
        <f ca="1">IFERROR(__xludf.DUMMYFUNCTION(" VLOOKUP(A994, IMPORTRANGE(""https://docs.google.com/spreadsheets/d/1fj_Bhi2XPL3siwIh4sx4VRLAe31yD50oKdj5UlRYW0c/"", ""Сводка!A:AA""), 5, FALSE)"),228)</f>
        <v>228</v>
      </c>
      <c r="H997" s="10" t="s">
        <v>4077</v>
      </c>
      <c r="I997" s="10">
        <f ca="1">IFERROR(__xludf.DUMMYFUNCTION(" VLOOKUP(A994, IMPORTRANGE(""https://docs.google.com/spreadsheets/d/1QNLbnkR_AongFt22vMfNzfpjZ0CjpI8QI-w0wBnYA1w/"", ""Инфа!A:AA""), 6, FALSE)"),2024)</f>
        <v>2024</v>
      </c>
      <c r="J997" s="5">
        <f t="shared" ref="J997:J1002" ca="1" si="28">ROUND((5000+G997*30),-2)</f>
        <v>11800</v>
      </c>
      <c r="K997" s="10" t="s">
        <v>277</v>
      </c>
      <c r="L997" s="23" t="s">
        <v>4078</v>
      </c>
    </row>
    <row r="998" spans="1:12" ht="292.5">
      <c r="A998" s="8" t="s">
        <v>4079</v>
      </c>
      <c r="B998" s="9" t="s">
        <v>12</v>
      </c>
      <c r="C998" s="10" t="s">
        <v>443</v>
      </c>
      <c r="D998" s="10" t="str">
        <f ca="1">IFERROR(__xludf.DUMMYFUNCTION(" VLOOKUP(A995, IMPORTRANGE(""https://docs.google.com/spreadsheets/d/1fj_Bhi2XPL3siwIh4sx4VRLAe31yD50oKdj5UlRYW0c/"", ""Сводка!A:AA""), 11, FALSE)"),"978-601-352-658-4")</f>
        <v>978-601-352-658-4</v>
      </c>
      <c r="E998" s="11" t="s">
        <v>4080</v>
      </c>
      <c r="F998" s="11" t="s">
        <v>4081</v>
      </c>
      <c r="G998" s="12">
        <f ca="1">IFERROR(__xludf.DUMMYFUNCTION(" VLOOKUP(A995, IMPORTRANGE(""https://docs.google.com/spreadsheets/d/1fj_Bhi2XPL3siwIh4sx4VRLAe31yD50oKdj5UlRYW0c/"", ""Сводка!A:AA""), 5, FALSE)"),212)</f>
        <v>212</v>
      </c>
      <c r="H998" s="12" t="s">
        <v>538</v>
      </c>
      <c r="I998" s="10">
        <f ca="1">IFERROR(__xludf.DUMMYFUNCTION(" VLOOKUP(A995, IMPORTRANGE(""https://docs.google.com/spreadsheets/d/1QNLbnkR_AongFt22vMfNzfpjZ0CjpI8QI-w0wBnYA1w/"", ""Инфа!A:AA""), 6, FALSE)"),2024)</f>
        <v>2024</v>
      </c>
      <c r="J998" s="5">
        <f t="shared" ca="1" si="28"/>
        <v>11400</v>
      </c>
      <c r="K998" s="12" t="s">
        <v>3608</v>
      </c>
      <c r="L998" s="15" t="s">
        <v>4082</v>
      </c>
    </row>
    <row r="999" spans="1:12" ht="146.25">
      <c r="A999" s="8" t="s">
        <v>4083</v>
      </c>
      <c r="B999" s="9" t="s">
        <v>12</v>
      </c>
      <c r="C999" s="10" t="s">
        <v>443</v>
      </c>
      <c r="D999" s="10" t="str">
        <f ca="1">IFERROR(__xludf.DUMMYFUNCTION(" VLOOKUP(A996, IMPORTRANGE(""https://docs.google.com/spreadsheets/d/1fj_Bhi2XPL3siwIh4sx4VRLAe31yD50oKdj5UlRYW0c/"", ""Сводка!A:AA""), 11, FALSE)"),"978-601-352-850-2")</f>
        <v>978-601-352-850-2</v>
      </c>
      <c r="E999" s="11" t="s">
        <v>4084</v>
      </c>
      <c r="F999" s="11" t="s">
        <v>4085</v>
      </c>
      <c r="G999" s="12">
        <f ca="1">IFERROR(__xludf.DUMMYFUNCTION(" VLOOKUP(A996, IMPORTRANGE(""https://docs.google.com/spreadsheets/d/1fj_Bhi2XPL3siwIh4sx4VRLAe31yD50oKdj5UlRYW0c/"", ""Сводка!A:AA""), 5, FALSE)"),108)</f>
        <v>108</v>
      </c>
      <c r="H999" s="12" t="s">
        <v>538</v>
      </c>
      <c r="I999" s="10">
        <f ca="1">IFERROR(__xludf.DUMMYFUNCTION(" VLOOKUP(A996, IMPORTRANGE(""https://docs.google.com/spreadsheets/d/1QNLbnkR_AongFt22vMfNzfpjZ0CjpI8QI-w0wBnYA1w/"", ""Инфа!A:AA""), 6, FALSE)"),2023)</f>
        <v>2023</v>
      </c>
      <c r="J999" s="5">
        <f t="shared" ca="1" si="28"/>
        <v>8200</v>
      </c>
      <c r="K999" s="12" t="s">
        <v>277</v>
      </c>
      <c r="L999" s="15" t="s">
        <v>4086</v>
      </c>
    </row>
    <row r="1000" spans="1:12" ht="180">
      <c r="A1000" s="8" t="s">
        <v>4087</v>
      </c>
      <c r="B1000" s="9" t="s">
        <v>12</v>
      </c>
      <c r="C1000" s="12" t="s">
        <v>443</v>
      </c>
      <c r="D1000" s="10" t="str">
        <f ca="1">IFERROR(__xludf.DUMMYFUNCTION(" VLOOKUP(A997, IMPORTRANGE(""https://docs.google.com/spreadsheets/d/1fj_Bhi2XPL3siwIh4sx4VRLAe31yD50oKdj5UlRYW0c/"", ""Сводка!A:AA""), 11, FALSE)"),"978-601-352-012-4")</f>
        <v>978-601-352-012-4</v>
      </c>
      <c r="E1000" s="11" t="s">
        <v>4088</v>
      </c>
      <c r="F1000" s="11" t="s">
        <v>4089</v>
      </c>
      <c r="G1000" s="12">
        <f ca="1">IFERROR(__xludf.DUMMYFUNCTION(" VLOOKUP(A997, IMPORTRANGE(""https://docs.google.com/spreadsheets/d/1fj_Bhi2XPL3siwIh4sx4VRLAe31yD50oKdj5UlRYW0c/"", ""Сводка!A:AA""), 5, FALSE)"),148)</f>
        <v>148</v>
      </c>
      <c r="H1000" s="12" t="s">
        <v>511</v>
      </c>
      <c r="I1000" s="10">
        <f ca="1">IFERROR(__xludf.DUMMYFUNCTION(" VLOOKUP(A997, IMPORTRANGE(""https://docs.google.com/spreadsheets/d/1QNLbnkR_AongFt22vMfNzfpjZ0CjpI8QI-w0wBnYA1w/"", ""Инфа!A:AA""), 6, FALSE)"),2024)</f>
        <v>2024</v>
      </c>
      <c r="J1000" s="5">
        <f t="shared" ca="1" si="28"/>
        <v>9400</v>
      </c>
      <c r="K1000" s="12" t="s">
        <v>197</v>
      </c>
      <c r="L1000" s="15" t="s">
        <v>4090</v>
      </c>
    </row>
    <row r="1001" spans="1:12" ht="90">
      <c r="A1001" s="8" t="s">
        <v>4091</v>
      </c>
      <c r="B1001" s="9" t="s">
        <v>12</v>
      </c>
      <c r="C1001" s="12" t="s">
        <v>443</v>
      </c>
      <c r="D1001" s="10" t="str">
        <f ca="1">IFERROR(__xludf.DUMMYFUNCTION(" VLOOKUP(A998, IMPORTRANGE(""https://docs.google.com/spreadsheets/d/1fj_Bhi2XPL3siwIh4sx4VRLAe31yD50oKdj5UlRYW0c/"", ""Сводка!A:AA""), 11, FALSE)"),"978-601-352-924-0")</f>
        <v>978-601-352-924-0</v>
      </c>
      <c r="E1001" s="11" t="s">
        <v>4092</v>
      </c>
      <c r="F1001" s="11" t="s">
        <v>4093</v>
      </c>
      <c r="G1001" s="12">
        <f ca="1">IFERROR(__xludf.DUMMYFUNCTION(" VLOOKUP(A998, IMPORTRANGE(""https://docs.google.com/spreadsheets/d/1fj_Bhi2XPL3siwIh4sx4VRLAe31yD50oKdj5UlRYW0c/"", ""Сводка!A:AA""), 5, FALSE)"),144)</f>
        <v>144</v>
      </c>
      <c r="H1001" s="12" t="s">
        <v>538</v>
      </c>
      <c r="I1001" s="10">
        <f ca="1">IFERROR(__xludf.DUMMYFUNCTION(" VLOOKUP(A998, IMPORTRANGE(""https://docs.google.com/spreadsheets/d/1QNLbnkR_AongFt22vMfNzfpjZ0CjpI8QI-w0wBnYA1w/"", ""Инфа!A:AA""), 6, FALSE)"),2023)</f>
        <v>2023</v>
      </c>
      <c r="J1001" s="5">
        <f t="shared" ca="1" si="28"/>
        <v>9300</v>
      </c>
      <c r="K1001" s="12" t="s">
        <v>570</v>
      </c>
      <c r="L1001" s="15" t="s">
        <v>4094</v>
      </c>
    </row>
    <row r="1002" spans="1:12" ht="225">
      <c r="A1002" s="8" t="s">
        <v>4095</v>
      </c>
      <c r="B1002" s="9" t="s">
        <v>12</v>
      </c>
      <c r="C1002" s="12" t="s">
        <v>443</v>
      </c>
      <c r="D1002" s="10" t="s">
        <v>4096</v>
      </c>
      <c r="E1002" s="11" t="s">
        <v>4097</v>
      </c>
      <c r="F1002" s="11" t="s">
        <v>4098</v>
      </c>
      <c r="G1002" s="12">
        <f ca="1">IFERROR(__xludf.DUMMYFUNCTION(" VLOOKUP(A999, IMPORTRANGE(""https://docs.google.com/spreadsheets/d/1fj_Bhi2XPL3siwIh4sx4VRLAe31yD50oKdj5UlRYW0c/"", ""Сводка!A:AA""), 5, FALSE)"),212)</f>
        <v>212</v>
      </c>
      <c r="H1002" s="12" t="s">
        <v>511</v>
      </c>
      <c r="I1002" s="10">
        <f ca="1">IFERROR(__xludf.DUMMYFUNCTION(" VLOOKUP(A999, IMPORTRANGE(""https://docs.google.com/spreadsheets/d/1QNLbnkR_AongFt22vMfNzfpjZ0CjpI8QI-w0wBnYA1w/"", ""Инфа!A:AA""), 6, FALSE)"),2024)</f>
        <v>2024</v>
      </c>
      <c r="J1002" s="5">
        <f t="shared" ca="1" si="28"/>
        <v>11400</v>
      </c>
      <c r="K1002" s="12" t="s">
        <v>197</v>
      </c>
      <c r="L1002" s="15" t="s">
        <v>4099</v>
      </c>
    </row>
    <row r="1003" spans="1:12" ht="281.25">
      <c r="A1003" s="8" t="s">
        <v>4100</v>
      </c>
      <c r="B1003" s="9" t="s">
        <v>12</v>
      </c>
      <c r="C1003" s="12" t="s">
        <v>21</v>
      </c>
      <c r="D1003" s="10" t="str">
        <f ca="1">IFERROR(__xludf.DUMMYFUNCTION(" VLOOKUP(A1000, IMPORTRANGE(""https://docs.google.com/spreadsheets/d/1fj_Bhi2XPL3siwIh4sx4VRLAe31yD50oKdj5UlRYW0c/"", ""Сводка!A:AA""), 11, FALSE)"),"978-601-330-033-7")</f>
        <v>978-601-330-033-7</v>
      </c>
      <c r="E1003" s="11" t="s">
        <v>4101</v>
      </c>
      <c r="F1003" s="11" t="s">
        <v>4102</v>
      </c>
      <c r="G1003" s="12">
        <f ca="1">IFERROR(__xludf.DUMMYFUNCTION(" VLOOKUP(A1000, IMPORTRANGE(""https://docs.google.com/spreadsheets/d/1fj_Bhi2XPL3siwIh4sx4VRLAe31yD50oKdj5UlRYW0c/"", ""Сводка!A:AA""), 5, FALSE)"),100)</f>
        <v>100</v>
      </c>
      <c r="H1003" s="10" t="s">
        <v>42</v>
      </c>
      <c r="I1003" s="10">
        <f ca="1">IFERROR(__xludf.DUMMYFUNCTION(" VLOOKUP(A1000, IMPORTRANGE(""https://docs.google.com/spreadsheets/d/1QNLbnkR_AongFt22vMfNzfpjZ0CjpI8QI-w0wBnYA1w/"", ""Инфа!A:AA""), 6, FALSE)"),2023)</f>
        <v>2023</v>
      </c>
      <c r="J1003" s="5">
        <f ca="1">ROUND((5000+G1003*60),-2)</f>
        <v>11000</v>
      </c>
      <c r="K1003" s="10" t="s">
        <v>4103</v>
      </c>
      <c r="L1003" s="23" t="s">
        <v>4104</v>
      </c>
    </row>
    <row r="1004" spans="1:12" ht="225">
      <c r="A1004" s="8" t="s">
        <v>4105</v>
      </c>
      <c r="B1004" s="9" t="s">
        <v>12</v>
      </c>
      <c r="C1004" s="12" t="s">
        <v>151</v>
      </c>
      <c r="D1004" s="10" t="str">
        <f ca="1">IFERROR(__xludf.DUMMYFUNCTION(" VLOOKUP(A1001, IMPORTRANGE(""https://docs.google.com/spreadsheets/d/1fj_Bhi2XPL3siwIh4sx4VRLAe31yD50oKdj5UlRYW0c/"", ""Сводка!A:AA""), 11, FALSE)"),"978-601-233-429-6")</f>
        <v>978-601-233-429-6</v>
      </c>
      <c r="E1004" s="11" t="s">
        <v>4106</v>
      </c>
      <c r="F1004" s="11" t="s">
        <v>4107</v>
      </c>
      <c r="G1004" s="12">
        <f ca="1">IFERROR(__xludf.DUMMYFUNCTION(" VLOOKUP(A1001, IMPORTRANGE(""https://docs.google.com/spreadsheets/d/1fj_Bhi2XPL3siwIh4sx4VRLAe31yD50oKdj5UlRYW0c/"", ""Сводка!A:AA""), 5, FALSE)"),224)</f>
        <v>224</v>
      </c>
      <c r="H1004" s="10" t="s">
        <v>47</v>
      </c>
      <c r="I1004" s="10">
        <f ca="1">IFERROR(__xludf.DUMMYFUNCTION(" VLOOKUP(A1001, IMPORTRANGE(""https://docs.google.com/spreadsheets/d/1QNLbnkR_AongFt22vMfNzfpjZ0CjpI8QI-w0wBnYA1w/"", ""Инфа!A:AA""), 6, FALSE)"),2023)</f>
        <v>2023</v>
      </c>
      <c r="J1004" s="5">
        <f ca="1">ROUND((5000+G1004*30),-2)</f>
        <v>11700</v>
      </c>
      <c r="K1004" s="10" t="s">
        <v>4108</v>
      </c>
      <c r="L1004" s="23" t="s">
        <v>4109</v>
      </c>
    </row>
    <row r="1005" spans="1:12" ht="258.75">
      <c r="A1005" s="8" t="s">
        <v>4110</v>
      </c>
      <c r="B1005" s="9" t="s">
        <v>12</v>
      </c>
      <c r="C1005" s="12" t="s">
        <v>151</v>
      </c>
      <c r="D1005" s="10" t="str">
        <f ca="1">IFERROR(__xludf.DUMMYFUNCTION(" VLOOKUP(A1002, IMPORTRANGE(""https://docs.google.com/spreadsheets/d/1fj_Bhi2XPL3siwIh4sx4VRLAe31yD50oKdj5UlRYW0c/"", ""Сводка!A:AA""), 11, FALSE)"),"978-601-7625-16-0")</f>
        <v>978-601-7625-16-0</v>
      </c>
      <c r="E1005" s="11" t="s">
        <v>4106</v>
      </c>
      <c r="F1005" s="11" t="s">
        <v>4111</v>
      </c>
      <c r="G1005" s="12">
        <f ca="1">IFERROR(__xludf.DUMMYFUNCTION(" VLOOKUP(A1002, IMPORTRANGE(""https://docs.google.com/spreadsheets/d/1fj_Bhi2XPL3siwIh4sx4VRLAe31yD50oKdj5UlRYW0c/"", ""Сводка!A:AA""), 5, FALSE)"),204)</f>
        <v>204</v>
      </c>
      <c r="H1005" s="10" t="s">
        <v>47</v>
      </c>
      <c r="I1005" s="10">
        <f ca="1">IFERROR(__xludf.DUMMYFUNCTION(" VLOOKUP(A1002, IMPORTRANGE(""https://docs.google.com/spreadsheets/d/1QNLbnkR_AongFt22vMfNzfpjZ0CjpI8QI-w0wBnYA1w/"", ""Инфа!A:AA""), 6, FALSE)"),2023)</f>
        <v>2023</v>
      </c>
      <c r="J1005" s="5">
        <f ca="1">ROUND((5000+G1005*60),-2)</f>
        <v>17200</v>
      </c>
      <c r="K1005" s="10" t="s">
        <v>4108</v>
      </c>
      <c r="L1005" s="23" t="s">
        <v>4112</v>
      </c>
    </row>
    <row r="1006" spans="1:12" ht="63.75">
      <c r="A1006" s="8" t="s">
        <v>4113</v>
      </c>
      <c r="B1006" s="9" t="s">
        <v>12</v>
      </c>
      <c r="C1006" s="10" t="s">
        <v>443</v>
      </c>
      <c r="D1006" s="10" t="str">
        <f ca="1">IFERROR(__xludf.DUMMYFUNCTION(" VLOOKUP(A1003, IMPORTRANGE(""https://docs.google.com/spreadsheets/d/1fj_Bhi2XPL3siwIh4sx4VRLAe31yD50oKdj5UlRYW0c/"", ""Сводка!A:AA""), 11, FALSE)"),"978-601-310-751-6")</f>
        <v>978-601-310-751-6</v>
      </c>
      <c r="E1006" s="11" t="s">
        <v>4114</v>
      </c>
      <c r="F1006" s="11" t="s">
        <v>4115</v>
      </c>
      <c r="G1006" s="12">
        <f ca="1">IFERROR(__xludf.DUMMYFUNCTION(" VLOOKUP(A1003, IMPORTRANGE(""https://docs.google.com/spreadsheets/d/1fj_Bhi2XPL3siwIh4sx4VRLAe31yD50oKdj5UlRYW0c/"", ""Сводка!A:AA""), 5, FALSE)"),164)</f>
        <v>164</v>
      </c>
      <c r="H1006" s="12" t="s">
        <v>446</v>
      </c>
      <c r="I1006" s="10">
        <f ca="1">IFERROR(__xludf.DUMMYFUNCTION(" VLOOKUP(A1003, IMPORTRANGE(""https://docs.google.com/spreadsheets/d/1QNLbnkR_AongFt22vMfNzfpjZ0CjpI8QI-w0wBnYA1w/"", ""Инфа!A:AA""), 6, FALSE)"),2024)</f>
        <v>2024</v>
      </c>
      <c r="J1006" s="5">
        <f ca="1">ROUND((5000+G1006*30),-2)</f>
        <v>9900</v>
      </c>
      <c r="K1006" s="9" t="s">
        <v>26</v>
      </c>
      <c r="L1006" s="15" t="s">
        <v>4116</v>
      </c>
    </row>
    <row r="1007" spans="1:12" ht="146.25">
      <c r="A1007" s="8" t="s">
        <v>4117</v>
      </c>
      <c r="B1007" s="9" t="s">
        <v>12</v>
      </c>
      <c r="C1007" s="12" t="s">
        <v>443</v>
      </c>
      <c r="D1007" s="10" t="str">
        <f ca="1">IFERROR(__xludf.DUMMYFUNCTION(" VLOOKUP(A1004, IMPORTRANGE(""https://docs.google.com/spreadsheets/d/1fj_Bhi2XPL3siwIh4sx4VRLAe31yD50oKdj5UlRYW0c/"", ""Сводка!A:AA""), 11, FALSE)"),"978-601-352-839-7")</f>
        <v>978-601-352-839-7</v>
      </c>
      <c r="E1007" s="11" t="s">
        <v>4118</v>
      </c>
      <c r="F1007" s="11" t="s">
        <v>4119</v>
      </c>
      <c r="G1007" s="12">
        <f ca="1">IFERROR(__xludf.DUMMYFUNCTION(" VLOOKUP(A1004, IMPORTRANGE(""https://docs.google.com/spreadsheets/d/1fj_Bhi2XPL3siwIh4sx4VRLAe31yD50oKdj5UlRYW0c/"", ""Сводка!A:AA""), 5, FALSE)"),144)</f>
        <v>144</v>
      </c>
      <c r="H1007" s="12" t="s">
        <v>777</v>
      </c>
      <c r="I1007" s="10">
        <f ca="1">IFERROR(__xludf.DUMMYFUNCTION(" VLOOKUP(A1004, IMPORTRANGE(""https://docs.google.com/spreadsheets/d/1QNLbnkR_AongFt22vMfNzfpjZ0CjpI8QI-w0wBnYA1w/"", ""Инфа!A:AA""), 6, FALSE)"),2024)</f>
        <v>2024</v>
      </c>
      <c r="J1007" s="5">
        <f ca="1">ROUND((5000+G1007*60),-2)</f>
        <v>13600</v>
      </c>
      <c r="K1007" s="12" t="s">
        <v>4120</v>
      </c>
      <c r="L1007" s="15" t="s">
        <v>4121</v>
      </c>
    </row>
    <row r="1008" spans="1:12" ht="303.75">
      <c r="A1008" s="8" t="s">
        <v>4122</v>
      </c>
      <c r="B1008" s="9" t="s">
        <v>12</v>
      </c>
      <c r="C1008" s="12" t="s">
        <v>443</v>
      </c>
      <c r="D1008" s="10" t="str">
        <f ca="1">IFERROR(__xludf.DUMMYFUNCTION(" VLOOKUP(A1005, IMPORTRANGE(""https://docs.google.com/spreadsheets/d/1fj_Bhi2XPL3siwIh4sx4VRLAe31yD50oKdj5UlRYW0c/"", ""Сводка!A:AA""), 11, FALSE)"),"978-601-352-942-4")</f>
        <v>978-601-352-942-4</v>
      </c>
      <c r="E1008" s="11" t="s">
        <v>3615</v>
      </c>
      <c r="F1008" s="11" t="s">
        <v>4123</v>
      </c>
      <c r="G1008" s="12">
        <f ca="1">IFERROR(__xludf.DUMMYFUNCTION(" VLOOKUP(A1005, IMPORTRANGE(""https://docs.google.com/spreadsheets/d/1fj_Bhi2XPL3siwIh4sx4VRLAe31yD50oKdj5UlRYW0c/"", ""Сводка!A:AA""), 5, FALSE)"),212)</f>
        <v>212</v>
      </c>
      <c r="H1008" s="12" t="s">
        <v>538</v>
      </c>
      <c r="I1008" s="10">
        <f ca="1">IFERROR(__xludf.DUMMYFUNCTION(" VLOOKUP(A1005, IMPORTRANGE(""https://docs.google.com/spreadsheets/d/1QNLbnkR_AongFt22vMfNzfpjZ0CjpI8QI-w0wBnYA1w/"", ""Инфа!A:AA""), 6, FALSE)"),2024)</f>
        <v>2024</v>
      </c>
      <c r="J1008" s="5">
        <f ca="1">ROUND((5000+G1008*30),-2)</f>
        <v>11400</v>
      </c>
      <c r="K1008" s="12" t="s">
        <v>3591</v>
      </c>
      <c r="L1008" s="15" t="s">
        <v>4124</v>
      </c>
    </row>
    <row r="1009" spans="1:12" ht="168.75">
      <c r="A1009" s="8" t="s">
        <v>4125</v>
      </c>
      <c r="B1009" s="9" t="s">
        <v>12</v>
      </c>
      <c r="C1009" s="12" t="s">
        <v>151</v>
      </c>
      <c r="D1009" s="10" t="str">
        <f ca="1">IFERROR(__xludf.DUMMYFUNCTION(" VLOOKUP(A1006, IMPORTRANGE(""https://docs.google.com/spreadsheets/d/1fj_Bhi2XPL3siwIh4sx4VRLAe31yD50oKdj5UlRYW0c/"", ""Сводка!A:AA""), 11, FALSE)"),"978-601-352-941-7")</f>
        <v>978-601-352-941-7</v>
      </c>
      <c r="E1009" s="11" t="s">
        <v>4126</v>
      </c>
      <c r="F1009" s="11" t="s">
        <v>4127</v>
      </c>
      <c r="G1009" s="12">
        <f ca="1">IFERROR(__xludf.DUMMYFUNCTION(" VLOOKUP(A1006, IMPORTRANGE(""https://docs.google.com/spreadsheets/d/1fj_Bhi2XPL3siwIh4sx4VRLAe31yD50oKdj5UlRYW0c/"", ""Сводка!A:AA""), 5, FALSE)"),136)</f>
        <v>136</v>
      </c>
      <c r="H1009" s="12" t="s">
        <v>165</v>
      </c>
      <c r="I1009" s="10">
        <f ca="1">IFERROR(__xludf.DUMMYFUNCTION(" VLOOKUP(A1006, IMPORTRANGE(""https://docs.google.com/spreadsheets/d/1QNLbnkR_AongFt22vMfNzfpjZ0CjpI8QI-w0wBnYA1w/"", ""Инфа!A:AA""), 6, FALSE)"),2024)</f>
        <v>2024</v>
      </c>
      <c r="J1009" s="5">
        <f ca="1">ROUND((5000+G1009*60),-2)</f>
        <v>13200</v>
      </c>
      <c r="K1009" s="12" t="s">
        <v>3591</v>
      </c>
      <c r="L1009" s="15" t="s">
        <v>4128</v>
      </c>
    </row>
    <row r="1010" spans="1:12" ht="146.25">
      <c r="A1010" s="8" t="s">
        <v>4129</v>
      </c>
      <c r="B1010" s="9" t="s">
        <v>12</v>
      </c>
      <c r="C1010" s="12" t="s">
        <v>443</v>
      </c>
      <c r="D1010" s="10" t="str">
        <f ca="1">IFERROR(__xludf.DUMMYFUNCTION(" VLOOKUP(A1007, IMPORTRANGE(""https://docs.google.com/spreadsheets/d/1fj_Bhi2XPL3siwIh4sx4VRLAe31yD50oKdj5UlRYW0c/"", ""Сводка!A:AA""), 11, FALSE)"),"978-601-7903-74-9")</f>
        <v>978-601-7903-74-9</v>
      </c>
      <c r="E1010" s="11" t="s">
        <v>4130</v>
      </c>
      <c r="F1010" s="11" t="s">
        <v>4131</v>
      </c>
      <c r="G1010" s="12">
        <f ca="1">IFERROR(__xludf.DUMMYFUNCTION(" VLOOKUP(A1007, IMPORTRANGE(""https://docs.google.com/spreadsheets/d/1fj_Bhi2XPL3siwIh4sx4VRLAe31yD50oKdj5UlRYW0c/"", ""Сводка!A:AA""), 5, FALSE)"),180)</f>
        <v>180</v>
      </c>
      <c r="H1010" s="12" t="s">
        <v>106</v>
      </c>
      <c r="I1010" s="10">
        <f ca="1">IFERROR(__xludf.DUMMYFUNCTION(" VLOOKUP(A1007, IMPORTRANGE(""https://docs.google.com/spreadsheets/d/1QNLbnkR_AongFt22vMfNzfpjZ0CjpI8QI-w0wBnYA1w/"", ""Инфа!A:AA""), 6, FALSE)"),2024)</f>
        <v>2024</v>
      </c>
      <c r="J1010" s="5">
        <f ca="1">ROUND((5000+G1010*30),-2)</f>
        <v>10400</v>
      </c>
      <c r="K1010" s="12" t="s">
        <v>197</v>
      </c>
      <c r="L1010" s="15" t="s">
        <v>4132</v>
      </c>
    </row>
    <row r="1011" spans="1:12" ht="292.5">
      <c r="A1011" s="8" t="s">
        <v>4133</v>
      </c>
      <c r="B1011" s="9" t="s">
        <v>12</v>
      </c>
      <c r="C1011" s="12" t="s">
        <v>443</v>
      </c>
      <c r="D1011" s="10" t="str">
        <f ca="1">IFERROR(__xludf.DUMMYFUNCTION(" VLOOKUP(A1008, IMPORTRANGE(""https://docs.google.com/spreadsheets/d/1fj_Bhi2XPL3siwIh4sx4VRLAe31yD50oKdj5UlRYW0c/"", ""Сводка!A:AA""), 11, FALSE)"),"978-601-7903-77-0")</f>
        <v>978-601-7903-77-0</v>
      </c>
      <c r="E1011" s="11" t="s">
        <v>4130</v>
      </c>
      <c r="F1011" s="11" t="s">
        <v>4134</v>
      </c>
      <c r="G1011" s="12">
        <f ca="1">IFERROR(__xludf.DUMMYFUNCTION(" VLOOKUP(A1008, IMPORTRANGE(""https://docs.google.com/spreadsheets/d/1fj_Bhi2XPL3siwIh4sx4VRLAe31yD50oKdj5UlRYW0c/"", ""Сводка!A:AA""), 5, FALSE)"),196)</f>
        <v>196</v>
      </c>
      <c r="H1011" s="12" t="s">
        <v>538</v>
      </c>
      <c r="I1011" s="10">
        <f ca="1">IFERROR(__xludf.DUMMYFUNCTION(" VLOOKUP(A1008, IMPORTRANGE(""https://docs.google.com/spreadsheets/d/1QNLbnkR_AongFt22vMfNzfpjZ0CjpI8QI-w0wBnYA1w/"", ""Инфа!A:AA""), 6, FALSE)"),2024)</f>
        <v>2024</v>
      </c>
      <c r="J1011" s="5">
        <f ca="1">ROUND((5000+G1011*60),-2)</f>
        <v>16800</v>
      </c>
      <c r="K1011" s="12" t="s">
        <v>4135</v>
      </c>
      <c r="L1011" s="15" t="s">
        <v>4136</v>
      </c>
    </row>
    <row r="1012" spans="1:12" ht="303.75">
      <c r="A1012" s="8" t="s">
        <v>4137</v>
      </c>
      <c r="B1012" s="9" t="s">
        <v>12</v>
      </c>
      <c r="C1012" s="12" t="s">
        <v>443</v>
      </c>
      <c r="D1012" s="10" t="str">
        <f ca="1">IFERROR(__xludf.DUMMYFUNCTION(" VLOOKUP(A1009, IMPORTRANGE(""https://docs.google.com/spreadsheets/d/1fj_Bhi2XPL3siwIh4sx4VRLAe31yD50oKdj5UlRYW0c/"", ""Сводка!A:AA""), 11, FALSE)"),"978-601-352-777-2")</f>
        <v>978-601-352-777-2</v>
      </c>
      <c r="E1012" s="11" t="s">
        <v>4138</v>
      </c>
      <c r="F1012" s="11" t="s">
        <v>4139</v>
      </c>
      <c r="G1012" s="12">
        <f ca="1">IFERROR(__xludf.DUMMYFUNCTION(" VLOOKUP(A1009, IMPORTRANGE(""https://docs.google.com/spreadsheets/d/1fj_Bhi2XPL3siwIh4sx4VRLAe31yD50oKdj5UlRYW0c/"", ""Сводка!A:AA""), 5, FALSE)"),276)</f>
        <v>276</v>
      </c>
      <c r="H1012" s="12" t="s">
        <v>538</v>
      </c>
      <c r="I1012" s="10">
        <f ca="1">IFERROR(__xludf.DUMMYFUNCTION(" VLOOKUP(A1009, IMPORTRANGE(""https://docs.google.com/spreadsheets/d/1QNLbnkR_AongFt22vMfNzfpjZ0CjpI8QI-w0wBnYA1w/"", ""Инфа!A:AA""), 6, FALSE)"),2024)</f>
        <v>2024</v>
      </c>
      <c r="J1012" s="5">
        <f ca="1">ROUND((5000+G1012*60),-2)</f>
        <v>21600</v>
      </c>
      <c r="K1012" s="12" t="s">
        <v>3722</v>
      </c>
      <c r="L1012" s="15" t="s">
        <v>4140</v>
      </c>
    </row>
    <row r="1013" spans="1:12" ht="303.75">
      <c r="A1013" s="8" t="s">
        <v>4141</v>
      </c>
      <c r="B1013" s="9" t="s">
        <v>12</v>
      </c>
      <c r="C1013" s="12" t="s">
        <v>151</v>
      </c>
      <c r="D1013" s="10" t="str">
        <f ca="1">IFERROR(__xludf.DUMMYFUNCTION(" VLOOKUP(A1010, IMPORTRANGE(""https://docs.google.com/spreadsheets/d/1fj_Bhi2XPL3siwIh4sx4VRLAe31yD50oKdj5UlRYW0c/"", ""Сводка!A:AA""), 11, FALSE)"),"978-601-216-515-9")</f>
        <v>978-601-216-515-9</v>
      </c>
      <c r="E1013" s="11" t="s">
        <v>4142</v>
      </c>
      <c r="F1013" s="11" t="s">
        <v>4143</v>
      </c>
      <c r="G1013" s="12">
        <f ca="1">IFERROR(__xludf.DUMMYFUNCTION(" VLOOKUP(A1010, IMPORTRANGE(""https://docs.google.com/spreadsheets/d/1fj_Bhi2XPL3siwIh4sx4VRLAe31yD50oKdj5UlRYW0c/"", ""Сводка!A:AA""), 5, FALSE)"),113)</f>
        <v>113</v>
      </c>
      <c r="H1013" s="12" t="s">
        <v>47</v>
      </c>
      <c r="I1013" s="10">
        <f ca="1">IFERROR(__xludf.DUMMYFUNCTION(" VLOOKUP(A1010, IMPORTRANGE(""https://docs.google.com/spreadsheets/d/1QNLbnkR_AongFt22vMfNzfpjZ0CjpI8QI-w0wBnYA1w/"", ""Инфа!A:AA""), 6, FALSE)"),2024)</f>
        <v>2024</v>
      </c>
      <c r="J1013" s="5">
        <f ca="1">ROUND(((5000+G1013*30)*1.3),-2)</f>
        <v>10900</v>
      </c>
      <c r="K1013" s="12" t="s">
        <v>4144</v>
      </c>
      <c r="L1013" s="15" t="s">
        <v>4145</v>
      </c>
    </row>
    <row r="1014" spans="1:12" ht="191.25">
      <c r="A1014" s="8" t="s">
        <v>4146</v>
      </c>
      <c r="B1014" s="9" t="s">
        <v>12</v>
      </c>
      <c r="C1014" s="10" t="s">
        <v>443</v>
      </c>
      <c r="D1014" s="10" t="str">
        <f ca="1">IFERROR(__xludf.DUMMYFUNCTION(" VLOOKUP(A1011, IMPORTRANGE(""https://docs.google.com/spreadsheets/d/1fj_Bhi2XPL3siwIh4sx4VRLAe31yD50oKdj5UlRYW0c/"", ""Сводка!A:AA""), 11, FALSE)"),"978-601-04-2665-8")</f>
        <v>978-601-04-2665-8</v>
      </c>
      <c r="E1014" s="11" t="s">
        <v>4147</v>
      </c>
      <c r="F1014" s="22" t="s">
        <v>4148</v>
      </c>
      <c r="G1014" s="12">
        <f ca="1">IFERROR(__xludf.DUMMYFUNCTION(" VLOOKUP(A1011, IMPORTRANGE(""https://docs.google.com/spreadsheets/d/1fj_Bhi2XPL3siwIh4sx4VRLAe31yD50oKdj5UlRYW0c/"", ""Сводка!A:AA""), 5, FALSE)"),300)</f>
        <v>300</v>
      </c>
      <c r="H1014" s="10" t="s">
        <v>538</v>
      </c>
      <c r="I1014" s="10">
        <f ca="1">IFERROR(__xludf.DUMMYFUNCTION(" VLOOKUP(A1011, IMPORTRANGE(""https://docs.google.com/spreadsheets/d/1QNLbnkR_AongFt22vMfNzfpjZ0CjpI8QI-w0wBnYA1w/"", ""Инфа!A:AA""), 6, FALSE)"),2023)</f>
        <v>2023</v>
      </c>
      <c r="J1014" s="5">
        <f ca="1">ROUND((5000+G1014*30),-2)</f>
        <v>14000</v>
      </c>
      <c r="K1014" s="10" t="s">
        <v>257</v>
      </c>
      <c r="L1014" s="23" t="s">
        <v>4149</v>
      </c>
    </row>
    <row r="1015" spans="1:12" ht="146.25">
      <c r="A1015" s="8" t="s">
        <v>4150</v>
      </c>
      <c r="B1015" s="9" t="s">
        <v>12</v>
      </c>
      <c r="C1015" s="10" t="s">
        <v>443</v>
      </c>
      <c r="D1015" s="10" t="str">
        <f ca="1">IFERROR(__xludf.DUMMYFUNCTION(" VLOOKUP(A1012, IMPORTRANGE(""https://docs.google.com/spreadsheets/d/1fj_Bhi2XPL3siwIh4sx4VRLAe31yD50oKdj5UlRYW0c/"", ""Сводка!A:AA""), 11, FALSE)"),"978-601-352-660-7")</f>
        <v>978-601-352-660-7</v>
      </c>
      <c r="E1015" s="11" t="s">
        <v>4151</v>
      </c>
      <c r="F1015" s="11" t="s">
        <v>4152</v>
      </c>
      <c r="G1015" s="12">
        <f ca="1">IFERROR(__xludf.DUMMYFUNCTION(" VLOOKUP(A1012, IMPORTRANGE(""https://docs.google.com/spreadsheets/d/1fj_Bhi2XPL3siwIh4sx4VRLAe31yD50oKdj5UlRYW0c/"", ""Сводка!A:AA""), 5, FALSE)"),184)</f>
        <v>184</v>
      </c>
      <c r="H1015" s="12" t="s">
        <v>538</v>
      </c>
      <c r="I1015" s="10">
        <f ca="1">IFERROR(__xludf.DUMMYFUNCTION(" VLOOKUP(A1012, IMPORTRANGE(""https://docs.google.com/spreadsheets/d/1QNLbnkR_AongFt22vMfNzfpjZ0CjpI8QI-w0wBnYA1w/"", ""Инфа!A:AA""), 6, FALSE)"),2024)</f>
        <v>2024</v>
      </c>
      <c r="J1015" s="5">
        <f ca="1">ROUND((5000+G1015*60),-2)</f>
        <v>16000</v>
      </c>
      <c r="K1015" s="12" t="s">
        <v>3608</v>
      </c>
      <c r="L1015" s="15" t="s">
        <v>4153</v>
      </c>
    </row>
    <row r="1016" spans="1:12" ht="123.75">
      <c r="A1016" s="8" t="s">
        <v>4154</v>
      </c>
      <c r="B1016" s="9" t="s">
        <v>12</v>
      </c>
      <c r="C1016" s="10" t="s">
        <v>151</v>
      </c>
      <c r="D1016" s="10" t="str">
        <f ca="1">IFERROR(__xludf.DUMMYFUNCTION(" VLOOKUP(A1013, IMPORTRANGE(""https://docs.google.com/spreadsheets/d/1fj_Bhi2XPL3siwIh4sx4VRLAe31yD50oKdj5UlRYW0c/"", ""Сводка!A:AA""), 11, FALSE)"),"978-601-310-752-3")</f>
        <v>978-601-310-752-3</v>
      </c>
      <c r="E1016" s="11" t="s">
        <v>4114</v>
      </c>
      <c r="F1016" s="11" t="s">
        <v>4155</v>
      </c>
      <c r="G1016" s="12">
        <f ca="1">IFERROR(__xludf.DUMMYFUNCTION(" VLOOKUP(A1013, IMPORTRANGE(""https://docs.google.com/spreadsheets/d/1fj_Bhi2XPL3siwIh4sx4VRLAe31yD50oKdj5UlRYW0c/"", ""Сводка!A:AA""), 5, FALSE)"),148)</f>
        <v>148</v>
      </c>
      <c r="H1016" s="12" t="s">
        <v>47</v>
      </c>
      <c r="I1016" s="10">
        <f ca="1">IFERROR(__xludf.DUMMYFUNCTION(" VLOOKUP(A1013, IMPORTRANGE(""https://docs.google.com/spreadsheets/d/1QNLbnkR_AongFt22vMfNzfpjZ0CjpI8QI-w0wBnYA1w/"", ""Инфа!A:AA""), 6, FALSE)"),2024)</f>
        <v>2024</v>
      </c>
      <c r="J1016" s="5">
        <f ca="1">ROUND((5000+G1016*30),-2)</f>
        <v>9400</v>
      </c>
      <c r="K1016" s="12" t="s">
        <v>26</v>
      </c>
      <c r="L1016" s="15" t="s">
        <v>4156</v>
      </c>
    </row>
    <row r="1017" spans="1:12" ht="112.5">
      <c r="A1017" s="8" t="s">
        <v>4157</v>
      </c>
      <c r="B1017" s="9" t="s">
        <v>12</v>
      </c>
      <c r="C1017" s="10" t="s">
        <v>443</v>
      </c>
      <c r="D1017" s="10" t="str">
        <f ca="1">IFERROR(__xludf.DUMMYFUNCTION(" VLOOKUP(A1014, IMPORTRANGE(""https://docs.google.com/spreadsheets/d/1fj_Bhi2XPL3siwIh4sx4VRLAe31yD50oKdj5UlRYW0c/"", ""Сводка!A:AA""), 11, FALSE)"),"978-601-04-2667-2")</f>
        <v>978-601-04-2667-2</v>
      </c>
      <c r="E1017" s="11" t="s">
        <v>4147</v>
      </c>
      <c r="F1017" s="11" t="s">
        <v>4158</v>
      </c>
      <c r="G1017" s="12">
        <f ca="1">IFERROR(__xludf.DUMMYFUNCTION(" VLOOKUP(A1014, IMPORTRANGE(""https://docs.google.com/spreadsheets/d/1fj_Bhi2XPL3siwIh4sx4VRLAe31yD50oKdj5UlRYW0c/"", ""Сводка!A:AA""), 5, FALSE)"),220)</f>
        <v>220</v>
      </c>
      <c r="H1017" s="12" t="s">
        <v>538</v>
      </c>
      <c r="I1017" s="10">
        <f ca="1">IFERROR(__xludf.DUMMYFUNCTION(" VLOOKUP(A1014, IMPORTRANGE(""https://docs.google.com/spreadsheets/d/1QNLbnkR_AongFt22vMfNzfpjZ0CjpI8QI-w0wBnYA1w/"", ""Инфа!A:AA""), 6, FALSE)"),2024)</f>
        <v>2024</v>
      </c>
      <c r="J1017" s="5">
        <f ca="1">ROUND((5000+G1017*60),-2)</f>
        <v>18200</v>
      </c>
      <c r="K1017" s="12" t="s">
        <v>257</v>
      </c>
      <c r="L1017" s="15" t="s">
        <v>4159</v>
      </c>
    </row>
    <row r="1018" spans="1:12" ht="202.5">
      <c r="A1018" s="8" t="s">
        <v>4160</v>
      </c>
      <c r="B1018" s="9" t="s">
        <v>2231</v>
      </c>
      <c r="C1018" s="12" t="s">
        <v>443</v>
      </c>
      <c r="D1018" s="10" t="str">
        <f ca="1">IFERROR(__xludf.DUMMYFUNCTION(" VLOOKUP(A1015, IMPORTRANGE(""https://docs.google.com/spreadsheets/d/1fj_Bhi2XPL3siwIh4sx4VRLAe31yD50oKdj5UlRYW0c/"", ""Сводка!A:AA""), 11, FALSE)"),"")</f>
        <v/>
      </c>
      <c r="E1018" s="11" t="s">
        <v>4161</v>
      </c>
      <c r="F1018" s="11" t="s">
        <v>4162</v>
      </c>
      <c r="G1018" s="12">
        <f ca="1">IFERROR(__xludf.DUMMYFUNCTION(" VLOOKUP(A1015, IMPORTRANGE(""https://docs.google.com/spreadsheets/d/1fj_Bhi2XPL3siwIh4sx4VRLAe31yD50oKdj5UlRYW0c/"", ""Сводка!A:AA""), 5, FALSE)"),236)</f>
        <v>236</v>
      </c>
      <c r="H1018" s="12" t="s">
        <v>446</v>
      </c>
      <c r="I1018" s="10">
        <f ca="1">IFERROR(__xludf.DUMMYFUNCTION(" VLOOKUP(A1015, IMPORTRANGE(""https://docs.google.com/spreadsheets/d/1QNLbnkR_AongFt22vMfNzfpjZ0CjpI8QI-w0wBnYA1w/"", ""Инфа!A:AA""), 6, FALSE)"),2024)</f>
        <v>2024</v>
      </c>
      <c r="J1018" s="5">
        <f ca="1">ROUND((5000+G1018*30),-2)</f>
        <v>12100</v>
      </c>
      <c r="K1018" s="12" t="s">
        <v>4163</v>
      </c>
      <c r="L1018" s="15" t="s">
        <v>4164</v>
      </c>
    </row>
    <row r="1019" spans="1:12" ht="67.5">
      <c r="A1019" s="8" t="s">
        <v>4165</v>
      </c>
      <c r="B1019" s="9" t="s">
        <v>2231</v>
      </c>
      <c r="C1019" s="12" t="s">
        <v>151</v>
      </c>
      <c r="D1019" s="10" t="s">
        <v>4166</v>
      </c>
      <c r="E1019" s="11" t="s">
        <v>4167</v>
      </c>
      <c r="F1019" s="11" t="s">
        <v>4168</v>
      </c>
      <c r="G1019" s="12">
        <f ca="1">IFERROR(__xludf.DUMMYFUNCTION(" VLOOKUP(A1016, IMPORTRANGE(""https://docs.google.com/spreadsheets/d/1fj_Bhi2XPL3siwIh4sx4VRLAe31yD50oKdj5UlRYW0c/"", ""Сводка!A:AA""), 5, FALSE)"),120)</f>
        <v>120</v>
      </c>
      <c r="H1019" s="12" t="s">
        <v>282</v>
      </c>
      <c r="I1019" s="10">
        <f ca="1">IFERROR(__xludf.DUMMYFUNCTION(" VLOOKUP(A1016, IMPORTRANGE(""https://docs.google.com/spreadsheets/d/1QNLbnkR_AongFt22vMfNzfpjZ0CjpI8QI-w0wBnYA1w/"", ""Инфа!A:AA""), 6, FALSE)"),2024)</f>
        <v>2024</v>
      </c>
      <c r="J1019" s="5">
        <f ca="1">ROUND((5000+G1019*30),-2)</f>
        <v>8600</v>
      </c>
      <c r="K1019" s="12" t="s">
        <v>4169</v>
      </c>
      <c r="L1019" s="15" t="s">
        <v>4170</v>
      </c>
    </row>
    <row r="1020" spans="1:12" ht="89.25">
      <c r="A1020" s="8" t="s">
        <v>4171</v>
      </c>
      <c r="B1020" s="9" t="s">
        <v>2231</v>
      </c>
      <c r="C1020" s="12" t="s">
        <v>4172</v>
      </c>
      <c r="D1020" s="10" t="s">
        <v>4173</v>
      </c>
      <c r="E1020" s="11" t="s">
        <v>4167</v>
      </c>
      <c r="F1020" s="11" t="s">
        <v>4174</v>
      </c>
      <c r="G1020" s="12">
        <f ca="1">IFERROR(__xludf.DUMMYFUNCTION(" VLOOKUP(A1017, IMPORTRANGE(""https://docs.google.com/spreadsheets/d/1fj_Bhi2XPL3siwIh4sx4VRLAe31yD50oKdj5UlRYW0c/"", ""Сводка!A:AA""), 5, FALSE)"),72)</f>
        <v>72</v>
      </c>
      <c r="H1020" s="12" t="s">
        <v>4175</v>
      </c>
      <c r="I1020" s="10">
        <f ca="1">IFERROR(__xludf.DUMMYFUNCTION(" VLOOKUP(A1017, IMPORTRANGE(""https://docs.google.com/spreadsheets/d/1QNLbnkR_AongFt22vMfNzfpjZ0CjpI8QI-w0wBnYA1w/"", ""Инфа!A:AA""), 6, FALSE)"),2024)</f>
        <v>2024</v>
      </c>
      <c r="J1020" s="5">
        <f ca="1">ROUND(((5000+G1020*30)*1.3),-2)</f>
        <v>9300</v>
      </c>
      <c r="K1020" s="12" t="s">
        <v>4163</v>
      </c>
      <c r="L1020" s="15" t="s">
        <v>4176</v>
      </c>
    </row>
    <row r="1021" spans="1:12" ht="191.25">
      <c r="A1021" s="8" t="s">
        <v>4177</v>
      </c>
      <c r="B1021" s="9" t="s">
        <v>2231</v>
      </c>
      <c r="C1021" s="12" t="s">
        <v>443</v>
      </c>
      <c r="D1021" s="10" t="str">
        <f ca="1">IFERROR(__xludf.DUMMYFUNCTION(" VLOOKUP(A1018, IMPORTRANGE(""https://docs.google.com/spreadsheets/d/1fj_Bhi2XPL3siwIh4sx4VRLAe31yD50oKdj5UlRYW0c/"", ""Сводка!A:AA""), 11, FALSE)"),"978-601-330-257-7")</f>
        <v>978-601-330-257-7</v>
      </c>
      <c r="E1021" s="11" t="s">
        <v>4161</v>
      </c>
      <c r="F1021" s="11" t="s">
        <v>4178</v>
      </c>
      <c r="G1021" s="12">
        <f ca="1">IFERROR(__xludf.DUMMYFUNCTION(" VLOOKUP(A1018, IMPORTRANGE(""https://docs.google.com/spreadsheets/d/1fj_Bhi2XPL3siwIh4sx4VRLAe31yD50oKdj5UlRYW0c/"", ""Сводка!A:AA""), 5, FALSE)"),256)</f>
        <v>256</v>
      </c>
      <c r="H1021" s="12" t="s">
        <v>671</v>
      </c>
      <c r="I1021" s="10">
        <f ca="1">IFERROR(__xludf.DUMMYFUNCTION(" VLOOKUP(A1018, IMPORTRANGE(""https://docs.google.com/spreadsheets/d/1QNLbnkR_AongFt22vMfNzfpjZ0CjpI8QI-w0wBnYA1w/"", ""Инфа!A:AA""), 6, FALSE)"),2023)</f>
        <v>2023</v>
      </c>
      <c r="J1021" s="5">
        <f ca="1">ROUND((5000+G1021*30),-2)</f>
        <v>12700</v>
      </c>
      <c r="K1021" s="12" t="s">
        <v>575</v>
      </c>
      <c r="L1021" s="15" t="s">
        <v>4179</v>
      </c>
    </row>
    <row r="1022" spans="1:12" ht="247.5">
      <c r="A1022" s="8" t="s">
        <v>4180</v>
      </c>
      <c r="B1022" s="9" t="s">
        <v>12</v>
      </c>
      <c r="C1022" s="12" t="s">
        <v>443</v>
      </c>
      <c r="D1022" s="10" t="str">
        <f ca="1">IFERROR(__xludf.DUMMYFUNCTION(" VLOOKUP(A1019, IMPORTRANGE(""https://docs.google.com/spreadsheets/d/1fj_Bhi2XPL3siwIh4sx4VRLAe31yD50oKdj5UlRYW0c/"", ""Сводка!A:AA""), 11, FALSE)"),"978-601-352-940-0")</f>
        <v>978-601-352-940-0</v>
      </c>
      <c r="E1022" s="11" t="s">
        <v>4181</v>
      </c>
      <c r="F1022" s="11" t="s">
        <v>4182</v>
      </c>
      <c r="G1022" s="12">
        <f ca="1">IFERROR(__xludf.DUMMYFUNCTION(" VLOOKUP(A1019, IMPORTRANGE(""https://docs.google.com/spreadsheets/d/1fj_Bhi2XPL3siwIh4sx4VRLAe31yD50oKdj5UlRYW0c/"", ""Сводка!A:AA""), 5, FALSE)"),220)</f>
        <v>220</v>
      </c>
      <c r="H1022" s="10" t="s">
        <v>511</v>
      </c>
      <c r="I1022" s="10">
        <f ca="1">IFERROR(__xludf.DUMMYFUNCTION(" VLOOKUP(A1019, IMPORTRANGE(""https://docs.google.com/spreadsheets/d/1QNLbnkR_AongFt22vMfNzfpjZ0CjpI8QI-w0wBnYA1w/"", ""Инфа!A:AA""), 6, FALSE)"),2024)</f>
        <v>2024</v>
      </c>
      <c r="J1022" s="5">
        <f ca="1">ROUND((5000+G1022*30),-2)</f>
        <v>11600</v>
      </c>
      <c r="K1022" s="12" t="s">
        <v>3591</v>
      </c>
      <c r="L1022" s="15" t="s">
        <v>4183</v>
      </c>
    </row>
    <row r="1023" spans="1:12" ht="247.5">
      <c r="A1023" s="8" t="s">
        <v>4184</v>
      </c>
      <c r="B1023" s="9" t="s">
        <v>12</v>
      </c>
      <c r="C1023" s="12" t="s">
        <v>443</v>
      </c>
      <c r="D1023" s="10" t="str">
        <f ca="1">IFERROR(__xludf.DUMMYFUNCTION(" VLOOKUP(A1020, IMPORTRANGE(""https://docs.google.com/spreadsheets/d/1fj_Bhi2XPL3siwIh4sx4VRLAe31yD50oKdj5UlRYW0c/"", ""Сводка!A:AA""), 11, FALSE)"),"978-601-352-940-1")</f>
        <v>978-601-352-940-1</v>
      </c>
      <c r="E1023" s="11" t="s">
        <v>4181</v>
      </c>
      <c r="F1023" s="11" t="s">
        <v>4185</v>
      </c>
      <c r="G1023" s="12">
        <f ca="1">IFERROR(__xludf.DUMMYFUNCTION(" VLOOKUP(A1020, IMPORTRANGE(""https://docs.google.com/spreadsheets/d/1fj_Bhi2XPL3siwIh4sx4VRLAe31yD50oKdj5UlRYW0c/"", ""Сводка!A:AA""), 5, FALSE)"),212)</f>
        <v>212</v>
      </c>
      <c r="H1023" s="10" t="s">
        <v>511</v>
      </c>
      <c r="I1023" s="10">
        <f ca="1">IFERROR(__xludf.DUMMYFUNCTION(" VLOOKUP(A1020, IMPORTRANGE(""https://docs.google.com/spreadsheets/d/1QNLbnkR_AongFt22vMfNzfpjZ0CjpI8QI-w0wBnYA1w/"", ""Инфа!A:AA""), 6, FALSE)"),2024)</f>
        <v>2024</v>
      </c>
      <c r="J1023" s="5">
        <f ca="1">ROUND((5000+G1023*30),-2)</f>
        <v>11400</v>
      </c>
      <c r="K1023" s="12" t="s">
        <v>3591</v>
      </c>
      <c r="L1023" s="15" t="s">
        <v>4183</v>
      </c>
    </row>
    <row r="1024" spans="1:12" ht="78.75">
      <c r="A1024" s="8" t="s">
        <v>4186</v>
      </c>
      <c r="B1024" s="9" t="s">
        <v>12</v>
      </c>
      <c r="C1024" s="12" t="s">
        <v>443</v>
      </c>
      <c r="D1024" s="10" t="str">
        <f ca="1">IFERROR(__xludf.DUMMYFUNCTION(" VLOOKUP(A1021, IMPORTRANGE(""https://docs.google.com/spreadsheets/d/1fj_Bhi2XPL3siwIh4sx4VRLAe31yD50oKdj5UlRYW0c/"", ""Сводка!A:AA""), 11, FALSE)"),"978-601-330-167-9")</f>
        <v>978-601-330-167-9</v>
      </c>
      <c r="E1024" s="11" t="s">
        <v>4187</v>
      </c>
      <c r="F1024" s="11" t="s">
        <v>4188</v>
      </c>
      <c r="G1024" s="12">
        <f ca="1">IFERROR(__xludf.DUMMYFUNCTION(" VLOOKUP(A1021, IMPORTRANGE(""https://docs.google.com/spreadsheets/d/1fj_Bhi2XPL3siwIh4sx4VRLAe31yD50oKdj5UlRYW0c/"", ""Сводка!A:AA""), 5, FALSE)"),96)</f>
        <v>96</v>
      </c>
      <c r="H1024" s="12" t="s">
        <v>777</v>
      </c>
      <c r="I1024" s="10">
        <f ca="1">IFERROR(__xludf.DUMMYFUNCTION(" VLOOKUP(A1021, IMPORTRANGE(""https://docs.google.com/spreadsheets/d/1QNLbnkR_AongFt22vMfNzfpjZ0CjpI8QI-w0wBnYA1w/"", ""Инфа!A:AA""), 6, FALSE)"),2024)</f>
        <v>2024</v>
      </c>
      <c r="J1024" s="5">
        <f ca="1">ROUND((5000+G1024*60),-2)</f>
        <v>10800</v>
      </c>
      <c r="K1024" s="12" t="s">
        <v>4189</v>
      </c>
      <c r="L1024" s="15" t="s">
        <v>4190</v>
      </c>
    </row>
    <row r="1025" spans="1:12" ht="101.25">
      <c r="A1025" s="8" t="s">
        <v>4191</v>
      </c>
      <c r="B1025" s="9" t="s">
        <v>12</v>
      </c>
      <c r="C1025" s="12" t="s">
        <v>151</v>
      </c>
      <c r="D1025" s="40" t="s">
        <v>4192</v>
      </c>
      <c r="E1025" s="11" t="s">
        <v>4187</v>
      </c>
      <c r="F1025" s="11" t="s">
        <v>4193</v>
      </c>
      <c r="G1025" s="12">
        <f ca="1">IFERROR(__xludf.DUMMYFUNCTION(" VLOOKUP(A1022, IMPORTRANGE(""https://docs.google.com/spreadsheets/d/1fj_Bhi2XPL3siwIh4sx4VRLAe31yD50oKdj5UlRYW0c/"", ""Сводка!A:AA""), 5, FALSE)"),76)</f>
        <v>76</v>
      </c>
      <c r="H1025" s="12" t="s">
        <v>165</v>
      </c>
      <c r="I1025" s="10">
        <f ca="1">IFERROR(__xludf.DUMMYFUNCTION(" VLOOKUP(A1022, IMPORTRANGE(""https://docs.google.com/spreadsheets/d/1QNLbnkR_AongFt22vMfNzfpjZ0CjpI8QI-w0wBnYA1w/"", ""Инфа!A:AA""), 6, FALSE)"),2024)</f>
        <v>2024</v>
      </c>
      <c r="J1025" s="5">
        <f ca="1">ROUND((5000+G1025*30),-2)</f>
        <v>7300</v>
      </c>
      <c r="K1025" s="12" t="s">
        <v>4189</v>
      </c>
      <c r="L1025" s="15" t="s">
        <v>4194</v>
      </c>
    </row>
    <row r="1026" spans="1:12" ht="101.25">
      <c r="A1026" s="8" t="s">
        <v>4195</v>
      </c>
      <c r="B1026" s="9" t="s">
        <v>12</v>
      </c>
      <c r="C1026" s="12" t="s">
        <v>443</v>
      </c>
      <c r="D1026" s="40" t="s">
        <v>4196</v>
      </c>
      <c r="E1026" s="11" t="s">
        <v>4187</v>
      </c>
      <c r="F1026" s="11" t="s">
        <v>4197</v>
      </c>
      <c r="G1026" s="12">
        <f ca="1">IFERROR(__xludf.DUMMYFUNCTION(" VLOOKUP(A1023, IMPORTRANGE(""https://docs.google.com/spreadsheets/d/1fj_Bhi2XPL3siwIh4sx4VRLAe31yD50oKdj5UlRYW0c/"", ""Сводка!A:AA""), 5, FALSE)"),128)</f>
        <v>128</v>
      </c>
      <c r="H1026" s="12" t="s">
        <v>777</v>
      </c>
      <c r="I1026" s="10">
        <f ca="1">IFERROR(__xludf.DUMMYFUNCTION(" VLOOKUP(A1023, IMPORTRANGE(""https://docs.google.com/spreadsheets/d/1QNLbnkR_AongFt22vMfNzfpjZ0CjpI8QI-w0wBnYA1w/"", ""Инфа!A:AA""), 6, FALSE)"),2024)</f>
        <v>2024</v>
      </c>
      <c r="J1026" s="5">
        <f ca="1">ROUND((5000+G1026*60),-2)</f>
        <v>12700</v>
      </c>
      <c r="K1026" s="12" t="s">
        <v>4189</v>
      </c>
      <c r="L1026" s="15" t="s">
        <v>4198</v>
      </c>
    </row>
    <row r="1027" spans="1:12" ht="191.25">
      <c r="A1027" s="8" t="s">
        <v>4199</v>
      </c>
      <c r="B1027" s="9" t="s">
        <v>12</v>
      </c>
      <c r="C1027" s="10" t="s">
        <v>151</v>
      </c>
      <c r="D1027" s="10" t="str">
        <f ca="1">IFERROR(__xludf.DUMMYFUNCTION(" VLOOKUP(A1024, IMPORTRANGE(""https://docs.google.com/spreadsheets/d/1fj_Bhi2XPL3siwIh4sx4VRLAe31yD50oKdj5UlRYW0c/"", ""Сводка!A:AA""), 11, FALSE)"),"978-601-352-922-6")</f>
        <v>978-601-352-922-6</v>
      </c>
      <c r="E1027" s="22" t="s">
        <v>4200</v>
      </c>
      <c r="F1027" s="22" t="s">
        <v>4201</v>
      </c>
      <c r="G1027" s="12">
        <f ca="1">IFERROR(__xludf.DUMMYFUNCTION(" VLOOKUP(A1024, IMPORTRANGE(""https://docs.google.com/spreadsheets/d/1fj_Bhi2XPL3siwIh4sx4VRLAe31yD50oKdj5UlRYW0c/"", ""Сводка!A:AA""), 5, FALSE)"),148)</f>
        <v>148</v>
      </c>
      <c r="H1027" s="10" t="s">
        <v>282</v>
      </c>
      <c r="I1027" s="10">
        <f ca="1">IFERROR(__xludf.DUMMYFUNCTION(" VLOOKUP(A1024, IMPORTRANGE(""https://docs.google.com/spreadsheets/d/1QNLbnkR_AongFt22vMfNzfpjZ0CjpI8QI-w0wBnYA1w/"", ""Инфа!A:AA""), 6, FALSE)"),2024)</f>
        <v>2024</v>
      </c>
      <c r="J1027" s="5">
        <f ca="1">ROUND((5000+G1027*30),-2)</f>
        <v>9400</v>
      </c>
      <c r="K1027" s="10" t="s">
        <v>570</v>
      </c>
      <c r="L1027" s="23" t="s">
        <v>4202</v>
      </c>
    </row>
    <row r="1028" spans="1:12" ht="258.75">
      <c r="A1028" s="8" t="s">
        <v>4203</v>
      </c>
      <c r="B1028" s="9" t="s">
        <v>12</v>
      </c>
      <c r="C1028" s="12" t="s">
        <v>13</v>
      </c>
      <c r="D1028" s="10" t="str">
        <f ca="1">IFERROR(__xludf.DUMMYFUNCTION(" VLOOKUP(A1025, IMPORTRANGE(""https://docs.google.com/spreadsheets/d/1fj_Bhi2XPL3siwIh4sx4VRLAe31yD50oKdj5UlRYW0c/"", ""Сводка!A:AA""), 11, FALSE)"),"978-601-352-816-8")</f>
        <v>978-601-352-816-8</v>
      </c>
      <c r="E1028" s="11" t="s">
        <v>4204</v>
      </c>
      <c r="F1028" s="11" t="s">
        <v>4205</v>
      </c>
      <c r="G1028" s="12">
        <f ca="1">IFERROR(__xludf.DUMMYFUNCTION(" VLOOKUP(A1025, IMPORTRANGE(""https://docs.google.com/spreadsheets/d/1fj_Bhi2XPL3siwIh4sx4VRLAe31yD50oKdj5UlRYW0c/"", ""Сводка!A:AA""), 5, FALSE)"),204)</f>
        <v>204</v>
      </c>
      <c r="H1028" s="12" t="s">
        <v>83</v>
      </c>
      <c r="I1028" s="10">
        <f ca="1">IFERROR(__xludf.DUMMYFUNCTION(" VLOOKUP(A1025, IMPORTRANGE(""https://docs.google.com/spreadsheets/d/1QNLbnkR_AongFt22vMfNzfpjZ0CjpI8QI-w0wBnYA1w/"", ""Инфа!A:AA""), 6, FALSE)"),2024)</f>
        <v>2024</v>
      </c>
      <c r="J1028" s="5">
        <f ca="1">ROUND((5000+G1028*30),-2)</f>
        <v>11100</v>
      </c>
      <c r="K1028" s="12" t="s">
        <v>3100</v>
      </c>
      <c r="L1028" s="15" t="s">
        <v>4206</v>
      </c>
    </row>
    <row r="1029" spans="1:12" ht="168.75">
      <c r="A1029" s="8" t="s">
        <v>4207</v>
      </c>
      <c r="B1029" s="9" t="s">
        <v>12</v>
      </c>
      <c r="C1029" s="12" t="s">
        <v>151</v>
      </c>
      <c r="D1029" s="10" t="str">
        <f ca="1">IFERROR(__xludf.DUMMYFUNCTION(" VLOOKUP(A1026, IMPORTRANGE(""https://docs.google.com/spreadsheets/d/1fj_Bhi2XPL3siwIh4sx4VRLAe31yD50oKdj5UlRYW0c/"", ""Сводка!A:AA""), 11, FALSE)"),"978-620-2-01376-5")</f>
        <v>978-620-2-01376-5</v>
      </c>
      <c r="E1029" s="22" t="s">
        <v>4208</v>
      </c>
      <c r="F1029" s="22" t="s">
        <v>4209</v>
      </c>
      <c r="G1029" s="12">
        <f ca="1">IFERROR(__xludf.DUMMYFUNCTION(" VLOOKUP(A1026, IMPORTRANGE(""https://docs.google.com/spreadsheets/d/1fj_Bhi2XPL3siwIh4sx4VRLAe31yD50oKdj5UlRYW0c/"", ""Сводка!A:AA""), 5, FALSE)"),148)</f>
        <v>148</v>
      </c>
      <c r="H1029" s="10" t="s">
        <v>106</v>
      </c>
      <c r="I1029" s="10">
        <f ca="1">IFERROR(__xludf.DUMMYFUNCTION(" VLOOKUP(A1026, IMPORTRANGE(""https://docs.google.com/spreadsheets/d/1QNLbnkR_AongFt22vMfNzfpjZ0CjpI8QI-w0wBnYA1w/"", ""Инфа!A:AA""), 6, FALSE)"),2024)</f>
        <v>2024</v>
      </c>
      <c r="J1029" s="5">
        <f ca="1">ROUND((5000+G1029*30),-2)</f>
        <v>9400</v>
      </c>
      <c r="K1029" s="10" t="s">
        <v>4210</v>
      </c>
      <c r="L1029" s="23" t="s">
        <v>4211</v>
      </c>
    </row>
    <row r="1030" spans="1:12" ht="90">
      <c r="A1030" s="8" t="s">
        <v>4212</v>
      </c>
      <c r="B1030" s="9" t="s">
        <v>12</v>
      </c>
      <c r="C1030" s="12" t="s">
        <v>151</v>
      </c>
      <c r="D1030" s="40" t="s">
        <v>4213</v>
      </c>
      <c r="E1030" s="22" t="s">
        <v>4214</v>
      </c>
      <c r="F1030" s="22" t="s">
        <v>4215</v>
      </c>
      <c r="G1030" s="12">
        <f ca="1">IFERROR(__xludf.DUMMYFUNCTION(" VLOOKUP(A1027, IMPORTRANGE(""https://docs.google.com/spreadsheets/d/1fj_Bhi2XPL3siwIh4sx4VRLAe31yD50oKdj5UlRYW0c/"", ""Сводка!A:AA""), 5, FALSE)"),188)</f>
        <v>188</v>
      </c>
      <c r="H1030" s="10" t="s">
        <v>106</v>
      </c>
      <c r="I1030" s="10">
        <f ca="1">IFERROR(__xludf.DUMMYFUNCTION(" VLOOKUP(A1027, IMPORTRANGE(""https://docs.google.com/spreadsheets/d/1QNLbnkR_AongFt22vMfNzfpjZ0CjpI8QI-w0wBnYA1w/"", ""Инфа!A:AA""), 6, FALSE)"),2024)</f>
        <v>2024</v>
      </c>
      <c r="J1030" s="5">
        <f ca="1">ROUND((5000+G1030*30),-2)</f>
        <v>10600</v>
      </c>
      <c r="K1030" s="10" t="s">
        <v>160</v>
      </c>
      <c r="L1030" s="23" t="s">
        <v>4216</v>
      </c>
    </row>
    <row r="1031" spans="1:12" ht="258.75">
      <c r="A1031" s="8" t="s">
        <v>4217</v>
      </c>
      <c r="B1031" s="9" t="s">
        <v>12</v>
      </c>
      <c r="C1031" s="12" t="s">
        <v>443</v>
      </c>
      <c r="D1031" s="10" t="str">
        <f ca="1">IFERROR(__xludf.DUMMYFUNCTION(" VLOOKUP(A1028, IMPORTRANGE(""https://docs.google.com/spreadsheets/d/1fj_Bhi2XPL3siwIh4sx4VRLAe31yD50oKdj5UlRYW0c/"", ""Сводка!A:AA""), 11, FALSE)"),"978-601-352-857-1")</f>
        <v>978-601-352-857-1</v>
      </c>
      <c r="E1031" s="22" t="s">
        <v>4218</v>
      </c>
      <c r="F1031" s="22" t="s">
        <v>4219</v>
      </c>
      <c r="G1031" s="12">
        <f ca="1">IFERROR(__xludf.DUMMYFUNCTION(" VLOOKUP(A1028, IMPORTRANGE(""https://docs.google.com/spreadsheets/d/1fj_Bhi2XPL3siwIh4sx4VRLAe31yD50oKdj5UlRYW0c/"", ""Сводка!A:AA""), 5, FALSE)"),232)</f>
        <v>232</v>
      </c>
      <c r="H1031" s="10" t="s">
        <v>538</v>
      </c>
      <c r="I1031" s="10">
        <f ca="1">IFERROR(__xludf.DUMMYFUNCTION(" VLOOKUP(A1028, IMPORTRANGE(""https://docs.google.com/spreadsheets/d/1QNLbnkR_AongFt22vMfNzfpjZ0CjpI8QI-w0wBnYA1w/"", ""Инфа!A:AA""), 6, FALSE)"),2023)</f>
        <v>2023</v>
      </c>
      <c r="J1031" s="5">
        <f ca="1">ROUND((5000+G1031*60),-2)</f>
        <v>18900</v>
      </c>
      <c r="K1031" s="10" t="s">
        <v>4220</v>
      </c>
      <c r="L1031" s="23" t="s">
        <v>4221</v>
      </c>
    </row>
    <row r="1032" spans="1:12" ht="236.25">
      <c r="A1032" s="8" t="s">
        <v>4222</v>
      </c>
      <c r="B1032" s="9" t="s">
        <v>12</v>
      </c>
      <c r="C1032" s="12" t="s">
        <v>151</v>
      </c>
      <c r="D1032" s="10" t="str">
        <f ca="1">IFERROR(__xludf.DUMMYFUNCTION(" VLOOKUP(A1029, IMPORTRANGE(""https://docs.google.com/spreadsheets/d/1fj_Bhi2XPL3siwIh4sx4VRLAe31yD50oKdj5UlRYW0c/"", ""Сводка!A:AA""), 11, FALSE)"),"978-601-330-176-1")</f>
        <v>978-601-330-176-1</v>
      </c>
      <c r="E1032" s="22" t="s">
        <v>4218</v>
      </c>
      <c r="F1032" s="22" t="s">
        <v>4223</v>
      </c>
      <c r="G1032" s="12">
        <f ca="1">IFERROR(__xludf.DUMMYFUNCTION(" VLOOKUP(A1029, IMPORTRANGE(""https://docs.google.com/spreadsheets/d/1fj_Bhi2XPL3siwIh4sx4VRLAe31yD50oKdj5UlRYW0c/"", ""Сводка!A:AA""), 5, FALSE)"),248)</f>
        <v>248</v>
      </c>
      <c r="H1032" s="10" t="s">
        <v>47</v>
      </c>
      <c r="I1032" s="10">
        <f ca="1">IFERROR(__xludf.DUMMYFUNCTION(" VLOOKUP(A1029, IMPORTRANGE(""https://docs.google.com/spreadsheets/d/1QNLbnkR_AongFt22vMfNzfpjZ0CjpI8QI-w0wBnYA1w/"", ""Инфа!A:AA""), 6, FALSE)"),2023)</f>
        <v>2023</v>
      </c>
      <c r="J1032" s="5">
        <f ca="1">ROUND((5000+G1032*30),-2)</f>
        <v>12400</v>
      </c>
      <c r="K1032" s="10" t="s">
        <v>4220</v>
      </c>
      <c r="L1032" s="23" t="s">
        <v>4224</v>
      </c>
    </row>
    <row r="1033" spans="1:12" ht="258.75">
      <c r="A1033" s="8" t="s">
        <v>4225</v>
      </c>
      <c r="B1033" s="9" t="s">
        <v>12</v>
      </c>
      <c r="C1033" s="12" t="s">
        <v>13</v>
      </c>
      <c r="D1033" s="10" t="str">
        <f ca="1">IFERROR(__xludf.DUMMYFUNCTION(" VLOOKUP(A1030, IMPORTRANGE(""https://docs.google.com/spreadsheets/d/1fj_Bhi2XPL3siwIh4sx4VRLAe31yD50oKdj5UlRYW0c/"", ""Сводка!A:AA""), 11, FALSE)"),"978-601-09-0255-8")</f>
        <v>978-601-09-0255-8</v>
      </c>
      <c r="E1033" s="22" t="s">
        <v>4226</v>
      </c>
      <c r="F1033" s="11" t="s">
        <v>4227</v>
      </c>
      <c r="G1033" s="12">
        <f ca="1">IFERROR(__xludf.DUMMYFUNCTION(" VLOOKUP(A1030, IMPORTRANGE(""https://docs.google.com/spreadsheets/d/1fj_Bhi2XPL3siwIh4sx4VRLAe31yD50oKdj5UlRYW0c/"", ""Сводка!A:AA""), 5, FALSE)"),100)</f>
        <v>100</v>
      </c>
      <c r="H1033" s="12" t="s">
        <v>42</v>
      </c>
      <c r="I1033" s="10">
        <f ca="1">IFERROR(__xludf.DUMMYFUNCTION(" VLOOKUP(A1030, IMPORTRANGE(""https://docs.google.com/spreadsheets/d/1QNLbnkR_AongFt22vMfNzfpjZ0CjpI8QI-w0wBnYA1w/"", ""Инфа!A:AA""), 6, FALSE)"),2024)</f>
        <v>2024</v>
      </c>
      <c r="J1033" s="5">
        <f ca="1">ROUND((5000+G1033*30),-2)</f>
        <v>8000</v>
      </c>
      <c r="K1033" s="12" t="s">
        <v>2614</v>
      </c>
      <c r="L1033" s="15" t="s">
        <v>4228</v>
      </c>
    </row>
    <row r="1034" spans="1:12" ht="78.75">
      <c r="A1034" s="8" t="s">
        <v>4229</v>
      </c>
      <c r="B1034" s="9" t="s">
        <v>12</v>
      </c>
      <c r="C1034" s="12" t="s">
        <v>443</v>
      </c>
      <c r="D1034" s="10" t="str">
        <f ca="1">IFERROR(__xludf.DUMMYFUNCTION(" VLOOKUP(A1031, IMPORTRANGE(""https://docs.google.com/spreadsheets/d/1fj_Bhi2XPL3siwIh4sx4VRLAe31yD50oKdj5UlRYW0c/"", ""Сводка!A:AA""), 11, FALSE)"),"978-601-352-901-1")</f>
        <v>978-601-352-901-1</v>
      </c>
      <c r="E1034" s="11" t="s">
        <v>4230</v>
      </c>
      <c r="F1034" s="11" t="s">
        <v>4231</v>
      </c>
      <c r="G1034" s="12">
        <f ca="1">IFERROR(__xludf.DUMMYFUNCTION(" VLOOKUP(A1031, IMPORTRANGE(""https://docs.google.com/spreadsheets/d/1fj_Bhi2XPL3siwIh4sx4VRLAe31yD50oKdj5UlRYW0c/"", ""Сводка!A:AA""), 5, FALSE)"),152)</f>
        <v>152</v>
      </c>
      <c r="H1034" s="12" t="s">
        <v>538</v>
      </c>
      <c r="I1034" s="10">
        <f ca="1">IFERROR(__xludf.DUMMYFUNCTION(" VLOOKUP(A1031, IMPORTRANGE(""https://docs.google.com/spreadsheets/d/1QNLbnkR_AongFt22vMfNzfpjZ0CjpI8QI-w0wBnYA1w/"", ""Инфа!A:AA""), 6, FALSE)"),2024)</f>
        <v>2024</v>
      </c>
      <c r="J1034" s="5">
        <f ca="1">ROUND((5000+G1034*60),-2)</f>
        <v>14100</v>
      </c>
      <c r="K1034" s="12" t="s">
        <v>26</v>
      </c>
      <c r="L1034" s="15" t="s">
        <v>4232</v>
      </c>
    </row>
    <row r="1035" spans="1:12" ht="292.5">
      <c r="A1035" s="8" t="s">
        <v>4233</v>
      </c>
      <c r="B1035" s="9" t="s">
        <v>12</v>
      </c>
      <c r="C1035" s="12" t="s">
        <v>443</v>
      </c>
      <c r="D1035" s="10" t="str">
        <f ca="1">IFERROR(__xludf.DUMMYFUNCTION(" VLOOKUP(A1032, IMPORTRANGE(""https://docs.google.com/spreadsheets/d/1fj_Bhi2XPL3siwIh4sx4VRLAe31yD50oKdj5UlRYW0c/"", ""Сводка!A:AA""), 11, FALSE)"),"978-601-330-229-4")</f>
        <v>978-601-330-229-4</v>
      </c>
      <c r="E1035" s="11" t="s">
        <v>4234</v>
      </c>
      <c r="F1035" s="11" t="s">
        <v>961</v>
      </c>
      <c r="G1035" s="12">
        <f ca="1">IFERROR(__xludf.DUMMYFUNCTION(" VLOOKUP(A1032, IMPORTRANGE(""https://docs.google.com/spreadsheets/d/1fj_Bhi2XPL3siwIh4sx4VRLAe31yD50oKdj5UlRYW0c/"", ""Сводка!A:AA""), 5, FALSE)"),236)</f>
        <v>236</v>
      </c>
      <c r="H1035" s="12" t="s">
        <v>777</v>
      </c>
      <c r="I1035" s="10">
        <f ca="1">IFERROR(__xludf.DUMMYFUNCTION(" VLOOKUP(A1032, IMPORTRANGE(""https://docs.google.com/spreadsheets/d/1QNLbnkR_AongFt22vMfNzfpjZ0CjpI8QI-w0wBnYA1w/"", ""Инфа!A:AA""), 6, FALSE)"),2024)</f>
        <v>2024</v>
      </c>
      <c r="J1035" s="5">
        <f ca="1">ROUND((5000+G1035*30),-2)</f>
        <v>12100</v>
      </c>
      <c r="K1035" s="12" t="s">
        <v>271</v>
      </c>
      <c r="L1035" s="15" t="s">
        <v>4235</v>
      </c>
    </row>
    <row r="1036" spans="1:12" ht="157.5">
      <c r="A1036" s="8" t="s">
        <v>4236</v>
      </c>
      <c r="B1036" s="9" t="s">
        <v>12</v>
      </c>
      <c r="C1036" s="12" t="s">
        <v>443</v>
      </c>
      <c r="D1036" s="10" t="str">
        <f ca="1">IFERROR(__xludf.DUMMYFUNCTION(" VLOOKUP(A1033, IMPORTRANGE(""https://docs.google.com/spreadsheets/d/1fj_Bhi2XPL3siwIh4sx4VRLAe31yD50oKdj5UlRYW0c/"", ""Сводка!A:AA""), 11, FALSE)"),"978-601-330-193-8")</f>
        <v>978-601-330-193-8</v>
      </c>
      <c r="E1036" s="11" t="s">
        <v>4237</v>
      </c>
      <c r="F1036" s="11" t="s">
        <v>4238</v>
      </c>
      <c r="G1036" s="12">
        <f ca="1">IFERROR(__xludf.DUMMYFUNCTION(" VLOOKUP(A1033, IMPORTRANGE(""https://docs.google.com/spreadsheets/d/1fj_Bhi2XPL3siwIh4sx4VRLAe31yD50oKdj5UlRYW0c/"", ""Сводка!A:AA""), 5, FALSE)"),140)</f>
        <v>140</v>
      </c>
      <c r="H1036" s="12" t="s">
        <v>4239</v>
      </c>
      <c r="I1036" s="10">
        <f ca="1">IFERROR(__xludf.DUMMYFUNCTION(" VLOOKUP(A1033, IMPORTRANGE(""https://docs.google.com/spreadsheets/d/1QNLbnkR_AongFt22vMfNzfpjZ0CjpI8QI-w0wBnYA1w/"", ""Инфа!A:AA""), 6, FALSE)"),2023)</f>
        <v>2023</v>
      </c>
      <c r="J1036" s="5">
        <f ca="1">ROUND((5000+G1036*60),-2)</f>
        <v>13400</v>
      </c>
      <c r="K1036" s="12" t="s">
        <v>4240</v>
      </c>
      <c r="L1036" s="15" t="s">
        <v>4241</v>
      </c>
    </row>
    <row r="1037" spans="1:12" ht="146.25">
      <c r="A1037" s="8" t="s">
        <v>4242</v>
      </c>
      <c r="B1037" s="9" t="s">
        <v>12</v>
      </c>
      <c r="C1037" s="12" t="s">
        <v>151</v>
      </c>
      <c r="D1037" s="10" t="str">
        <f ca="1">IFERROR(__xludf.DUMMYFUNCTION(" VLOOKUP(A1034, IMPORTRANGE(""https://docs.google.com/spreadsheets/d/1fj_Bhi2XPL3siwIh4sx4VRLAe31yD50oKdj5UlRYW0c/"", ""Сводка!A:AA""), 11, FALSE)"),"978-601-7993-11-5")</f>
        <v>978-601-7993-11-5</v>
      </c>
      <c r="E1037" s="11" t="s">
        <v>3588</v>
      </c>
      <c r="F1037" s="11" t="s">
        <v>4243</v>
      </c>
      <c r="G1037" s="12">
        <f ca="1">IFERROR(__xludf.DUMMYFUNCTION(" VLOOKUP(A1034, IMPORTRANGE(""https://docs.google.com/spreadsheets/d/1fj_Bhi2XPL3siwIh4sx4VRLAe31yD50oKdj5UlRYW0c/"", ""Сводка!A:AA""), 5, FALSE)"),112)</f>
        <v>112</v>
      </c>
      <c r="H1037" s="12" t="s">
        <v>165</v>
      </c>
      <c r="I1037" s="10">
        <f ca="1">IFERROR(__xludf.DUMMYFUNCTION(" VLOOKUP(A1034, IMPORTRANGE(""https://docs.google.com/spreadsheets/d/1QNLbnkR_AongFt22vMfNzfpjZ0CjpI8QI-w0wBnYA1w/"", ""Инфа!A:AA""), 6, FALSE)"),2024)</f>
        <v>2024</v>
      </c>
      <c r="J1037" s="5">
        <f ca="1">ROUND((5000+G1037*30),-2)</f>
        <v>8400</v>
      </c>
      <c r="K1037" s="12" t="s">
        <v>3591</v>
      </c>
      <c r="L1037" s="15" t="s">
        <v>4244</v>
      </c>
    </row>
    <row r="1038" spans="1:12" ht="157.5">
      <c r="A1038" s="8" t="s">
        <v>4245</v>
      </c>
      <c r="B1038" s="9" t="s">
        <v>12</v>
      </c>
      <c r="C1038" s="12" t="s">
        <v>151</v>
      </c>
      <c r="D1038" s="10" t="s">
        <v>4246</v>
      </c>
      <c r="E1038" s="11" t="s">
        <v>4247</v>
      </c>
      <c r="F1038" s="11" t="s">
        <v>4248</v>
      </c>
      <c r="G1038" s="12">
        <f ca="1">IFERROR(__xludf.DUMMYFUNCTION(" VLOOKUP(A1035, IMPORTRANGE(""https://docs.google.com/spreadsheets/d/1fj_Bhi2XPL3siwIh4sx4VRLAe31yD50oKdj5UlRYW0c/"", ""Сводка!A:AA""), 5, FALSE)"),124)</f>
        <v>124</v>
      </c>
      <c r="H1038" s="12" t="s">
        <v>106</v>
      </c>
      <c r="I1038" s="10">
        <f ca="1">IFERROR(__xludf.DUMMYFUNCTION(" VLOOKUP(A1035, IMPORTRANGE(""https://docs.google.com/spreadsheets/d/1QNLbnkR_AongFt22vMfNzfpjZ0CjpI8QI-w0wBnYA1w/"", ""Инфа!A:AA""), 6, FALSE)"),2024)</f>
        <v>2024</v>
      </c>
      <c r="J1038" s="5">
        <f ca="1">ROUND((5000+G1038*60),-2)</f>
        <v>12400</v>
      </c>
      <c r="K1038" s="12" t="s">
        <v>4249</v>
      </c>
      <c r="L1038" s="15" t="s">
        <v>4250</v>
      </c>
    </row>
    <row r="1039" spans="1:12" ht="112.5">
      <c r="A1039" s="8" t="s">
        <v>4251</v>
      </c>
      <c r="B1039" s="9" t="s">
        <v>12</v>
      </c>
      <c r="C1039" s="10" t="s">
        <v>443</v>
      </c>
      <c r="D1039" s="10" t="s">
        <v>4252</v>
      </c>
      <c r="E1039" s="22" t="s">
        <v>4253</v>
      </c>
      <c r="F1039" s="22" t="s">
        <v>4254</v>
      </c>
      <c r="G1039" s="12">
        <f ca="1">IFERROR(__xludf.DUMMYFUNCTION(" VLOOKUP(A1036, IMPORTRANGE(""https://docs.google.com/spreadsheets/d/1fj_Bhi2XPL3siwIh4sx4VRLAe31yD50oKdj5UlRYW0c/"", ""Сводка!A:AA""), 5, FALSE)"),140)</f>
        <v>140</v>
      </c>
      <c r="H1039" s="10" t="s">
        <v>538</v>
      </c>
      <c r="I1039" s="10">
        <f ca="1">IFERROR(__xludf.DUMMYFUNCTION(" VLOOKUP(A1036, IMPORTRANGE(""https://docs.google.com/spreadsheets/d/1QNLbnkR_AongFt22vMfNzfpjZ0CjpI8QI-w0wBnYA1w/"", ""Инфа!A:AA""), 6, FALSE)"),2024)</f>
        <v>2024</v>
      </c>
      <c r="J1039" s="5">
        <f ca="1">ROUND((5000+G1039*30),-2)</f>
        <v>9200</v>
      </c>
      <c r="K1039" s="10" t="s">
        <v>4255</v>
      </c>
      <c r="L1039" s="23" t="s">
        <v>4256</v>
      </c>
    </row>
    <row r="1040" spans="1:12" ht="258.75">
      <c r="A1040" s="8" t="s">
        <v>4257</v>
      </c>
      <c r="B1040" s="9" t="s">
        <v>12</v>
      </c>
      <c r="C1040" s="12" t="s">
        <v>443</v>
      </c>
      <c r="D1040" s="10" t="str">
        <f ca="1">IFERROR(__xludf.DUMMYFUNCTION(" VLOOKUP(A1037, IMPORTRANGE(""https://docs.google.com/spreadsheets/d/1fj_Bhi2XPL3siwIh4sx4VRLAe31yD50oKdj5UlRYW0c/"", ""Сводка!A:AA""), 11, FALSE)"),"978-601-352-937-0")</f>
        <v>978-601-352-937-0</v>
      </c>
      <c r="E1040" s="11" t="s">
        <v>4258</v>
      </c>
      <c r="F1040" s="11" t="s">
        <v>4259</v>
      </c>
      <c r="G1040" s="12">
        <f ca="1">IFERROR(__xludf.DUMMYFUNCTION(" VLOOKUP(A1037, IMPORTRANGE(""https://docs.google.com/spreadsheets/d/1fj_Bhi2XPL3siwIh4sx4VRLAe31yD50oKdj5UlRYW0c/"", ""Сводка!A:AA""), 5, FALSE)"),276)</f>
        <v>276</v>
      </c>
      <c r="H1040" s="12" t="s">
        <v>671</v>
      </c>
      <c r="I1040" s="10">
        <f ca="1">IFERROR(__xludf.DUMMYFUNCTION(" VLOOKUP(A1037, IMPORTRANGE(""https://docs.google.com/spreadsheets/d/1QNLbnkR_AongFt22vMfNzfpjZ0CjpI8QI-w0wBnYA1w/"", ""Инфа!A:AA""), 6, FALSE)"),2024)</f>
        <v>2024</v>
      </c>
      <c r="J1040" s="5">
        <f ca="1">ROUND((5000+G1040*60),-2)</f>
        <v>21600</v>
      </c>
      <c r="K1040" s="12" t="s">
        <v>4260</v>
      </c>
      <c r="L1040" s="16" t="s">
        <v>4261</v>
      </c>
    </row>
    <row r="1041" spans="1:12" ht="180">
      <c r="A1041" s="8" t="s">
        <v>4262</v>
      </c>
      <c r="B1041" s="9" t="s">
        <v>12</v>
      </c>
      <c r="C1041" s="12" t="s">
        <v>443</v>
      </c>
      <c r="D1041" s="10" t="s">
        <v>4263</v>
      </c>
      <c r="E1041" s="11" t="s">
        <v>4264</v>
      </c>
      <c r="F1041" s="11" t="s">
        <v>4265</v>
      </c>
      <c r="G1041" s="12">
        <f ca="1">IFERROR(__xludf.DUMMYFUNCTION(" VLOOKUP(A1038, IMPORTRANGE(""https://docs.google.com/spreadsheets/d/1fj_Bhi2XPL3siwIh4sx4VRLAe31yD50oKdj5UlRYW0c/"", ""Сводка!A:AA""), 5, FALSE)"),140)</f>
        <v>140</v>
      </c>
      <c r="H1041" s="12" t="s">
        <v>538</v>
      </c>
      <c r="I1041" s="10">
        <f ca="1">IFERROR(__xludf.DUMMYFUNCTION(" VLOOKUP(A1038, IMPORTRANGE(""https://docs.google.com/spreadsheets/d/1QNLbnkR_AongFt22vMfNzfpjZ0CjpI8QI-w0wBnYA1w/"", ""Инфа!A:AA""), 6, FALSE)"),2024)</f>
        <v>2024</v>
      </c>
      <c r="J1041" s="5">
        <f ca="1">ROUND((5000+G1041*30),-2)</f>
        <v>9200</v>
      </c>
      <c r="K1041" s="12" t="s">
        <v>3199</v>
      </c>
      <c r="L1041" s="16" t="s">
        <v>4266</v>
      </c>
    </row>
    <row r="1042" spans="1:12" ht="247.5">
      <c r="A1042" s="8" t="s">
        <v>4267</v>
      </c>
      <c r="B1042" s="9" t="s">
        <v>12</v>
      </c>
      <c r="C1042" s="12" t="s">
        <v>443</v>
      </c>
      <c r="D1042" s="10" t="str">
        <f ca="1">IFERROR(__xludf.DUMMYFUNCTION(" VLOOKUP(A1039, IMPORTRANGE(""https://docs.google.com/spreadsheets/d/1fj_Bhi2XPL3siwIh4sx4VRLAe31yD50oKdj5UlRYW0c/"", ""Сводка!A:AA""), 11, FALSE)"),"978-601-352-919-6")</f>
        <v>978-601-352-919-6</v>
      </c>
      <c r="E1042" s="11" t="s">
        <v>4268</v>
      </c>
      <c r="F1042" s="11" t="s">
        <v>4269</v>
      </c>
      <c r="G1042" s="12">
        <f ca="1">IFERROR(__xludf.DUMMYFUNCTION(" VLOOKUP(A1039, IMPORTRANGE(""https://docs.google.com/spreadsheets/d/1fj_Bhi2XPL3siwIh4sx4VRLAe31yD50oKdj5UlRYW0c/"", ""Сводка!A:AA""), 5, FALSE)"),112)</f>
        <v>112</v>
      </c>
      <c r="H1042" s="12" t="s">
        <v>538</v>
      </c>
      <c r="I1042" s="10">
        <f ca="1">IFERROR(__xludf.DUMMYFUNCTION(" VLOOKUP(A1039, IMPORTRANGE(""https://docs.google.com/spreadsheets/d/1QNLbnkR_AongFt22vMfNzfpjZ0CjpI8QI-w0wBnYA1w/"", ""Инфа!A:AA""), 6, FALSE)"),2024)</f>
        <v>2024</v>
      </c>
      <c r="J1042" s="5">
        <f ca="1">ROUND((5000+G1042*30),-2)</f>
        <v>8400</v>
      </c>
      <c r="K1042" s="12" t="s">
        <v>2614</v>
      </c>
      <c r="L1042" s="15" t="s">
        <v>4270</v>
      </c>
    </row>
    <row r="1043" spans="1:12" ht="225">
      <c r="A1043" s="8" t="s">
        <v>4271</v>
      </c>
      <c r="B1043" s="9" t="s">
        <v>12</v>
      </c>
      <c r="C1043" s="12" t="s">
        <v>443</v>
      </c>
      <c r="D1043" s="10" t="str">
        <f ca="1">IFERROR(__xludf.DUMMYFUNCTION(" VLOOKUP(A1040, IMPORTRANGE(""https://docs.google.com/spreadsheets/d/1fj_Bhi2XPL3siwIh4sx4VRLAe31yD50oKdj5UlRYW0c/"", ""Сводка!A:AA""), 11, FALSE)"),"978-601-352-920-2")</f>
        <v>978-601-352-920-2</v>
      </c>
      <c r="E1043" s="11" t="s">
        <v>4268</v>
      </c>
      <c r="F1043" s="11" t="s">
        <v>4272</v>
      </c>
      <c r="G1043" s="12">
        <f ca="1">IFERROR(__xludf.DUMMYFUNCTION(" VLOOKUP(A1040, IMPORTRANGE(""https://docs.google.com/spreadsheets/d/1fj_Bhi2XPL3siwIh4sx4VRLAe31yD50oKdj5UlRYW0c/"", ""Сводка!A:AA""), 5, FALSE)"),292)</f>
        <v>292</v>
      </c>
      <c r="H1043" s="12" t="s">
        <v>538</v>
      </c>
      <c r="I1043" s="10">
        <f ca="1">IFERROR(__xludf.DUMMYFUNCTION(" VLOOKUP(A1040, IMPORTRANGE(""https://docs.google.com/spreadsheets/d/1QNLbnkR_AongFt22vMfNzfpjZ0CjpI8QI-w0wBnYA1w/"", ""Инфа!A:AA""), 6, FALSE)"),2024)</f>
        <v>2024</v>
      </c>
      <c r="J1043" s="5">
        <f ca="1">ROUND((5000+G1043*30),-2)</f>
        <v>13800</v>
      </c>
      <c r="K1043" s="12" t="s">
        <v>2614</v>
      </c>
      <c r="L1043" s="15" t="s">
        <v>4273</v>
      </c>
    </row>
    <row r="1044" spans="1:12" ht="157.5">
      <c r="A1044" s="8" t="s">
        <v>4274</v>
      </c>
      <c r="B1044" s="9" t="s">
        <v>12</v>
      </c>
      <c r="C1044" s="12" t="s">
        <v>443</v>
      </c>
      <c r="D1044" s="10" t="str">
        <f ca="1">IFERROR(__xludf.DUMMYFUNCTION(" VLOOKUP(A1041, IMPORTRANGE(""https://docs.google.com/spreadsheets/d/1fj_Bhi2XPL3siwIh4sx4VRLAe31yD50oKdj5UlRYW0c/"", ""Сводка!A:AA""), 11, FALSE)"),"978-601-330-238-6")</f>
        <v>978-601-330-238-6</v>
      </c>
      <c r="E1044" s="11" t="s">
        <v>4275</v>
      </c>
      <c r="F1044" s="11" t="s">
        <v>4276</v>
      </c>
      <c r="G1044" s="12">
        <f ca="1">IFERROR(__xludf.DUMMYFUNCTION(" VLOOKUP(A1041, IMPORTRANGE(""https://docs.google.com/spreadsheets/d/1fj_Bhi2XPL3siwIh4sx4VRLAe31yD50oKdj5UlRYW0c/"", ""Сводка!A:AA""), 5, FALSE)"),120)</f>
        <v>120</v>
      </c>
      <c r="H1044" s="12" t="s">
        <v>511</v>
      </c>
      <c r="I1044" s="10">
        <f ca="1">IFERROR(__xludf.DUMMYFUNCTION(" VLOOKUP(A1041, IMPORTRANGE(""https://docs.google.com/spreadsheets/d/1QNLbnkR_AongFt22vMfNzfpjZ0CjpI8QI-w0wBnYA1w/"", ""Инфа!A:AA""), 6, FALSE)"),2023)</f>
        <v>2023</v>
      </c>
      <c r="J1044" s="5">
        <f ca="1">ROUND((5000+G1044*30),-2)</f>
        <v>8600</v>
      </c>
      <c r="K1044" s="12" t="s">
        <v>3100</v>
      </c>
      <c r="L1044" s="15" t="s">
        <v>4277</v>
      </c>
    </row>
    <row r="1045" spans="1:12" ht="157.5">
      <c r="A1045" s="8" t="s">
        <v>4278</v>
      </c>
      <c r="B1045" s="9" t="s">
        <v>12</v>
      </c>
      <c r="C1045" s="12" t="s">
        <v>443</v>
      </c>
      <c r="D1045" s="10" t="str">
        <f ca="1">IFERROR(__xludf.DUMMYFUNCTION(" VLOOKUP(A1042, IMPORTRANGE(""https://docs.google.com/spreadsheets/d/1fj_Bhi2XPL3siwIh4sx4VRLAe31yD50oKdj5UlRYW0c/"", ""Сводка!A:AA""), 11, FALSE)"),"978-601-330-237-9")</f>
        <v>978-601-330-237-9</v>
      </c>
      <c r="E1045" s="11" t="s">
        <v>4275</v>
      </c>
      <c r="F1045" s="11" t="s">
        <v>4279</v>
      </c>
      <c r="G1045" s="12">
        <f ca="1">IFERROR(__xludf.DUMMYFUNCTION(" VLOOKUP(A1042, IMPORTRANGE(""https://docs.google.com/spreadsheets/d/1fj_Bhi2XPL3siwIh4sx4VRLAe31yD50oKdj5UlRYW0c/"", ""Сводка!A:AA""), 5, FALSE)"),316)</f>
        <v>316</v>
      </c>
      <c r="H1045" s="12" t="s">
        <v>538</v>
      </c>
      <c r="I1045" s="10">
        <f ca="1">IFERROR(__xludf.DUMMYFUNCTION(" VLOOKUP(A1042, IMPORTRANGE(""https://docs.google.com/spreadsheets/d/1QNLbnkR_AongFt22vMfNzfpjZ0CjpI8QI-w0wBnYA1w/"", ""Инфа!A:AA""), 6, FALSE)"),2023)</f>
        <v>2023</v>
      </c>
      <c r="J1045" s="5">
        <f ca="1">ROUND((5000+G1045*30),-2)</f>
        <v>14500</v>
      </c>
      <c r="K1045" s="12" t="s">
        <v>3100</v>
      </c>
      <c r="L1045" s="15" t="s">
        <v>4280</v>
      </c>
    </row>
    <row r="1046" spans="1:12" ht="51">
      <c r="A1046" s="8" t="s">
        <v>4281</v>
      </c>
      <c r="B1046" s="9" t="s">
        <v>12</v>
      </c>
      <c r="C1046" s="10" t="s">
        <v>151</v>
      </c>
      <c r="D1046" s="10" t="str">
        <f ca="1">IFERROR(__xludf.DUMMYFUNCTION(" VLOOKUP(A1043, IMPORTRANGE(""https://docs.google.com/spreadsheets/d/1fj_Bhi2XPL3siwIh4sx4VRLAe31yD50oKdj5UlRYW0c/"", ""Сводка!A:AA""), 11, FALSE)"),"979-608-244-116-9")</f>
        <v>979-608-244-116-9</v>
      </c>
      <c r="E1046" s="11" t="s">
        <v>4282</v>
      </c>
      <c r="F1046" s="11" t="s">
        <v>4283</v>
      </c>
      <c r="G1046" s="12">
        <f ca="1">IFERROR(__xludf.DUMMYFUNCTION(" VLOOKUP(A1043, IMPORTRANGE(""https://docs.google.com/spreadsheets/d/1fj_Bhi2XPL3siwIh4sx4VRLAe31yD50oKdj5UlRYW0c/"", ""Сводка!A:AA""), 5, FALSE)"),244)</f>
        <v>244</v>
      </c>
      <c r="H1046" s="12" t="s">
        <v>4284</v>
      </c>
      <c r="I1046" s="10">
        <f ca="1">IFERROR(__xludf.DUMMYFUNCTION(" VLOOKUP(A1043, IMPORTRANGE(""https://docs.google.com/spreadsheets/d/1QNLbnkR_AongFt22vMfNzfpjZ0CjpI8QI-w0wBnYA1w/"", ""Инфа!A:AA""), 6, FALSE)"),2024)</f>
        <v>2024</v>
      </c>
      <c r="J1046" s="5">
        <f ca="1">ROUND((5000+G1046*60),-2)</f>
        <v>19600</v>
      </c>
      <c r="K1046" s="9" t="s">
        <v>619</v>
      </c>
      <c r="L1046" s="15"/>
    </row>
    <row r="1047" spans="1:12" ht="135">
      <c r="A1047" s="8" t="s">
        <v>4285</v>
      </c>
      <c r="B1047" s="9" t="s">
        <v>12</v>
      </c>
      <c r="C1047" s="12" t="s">
        <v>443</v>
      </c>
      <c r="D1047" s="10" t="str">
        <f ca="1">IFERROR(__xludf.DUMMYFUNCTION(" VLOOKUP(A1044, IMPORTRANGE(""https://docs.google.com/spreadsheets/d/1fj_Bhi2XPL3siwIh4sx4VRLAe31yD50oKdj5UlRYW0c/"", ""Сводка!A:AA""), 11, FALSE)"),"978-601-330-006-1")</f>
        <v>978-601-330-006-1</v>
      </c>
      <c r="E1047" s="22" t="s">
        <v>4286</v>
      </c>
      <c r="F1047" s="22" t="s">
        <v>4287</v>
      </c>
      <c r="G1047" s="12">
        <f ca="1">IFERROR(__xludf.DUMMYFUNCTION(" VLOOKUP(A1044, IMPORTRANGE(""https://docs.google.com/spreadsheets/d/1fj_Bhi2XPL3siwIh4sx4VRLAe31yD50oKdj5UlRYW0c/"", ""Сводка!A:AA""), 5, FALSE)"),248)</f>
        <v>248</v>
      </c>
      <c r="H1047" s="12" t="s">
        <v>538</v>
      </c>
      <c r="I1047" s="10">
        <f ca="1">IFERROR(__xludf.DUMMYFUNCTION(" VLOOKUP(A1044, IMPORTRANGE(""https://docs.google.com/spreadsheets/d/1QNLbnkR_AongFt22vMfNzfpjZ0CjpI8QI-w0wBnYA1w/"", ""Инфа!A:AA""), 6, FALSE)"),2024)</f>
        <v>2024</v>
      </c>
      <c r="J1047" s="5">
        <f ca="1">ROUND((5000+G1047*30),-2)</f>
        <v>12400</v>
      </c>
      <c r="K1047" s="12" t="s">
        <v>248</v>
      </c>
      <c r="L1047" s="15" t="s">
        <v>4288</v>
      </c>
    </row>
    <row r="1048" spans="1:12" ht="191.25">
      <c r="A1048" s="8" t="s">
        <v>4289</v>
      </c>
      <c r="B1048" s="9" t="s">
        <v>12</v>
      </c>
      <c r="C1048" s="12" t="s">
        <v>443</v>
      </c>
      <c r="D1048" s="10" t="str">
        <f ca="1">IFERROR(__xludf.DUMMYFUNCTION(" VLOOKUP(A1045, IMPORTRANGE(""https://docs.google.com/spreadsheets/d/1fj_Bhi2XPL3siwIh4sx4VRLAe31yD50oKdj5UlRYW0c/"", ""Сводка!A:AA""), 11, FALSE)"),"978-601-08-0518-11")</f>
        <v>978-601-08-0518-11</v>
      </c>
      <c r="E1048" s="11" t="s">
        <v>4290</v>
      </c>
      <c r="F1048" s="11" t="s">
        <v>4291</v>
      </c>
      <c r="G1048" s="12">
        <f ca="1">IFERROR(__xludf.DUMMYFUNCTION(" VLOOKUP(A1045, IMPORTRANGE(""https://docs.google.com/spreadsheets/d/1fj_Bhi2XPL3siwIh4sx4VRLAe31yD50oKdj5UlRYW0c/"", ""Сводка!A:AA""), 5, FALSE)"),256)</f>
        <v>256</v>
      </c>
      <c r="H1048" s="12" t="s">
        <v>538</v>
      </c>
      <c r="I1048" s="10">
        <f ca="1">IFERROR(__xludf.DUMMYFUNCTION(" VLOOKUP(A1045, IMPORTRANGE(""https://docs.google.com/spreadsheets/d/1QNLbnkR_AongFt22vMfNzfpjZ0CjpI8QI-w0wBnYA1w/"", ""Инфа!A:AA""), 6, FALSE)"),2024)</f>
        <v>2024</v>
      </c>
      <c r="J1048" s="5">
        <f ca="1">ROUND((5000+G1048*60),-2)</f>
        <v>20400</v>
      </c>
      <c r="K1048" s="12" t="s">
        <v>3208</v>
      </c>
      <c r="L1048" s="15" t="s">
        <v>4292</v>
      </c>
    </row>
    <row r="1049" spans="1:12" ht="168.75">
      <c r="A1049" s="8" t="s">
        <v>4293</v>
      </c>
      <c r="B1049" s="9" t="s">
        <v>12</v>
      </c>
      <c r="C1049" s="12" t="s">
        <v>443</v>
      </c>
      <c r="D1049" s="10" t="str">
        <f ca="1">IFERROR(__xludf.DUMMYFUNCTION(" VLOOKUP(A1046, IMPORTRANGE(""https://docs.google.com/spreadsheets/d/1fj_Bhi2XPL3siwIh4sx4VRLAe31yD50oKdj5UlRYW0c/"", ""Сводка!A:AA""), 11, FALSE)"),"978-601-337-379-9")</f>
        <v>978-601-337-379-9</v>
      </c>
      <c r="E1049" s="22" t="s">
        <v>4294</v>
      </c>
      <c r="F1049" s="22" t="s">
        <v>4295</v>
      </c>
      <c r="G1049" s="12">
        <f ca="1">IFERROR(__xludf.DUMMYFUNCTION(" VLOOKUP(A1046, IMPORTRANGE(""https://docs.google.com/spreadsheets/d/1fj_Bhi2XPL3siwIh4sx4VRLAe31yD50oKdj5UlRYW0c/"", ""Сводка!A:AA""), 5, FALSE)"),144)</f>
        <v>144</v>
      </c>
      <c r="H1049" s="12" t="s">
        <v>538</v>
      </c>
      <c r="I1049" s="10">
        <f ca="1">IFERROR(__xludf.DUMMYFUNCTION(" VLOOKUP(A1046, IMPORTRANGE(""https://docs.google.com/spreadsheets/d/1QNLbnkR_AongFt22vMfNzfpjZ0CjpI8QI-w0wBnYA1w/"", ""Инфа!A:AA""), 6, FALSE)"),2023)</f>
        <v>2023</v>
      </c>
      <c r="J1049" s="5">
        <f ca="1">ROUND((5000+G1049*30),-2)</f>
        <v>9300</v>
      </c>
      <c r="K1049" s="10" t="s">
        <v>4296</v>
      </c>
      <c r="L1049" s="23" t="s">
        <v>4297</v>
      </c>
    </row>
    <row r="1050" spans="1:12" ht="236.25">
      <c r="A1050" s="8" t="s">
        <v>4298</v>
      </c>
      <c r="B1050" s="9" t="s">
        <v>12</v>
      </c>
      <c r="C1050" s="12" t="s">
        <v>151</v>
      </c>
      <c r="D1050" s="10" t="str">
        <f ca="1">IFERROR(__xludf.DUMMYFUNCTION(" VLOOKUP(A1047, IMPORTRANGE(""https://docs.google.com/spreadsheets/d/1fj_Bhi2XPL3siwIh4sx4VRLAe31yD50oKdj5UlRYW0c/"", ""Сводка!A:AA""), 11, FALSE)"),"978-601-240-835-5")</f>
        <v>978-601-240-835-5</v>
      </c>
      <c r="E1050" s="11" t="s">
        <v>4299</v>
      </c>
      <c r="F1050" s="11" t="s">
        <v>4300</v>
      </c>
      <c r="G1050" s="12">
        <f ca="1">IFERROR(__xludf.DUMMYFUNCTION(" VLOOKUP(A1047, IMPORTRANGE(""https://docs.google.com/spreadsheets/d/1fj_Bhi2XPL3siwIh4sx4VRLAe31yD50oKdj5UlRYW0c/"", ""Сводка!A:AA""), 5, FALSE)"),268)</f>
        <v>268</v>
      </c>
      <c r="H1050" s="12" t="s">
        <v>165</v>
      </c>
      <c r="I1050" s="10">
        <f ca="1">IFERROR(__xludf.DUMMYFUNCTION(" VLOOKUP(A1047, IMPORTRANGE(""https://docs.google.com/spreadsheets/d/1QNLbnkR_AongFt22vMfNzfpjZ0CjpI8QI-w0wBnYA1w/"", ""Инфа!A:AA""), 6, FALSE)"),2024)</f>
        <v>2024</v>
      </c>
      <c r="J1050" s="5">
        <f ca="1">ROUND((5000+G1050*60),-2)</f>
        <v>21100</v>
      </c>
      <c r="K1050" s="12" t="s">
        <v>84</v>
      </c>
      <c r="L1050" s="15" t="s">
        <v>4301</v>
      </c>
    </row>
    <row r="1051" spans="1:12" ht="123.75">
      <c r="A1051" s="8" t="s">
        <v>4302</v>
      </c>
      <c r="B1051" s="9" t="s">
        <v>12</v>
      </c>
      <c r="C1051" s="12" t="s">
        <v>151</v>
      </c>
      <c r="D1051" s="10" t="str">
        <f ca="1">IFERROR(__xludf.DUMMYFUNCTION(" VLOOKUP(A1048, IMPORTRANGE(""https://docs.google.com/spreadsheets/d/1fj_Bhi2XPL3siwIh4sx4VRLAe31yD50oKdj5UlRYW0c/"", ""Сводка!A:AA""), 11, FALSE)"),"978-601-330-048-1")</f>
        <v>978-601-330-048-1</v>
      </c>
      <c r="E1051" s="11" t="s">
        <v>4303</v>
      </c>
      <c r="F1051" s="11" t="s">
        <v>4304</v>
      </c>
      <c r="G1051" s="12">
        <f ca="1">IFERROR(__xludf.DUMMYFUNCTION(" VLOOKUP(A1048, IMPORTRANGE(""https://docs.google.com/spreadsheets/d/1fj_Bhi2XPL3siwIh4sx4VRLAe31yD50oKdj5UlRYW0c/"", ""Сводка!A:AA""), 5, FALSE)"),328)</f>
        <v>328</v>
      </c>
      <c r="H1051" s="12" t="s">
        <v>165</v>
      </c>
      <c r="I1051" s="10">
        <f ca="1">IFERROR(__xludf.DUMMYFUNCTION(" VLOOKUP(A1048, IMPORTRANGE(""https://docs.google.com/spreadsheets/d/1QNLbnkR_AongFt22vMfNzfpjZ0CjpI8QI-w0wBnYA1w/"", ""Инфа!A:AA""), 6, FALSE)"),2024)</f>
        <v>2024</v>
      </c>
      <c r="J1051" s="5">
        <f ca="1">ROUND(((5000+G1051*60)*1.3),-2)</f>
        <v>32100</v>
      </c>
      <c r="K1051" s="12" t="s">
        <v>2398</v>
      </c>
      <c r="L1051" s="15" t="s">
        <v>4305</v>
      </c>
    </row>
    <row r="1052" spans="1:12" ht="157.5">
      <c r="A1052" s="8" t="s">
        <v>4306</v>
      </c>
      <c r="B1052" s="9" t="s">
        <v>12</v>
      </c>
      <c r="C1052" s="12" t="s">
        <v>443</v>
      </c>
      <c r="D1052" s="10" t="str">
        <f ca="1">IFERROR(__xludf.DUMMYFUNCTION(" VLOOKUP(A1049, IMPORTRANGE(""https://docs.google.com/spreadsheets/d/1fj_Bhi2XPL3siwIh4sx4VRLAe31yD50oKdj5UlRYW0c/"", ""Сводка!A:AA""), 11, FALSE)"),"978-601-352-991-2")</f>
        <v>978-601-352-991-2</v>
      </c>
      <c r="E1052" s="11" t="s">
        <v>4307</v>
      </c>
      <c r="F1052" s="11" t="s">
        <v>4308</v>
      </c>
      <c r="G1052" s="12">
        <f ca="1">IFERROR(__xludf.DUMMYFUNCTION(" VLOOKUP(A1049, IMPORTRANGE(""https://docs.google.com/spreadsheets/d/1fj_Bhi2XPL3siwIh4sx4VRLAe31yD50oKdj5UlRYW0c/"", ""Сводка!A:AA""), 5, FALSE)"),232)</f>
        <v>232</v>
      </c>
      <c r="H1052" s="10" t="s">
        <v>106</v>
      </c>
      <c r="I1052" s="10">
        <f ca="1">IFERROR(__xludf.DUMMYFUNCTION(" VLOOKUP(A1049, IMPORTRANGE(""https://docs.google.com/spreadsheets/d/1QNLbnkR_AongFt22vMfNzfpjZ0CjpI8QI-w0wBnYA1w/"", ""Инфа!A:AA""), 6, FALSE)"),2024)</f>
        <v>2024</v>
      </c>
      <c r="J1052" s="5">
        <f t="shared" ref="J1052:J1060" ca="1" si="29">ROUND((5000+G1052*30),-2)</f>
        <v>12000</v>
      </c>
      <c r="K1052" s="10" t="s">
        <v>4309</v>
      </c>
      <c r="L1052" s="23" t="s">
        <v>4310</v>
      </c>
    </row>
    <row r="1053" spans="1:12" ht="225">
      <c r="A1053" s="8" t="s">
        <v>4311</v>
      </c>
      <c r="B1053" s="9" t="s">
        <v>12</v>
      </c>
      <c r="C1053" s="12" t="s">
        <v>443</v>
      </c>
      <c r="D1053" s="10" t="str">
        <f ca="1">IFERROR(__xludf.DUMMYFUNCTION(" VLOOKUP(A1050, IMPORTRANGE(""https://docs.google.com/spreadsheets/d/1fj_Bhi2XPL3siwIh4sx4VRLAe31yD50oKdj5UlRYW0c/"", ""Сводка!A:AA""), 11, FALSE)"),"978-601-330-008-5")</f>
        <v>978-601-330-008-5</v>
      </c>
      <c r="E1053" s="11" t="s">
        <v>4312</v>
      </c>
      <c r="F1053" s="11" t="s">
        <v>4313</v>
      </c>
      <c r="G1053" s="12">
        <f ca="1">IFERROR(__xludf.DUMMYFUNCTION(" VLOOKUP(A1050, IMPORTRANGE(""https://docs.google.com/spreadsheets/d/1fj_Bhi2XPL3siwIh4sx4VRLAe31yD50oKdj5UlRYW0c/"", ""Сводка!A:AA""), 5, FALSE)"),232)</f>
        <v>232</v>
      </c>
      <c r="H1053" s="12" t="s">
        <v>777</v>
      </c>
      <c r="I1053" s="10">
        <f ca="1">IFERROR(__xludf.DUMMYFUNCTION(" VLOOKUP(A1050, IMPORTRANGE(""https://docs.google.com/spreadsheets/d/1QNLbnkR_AongFt22vMfNzfpjZ0CjpI8QI-w0wBnYA1w/"", ""Инфа!A:AA""), 6, FALSE)"),2023)</f>
        <v>2023</v>
      </c>
      <c r="J1053" s="5">
        <f t="shared" ca="1" si="29"/>
        <v>12000</v>
      </c>
      <c r="K1053" s="12" t="s">
        <v>4314</v>
      </c>
      <c r="L1053" s="15" t="s">
        <v>4315</v>
      </c>
    </row>
    <row r="1054" spans="1:12" ht="51">
      <c r="A1054" s="8" t="s">
        <v>4316</v>
      </c>
      <c r="B1054" s="9" t="s">
        <v>12</v>
      </c>
      <c r="C1054" s="12" t="s">
        <v>443</v>
      </c>
      <c r="D1054" s="10" t="str">
        <f ca="1">IFERROR(__xludf.DUMMYFUNCTION(" VLOOKUP(A1051, IMPORTRANGE(""https://docs.google.com/spreadsheets/d/1fj_Bhi2XPL3siwIh4sx4VRLAe31yD50oKdj5UlRYW0c/"", ""Сводка!A:AA""), 11, FALSE)"),"978-601-08-1857-6")</f>
        <v>978-601-08-1857-6</v>
      </c>
      <c r="E1054" s="11" t="s">
        <v>4317</v>
      </c>
      <c r="F1054" s="11" t="s">
        <v>4318</v>
      </c>
      <c r="G1054" s="12">
        <f ca="1">IFERROR(__xludf.DUMMYFUNCTION(" VLOOKUP(A1051, IMPORTRANGE(""https://docs.google.com/spreadsheets/d/1fj_Bhi2XPL3siwIh4sx4VRLAe31yD50oKdj5UlRYW0c/"", ""Сводка!A:AA""), 5, FALSE)"),140)</f>
        <v>140</v>
      </c>
      <c r="H1054" s="12" t="s">
        <v>106</v>
      </c>
      <c r="I1054" s="10">
        <f ca="1">IFERROR(__xludf.DUMMYFUNCTION(" VLOOKUP(A1051, IMPORTRANGE(""https://docs.google.com/spreadsheets/d/1QNLbnkR_AongFt22vMfNzfpjZ0CjpI8QI-w0wBnYA1w/"", ""Инфа!A:AA""), 6, FALSE)"),2023)</f>
        <v>2023</v>
      </c>
      <c r="J1054" s="5">
        <f t="shared" ca="1" si="29"/>
        <v>9200</v>
      </c>
      <c r="K1054" s="12" t="s">
        <v>26</v>
      </c>
      <c r="L1054" s="15" t="s">
        <v>4319</v>
      </c>
    </row>
    <row r="1055" spans="1:12" ht="191.25">
      <c r="A1055" s="8" t="s">
        <v>4320</v>
      </c>
      <c r="B1055" s="9" t="s">
        <v>12</v>
      </c>
      <c r="C1055" s="12" t="s">
        <v>151</v>
      </c>
      <c r="D1055" s="10" t="str">
        <f ca="1">IFERROR(__xludf.DUMMYFUNCTION(" VLOOKUP(A1052, IMPORTRANGE(""https://docs.google.com/spreadsheets/d/1fj_Bhi2XPL3siwIh4sx4VRLAe31yD50oKdj5UlRYW0c/"", ""Сводка!A:AA""), 11, FALSE)"),"978-601-352-949-3")</f>
        <v>978-601-352-949-3</v>
      </c>
      <c r="E1055" s="11" t="s">
        <v>4321</v>
      </c>
      <c r="F1055" s="11" t="s">
        <v>4322</v>
      </c>
      <c r="G1055" s="12">
        <f ca="1">IFERROR(__xludf.DUMMYFUNCTION(" VLOOKUP(A1052, IMPORTRANGE(""https://docs.google.com/spreadsheets/d/1fj_Bhi2XPL3siwIh4sx4VRLAe31yD50oKdj5UlRYW0c/"", ""Сводка!A:AA""), 5, FALSE)"),140)</f>
        <v>140</v>
      </c>
      <c r="H1055" s="12" t="s">
        <v>106</v>
      </c>
      <c r="I1055" s="10">
        <f ca="1">IFERROR(__xludf.DUMMYFUNCTION(" VLOOKUP(A1052, IMPORTRANGE(""https://docs.google.com/spreadsheets/d/1QNLbnkR_AongFt22vMfNzfpjZ0CjpI8QI-w0wBnYA1w/"", ""Инфа!A:AA""), 6, FALSE)"),2024)</f>
        <v>2024</v>
      </c>
      <c r="J1055" s="5">
        <f t="shared" ca="1" si="29"/>
        <v>9200</v>
      </c>
      <c r="K1055" s="12" t="s">
        <v>160</v>
      </c>
      <c r="L1055" s="15" t="s">
        <v>4323</v>
      </c>
    </row>
    <row r="1056" spans="1:12" ht="63.75">
      <c r="A1056" s="8" t="s">
        <v>4324</v>
      </c>
      <c r="B1056" s="9" t="s">
        <v>12</v>
      </c>
      <c r="C1056" s="10" t="s">
        <v>443</v>
      </c>
      <c r="D1056" s="10" t="str">
        <f ca="1">IFERROR(__xludf.DUMMYFUNCTION(" VLOOKUP(A1053, IMPORTRANGE(""https://docs.google.com/spreadsheets/d/1fj_Bhi2XPL3siwIh4sx4VRLAe31yD50oKdj5UlRYW0c/"", ""Сводка!A:AA""), 11, FALSE)"),"978-601-310-040-1")</f>
        <v>978-601-310-040-1</v>
      </c>
      <c r="E1056" s="11" t="s">
        <v>4282</v>
      </c>
      <c r="F1056" s="11" t="s">
        <v>4325</v>
      </c>
      <c r="G1056" s="12">
        <f ca="1">IFERROR(__xludf.DUMMYFUNCTION(" VLOOKUP(A1053, IMPORTRANGE(""https://docs.google.com/spreadsheets/d/1fj_Bhi2XPL3siwIh4sx4VRLAe31yD50oKdj5UlRYW0c/"", ""Сводка!A:AA""), 5, FALSE)"),212)</f>
        <v>212</v>
      </c>
      <c r="H1056" s="12" t="s">
        <v>538</v>
      </c>
      <c r="I1056" s="10">
        <f ca="1">IFERROR(__xludf.DUMMYFUNCTION(" VLOOKUP(A1053, IMPORTRANGE(""https://docs.google.com/spreadsheets/d/1QNLbnkR_AongFt22vMfNzfpjZ0CjpI8QI-w0wBnYA1w/"", ""Инфа!A:AA""), 6, FALSE)"),2024)</f>
        <v>2024</v>
      </c>
      <c r="J1056" s="5">
        <f t="shared" ca="1" si="29"/>
        <v>11400</v>
      </c>
      <c r="K1056" s="12" t="s">
        <v>961</v>
      </c>
      <c r="L1056" s="15"/>
    </row>
    <row r="1057" spans="1:12" ht="191.25">
      <c r="A1057" s="8" t="s">
        <v>4326</v>
      </c>
      <c r="B1057" s="9" t="s">
        <v>12</v>
      </c>
      <c r="C1057" s="12" t="s">
        <v>443</v>
      </c>
      <c r="D1057" s="10" t="str">
        <f ca="1">IFERROR(__xludf.DUMMYFUNCTION(" VLOOKUP(A1054, IMPORTRANGE(""https://docs.google.com/spreadsheets/d/1fj_Bhi2XPL3siwIh4sx4VRLAe31yD50oKdj5UlRYW0c/"", ""Сводка!A:AA""), 11, FALSE)"),"978-601-352-740-6")</f>
        <v>978-601-352-740-6</v>
      </c>
      <c r="E1057" s="11" t="s">
        <v>4327</v>
      </c>
      <c r="F1057" s="11" t="s">
        <v>4328</v>
      </c>
      <c r="G1057" s="12">
        <f ca="1">IFERROR(__xludf.DUMMYFUNCTION(" VLOOKUP(A1054, IMPORTRANGE(""https://docs.google.com/spreadsheets/d/1fj_Bhi2XPL3siwIh4sx4VRLAe31yD50oKdj5UlRYW0c/"", ""Сводка!A:AA""), 5, FALSE)"),136)</f>
        <v>136</v>
      </c>
      <c r="H1057" s="12" t="s">
        <v>106</v>
      </c>
      <c r="I1057" s="10">
        <f ca="1">IFERROR(__xludf.DUMMYFUNCTION(" VLOOKUP(A1054, IMPORTRANGE(""https://docs.google.com/spreadsheets/d/1QNLbnkR_AongFt22vMfNzfpjZ0CjpI8QI-w0wBnYA1w/"", ""Инфа!A:AA""), 6, FALSE)"),2024)</f>
        <v>2024</v>
      </c>
      <c r="J1057" s="5">
        <f t="shared" ca="1" si="29"/>
        <v>9100</v>
      </c>
      <c r="K1057" s="12" t="s">
        <v>4329</v>
      </c>
      <c r="L1057" s="15" t="s">
        <v>4330</v>
      </c>
    </row>
    <row r="1058" spans="1:12" ht="191.25">
      <c r="A1058" s="8" t="s">
        <v>4331</v>
      </c>
      <c r="B1058" s="9" t="s">
        <v>12</v>
      </c>
      <c r="C1058" s="12" t="s">
        <v>151</v>
      </c>
      <c r="D1058" s="10" t="s">
        <v>4332</v>
      </c>
      <c r="E1058" s="11" t="s">
        <v>4333</v>
      </c>
      <c r="F1058" s="11" t="s">
        <v>4334</v>
      </c>
      <c r="G1058" s="12">
        <f ca="1">IFERROR(__xludf.DUMMYFUNCTION(" VLOOKUP(A1055, IMPORTRANGE(""https://docs.google.com/spreadsheets/d/1fj_Bhi2XPL3siwIh4sx4VRLAe31yD50oKdj5UlRYW0c/"", ""Сводка!A:AA""), 5, FALSE)"),340)</f>
        <v>340</v>
      </c>
      <c r="H1058" s="12" t="s">
        <v>47</v>
      </c>
      <c r="I1058" s="10">
        <f ca="1">IFERROR(__xludf.DUMMYFUNCTION(" VLOOKUP(A1055, IMPORTRANGE(""https://docs.google.com/spreadsheets/d/1QNLbnkR_AongFt22vMfNzfpjZ0CjpI8QI-w0wBnYA1w/"", ""Инфа!A:AA""), 6, FALSE)"),2023)</f>
        <v>2023</v>
      </c>
      <c r="J1058" s="5">
        <f t="shared" ca="1" si="29"/>
        <v>15200</v>
      </c>
      <c r="K1058" s="12" t="s">
        <v>277</v>
      </c>
      <c r="L1058" s="15" t="s">
        <v>4335</v>
      </c>
    </row>
    <row r="1059" spans="1:12" ht="202.5">
      <c r="A1059" s="8" t="s">
        <v>4336</v>
      </c>
      <c r="B1059" s="9" t="s">
        <v>12</v>
      </c>
      <c r="C1059" s="12" t="s">
        <v>443</v>
      </c>
      <c r="D1059" s="40" t="s">
        <v>4337</v>
      </c>
      <c r="E1059" s="11" t="s">
        <v>4333</v>
      </c>
      <c r="F1059" s="11" t="s">
        <v>4338</v>
      </c>
      <c r="G1059" s="12">
        <f ca="1">IFERROR(__xludf.DUMMYFUNCTION(" VLOOKUP(A1056, IMPORTRANGE(""https://docs.google.com/spreadsheets/d/1fj_Bhi2XPL3siwIh4sx4VRLAe31yD50oKdj5UlRYW0c/"", ""Сводка!A:AA""), 5, FALSE)"),316)</f>
        <v>316</v>
      </c>
      <c r="H1059" s="12" t="s">
        <v>538</v>
      </c>
      <c r="I1059" s="10">
        <f ca="1">IFERROR(__xludf.DUMMYFUNCTION(" VLOOKUP(A1056, IMPORTRANGE(""https://docs.google.com/spreadsheets/d/1QNLbnkR_AongFt22vMfNzfpjZ0CjpI8QI-w0wBnYA1w/"", ""Инфа!A:AA""), 6, FALSE)"),2023)</f>
        <v>2023</v>
      </c>
      <c r="J1059" s="5">
        <f t="shared" ca="1" si="29"/>
        <v>14500</v>
      </c>
      <c r="K1059" s="12" t="s">
        <v>277</v>
      </c>
      <c r="L1059" s="15" t="s">
        <v>4339</v>
      </c>
    </row>
    <row r="1060" spans="1:12" ht="168.75">
      <c r="A1060" s="8" t="s">
        <v>4340</v>
      </c>
      <c r="B1060" s="9" t="s">
        <v>12</v>
      </c>
      <c r="C1060" s="12" t="s">
        <v>443</v>
      </c>
      <c r="D1060" s="10" t="str">
        <f ca="1">IFERROR(__xludf.DUMMYFUNCTION(" VLOOKUP(A1057, IMPORTRANGE(""https://docs.google.com/spreadsheets/d/1fj_Bhi2XPL3siwIh4sx4VRLAe31yD50oKdj5UlRYW0c/"", ""Сводка!A:AA""), 11, FALSE)"),"978-751-478-243-2")</f>
        <v>978-751-478-243-2</v>
      </c>
      <c r="E1060" s="11" t="s">
        <v>4341</v>
      </c>
      <c r="F1060" s="11" t="s">
        <v>4342</v>
      </c>
      <c r="G1060" s="12">
        <f ca="1">IFERROR(__xludf.DUMMYFUNCTION(" VLOOKUP(A1057, IMPORTRANGE(""https://docs.google.com/spreadsheets/d/1fj_Bhi2XPL3siwIh4sx4VRLAe31yD50oKdj5UlRYW0c/"", ""Сводка!A:AA""), 5, FALSE)"),300)</f>
        <v>300</v>
      </c>
      <c r="H1060" s="12" t="s">
        <v>538</v>
      </c>
      <c r="I1060" s="10">
        <f ca="1">IFERROR(__xludf.DUMMYFUNCTION(" VLOOKUP(A1057, IMPORTRANGE(""https://docs.google.com/spreadsheets/d/1QNLbnkR_AongFt22vMfNzfpjZ0CjpI8QI-w0wBnYA1w/"", ""Инфа!A:AA""), 6, FALSE)"),2023)</f>
        <v>2023</v>
      </c>
      <c r="J1060" s="5">
        <f t="shared" ca="1" si="29"/>
        <v>14000</v>
      </c>
      <c r="K1060" s="12" t="s">
        <v>4260</v>
      </c>
      <c r="L1060" s="16" t="s">
        <v>4343</v>
      </c>
    </row>
    <row r="1061" spans="1:12" ht="135">
      <c r="A1061" s="8" t="s">
        <v>4344</v>
      </c>
      <c r="B1061" s="9" t="s">
        <v>12</v>
      </c>
      <c r="C1061" s="12" t="s">
        <v>151</v>
      </c>
      <c r="D1061" s="10" t="str">
        <f ca="1">IFERROR(__xludf.DUMMYFUNCTION(" VLOOKUP(A1058, IMPORTRANGE(""https://docs.google.com/spreadsheets/d/1fj_Bhi2XPL3siwIh4sx4VRLAe31yD50oKdj5UlRYW0c/"", ""Сводка!A:AA""), 11, FALSE)"),"978-601-330-271-3")</f>
        <v>978-601-330-271-3</v>
      </c>
      <c r="E1061" s="11" t="s">
        <v>4345</v>
      </c>
      <c r="F1061" s="11" t="s">
        <v>4346</v>
      </c>
      <c r="G1061" s="12">
        <f ca="1">IFERROR(__xludf.DUMMYFUNCTION(" VLOOKUP(A1058, IMPORTRANGE(""https://docs.google.com/spreadsheets/d/1fj_Bhi2XPL3siwIh4sx4VRLAe31yD50oKdj5UlRYW0c/"", ""Сводка!A:AA""), 5, FALSE)"),264)</f>
        <v>264</v>
      </c>
      <c r="H1061" s="12" t="s">
        <v>47</v>
      </c>
      <c r="I1061" s="10">
        <f ca="1">IFERROR(__xludf.DUMMYFUNCTION(" VLOOKUP(A1058, IMPORTRANGE(""https://docs.google.com/spreadsheets/d/1QNLbnkR_AongFt22vMfNzfpjZ0CjpI8QI-w0wBnYA1w/"", ""Инфа!A:AA""), 6, FALSE)"),2024)</f>
        <v>2024</v>
      </c>
      <c r="J1061" s="5">
        <f ca="1">ROUND((5000+G1061*60),-2)</f>
        <v>20800</v>
      </c>
      <c r="K1061" s="12" t="s">
        <v>160</v>
      </c>
      <c r="L1061" s="15" t="s">
        <v>4347</v>
      </c>
    </row>
    <row r="1062" spans="1:12" ht="315">
      <c r="A1062" s="8" t="s">
        <v>4348</v>
      </c>
      <c r="B1062" s="9" t="s">
        <v>12</v>
      </c>
      <c r="C1062" s="12" t="s">
        <v>151</v>
      </c>
      <c r="D1062" s="10" t="str">
        <f ca="1">IFERROR(__xludf.DUMMYFUNCTION(" VLOOKUP(A1059, IMPORTRANGE(""https://docs.google.com/spreadsheets/d/1fj_Bhi2XPL3siwIh4sx4VRLAe31yD50oKdj5UlRYW0c/"", ""Сводка!A:AA""), 11, FALSE)"),"978-601-330-246-1")</f>
        <v>978-601-330-246-1</v>
      </c>
      <c r="E1062" s="11" t="s">
        <v>4349</v>
      </c>
      <c r="F1062" s="11" t="s">
        <v>4350</v>
      </c>
      <c r="G1062" s="12">
        <f ca="1">IFERROR(__xludf.DUMMYFUNCTION(" VLOOKUP(A1059, IMPORTRANGE(""https://docs.google.com/spreadsheets/d/1fj_Bhi2XPL3siwIh4sx4VRLAe31yD50oKdj5UlRYW0c/"", ""Сводка!A:AA""), 5, FALSE)"),272)</f>
        <v>272</v>
      </c>
      <c r="H1062" s="12" t="s">
        <v>282</v>
      </c>
      <c r="I1062" s="10">
        <f ca="1">IFERROR(__xludf.DUMMYFUNCTION(" VLOOKUP(A1059, IMPORTRANGE(""https://docs.google.com/spreadsheets/d/1QNLbnkR_AongFt22vMfNzfpjZ0CjpI8QI-w0wBnYA1w/"", ""Инфа!A:AA""), 6, FALSE)"),2023)</f>
        <v>2023</v>
      </c>
      <c r="J1062" s="5">
        <f ca="1">ROUND((5000+G1062*30),-2)</f>
        <v>13200</v>
      </c>
      <c r="K1062" s="12" t="s">
        <v>4351</v>
      </c>
      <c r="L1062" s="15" t="s">
        <v>4352</v>
      </c>
    </row>
    <row r="1063" spans="1:12" ht="258.75">
      <c r="A1063" s="8" t="s">
        <v>4353</v>
      </c>
      <c r="B1063" s="9" t="s">
        <v>12</v>
      </c>
      <c r="C1063" s="12" t="s">
        <v>443</v>
      </c>
      <c r="D1063" s="10" t="str">
        <f ca="1">IFERROR(__xludf.DUMMYFUNCTION(" VLOOKUP(A1060, IMPORTRANGE(""https://docs.google.com/spreadsheets/d/1fj_Bhi2XPL3siwIh4sx4VRLAe31yD50oKdj5UlRYW0c/"", ""Сводка!A:AA""), 11, FALSE)"),"978-601-257-137-3")</f>
        <v>978-601-257-137-3</v>
      </c>
      <c r="E1063" s="22" t="s">
        <v>4354</v>
      </c>
      <c r="F1063" s="22" t="s">
        <v>4355</v>
      </c>
      <c r="G1063" s="12">
        <f ca="1">IFERROR(__xludf.DUMMYFUNCTION(" VLOOKUP(A1060, IMPORTRANGE(""https://docs.google.com/spreadsheets/d/1fj_Bhi2XPL3siwIh4sx4VRLAe31yD50oKdj5UlRYW0c/"", ""Сводка!A:AA""), 5, FALSE)"),304)</f>
        <v>304</v>
      </c>
      <c r="H1063" s="10" t="s">
        <v>511</v>
      </c>
      <c r="I1063" s="10">
        <f ca="1">IFERROR(__xludf.DUMMYFUNCTION(" VLOOKUP(A1060, IMPORTRANGE(""https://docs.google.com/spreadsheets/d/1QNLbnkR_AongFt22vMfNzfpjZ0CjpI8QI-w0wBnYA1w/"", ""Инфа!A:AA""), 6, FALSE)"),2024)</f>
        <v>2024</v>
      </c>
      <c r="J1063" s="5">
        <f ca="1">ROUND((5000+G1063*60),-2)</f>
        <v>23200</v>
      </c>
      <c r="K1063" s="10" t="s">
        <v>160</v>
      </c>
      <c r="L1063" s="23" t="s">
        <v>4356</v>
      </c>
    </row>
    <row r="1064" spans="1:12" ht="258.75">
      <c r="A1064" s="8" t="s">
        <v>4357</v>
      </c>
      <c r="B1064" s="9" t="s">
        <v>12</v>
      </c>
      <c r="C1064" s="12" t="s">
        <v>21</v>
      </c>
      <c r="D1064" s="10" t="str">
        <f ca="1">IFERROR(__xludf.DUMMYFUNCTION(" VLOOKUP(A1061, IMPORTRANGE(""https://docs.google.com/spreadsheets/d/1fj_Bhi2XPL3siwIh4sx4VRLAe31yD50oKdj5UlRYW0c/"", ""Сводка!A:AA""), 11, FALSE)"),"978-601-330-232-4")</f>
        <v>978-601-330-232-4</v>
      </c>
      <c r="E1064" s="22" t="s">
        <v>4358</v>
      </c>
      <c r="F1064" s="22" t="s">
        <v>4359</v>
      </c>
      <c r="G1064" s="12">
        <f ca="1">IFERROR(__xludf.DUMMYFUNCTION(" VLOOKUP(A1061, IMPORTRANGE(""https://docs.google.com/spreadsheets/d/1fj_Bhi2XPL3siwIh4sx4VRLAe31yD50oKdj5UlRYW0c/"", ""Сводка!A:AA""), 5, FALSE)"),188)</f>
        <v>188</v>
      </c>
      <c r="H1064" s="10" t="s">
        <v>354</v>
      </c>
      <c r="I1064" s="10">
        <f ca="1">IFERROR(__xludf.DUMMYFUNCTION(" VLOOKUP(A1061, IMPORTRANGE(""https://docs.google.com/spreadsheets/d/1QNLbnkR_AongFt22vMfNzfpjZ0CjpI8QI-w0wBnYA1w/"", ""Инфа!A:AA""), 6, FALSE)"),2024)</f>
        <v>2024</v>
      </c>
      <c r="J1064" s="5">
        <f ca="1">ROUND((5000+G1064*30),-2)</f>
        <v>10600</v>
      </c>
      <c r="K1064" s="10" t="s">
        <v>160</v>
      </c>
      <c r="L1064" s="23" t="s">
        <v>4360</v>
      </c>
    </row>
    <row r="1065" spans="1:12" ht="202.5">
      <c r="A1065" s="8" t="s">
        <v>4361</v>
      </c>
      <c r="B1065" s="9" t="s">
        <v>12</v>
      </c>
      <c r="C1065" s="12" t="s">
        <v>151</v>
      </c>
      <c r="D1065" s="10" t="str">
        <f ca="1">IFERROR(__xludf.DUMMYFUNCTION(" VLOOKUP(A1062, IMPORTRANGE(""https://docs.google.com/spreadsheets/d/1fj_Bhi2XPL3siwIh4sx4VRLAe31yD50oKdj5UlRYW0c/"", ""Сводка!A:AA""), 11, FALSE)"),"978-601-352-881-6")</f>
        <v>978-601-352-881-6</v>
      </c>
      <c r="E1065" s="11" t="s">
        <v>4362</v>
      </c>
      <c r="F1065" s="11" t="s">
        <v>4363</v>
      </c>
      <c r="G1065" s="12">
        <f ca="1">IFERROR(__xludf.DUMMYFUNCTION(" VLOOKUP(A1062, IMPORTRANGE(""https://docs.google.com/spreadsheets/d/1fj_Bhi2XPL3siwIh4sx4VRLAe31yD50oKdj5UlRYW0c/"", ""Сводка!A:AA""), 5, FALSE)"),148)</f>
        <v>148</v>
      </c>
      <c r="H1065" s="12" t="s">
        <v>138</v>
      </c>
      <c r="I1065" s="10">
        <f ca="1">IFERROR(__xludf.DUMMYFUNCTION(" VLOOKUP(A1062, IMPORTRANGE(""https://docs.google.com/spreadsheets/d/1QNLbnkR_AongFt22vMfNzfpjZ0CjpI8QI-w0wBnYA1w/"", ""Инфа!A:AA""), 6, FALSE)"),2024)</f>
        <v>2024</v>
      </c>
      <c r="J1065" s="5">
        <f ca="1">ROUND((5000+G1065*30),-2)</f>
        <v>9400</v>
      </c>
      <c r="K1065" s="12" t="s">
        <v>1450</v>
      </c>
      <c r="L1065" s="15" t="s">
        <v>4364</v>
      </c>
    </row>
    <row r="1066" spans="1:12" ht="63.75">
      <c r="A1066" s="8" t="s">
        <v>4365</v>
      </c>
      <c r="B1066" s="9" t="s">
        <v>12</v>
      </c>
      <c r="C1066" s="10" t="s">
        <v>151</v>
      </c>
      <c r="D1066" s="10" t="str">
        <f ca="1">IFERROR(__xludf.DUMMYFUNCTION(" VLOOKUP(A1063, IMPORTRANGE(""https://docs.google.com/spreadsheets/d/1fj_Bhi2XPL3siwIh4sx4VRLAe31yD50oKdj5UlRYW0c/"", ""Сводка!A:AA""), 11, FALSE)"),"9965-680-74-4")</f>
        <v>9965-680-74-4</v>
      </c>
      <c r="E1066" s="11" t="s">
        <v>4366</v>
      </c>
      <c r="F1066" s="11" t="s">
        <v>4367</v>
      </c>
      <c r="G1066" s="12">
        <f ca="1">IFERROR(__xludf.DUMMYFUNCTION(" VLOOKUP(A1063, IMPORTRANGE(""https://docs.google.com/spreadsheets/d/1fj_Bhi2XPL3siwIh4sx4VRLAe31yD50oKdj5UlRYW0c/"", ""Сводка!A:AA""), 5, FALSE)"),276)</f>
        <v>276</v>
      </c>
      <c r="H1066" s="12" t="s">
        <v>47</v>
      </c>
      <c r="I1066" s="10">
        <f ca="1">IFERROR(__xludf.DUMMYFUNCTION(" VLOOKUP(A1063, IMPORTRANGE(""https://docs.google.com/spreadsheets/d/1QNLbnkR_AongFt22vMfNzfpjZ0CjpI8QI-w0wBnYA1w/"", ""Инфа!A:AA""), 6, FALSE)"),2024)</f>
        <v>2024</v>
      </c>
      <c r="J1066" s="5">
        <f ca="1">ROUND((5000+G1066*30),-2)</f>
        <v>13300</v>
      </c>
      <c r="K1066" s="12" t="s">
        <v>961</v>
      </c>
      <c r="L1066" s="15"/>
    </row>
    <row r="1067" spans="1:12" ht="303.75">
      <c r="A1067" s="8" t="s">
        <v>4368</v>
      </c>
      <c r="B1067" s="9" t="s">
        <v>12</v>
      </c>
      <c r="C1067" s="12" t="s">
        <v>443</v>
      </c>
      <c r="D1067" s="10" t="str">
        <f ca="1">IFERROR(__xludf.DUMMYFUNCTION(" VLOOKUP(A1064, IMPORTRANGE(""https://docs.google.com/spreadsheets/d/1fj_Bhi2XPL3siwIh4sx4VRLAe31yD50oKdj5UlRYW0c/"", ""Сводка!A:AA""), 11, FALSE)"),"978-601-352-815-1")</f>
        <v>978-601-352-815-1</v>
      </c>
      <c r="E1067" s="11" t="s">
        <v>4369</v>
      </c>
      <c r="F1067" s="11" t="s">
        <v>4370</v>
      </c>
      <c r="G1067" s="12">
        <f ca="1">IFERROR(__xludf.DUMMYFUNCTION(" VLOOKUP(A1064, IMPORTRANGE(""https://docs.google.com/spreadsheets/d/1fj_Bhi2XPL3siwIh4sx4VRLAe31yD50oKdj5UlRYW0c/"", ""Сводка!A:AA""), 5, FALSE)"),260)</f>
        <v>260</v>
      </c>
      <c r="H1067" s="12" t="s">
        <v>511</v>
      </c>
      <c r="I1067" s="10">
        <f ca="1">IFERROR(__xludf.DUMMYFUNCTION(" VLOOKUP(A1064, IMPORTRANGE(""https://docs.google.com/spreadsheets/d/1QNLbnkR_AongFt22vMfNzfpjZ0CjpI8QI-w0wBnYA1w/"", ""Инфа!A:AA""), 6, FALSE)"),2024)</f>
        <v>2024</v>
      </c>
      <c r="J1067" s="5">
        <f ca="1">ROUND((5000+G1067*60),-2)</f>
        <v>20600</v>
      </c>
      <c r="K1067" s="12" t="s">
        <v>2929</v>
      </c>
      <c r="L1067" s="15" t="s">
        <v>4371</v>
      </c>
    </row>
    <row r="1068" spans="1:12" ht="157.5">
      <c r="A1068" s="8" t="s">
        <v>4372</v>
      </c>
      <c r="B1068" s="9" t="s">
        <v>12</v>
      </c>
      <c r="C1068" s="12" t="s">
        <v>151</v>
      </c>
      <c r="D1068" s="10" t="str">
        <f ca="1">IFERROR(__xludf.DUMMYFUNCTION(" VLOOKUP(A1065, IMPORTRANGE(""https://docs.google.com/spreadsheets/d/1fj_Bhi2XPL3siwIh4sx4VRLAe31yD50oKdj5UlRYW0c/"", ""Сводка!A:AA""), 11, FALSE)"),"978-601-330-063-4")</f>
        <v>978-601-330-063-4</v>
      </c>
      <c r="E1068" s="11" t="s">
        <v>4373</v>
      </c>
      <c r="F1068" s="11" t="s">
        <v>4374</v>
      </c>
      <c r="G1068" s="12">
        <f ca="1">IFERROR(__xludf.DUMMYFUNCTION(" VLOOKUP(A1065, IMPORTRANGE(""https://docs.google.com/spreadsheets/d/1fj_Bhi2XPL3siwIh4sx4VRLAe31yD50oKdj5UlRYW0c/"", ""Сводка!A:AA""), 5, FALSE)"),156)</f>
        <v>156</v>
      </c>
      <c r="H1068" s="12" t="s">
        <v>47</v>
      </c>
      <c r="I1068" s="10">
        <f ca="1">IFERROR(__xludf.DUMMYFUNCTION(" VLOOKUP(A1065, IMPORTRANGE(""https://docs.google.com/spreadsheets/d/1QNLbnkR_AongFt22vMfNzfpjZ0CjpI8QI-w0wBnYA1w/"", ""Инфа!A:AA""), 6, FALSE)"),2024)</f>
        <v>2024</v>
      </c>
      <c r="J1068" s="5">
        <f ca="1">ROUND((5000+G1068*30),-2)</f>
        <v>9700</v>
      </c>
      <c r="K1068" s="12" t="s">
        <v>4375</v>
      </c>
      <c r="L1068" s="15" t="s">
        <v>4376</v>
      </c>
    </row>
    <row r="1069" spans="1:12" ht="157.5">
      <c r="A1069" s="8" t="s">
        <v>4377</v>
      </c>
      <c r="B1069" s="9" t="s">
        <v>12</v>
      </c>
      <c r="C1069" s="12" t="s">
        <v>443</v>
      </c>
      <c r="D1069" s="10" t="str">
        <f ca="1">IFERROR(__xludf.DUMMYFUNCTION(" VLOOKUP(A1066, IMPORTRANGE(""https://docs.google.com/spreadsheets/d/1fj_Bhi2XPL3siwIh4sx4VRLAe31yD50oKdj5UlRYW0c/"", ""Сводка!A:AA""), 11, FALSE)"),"978-601-352-973-8")</f>
        <v>978-601-352-973-8</v>
      </c>
      <c r="E1069" s="22" t="s">
        <v>4378</v>
      </c>
      <c r="F1069" s="22" t="s">
        <v>4379</v>
      </c>
      <c r="G1069" s="12">
        <f ca="1">IFERROR(__xludf.DUMMYFUNCTION(" VLOOKUP(A1066, IMPORTRANGE(""https://docs.google.com/spreadsheets/d/1fj_Bhi2XPL3siwIh4sx4VRLAe31yD50oKdj5UlRYW0c/"", ""Сводка!A:AA""), 5, FALSE)"),176)</f>
        <v>176</v>
      </c>
      <c r="H1069" s="12" t="s">
        <v>538</v>
      </c>
      <c r="I1069" s="10">
        <f ca="1">IFERROR(__xludf.DUMMYFUNCTION(" VLOOKUP(A1066, IMPORTRANGE(""https://docs.google.com/spreadsheets/d/1QNLbnkR_AongFt22vMfNzfpjZ0CjpI8QI-w0wBnYA1w/"", ""Инфа!A:AA""), 6, FALSE)"),2023)</f>
        <v>2023</v>
      </c>
      <c r="J1069" s="5">
        <f ca="1">ROUND((5000+G1069*60),-2)</f>
        <v>15600</v>
      </c>
      <c r="K1069" s="12" t="s">
        <v>4314</v>
      </c>
      <c r="L1069" s="23" t="s">
        <v>4380</v>
      </c>
    </row>
    <row r="1070" spans="1:12" ht="191.25">
      <c r="A1070" s="8" t="s">
        <v>4381</v>
      </c>
      <c r="B1070" s="9" t="s">
        <v>12</v>
      </c>
      <c r="C1070" s="12" t="s">
        <v>443</v>
      </c>
      <c r="D1070" s="10" t="str">
        <f ca="1">IFERROR(__xludf.DUMMYFUNCTION(" VLOOKUP(A1067, IMPORTRANGE(""https://docs.google.com/spreadsheets/d/1fj_Bhi2XPL3siwIh4sx4VRLAe31yD50oKdj5UlRYW0c/"", ""Сводка!A:AA""), 11, FALSE)"),"978-601-352-543-3")</f>
        <v>978-601-352-543-3</v>
      </c>
      <c r="E1070" s="11" t="s">
        <v>4382</v>
      </c>
      <c r="F1070" s="11" t="s">
        <v>4383</v>
      </c>
      <c r="G1070" s="12">
        <f ca="1">IFERROR(__xludf.DUMMYFUNCTION(" VLOOKUP(A1067, IMPORTRANGE(""https://docs.google.com/spreadsheets/d/1fj_Bhi2XPL3siwIh4sx4VRLAe31yD50oKdj5UlRYW0c/"", ""Сводка!A:AA""), 5, FALSE)"),144)</f>
        <v>144</v>
      </c>
      <c r="H1070" s="12" t="s">
        <v>446</v>
      </c>
      <c r="I1070" s="10">
        <f ca="1">IFERROR(__xludf.DUMMYFUNCTION(" VLOOKUP(A1067, IMPORTRANGE(""https://docs.google.com/spreadsheets/d/1QNLbnkR_AongFt22vMfNzfpjZ0CjpI8QI-w0wBnYA1w/"", ""Инфа!A:AA""), 6, FALSE)"),2023)</f>
        <v>2023</v>
      </c>
      <c r="J1070" s="5">
        <f ca="1">ROUND((5000+G1070*60),-2)</f>
        <v>13600</v>
      </c>
      <c r="K1070" s="12" t="s">
        <v>3445</v>
      </c>
      <c r="L1070" s="15" t="s">
        <v>4384</v>
      </c>
    </row>
    <row r="1071" spans="1:12" ht="258.75">
      <c r="A1071" s="8" t="s">
        <v>4385</v>
      </c>
      <c r="B1071" s="9" t="s">
        <v>12</v>
      </c>
      <c r="C1071" s="10" t="s">
        <v>443</v>
      </c>
      <c r="D1071" s="10" t="str">
        <f ca="1">IFERROR(__xludf.DUMMYFUNCTION(" VLOOKUP(A1068, IMPORTRANGE(""https://docs.google.com/spreadsheets/d/1fj_Bhi2XPL3siwIh4sx4VRLAe31yD50oKdj5UlRYW0c/"", ""Сводка!A:AA""), 11, FALSE)"),"978-601-352-666-9")</f>
        <v>978-601-352-666-9</v>
      </c>
      <c r="E1071" s="11" t="s">
        <v>4386</v>
      </c>
      <c r="F1071" s="11" t="s">
        <v>4387</v>
      </c>
      <c r="G1071" s="12">
        <f ca="1">IFERROR(__xludf.DUMMYFUNCTION(" VLOOKUP(A1068, IMPORTRANGE(""https://docs.google.com/spreadsheets/d/1fj_Bhi2XPL3siwIh4sx4VRLAe31yD50oKdj5UlRYW0c/"", ""Сводка!A:AA""), 5, FALSE)"),232)</f>
        <v>232</v>
      </c>
      <c r="H1071" s="12" t="s">
        <v>538</v>
      </c>
      <c r="I1071" s="10">
        <f ca="1">IFERROR(__xludf.DUMMYFUNCTION(" VLOOKUP(A1068, IMPORTRANGE(""https://docs.google.com/spreadsheets/d/1QNLbnkR_AongFt22vMfNzfpjZ0CjpI8QI-w0wBnYA1w/"", ""Инфа!A:AA""), 6, FALSE)"),2023)</f>
        <v>2023</v>
      </c>
      <c r="J1071" s="5">
        <f ca="1">ROUND((5000+G1071*60),-2)</f>
        <v>18900</v>
      </c>
      <c r="K1071" s="12" t="s">
        <v>4388</v>
      </c>
      <c r="L1071" s="15" t="s">
        <v>4389</v>
      </c>
    </row>
    <row r="1072" spans="1:12" ht="112.5">
      <c r="A1072" s="8" t="s">
        <v>4390</v>
      </c>
      <c r="B1072" s="9" t="s">
        <v>12</v>
      </c>
      <c r="C1072" s="12" t="s">
        <v>443</v>
      </c>
      <c r="D1072" s="10" t="str">
        <f ca="1">IFERROR(__xludf.DUMMYFUNCTION(" VLOOKUP(A1069, IMPORTRANGE(""https://docs.google.com/spreadsheets/d/1fj_Bhi2XPL3siwIh4sx4VRLAe31yD50oKdj5UlRYW0c/"", ""Сводка!A:AA""), 11, FALSE)"),"978-601-352-891-5")</f>
        <v>978-601-352-891-5</v>
      </c>
      <c r="E1072" s="11" t="s">
        <v>4391</v>
      </c>
      <c r="F1072" s="11" t="s">
        <v>4392</v>
      </c>
      <c r="G1072" s="12">
        <f ca="1">IFERROR(__xludf.DUMMYFUNCTION(" VLOOKUP(A1069, IMPORTRANGE(""https://docs.google.com/spreadsheets/d/1fj_Bhi2XPL3siwIh4sx4VRLAe31yD50oKdj5UlRYW0c/"", ""Сводка!A:AA""), 5, FALSE)"),228)</f>
        <v>228</v>
      </c>
      <c r="H1072" s="12" t="s">
        <v>511</v>
      </c>
      <c r="I1072" s="10">
        <f ca="1">IFERROR(__xludf.DUMMYFUNCTION(" VLOOKUP(A1069, IMPORTRANGE(""https://docs.google.com/spreadsheets/d/1QNLbnkR_AongFt22vMfNzfpjZ0CjpI8QI-w0wBnYA1w/"", ""Инфа!A:AA""), 6, FALSE)"),2023)</f>
        <v>2023</v>
      </c>
      <c r="J1072" s="5">
        <f ca="1">ROUND((5000+G1072*60),-2)</f>
        <v>18700</v>
      </c>
      <c r="K1072" s="12" t="s">
        <v>78</v>
      </c>
      <c r="L1072" s="15" t="s">
        <v>4393</v>
      </c>
    </row>
    <row r="1073" spans="1:12" ht="56.25">
      <c r="A1073" s="8" t="s">
        <v>4394</v>
      </c>
      <c r="B1073" s="9" t="s">
        <v>12</v>
      </c>
      <c r="C1073" s="12" t="s">
        <v>443</v>
      </c>
      <c r="D1073" s="10" t="str">
        <f ca="1">IFERROR(__xludf.DUMMYFUNCTION(" VLOOKUP(A1070, IMPORTRANGE(""https://docs.google.com/spreadsheets/d/1fj_Bhi2XPL3siwIh4sx4VRLAe31yD50oKdj5UlRYW0c/"", ""Сводка!A:AA""), 11, FALSE)"),"978-601-330-041-2")</f>
        <v>978-601-330-041-2</v>
      </c>
      <c r="E1073" s="11" t="s">
        <v>4391</v>
      </c>
      <c r="F1073" s="11" t="s">
        <v>4395</v>
      </c>
      <c r="G1073" s="12">
        <f ca="1">IFERROR(__xludf.DUMMYFUNCTION(" VLOOKUP(A1070, IMPORTRANGE(""https://docs.google.com/spreadsheets/d/1fj_Bhi2XPL3siwIh4sx4VRLAe31yD50oKdj5UlRYW0c/"", ""Сводка!A:AA""), 5, FALSE)"),184)</f>
        <v>184</v>
      </c>
      <c r="H1073" s="12" t="s">
        <v>511</v>
      </c>
      <c r="I1073" s="10">
        <f ca="1">IFERROR(__xludf.DUMMYFUNCTION(" VLOOKUP(A1070, IMPORTRANGE(""https://docs.google.com/spreadsheets/d/1QNLbnkR_AongFt22vMfNzfpjZ0CjpI8QI-w0wBnYA1w/"", ""Инфа!A:AA""), 6, FALSE)"),2023)</f>
        <v>2023</v>
      </c>
      <c r="J1073" s="5">
        <f ca="1">ROUND((5000+G1073*60),-2)</f>
        <v>16000</v>
      </c>
      <c r="K1073" s="12" t="s">
        <v>78</v>
      </c>
      <c r="L1073" s="15" t="s">
        <v>4396</v>
      </c>
    </row>
    <row r="1074" spans="1:12" ht="292.5">
      <c r="A1074" s="8" t="s">
        <v>4397</v>
      </c>
      <c r="B1074" s="9" t="s">
        <v>12</v>
      </c>
      <c r="C1074" s="12" t="s">
        <v>443</v>
      </c>
      <c r="D1074" s="40" t="s">
        <v>4398</v>
      </c>
      <c r="E1074" s="11" t="s">
        <v>4399</v>
      </c>
      <c r="F1074" s="11" t="s">
        <v>4400</v>
      </c>
      <c r="G1074" s="12">
        <f ca="1">IFERROR(__xludf.DUMMYFUNCTION(" VLOOKUP(A1071, IMPORTRANGE(""https://docs.google.com/spreadsheets/d/1fj_Bhi2XPL3siwIh4sx4VRLAe31yD50oKdj5UlRYW0c/"", ""Сводка!A:AA""), 5, FALSE)"),260)</f>
        <v>260</v>
      </c>
      <c r="H1074" s="10" t="s">
        <v>511</v>
      </c>
      <c r="I1074" s="10">
        <f ca="1">IFERROR(__xludf.DUMMYFUNCTION(" VLOOKUP(A1071, IMPORTRANGE(""https://docs.google.com/spreadsheets/d/1QNLbnkR_AongFt22vMfNzfpjZ0CjpI8QI-w0wBnYA1w/"", ""Инфа!A:AA""), 6, FALSE)"),2024)</f>
        <v>2024</v>
      </c>
      <c r="J1074" s="5">
        <f ca="1">ROUND((5000+G1074*30),-2)</f>
        <v>12800</v>
      </c>
      <c r="K1074" s="12" t="s">
        <v>287</v>
      </c>
      <c r="L1074" s="15" t="s">
        <v>4401</v>
      </c>
    </row>
    <row r="1075" spans="1:12" ht="292.5">
      <c r="A1075" s="8" t="s">
        <v>4402</v>
      </c>
      <c r="B1075" s="9" t="s">
        <v>12</v>
      </c>
      <c r="C1075" s="12" t="s">
        <v>443</v>
      </c>
      <c r="D1075" s="12" t="s">
        <v>4403</v>
      </c>
      <c r="E1075" s="11" t="s">
        <v>4399</v>
      </c>
      <c r="F1075" s="11" t="s">
        <v>4404</v>
      </c>
      <c r="G1075" s="12">
        <f ca="1">IFERROR(__xludf.DUMMYFUNCTION(" VLOOKUP(A1072, IMPORTRANGE(""https://docs.google.com/spreadsheets/d/1fj_Bhi2XPL3siwIh4sx4VRLAe31yD50oKdj5UlRYW0c/"", ""Сводка!A:AA""), 5, FALSE)"),148)</f>
        <v>148</v>
      </c>
      <c r="H1075" s="10" t="s">
        <v>511</v>
      </c>
      <c r="I1075" s="10">
        <v>2024</v>
      </c>
      <c r="J1075" s="5">
        <f ca="1">ROUND((5000+G1075*30),-2)</f>
        <v>9400</v>
      </c>
      <c r="K1075" s="12" t="s">
        <v>287</v>
      </c>
      <c r="L1075" s="15" t="s">
        <v>4401</v>
      </c>
    </row>
    <row r="1076" spans="1:12" ht="292.5">
      <c r="A1076" s="8" t="s">
        <v>4405</v>
      </c>
      <c r="B1076" s="9" t="s">
        <v>12</v>
      </c>
      <c r="C1076" s="12" t="s">
        <v>443</v>
      </c>
      <c r="D1076" s="10" t="s">
        <v>4406</v>
      </c>
      <c r="E1076" s="11" t="s">
        <v>4399</v>
      </c>
      <c r="F1076" s="11" t="s">
        <v>4407</v>
      </c>
      <c r="G1076" s="12">
        <f ca="1">IFERROR(__xludf.DUMMYFUNCTION(" VLOOKUP(A1073, IMPORTRANGE(""https://docs.google.com/spreadsheets/d/1fj_Bhi2XPL3siwIh4sx4VRLAe31yD50oKdj5UlRYW0c/"", ""Сводка!A:AA""), 5, FALSE)"),252)</f>
        <v>252</v>
      </c>
      <c r="H1076" s="10" t="s">
        <v>511</v>
      </c>
      <c r="I1076" s="10">
        <v>2024</v>
      </c>
      <c r="J1076" s="5">
        <v>20120</v>
      </c>
      <c r="K1076" s="12" t="s">
        <v>287</v>
      </c>
      <c r="L1076" s="15" t="s">
        <v>4401</v>
      </c>
    </row>
    <row r="1077" spans="1:12" ht="63.75">
      <c r="A1077" s="8" t="s">
        <v>4408</v>
      </c>
      <c r="B1077" s="9" t="s">
        <v>12</v>
      </c>
      <c r="C1077" s="10" t="s">
        <v>151</v>
      </c>
      <c r="D1077" s="10" t="str">
        <f ca="1">IFERROR(__xludf.DUMMYFUNCTION(" VLOOKUP(A1074, IMPORTRANGE(""https://docs.google.com/spreadsheets/d/1fj_Bhi2XPL3siwIh4sx4VRLAe31yD50oKdj5UlRYW0c/"", ""Сводка!A:AA""), 11, FALSE)"),"978-601-310-003-6")</f>
        <v>978-601-310-003-6</v>
      </c>
      <c r="E1077" s="11" t="s">
        <v>4366</v>
      </c>
      <c r="F1077" s="11" t="s">
        <v>4409</v>
      </c>
      <c r="G1077" s="12">
        <v>246</v>
      </c>
      <c r="H1077" s="12" t="s">
        <v>47</v>
      </c>
      <c r="I1077" s="10">
        <f ca="1">IFERROR(__xludf.DUMMYFUNCTION(" VLOOKUP(A1074, IMPORTRANGE(""https://docs.google.com/spreadsheets/d/1QNLbnkR_AongFt22vMfNzfpjZ0CjpI8QI-w0wBnYA1w/"", ""Инфа!A:AA""), 6, FALSE)"),2024)</f>
        <v>2024</v>
      </c>
      <c r="J1077" s="5">
        <f t="shared" ref="J1077:J1083" si="30">ROUND((5000+G1077*30),-2)</f>
        <v>12400</v>
      </c>
      <c r="K1077" s="12" t="s">
        <v>17</v>
      </c>
      <c r="L1077" s="15"/>
    </row>
    <row r="1078" spans="1:12" ht="56.25">
      <c r="A1078" s="8" t="s">
        <v>4410</v>
      </c>
      <c r="B1078" s="9" t="s">
        <v>12</v>
      </c>
      <c r="C1078" s="12" t="s">
        <v>151</v>
      </c>
      <c r="D1078" s="10" t="str">
        <f ca="1">IFERROR(__xludf.DUMMYFUNCTION(" VLOOKUP(A1075, IMPORTRANGE(""https://docs.google.com/spreadsheets/d/1fj_Bhi2XPL3siwIh4sx4VRLAe31yD50oKdj5UlRYW0c/"", ""Сводка!A:AA""), 11, FALSE)"),"978-601-352-894")</f>
        <v>978-601-352-894</v>
      </c>
      <c r="E1078" s="11" t="s">
        <v>4411</v>
      </c>
      <c r="F1078" s="11" t="s">
        <v>4412</v>
      </c>
      <c r="G1078" s="12">
        <f ca="1">IFERROR(__xludf.DUMMYFUNCTION(" VLOOKUP(A1075, IMPORTRANGE(""https://docs.google.com/spreadsheets/d/1fj_Bhi2XPL3siwIh4sx4VRLAe31yD50oKdj5UlRYW0c/"", ""Сводка!A:AA""), 5, FALSE)"),144)</f>
        <v>144</v>
      </c>
      <c r="H1078" s="12" t="s">
        <v>165</v>
      </c>
      <c r="I1078" s="10">
        <f ca="1">IFERROR(__xludf.DUMMYFUNCTION(" VLOOKUP(A1075, IMPORTRANGE(""https://docs.google.com/spreadsheets/d/1QNLbnkR_AongFt22vMfNzfpjZ0CjpI8QI-w0wBnYA1w/"", ""Инфа!A:AA""), 6, FALSE)"),2023)</f>
        <v>2023</v>
      </c>
      <c r="J1078" s="5">
        <f t="shared" ca="1" si="30"/>
        <v>9300</v>
      </c>
      <c r="K1078" s="12" t="s">
        <v>3445</v>
      </c>
      <c r="L1078" s="15" t="s">
        <v>4413</v>
      </c>
    </row>
    <row r="1079" spans="1:12" ht="56.25">
      <c r="A1079" s="8" t="s">
        <v>4414</v>
      </c>
      <c r="B1079" s="9" t="s">
        <v>12</v>
      </c>
      <c r="C1079" s="12" t="s">
        <v>151</v>
      </c>
      <c r="D1079" s="10" t="str">
        <f ca="1">IFERROR(__xludf.DUMMYFUNCTION(" VLOOKUP(A1076, IMPORTRANGE(""https://docs.google.com/spreadsheets/d/1fj_Bhi2XPL3siwIh4sx4VRLAe31yD50oKdj5UlRYW0c/"", ""Сводка!A:AA""), 11, FALSE)"),"978-601-352-894")</f>
        <v>978-601-352-894</v>
      </c>
      <c r="E1079" s="11" t="s">
        <v>4411</v>
      </c>
      <c r="F1079" s="11" t="s">
        <v>4415</v>
      </c>
      <c r="G1079" s="12">
        <f ca="1">IFERROR(__xludf.DUMMYFUNCTION(" VLOOKUP(A1076, IMPORTRANGE(""https://docs.google.com/spreadsheets/d/1fj_Bhi2XPL3siwIh4sx4VRLAe31yD50oKdj5UlRYW0c/"", ""Сводка!A:AA""), 5, FALSE)"),156)</f>
        <v>156</v>
      </c>
      <c r="H1079" s="12" t="s">
        <v>165</v>
      </c>
      <c r="I1079" s="10">
        <f ca="1">IFERROR(__xludf.DUMMYFUNCTION(" VLOOKUP(A1076, IMPORTRANGE(""https://docs.google.com/spreadsheets/d/1QNLbnkR_AongFt22vMfNzfpjZ0CjpI8QI-w0wBnYA1w/"", ""Инфа!A:AA""), 6, FALSE)"),2023)</f>
        <v>2023</v>
      </c>
      <c r="J1079" s="5">
        <f t="shared" ca="1" si="30"/>
        <v>9700</v>
      </c>
      <c r="K1079" s="12" t="s">
        <v>3445</v>
      </c>
      <c r="L1079" s="15" t="s">
        <v>4413</v>
      </c>
    </row>
    <row r="1080" spans="1:12" ht="89.25">
      <c r="A1080" s="8" t="s">
        <v>4416</v>
      </c>
      <c r="B1080" s="9" t="s">
        <v>12</v>
      </c>
      <c r="C1080" s="12" t="s">
        <v>151</v>
      </c>
      <c r="D1080" s="10" t="str">
        <f ca="1">IFERROR(__xludf.DUMMYFUNCTION(" VLOOKUP(A1077, IMPORTRANGE(""https://docs.google.com/spreadsheets/d/1fj_Bhi2XPL3siwIh4sx4VRLAe31yD50oKdj5UlRYW0c/"", ""Сводка!A:AA""), 11, FALSE)"),"978-601-352-884-7")</f>
        <v>978-601-352-884-7</v>
      </c>
      <c r="E1080" s="11" t="s">
        <v>4411</v>
      </c>
      <c r="F1080" s="11" t="s">
        <v>4417</v>
      </c>
      <c r="G1080" s="12">
        <f ca="1">IFERROR(__xludf.DUMMYFUNCTION(" VLOOKUP(A1077, IMPORTRANGE(""https://docs.google.com/spreadsheets/d/1fj_Bhi2XPL3siwIh4sx4VRLAe31yD50oKdj5UlRYW0c/"", ""Сводка!A:AA""), 5, FALSE)"),176)</f>
        <v>176</v>
      </c>
      <c r="H1080" s="12" t="s">
        <v>165</v>
      </c>
      <c r="I1080" s="10">
        <f ca="1">IFERROR(__xludf.DUMMYFUNCTION(" VLOOKUP(A1077, IMPORTRANGE(""https://docs.google.com/spreadsheets/d/1QNLbnkR_AongFt22vMfNzfpjZ0CjpI8QI-w0wBnYA1w/"", ""Инфа!A:AA""), 6, FALSE)"),2024)</f>
        <v>2024</v>
      </c>
      <c r="J1080" s="5">
        <f t="shared" ca="1" si="30"/>
        <v>10300</v>
      </c>
      <c r="K1080" s="12" t="s">
        <v>4418</v>
      </c>
      <c r="L1080" s="15" t="s">
        <v>4419</v>
      </c>
    </row>
    <row r="1081" spans="1:12" ht="89.25">
      <c r="A1081" s="8" t="s">
        <v>4420</v>
      </c>
      <c r="B1081" s="9" t="s">
        <v>12</v>
      </c>
      <c r="C1081" s="12" t="s">
        <v>151</v>
      </c>
      <c r="D1081" s="10" t="str">
        <f ca="1">IFERROR(__xludf.DUMMYFUNCTION(" VLOOKUP(A1078, IMPORTRANGE(""https://docs.google.com/spreadsheets/d/1fj_Bhi2XPL3siwIh4sx4VRLAe31yD50oKdj5UlRYW0c/"", ""Сводка!A:AA""), 11, FALSE)"),"978-601-352-884-7")</f>
        <v>978-601-352-884-7</v>
      </c>
      <c r="E1081" s="11" t="s">
        <v>4411</v>
      </c>
      <c r="F1081" s="11" t="s">
        <v>4421</v>
      </c>
      <c r="G1081" s="12">
        <f ca="1">IFERROR(__xludf.DUMMYFUNCTION(" VLOOKUP(A1078, IMPORTRANGE(""https://docs.google.com/spreadsheets/d/1fj_Bhi2XPL3siwIh4sx4VRLAe31yD50oKdj5UlRYW0c/"", ""Сводка!A:AA""), 5, FALSE)"),220)</f>
        <v>220</v>
      </c>
      <c r="H1081" s="12" t="s">
        <v>165</v>
      </c>
      <c r="I1081" s="10">
        <f ca="1">IFERROR(__xludf.DUMMYFUNCTION(" VLOOKUP(A1078, IMPORTRANGE(""https://docs.google.com/spreadsheets/d/1QNLbnkR_AongFt22vMfNzfpjZ0CjpI8QI-w0wBnYA1w/"", ""Инфа!A:AA""), 6, FALSE)"),2024)</f>
        <v>2024</v>
      </c>
      <c r="J1081" s="5">
        <f t="shared" ca="1" si="30"/>
        <v>11600</v>
      </c>
      <c r="K1081" s="12" t="s">
        <v>4418</v>
      </c>
      <c r="L1081" s="15" t="s">
        <v>4419</v>
      </c>
    </row>
    <row r="1082" spans="1:12" ht="213.75">
      <c r="A1082" s="8" t="s">
        <v>4422</v>
      </c>
      <c r="B1082" s="9" t="s">
        <v>12</v>
      </c>
      <c r="C1082" s="12" t="s">
        <v>443</v>
      </c>
      <c r="D1082" s="10" t="str">
        <f ca="1">IFERROR(__xludf.DUMMYFUNCTION(" VLOOKUP(A1079, IMPORTRANGE(""https://docs.google.com/spreadsheets/d/1fj_Bhi2XPL3siwIh4sx4VRLAe31yD50oKdj5UlRYW0c/"", ""Сводка!A:AA""), 11, FALSE)"),"978-9965-39-612-0")</f>
        <v>978-9965-39-612-0</v>
      </c>
      <c r="E1082" s="11" t="s">
        <v>4423</v>
      </c>
      <c r="F1082" s="22" t="s">
        <v>4424</v>
      </c>
      <c r="G1082" s="12">
        <f ca="1">IFERROR(__xludf.DUMMYFUNCTION(" VLOOKUP(A1079, IMPORTRANGE(""https://docs.google.com/spreadsheets/d/1fj_Bhi2XPL3siwIh4sx4VRLAe31yD50oKdj5UlRYW0c/"", ""Сводка!A:AA""), 5, FALSE)"),200)</f>
        <v>200</v>
      </c>
      <c r="H1082" s="12" t="s">
        <v>538</v>
      </c>
      <c r="I1082" s="10">
        <f ca="1">IFERROR(__xludf.DUMMYFUNCTION(" VLOOKUP(A1079, IMPORTRANGE(""https://docs.google.com/spreadsheets/d/1QNLbnkR_AongFt22vMfNzfpjZ0CjpI8QI-w0wBnYA1w/"", ""Инфа!A:AA""), 6, FALSE)"),2023)</f>
        <v>2023</v>
      </c>
      <c r="J1082" s="5">
        <f t="shared" ca="1" si="30"/>
        <v>11000</v>
      </c>
      <c r="K1082" s="12" t="s">
        <v>26</v>
      </c>
      <c r="L1082" s="15" t="s">
        <v>4425</v>
      </c>
    </row>
    <row r="1083" spans="1:12" ht="213.75">
      <c r="A1083" s="8" t="s">
        <v>4426</v>
      </c>
      <c r="B1083" s="9" t="s">
        <v>12</v>
      </c>
      <c r="C1083" s="12" t="s">
        <v>443</v>
      </c>
      <c r="D1083" s="10" t="str">
        <f ca="1">IFERROR(__xludf.DUMMYFUNCTION(" VLOOKUP(A1080, IMPORTRANGE(""https://docs.google.com/spreadsheets/d/1fj_Bhi2XPL3siwIh4sx4VRLAe31yD50oKdj5UlRYW0c/"", ""Сводка!A:AA""), 11, FALSE)"),"978-9965-39-612-0")</f>
        <v>978-9965-39-612-0</v>
      </c>
      <c r="E1083" s="11" t="s">
        <v>4423</v>
      </c>
      <c r="F1083" s="22" t="s">
        <v>4427</v>
      </c>
      <c r="G1083" s="12">
        <f ca="1">IFERROR(__xludf.DUMMYFUNCTION(" VLOOKUP(A1080, IMPORTRANGE(""https://docs.google.com/spreadsheets/d/1fj_Bhi2XPL3siwIh4sx4VRLAe31yD50oKdj5UlRYW0c/"", ""Сводка!A:AA""), 5, FALSE)"),168)</f>
        <v>168</v>
      </c>
      <c r="H1083" s="12" t="s">
        <v>538</v>
      </c>
      <c r="I1083" s="10">
        <f ca="1">IFERROR(__xludf.DUMMYFUNCTION(" VLOOKUP(A1080, IMPORTRANGE(""https://docs.google.com/spreadsheets/d/1QNLbnkR_AongFt22vMfNzfpjZ0CjpI8QI-w0wBnYA1w/"", ""Инфа!A:AA""), 6, FALSE)"),2023)</f>
        <v>2023</v>
      </c>
      <c r="J1083" s="5">
        <f t="shared" ca="1" si="30"/>
        <v>10000</v>
      </c>
      <c r="K1083" s="12" t="s">
        <v>26</v>
      </c>
      <c r="L1083" s="15" t="s">
        <v>4425</v>
      </c>
    </row>
    <row r="1084" spans="1:12" ht="168.75">
      <c r="A1084" s="8" t="s">
        <v>4428</v>
      </c>
      <c r="B1084" s="9" t="s">
        <v>12</v>
      </c>
      <c r="C1084" s="12" t="s">
        <v>151</v>
      </c>
      <c r="D1084" s="10" t="str">
        <f ca="1">IFERROR(__xludf.DUMMYFUNCTION(" VLOOKUP(A1081, IMPORTRANGE(""https://docs.google.com/spreadsheets/d/1fj_Bhi2XPL3siwIh4sx4VRLAe31yD50oKdj5UlRYW0c/"", ""Сводка!A:AA""), 11, FALSE)"),"978-601-352-931-8")</f>
        <v>978-601-352-931-8</v>
      </c>
      <c r="E1084" s="11" t="s">
        <v>4429</v>
      </c>
      <c r="F1084" s="11" t="s">
        <v>4430</v>
      </c>
      <c r="G1084" s="12">
        <f ca="1">IFERROR(__xludf.DUMMYFUNCTION(" VLOOKUP(A1081, IMPORTRANGE(""https://docs.google.com/spreadsheets/d/1fj_Bhi2XPL3siwIh4sx4VRLAe31yD50oKdj5UlRYW0c/"", ""Сводка!A:AA""), 5, FALSE)"),272)</f>
        <v>272</v>
      </c>
      <c r="H1084" s="12" t="s">
        <v>47</v>
      </c>
      <c r="I1084" s="10">
        <f ca="1">IFERROR(__xludf.DUMMYFUNCTION(" VLOOKUP(A1081, IMPORTRANGE(""https://docs.google.com/spreadsheets/d/1QNLbnkR_AongFt22vMfNzfpjZ0CjpI8QI-w0wBnYA1w/"", ""Инфа!A:AA""), 6, FALSE)"),2023)</f>
        <v>2023</v>
      </c>
      <c r="J1084" s="5">
        <f ca="1">ROUND((5000+G1084*60),-2)</f>
        <v>21300</v>
      </c>
      <c r="K1084" s="12" t="s">
        <v>69</v>
      </c>
      <c r="L1084" s="15" t="s">
        <v>4431</v>
      </c>
    </row>
    <row r="1085" spans="1:12" ht="258.75">
      <c r="A1085" s="8" t="s">
        <v>4432</v>
      </c>
      <c r="B1085" s="9" t="s">
        <v>12</v>
      </c>
      <c r="C1085" s="12" t="s">
        <v>151</v>
      </c>
      <c r="D1085" s="10" t="str">
        <f ca="1">IFERROR(__xludf.DUMMYFUNCTION(" VLOOKUP(A1082, IMPORTRANGE(""https://docs.google.com/spreadsheets/d/1fj_Bhi2XPL3siwIh4sx4VRLAe31yD50oKdj5UlRYW0c/"", ""Сводка!A:AA""), 11, FALSE)"),"978-601-330-287-4")</f>
        <v>978-601-330-287-4</v>
      </c>
      <c r="E1085" s="11" t="s">
        <v>4433</v>
      </c>
      <c r="F1085" s="11" t="s">
        <v>4434</v>
      </c>
      <c r="G1085" s="12">
        <f ca="1">IFERROR(__xludf.DUMMYFUNCTION(" VLOOKUP(A1082, IMPORTRANGE(""https://docs.google.com/spreadsheets/d/1fj_Bhi2XPL3siwIh4sx4VRLAe31yD50oKdj5UlRYW0c/"", ""Сводка!A:AA""), 5, FALSE)"),296)</f>
        <v>296</v>
      </c>
      <c r="H1085" s="12" t="s">
        <v>47</v>
      </c>
      <c r="I1085" s="10">
        <f ca="1">IFERROR(__xludf.DUMMYFUNCTION(" VLOOKUP(A1082, IMPORTRANGE(""https://docs.google.com/spreadsheets/d/1QNLbnkR_AongFt22vMfNzfpjZ0CjpI8QI-w0wBnYA1w/"", ""Инфа!A:AA""), 6, FALSE)"),2023)</f>
        <v>2023</v>
      </c>
      <c r="J1085" s="5">
        <f ca="1">ROUND((5000+G1085*60),-2)</f>
        <v>22800</v>
      </c>
      <c r="K1085" s="12" t="s">
        <v>69</v>
      </c>
      <c r="L1085" s="15" t="s">
        <v>4435</v>
      </c>
    </row>
    <row r="1086" spans="1:12" ht="135">
      <c r="A1086" s="8" t="s">
        <v>4436</v>
      </c>
      <c r="B1086" s="9" t="s">
        <v>2231</v>
      </c>
      <c r="C1086" s="12" t="s">
        <v>443</v>
      </c>
      <c r="D1086" s="10" t="s">
        <v>4437</v>
      </c>
      <c r="E1086" s="11" t="s">
        <v>4438</v>
      </c>
      <c r="F1086" s="11" t="s">
        <v>4439</v>
      </c>
      <c r="G1086" s="12">
        <f ca="1">IFERROR(__xludf.DUMMYFUNCTION(" VLOOKUP(A1083, IMPORTRANGE(""https://docs.google.com/spreadsheets/d/1fj_Bhi2XPL3siwIh4sx4VRLAe31yD50oKdj5UlRYW0c/"", ""Сводка!A:AA""), 5, FALSE)"),192)</f>
        <v>192</v>
      </c>
      <c r="H1086" s="12" t="s">
        <v>1024</v>
      </c>
      <c r="I1086" s="10">
        <f ca="1">IFERROR(__xludf.DUMMYFUNCTION(" VLOOKUP(A1083, IMPORTRANGE(""https://docs.google.com/spreadsheets/d/1QNLbnkR_AongFt22vMfNzfpjZ0CjpI8QI-w0wBnYA1w/"", ""Инфа!A:AA""), 6, FALSE)"),2023)</f>
        <v>2023</v>
      </c>
      <c r="J1086" s="5">
        <f t="shared" ref="J1086:J1091" ca="1" si="31">ROUND((5000+G1086*30),-2)</f>
        <v>10800</v>
      </c>
      <c r="K1086" s="12" t="s">
        <v>2514</v>
      </c>
      <c r="L1086" s="15" t="s">
        <v>4440</v>
      </c>
    </row>
    <row r="1087" spans="1:12" ht="112.5">
      <c r="A1087" s="8" t="s">
        <v>4441</v>
      </c>
      <c r="B1087" s="9" t="s">
        <v>12</v>
      </c>
      <c r="C1087" s="10" t="s">
        <v>443</v>
      </c>
      <c r="D1087" s="10" t="str">
        <f ca="1">IFERROR(__xludf.DUMMYFUNCTION(" VLOOKUP(A1084, IMPORTRANGE(""https://docs.google.com/spreadsheets/d/1fj_Bhi2XPL3siwIh4sx4VRLAe31yD50oKdj5UlRYW0c/"", ""Сводка!A:AA""), 11, FALSE)"),"978-601-240-590-3")</f>
        <v>978-601-240-590-3</v>
      </c>
      <c r="E1087" s="38" t="s">
        <v>4442</v>
      </c>
      <c r="F1087" s="11" t="s">
        <v>4443</v>
      </c>
      <c r="G1087" s="12">
        <v>250</v>
      </c>
      <c r="H1087" s="12" t="s">
        <v>538</v>
      </c>
      <c r="I1087" s="10">
        <f ca="1">IFERROR(__xludf.DUMMYFUNCTION(" VLOOKUP(A1084, IMPORTRANGE(""https://docs.google.com/spreadsheets/d/1QNLbnkR_AongFt22vMfNzfpjZ0CjpI8QI-w0wBnYA1w/"", ""Инфа!A:AA""), 6, FALSE)"),2024)</f>
        <v>2024</v>
      </c>
      <c r="J1087" s="5">
        <f t="shared" si="31"/>
        <v>12500</v>
      </c>
      <c r="K1087" s="12" t="s">
        <v>17</v>
      </c>
      <c r="L1087" s="41" t="s">
        <v>4444</v>
      </c>
    </row>
    <row r="1088" spans="1:12" ht="213.75">
      <c r="A1088" s="8" t="s">
        <v>4445</v>
      </c>
      <c r="B1088" s="9" t="s">
        <v>2231</v>
      </c>
      <c r="C1088" s="12" t="s">
        <v>443</v>
      </c>
      <c r="D1088" s="10" t="str">
        <f ca="1">IFERROR(__xludf.DUMMYFUNCTION(" VLOOKUP(A1085, IMPORTRANGE(""https://docs.google.com/spreadsheets/d/1fj_Bhi2XPL3siwIh4sx4VRLAe31yD50oKdj5UlRYW0c/"", ""Сводка!A:AA""), 11, FALSE)"),"978-601-342-448-4")</f>
        <v>978-601-342-448-4</v>
      </c>
      <c r="E1088" s="11" t="s">
        <v>4446</v>
      </c>
      <c r="F1088" s="11" t="s">
        <v>4447</v>
      </c>
      <c r="G1088" s="12">
        <f ca="1">IFERROR(__xludf.DUMMYFUNCTION(" VLOOKUP(A1085, IMPORTRANGE(""https://docs.google.com/spreadsheets/d/1fj_Bhi2XPL3siwIh4sx4VRLAe31yD50oKdj5UlRYW0c/"", ""Сводка!A:AA""), 5, FALSE)"),152)</f>
        <v>152</v>
      </c>
      <c r="H1088" s="12" t="s">
        <v>671</v>
      </c>
      <c r="I1088" s="10">
        <f ca="1">IFERROR(__xludf.DUMMYFUNCTION(" VLOOKUP(A1085, IMPORTRANGE(""https://docs.google.com/spreadsheets/d/1QNLbnkR_AongFt22vMfNzfpjZ0CjpI8QI-w0wBnYA1w/"", ""Инфа!A:AA""), 6, FALSE)"),2024)</f>
        <v>2024</v>
      </c>
      <c r="J1088" s="5">
        <f t="shared" ca="1" si="31"/>
        <v>9600</v>
      </c>
      <c r="K1088" s="12" t="s">
        <v>4448</v>
      </c>
      <c r="L1088" s="15" t="s">
        <v>4449</v>
      </c>
    </row>
    <row r="1089" spans="1:12" ht="112.5">
      <c r="A1089" s="8" t="s">
        <v>4450</v>
      </c>
      <c r="B1089" s="9" t="s">
        <v>2231</v>
      </c>
      <c r="C1089" s="12" t="s">
        <v>443</v>
      </c>
      <c r="D1089" s="40" t="s">
        <v>4451</v>
      </c>
      <c r="E1089" s="11" t="s">
        <v>4452</v>
      </c>
      <c r="F1089" s="11" t="s">
        <v>4453</v>
      </c>
      <c r="G1089" s="12">
        <f ca="1">IFERROR(__xludf.DUMMYFUNCTION(" VLOOKUP(A1086, IMPORTRANGE(""https://docs.google.com/spreadsheets/d/1fj_Bhi2XPL3siwIh4sx4VRLAe31yD50oKdj5UlRYW0c/"", ""Сводка!A:AA""), 5, FALSE)"),212)</f>
        <v>212</v>
      </c>
      <c r="H1089" s="12" t="s">
        <v>1024</v>
      </c>
      <c r="I1089" s="10">
        <f ca="1">IFERROR(__xludf.DUMMYFUNCTION(" VLOOKUP(A1086, IMPORTRANGE(""https://docs.google.com/spreadsheets/d/1QNLbnkR_AongFt22vMfNzfpjZ0CjpI8QI-w0wBnYA1w/"", ""Инфа!A:AA""), 6, FALSE)"),2023)</f>
        <v>2023</v>
      </c>
      <c r="J1089" s="5">
        <f t="shared" ca="1" si="31"/>
        <v>11400</v>
      </c>
      <c r="K1089" s="12" t="s">
        <v>4454</v>
      </c>
      <c r="L1089" s="15" t="s">
        <v>4455</v>
      </c>
    </row>
    <row r="1090" spans="1:12" ht="101.25">
      <c r="A1090" s="8" t="s">
        <v>4456</v>
      </c>
      <c r="B1090" s="9" t="s">
        <v>2231</v>
      </c>
      <c r="C1090" s="12" t="s">
        <v>443</v>
      </c>
      <c r="D1090" s="10" t="s">
        <v>4457</v>
      </c>
      <c r="E1090" s="11" t="s">
        <v>4458</v>
      </c>
      <c r="F1090" s="11" t="s">
        <v>4459</v>
      </c>
      <c r="G1090" s="12">
        <f ca="1">IFERROR(__xludf.DUMMYFUNCTION(" VLOOKUP(A1087, IMPORTRANGE(""https://docs.google.com/spreadsheets/d/1fj_Bhi2XPL3siwIh4sx4VRLAe31yD50oKdj5UlRYW0c/"", ""Сводка!A:AA""), 5, FALSE)"),192)</f>
        <v>192</v>
      </c>
      <c r="H1090" s="12" t="s">
        <v>538</v>
      </c>
      <c r="I1090" s="10">
        <f ca="1">IFERROR(__xludf.DUMMYFUNCTION(" VLOOKUP(A1087, IMPORTRANGE(""https://docs.google.com/spreadsheets/d/1QNLbnkR_AongFt22vMfNzfpjZ0CjpI8QI-w0wBnYA1w/"", ""Инфа!A:AA""), 6, FALSE)"),2024)</f>
        <v>2024</v>
      </c>
      <c r="J1090" s="5">
        <f t="shared" ca="1" si="31"/>
        <v>10800</v>
      </c>
      <c r="K1090" s="12" t="s">
        <v>4460</v>
      </c>
      <c r="L1090" s="15" t="s">
        <v>4461</v>
      </c>
    </row>
    <row r="1091" spans="1:12" ht="202.5">
      <c r="A1091" s="8" t="s">
        <v>4462</v>
      </c>
      <c r="B1091" s="9" t="s">
        <v>12</v>
      </c>
      <c r="C1091" s="12" t="s">
        <v>151</v>
      </c>
      <c r="D1091" s="10" t="s">
        <v>4463</v>
      </c>
      <c r="E1091" s="11" t="s">
        <v>4464</v>
      </c>
      <c r="F1091" s="11" t="s">
        <v>4465</v>
      </c>
      <c r="G1091" s="12">
        <f ca="1">IFERROR(__xludf.DUMMYFUNCTION(" VLOOKUP(A1088, IMPORTRANGE(""https://docs.google.com/spreadsheets/d/1fj_Bhi2XPL3siwIh4sx4VRLAe31yD50oKdj5UlRYW0c/"", ""Сводка!A:AA""), 5, FALSE)"),100)</f>
        <v>100</v>
      </c>
      <c r="H1091" s="12" t="s">
        <v>282</v>
      </c>
      <c r="I1091" s="10">
        <f ca="1">IFERROR(__xludf.DUMMYFUNCTION(" VLOOKUP(A1088, IMPORTRANGE(""https://docs.google.com/spreadsheets/d/1QNLbnkR_AongFt22vMfNzfpjZ0CjpI8QI-w0wBnYA1w/"", ""Инфа!A:AA""), 6, FALSE)"),2024)</f>
        <v>2024</v>
      </c>
      <c r="J1091" s="5">
        <f t="shared" ca="1" si="31"/>
        <v>8000</v>
      </c>
      <c r="K1091" s="12" t="s">
        <v>26</v>
      </c>
      <c r="L1091" s="15" t="s">
        <v>4466</v>
      </c>
    </row>
    <row r="1092" spans="1:12" ht="180">
      <c r="A1092" s="8" t="s">
        <v>4467</v>
      </c>
      <c r="B1092" s="9" t="s">
        <v>12</v>
      </c>
      <c r="C1092" s="12" t="s">
        <v>151</v>
      </c>
      <c r="D1092" s="10" t="str">
        <f ca="1">IFERROR(__xludf.DUMMYFUNCTION(" VLOOKUP(A1089, IMPORTRANGE(""https://docs.google.com/spreadsheets/d/1fj_Bhi2XPL3siwIh4sx4VRLAe31yD50oKdj5UlRYW0c/"", ""Сводка!A:AA""), 11, FALSE)"),"978-601-352-879-3")</f>
        <v>978-601-352-879-3</v>
      </c>
      <c r="E1092" s="11" t="s">
        <v>4468</v>
      </c>
      <c r="F1092" s="11" t="s">
        <v>4469</v>
      </c>
      <c r="G1092" s="12">
        <f ca="1">IFERROR(__xludf.DUMMYFUNCTION(" VLOOKUP(A1089, IMPORTRANGE(""https://docs.google.com/spreadsheets/d/1fj_Bhi2XPL3siwIh4sx4VRLAe31yD50oKdj5UlRYW0c/"", ""Сводка!A:AA""), 5, FALSE)"),132)</f>
        <v>132</v>
      </c>
      <c r="H1092" s="12" t="s">
        <v>4470</v>
      </c>
      <c r="I1092" s="10">
        <f ca="1">IFERROR(__xludf.DUMMYFUNCTION(" VLOOKUP(A1089, IMPORTRANGE(""https://docs.google.com/spreadsheets/d/1QNLbnkR_AongFt22vMfNzfpjZ0CjpI8QI-w0wBnYA1w/"", ""Инфа!A:AA""), 6, FALSE)"),2024)</f>
        <v>2024</v>
      </c>
      <c r="J1092" s="5">
        <f ca="1">ROUND((5000+G1092*60),-2)</f>
        <v>12900</v>
      </c>
      <c r="K1092" s="12" t="s">
        <v>2645</v>
      </c>
      <c r="L1092" s="15" t="s">
        <v>4471</v>
      </c>
    </row>
    <row r="1093" spans="1:12" ht="191.25">
      <c r="A1093" s="8" t="s">
        <v>4472</v>
      </c>
      <c r="B1093" s="9" t="s">
        <v>2231</v>
      </c>
      <c r="C1093" s="12" t="s">
        <v>443</v>
      </c>
      <c r="D1093" s="10" t="str">
        <f ca="1">IFERROR(__xludf.DUMMYFUNCTION(" VLOOKUP(A1090, IMPORTRANGE(""https://docs.google.com/spreadsheets/d/1fj_Bhi2XPL3siwIh4sx4VRLAe31yD50oKdj5UlRYW0c/"", ""Сводка!A:AA""), 11, FALSE)"),"978-601-352-737-8")</f>
        <v>978-601-352-737-8</v>
      </c>
      <c r="E1093" s="11" t="s">
        <v>4473</v>
      </c>
      <c r="F1093" s="11" t="s">
        <v>4474</v>
      </c>
      <c r="G1093" s="12">
        <f ca="1">IFERROR(__xludf.DUMMYFUNCTION(" VLOOKUP(A1090, IMPORTRANGE(""https://docs.google.com/spreadsheets/d/1fj_Bhi2XPL3siwIh4sx4VRLAe31yD50oKdj5UlRYW0c/"", ""Сводка!A:AA""), 5, FALSE)"),232)</f>
        <v>232</v>
      </c>
      <c r="H1093" s="12" t="s">
        <v>446</v>
      </c>
      <c r="I1093" s="10">
        <f ca="1">IFERROR(__xludf.DUMMYFUNCTION(" VLOOKUP(A1090, IMPORTRANGE(""https://docs.google.com/spreadsheets/d/1QNLbnkR_AongFt22vMfNzfpjZ0CjpI8QI-w0wBnYA1w/"", ""Инфа!A:AA""), 6, FALSE)"),2024)</f>
        <v>2024</v>
      </c>
      <c r="J1093" s="5">
        <f ca="1">ROUND((5000+G1093*30),-2)</f>
        <v>12000</v>
      </c>
      <c r="K1093" s="12" t="s">
        <v>4475</v>
      </c>
      <c r="L1093" s="15" t="s">
        <v>4476</v>
      </c>
    </row>
    <row r="1094" spans="1:12" ht="191.25">
      <c r="A1094" s="8" t="s">
        <v>4477</v>
      </c>
      <c r="B1094" s="9" t="s">
        <v>2231</v>
      </c>
      <c r="C1094" s="12" t="s">
        <v>443</v>
      </c>
      <c r="D1094" s="10" t="str">
        <f ca="1">IFERROR(__xludf.DUMMYFUNCTION(" VLOOKUP(A1091, IMPORTRANGE(""https://docs.google.com/spreadsheets/d/1fj_Bhi2XPL3siwIh4sx4VRLAe31yD50oKdj5UlRYW0c/"", ""Сводка!A:AA""), 11, FALSE)"),"978-601-352-737-5")</f>
        <v>978-601-352-737-5</v>
      </c>
      <c r="E1094" s="11" t="s">
        <v>4478</v>
      </c>
      <c r="F1094" s="11" t="s">
        <v>4479</v>
      </c>
      <c r="G1094" s="12">
        <f ca="1">IFERROR(__xludf.DUMMYFUNCTION(" VLOOKUP(A1091, IMPORTRANGE(""https://docs.google.com/spreadsheets/d/1fj_Bhi2XPL3siwIh4sx4VRLAe31yD50oKdj5UlRYW0c/"", ""Сводка!A:AA""), 5, FALSE)"),300)</f>
        <v>300</v>
      </c>
      <c r="H1094" s="12" t="s">
        <v>446</v>
      </c>
      <c r="I1094" s="10">
        <f ca="1">IFERROR(__xludf.DUMMYFUNCTION(" VLOOKUP(A1091, IMPORTRANGE(""https://docs.google.com/spreadsheets/d/1QNLbnkR_AongFt22vMfNzfpjZ0CjpI8QI-w0wBnYA1w/"", ""Инфа!A:AA""), 6, FALSE)"),2024)</f>
        <v>2024</v>
      </c>
      <c r="J1094" s="5">
        <f ca="1">ROUND((5000+G1094*60),-2)</f>
        <v>23000</v>
      </c>
      <c r="K1094" s="12" t="s">
        <v>4475</v>
      </c>
      <c r="L1094" s="15" t="s">
        <v>4480</v>
      </c>
    </row>
    <row r="1095" spans="1:12" ht="315">
      <c r="A1095" s="8" t="s">
        <v>4481</v>
      </c>
      <c r="B1095" s="9" t="s">
        <v>12</v>
      </c>
      <c r="C1095" s="12" t="s">
        <v>151</v>
      </c>
      <c r="D1095" s="40" t="s">
        <v>4482</v>
      </c>
      <c r="E1095" s="11" t="s">
        <v>4483</v>
      </c>
      <c r="F1095" s="11" t="s">
        <v>4484</v>
      </c>
      <c r="G1095" s="12">
        <f ca="1">IFERROR(__xludf.DUMMYFUNCTION(" VLOOKUP(A1092, IMPORTRANGE(""https://docs.google.com/spreadsheets/d/1fj_Bhi2XPL3siwIh4sx4VRLAe31yD50oKdj5UlRYW0c/"", ""Сводка!A:AA""), 5, FALSE)"),152)</f>
        <v>152</v>
      </c>
      <c r="H1095" s="12" t="s">
        <v>165</v>
      </c>
      <c r="I1095" s="10">
        <f ca="1">IFERROR(__xludf.DUMMYFUNCTION(" VLOOKUP(A1092, IMPORTRANGE(""https://docs.google.com/spreadsheets/d/1QNLbnkR_AongFt22vMfNzfpjZ0CjpI8QI-w0wBnYA1w/"", ""Инфа!A:AA""), 6, FALSE)"),2023)</f>
        <v>2023</v>
      </c>
      <c r="J1095" s="5">
        <f ca="1">ROUND(((5000+G1095*30)*1.3),-2)</f>
        <v>12400</v>
      </c>
      <c r="K1095" s="12" t="s">
        <v>160</v>
      </c>
      <c r="L1095" s="15" t="s">
        <v>4485</v>
      </c>
    </row>
    <row r="1096" spans="1:12" ht="315">
      <c r="A1096" s="8" t="s">
        <v>4486</v>
      </c>
      <c r="B1096" s="9" t="s">
        <v>12</v>
      </c>
      <c r="C1096" s="12" t="s">
        <v>151</v>
      </c>
      <c r="D1096" s="10" t="s">
        <v>4487</v>
      </c>
      <c r="E1096" s="11" t="s">
        <v>4483</v>
      </c>
      <c r="F1096" s="11" t="s">
        <v>4488</v>
      </c>
      <c r="G1096" s="12">
        <f ca="1">IFERROR(__xludf.DUMMYFUNCTION(" VLOOKUP(A1093, IMPORTRANGE(""https://docs.google.com/spreadsheets/d/1fj_Bhi2XPL3siwIh4sx4VRLAe31yD50oKdj5UlRYW0c/"", ""Сводка!A:AA""), 5, FALSE)"),212)</f>
        <v>212</v>
      </c>
      <c r="H1096" s="12" t="s">
        <v>165</v>
      </c>
      <c r="I1096" s="10">
        <f ca="1">IFERROR(__xludf.DUMMYFUNCTION(" VLOOKUP(A1093, IMPORTRANGE(""https://docs.google.com/spreadsheets/d/1QNLbnkR_AongFt22vMfNzfpjZ0CjpI8QI-w0wBnYA1w/"", ""Инфа!A:AA""), 6, FALSE)"),2023)</f>
        <v>2023</v>
      </c>
      <c r="J1096" s="5">
        <f ca="1">ROUND(((5000+G1096*30)*1.3),-2)</f>
        <v>14800</v>
      </c>
      <c r="K1096" s="12" t="s">
        <v>160</v>
      </c>
      <c r="L1096" s="15" t="s">
        <v>4489</v>
      </c>
    </row>
    <row r="1097" spans="1:12" ht="180">
      <c r="A1097" s="8" t="s">
        <v>4490</v>
      </c>
      <c r="B1097" s="9" t="s">
        <v>12</v>
      </c>
      <c r="C1097" s="12" t="s">
        <v>443</v>
      </c>
      <c r="D1097" s="10" t="str">
        <f ca="1">IFERROR(__xludf.DUMMYFUNCTION(" VLOOKUP(A1094, IMPORTRANGE(""https://docs.google.com/spreadsheets/d/1fj_Bhi2XPL3siwIh4sx4VRLAe31yD50oKdj5UlRYW0c/"", ""Сводка!A:AA""), 11, FALSE)"),"978-601-352-945-5")</f>
        <v>978-601-352-945-5</v>
      </c>
      <c r="E1097" s="11" t="s">
        <v>4491</v>
      </c>
      <c r="F1097" s="11" t="s">
        <v>4492</v>
      </c>
      <c r="G1097" s="12">
        <f ca="1">IFERROR(__xludf.DUMMYFUNCTION(" VLOOKUP(A1094, IMPORTRANGE(""https://docs.google.com/spreadsheets/d/1fj_Bhi2XPL3siwIh4sx4VRLAe31yD50oKdj5UlRYW0c/"", ""Сводка!A:AA""), 5, FALSE)"),220)</f>
        <v>220</v>
      </c>
      <c r="H1097" s="12" t="s">
        <v>538</v>
      </c>
      <c r="I1097" s="10">
        <f ca="1">IFERROR(__xludf.DUMMYFUNCTION(" VLOOKUP(A1094, IMPORTRANGE(""https://docs.google.com/spreadsheets/d/1QNLbnkR_AongFt22vMfNzfpjZ0CjpI8QI-w0wBnYA1w/"", ""Инфа!A:AA""), 6, FALSE)"),2023)</f>
        <v>2023</v>
      </c>
      <c r="J1097" s="5">
        <f ca="1">ROUND((5000+G1097*60),-2)</f>
        <v>18200</v>
      </c>
      <c r="K1097" s="12" t="s">
        <v>160</v>
      </c>
      <c r="L1097" s="16" t="s">
        <v>4493</v>
      </c>
    </row>
    <row r="1098" spans="1:12" ht="168.75">
      <c r="A1098" s="8" t="s">
        <v>4494</v>
      </c>
      <c r="B1098" s="9" t="s">
        <v>12</v>
      </c>
      <c r="C1098" s="10" t="s">
        <v>443</v>
      </c>
      <c r="D1098" s="10" t="str">
        <f ca="1">IFERROR(__xludf.DUMMYFUNCTION(" VLOOKUP(A1095, IMPORTRANGE(""https://docs.google.com/spreadsheets/d/1fj_Bhi2XPL3siwIh4sx4VRLAe31yD50oKdj5UlRYW0c/"", ""Сводка!A:AA""), 11, FALSE)"),"978-601-342-184-1")</f>
        <v>978-601-342-184-1</v>
      </c>
      <c r="E1098" s="11" t="s">
        <v>4495</v>
      </c>
      <c r="F1098" s="11" t="s">
        <v>4496</v>
      </c>
      <c r="G1098" s="12">
        <f ca="1">IFERROR(__xludf.DUMMYFUNCTION(" VLOOKUP(A1095, IMPORTRANGE(""https://docs.google.com/spreadsheets/d/1fj_Bhi2XPL3siwIh4sx4VRLAe31yD50oKdj5UlRYW0c/"", ""Сводка!A:AA""), 5, FALSE)"),212)</f>
        <v>212</v>
      </c>
      <c r="H1098" s="12" t="s">
        <v>538</v>
      </c>
      <c r="I1098" s="10">
        <f ca="1">IFERROR(__xludf.DUMMYFUNCTION(" VLOOKUP(A1095, IMPORTRANGE(""https://docs.google.com/spreadsheets/d/1QNLbnkR_AongFt22vMfNzfpjZ0CjpI8QI-w0wBnYA1w/"", ""Инфа!A:AA""), 6, FALSE)"),2024)</f>
        <v>2024</v>
      </c>
      <c r="J1098" s="5">
        <f ca="1">ROUND((5000+G1098*60),-2)</f>
        <v>17700</v>
      </c>
      <c r="K1098" s="12" t="s">
        <v>271</v>
      </c>
      <c r="L1098" s="15" t="s">
        <v>4497</v>
      </c>
    </row>
    <row r="1099" spans="1:12" ht="102">
      <c r="A1099" s="8" t="s">
        <v>4498</v>
      </c>
      <c r="B1099" s="9" t="s">
        <v>12</v>
      </c>
      <c r="C1099" s="12" t="s">
        <v>443</v>
      </c>
      <c r="D1099" s="10" t="str">
        <f ca="1">IFERROR(__xludf.DUMMYFUNCTION(" VLOOKUP(A1096, IMPORTRANGE(""https://docs.google.com/spreadsheets/d/1fj_Bhi2XPL3siwIh4sx4VRLAe31yD50oKdj5UlRYW0c/"", ""Сводка!A:AA""), 11, FALSE)"),"978-601-33-061-0")</f>
        <v>978-601-33-061-0</v>
      </c>
      <c r="E1099" s="11" t="s">
        <v>4499</v>
      </c>
      <c r="F1099" s="11" t="s">
        <v>4500</v>
      </c>
      <c r="G1099" s="12">
        <f ca="1">IFERROR(__xludf.DUMMYFUNCTION(" VLOOKUP(A1096, IMPORTRANGE(""https://docs.google.com/spreadsheets/d/1fj_Bhi2XPL3siwIh4sx4VRLAe31yD50oKdj5UlRYW0c/"", ""Сводка!A:AA""), 5, FALSE)"),228)</f>
        <v>228</v>
      </c>
      <c r="H1099" s="12" t="s">
        <v>777</v>
      </c>
      <c r="I1099" s="10">
        <f ca="1">IFERROR(__xludf.DUMMYFUNCTION(" VLOOKUP(A1096, IMPORTRANGE(""https://docs.google.com/spreadsheets/d/1QNLbnkR_AongFt22vMfNzfpjZ0CjpI8QI-w0wBnYA1w/"", ""Инфа!A:AA""), 6, FALSE)"),2024)</f>
        <v>2024</v>
      </c>
      <c r="J1099" s="5">
        <f ca="1">ROUND((5000+G1099*60),-2)</f>
        <v>18700</v>
      </c>
      <c r="K1099" s="12" t="s">
        <v>4375</v>
      </c>
      <c r="L1099" s="15" t="s">
        <v>4501</v>
      </c>
    </row>
    <row r="1100" spans="1:12" ht="67.5">
      <c r="A1100" s="8" t="s">
        <v>4502</v>
      </c>
      <c r="B1100" s="9" t="s">
        <v>12</v>
      </c>
      <c r="C1100" s="12" t="s">
        <v>443</v>
      </c>
      <c r="D1100" s="10" t="str">
        <f ca="1">IFERROR(__xludf.DUMMYFUNCTION(" VLOOKUP(A1097, IMPORTRANGE(""https://docs.google.com/spreadsheets/d/1fj_Bhi2XPL3siwIh4sx4VRLAe31yD50oKdj5UlRYW0c/"", ""Сводка!A:AA""), 11, FALSE)"),"978-601-330-067-2")</f>
        <v>978-601-330-067-2</v>
      </c>
      <c r="E1100" s="11" t="s">
        <v>4503</v>
      </c>
      <c r="F1100" s="11" t="s">
        <v>4504</v>
      </c>
      <c r="G1100" s="12">
        <f ca="1">IFERROR(__xludf.DUMMYFUNCTION(" VLOOKUP(A1097, IMPORTRANGE(""https://docs.google.com/spreadsheets/d/1fj_Bhi2XPL3siwIh4sx4VRLAe31yD50oKdj5UlRYW0c/"", ""Сводка!A:AA""), 5, FALSE)"),228)</f>
        <v>228</v>
      </c>
      <c r="H1100" s="12" t="s">
        <v>777</v>
      </c>
      <c r="I1100" s="10">
        <f ca="1">IFERROR(__xludf.DUMMYFUNCTION(" VLOOKUP(A1097, IMPORTRANGE(""https://docs.google.com/spreadsheets/d/1QNLbnkR_AongFt22vMfNzfpjZ0CjpI8QI-w0wBnYA1w/"", ""Инфа!A:AA""), 6, FALSE)"),2024)</f>
        <v>2024</v>
      </c>
      <c r="J1100" s="5">
        <f ca="1">ROUND((5000+G1100*60),-2)</f>
        <v>18700</v>
      </c>
      <c r="K1100" s="12" t="s">
        <v>4375</v>
      </c>
      <c r="L1100" s="15" t="s">
        <v>4505</v>
      </c>
    </row>
    <row r="1101" spans="1:12" ht="225">
      <c r="A1101" s="8" t="s">
        <v>4506</v>
      </c>
      <c r="B1101" s="9" t="s">
        <v>12</v>
      </c>
      <c r="C1101" s="12" t="s">
        <v>443</v>
      </c>
      <c r="D1101" s="10" t="str">
        <f ca="1">IFERROR(__xludf.DUMMYFUNCTION(" VLOOKUP(A1098, IMPORTRANGE(""https://docs.google.com/spreadsheets/d/1fj_Bhi2XPL3siwIh4sx4VRLAe31yD50oKdj5UlRYW0c/"", ""Сводка!A:AA""), 11, FALSE)"),"978-601-04-4500-0")</f>
        <v>978-601-04-4500-0</v>
      </c>
      <c r="E1101" s="11" t="s">
        <v>4507</v>
      </c>
      <c r="F1101" s="11" t="s">
        <v>4508</v>
      </c>
      <c r="G1101" s="12">
        <f ca="1">IFERROR(__xludf.DUMMYFUNCTION(" VLOOKUP(A1098, IMPORTRANGE(""https://docs.google.com/spreadsheets/d/1fj_Bhi2XPL3siwIh4sx4VRLAe31yD50oKdj5UlRYW0c/"", ""Сводка!A:AA""), 5, FALSE)"),216)</f>
        <v>216</v>
      </c>
      <c r="H1101" s="12" t="s">
        <v>777</v>
      </c>
      <c r="I1101" s="10">
        <f ca="1">IFERROR(__xludf.DUMMYFUNCTION(" VLOOKUP(A1098, IMPORTRANGE(""https://docs.google.com/spreadsheets/d/1QNLbnkR_AongFt22vMfNzfpjZ0CjpI8QI-w0wBnYA1w/"", ""Инфа!A:AA""), 6, FALSE)"),2024)</f>
        <v>2024</v>
      </c>
      <c r="J1101" s="5">
        <f ca="1">ROUND((5000+G1101*30),-2)</f>
        <v>11500</v>
      </c>
      <c r="K1101" s="12" t="s">
        <v>213</v>
      </c>
      <c r="L1101" s="15" t="s">
        <v>4509</v>
      </c>
    </row>
    <row r="1102" spans="1:12" ht="281.25">
      <c r="A1102" s="8" t="s">
        <v>4510</v>
      </c>
      <c r="B1102" s="9" t="s">
        <v>12</v>
      </c>
      <c r="C1102" s="12" t="s">
        <v>151</v>
      </c>
      <c r="D1102" s="10" t="str">
        <f ca="1">IFERROR(__xludf.DUMMYFUNCTION(" VLOOKUP(A1099, IMPORTRANGE(""https://docs.google.com/spreadsheets/d/1fj_Bhi2XPL3siwIh4sx4VRLAe31yD50oKdj5UlRYW0c/"", ""Сводка!A:AA""), 11, FALSE)"),"978-601-330-234-8")</f>
        <v>978-601-330-234-8</v>
      </c>
      <c r="E1102" s="11" t="s">
        <v>4511</v>
      </c>
      <c r="F1102" s="11" t="s">
        <v>4512</v>
      </c>
      <c r="G1102" s="12">
        <f ca="1">IFERROR(__xludf.DUMMYFUNCTION(" VLOOKUP(A1099, IMPORTRANGE(""https://docs.google.com/spreadsheets/d/1fj_Bhi2XPL3siwIh4sx4VRLAe31yD50oKdj5UlRYW0c/"", ""Сводка!A:AA""), 5, FALSE)"),168)</f>
        <v>168</v>
      </c>
      <c r="H1102" s="12" t="s">
        <v>106</v>
      </c>
      <c r="I1102" s="10">
        <f ca="1">IFERROR(__xludf.DUMMYFUNCTION(" VLOOKUP(A1099, IMPORTRANGE(""https://docs.google.com/spreadsheets/d/1QNLbnkR_AongFt22vMfNzfpjZ0CjpI8QI-w0wBnYA1w/"", ""Инфа!A:AA""), 6, FALSE)"),2023)</f>
        <v>2023</v>
      </c>
      <c r="J1102" s="5">
        <f ca="1">ROUND((5000+G1102*30),-2)</f>
        <v>10000</v>
      </c>
      <c r="K1102" s="12" t="s">
        <v>48</v>
      </c>
      <c r="L1102" s="15" t="s">
        <v>4513</v>
      </c>
    </row>
    <row r="1103" spans="1:12" ht="157.5">
      <c r="A1103" s="8" t="s">
        <v>4514</v>
      </c>
      <c r="B1103" s="9" t="s">
        <v>12</v>
      </c>
      <c r="C1103" s="12" t="s">
        <v>151</v>
      </c>
      <c r="D1103" s="10" t="str">
        <f ca="1">IFERROR(__xludf.DUMMYFUNCTION(" VLOOKUP(A1100, IMPORTRANGE(""https://docs.google.com/spreadsheets/d/1fj_Bhi2XPL3siwIh4sx4VRLAe31yD50oKdj5UlRYW0c/"", ""Сводка!A:AA""), 11, FALSE)"),"978-601-330-056-6")</f>
        <v>978-601-330-056-6</v>
      </c>
      <c r="E1103" s="11" t="s">
        <v>4515</v>
      </c>
      <c r="F1103" s="11" t="s">
        <v>4516</v>
      </c>
      <c r="G1103" s="12">
        <f ca="1">IFERROR(__xludf.DUMMYFUNCTION(" VLOOKUP(A1100, IMPORTRANGE(""https://docs.google.com/spreadsheets/d/1fj_Bhi2XPL3siwIh4sx4VRLAe31yD50oKdj5UlRYW0c/"", ""Сводка!A:AA""), 5, FALSE)"),120)</f>
        <v>120</v>
      </c>
      <c r="H1103" s="12" t="s">
        <v>165</v>
      </c>
      <c r="I1103" s="10">
        <f ca="1">IFERROR(__xludf.DUMMYFUNCTION(" VLOOKUP(A1100, IMPORTRANGE(""https://docs.google.com/spreadsheets/d/1QNLbnkR_AongFt22vMfNzfpjZ0CjpI8QI-w0wBnYA1w/"", ""Инфа!A:AA""), 6, FALSE)"),2024)</f>
        <v>2024</v>
      </c>
      <c r="J1103" s="5">
        <f ca="1">ROUND((5000+G1103*30),-2)</f>
        <v>8600</v>
      </c>
      <c r="K1103" s="12" t="s">
        <v>277</v>
      </c>
      <c r="L1103" s="16" t="s">
        <v>4517</v>
      </c>
    </row>
    <row r="1104" spans="1:12" ht="247.5">
      <c r="A1104" s="8" t="s">
        <v>4518</v>
      </c>
      <c r="B1104" s="9" t="s">
        <v>12</v>
      </c>
      <c r="C1104" s="10" t="s">
        <v>151</v>
      </c>
      <c r="D1104" s="10" t="str">
        <f ca="1">IFERROR(__xludf.DUMMYFUNCTION(" VLOOKUP(A1101, IMPORTRANGE(""https://docs.google.com/spreadsheets/d/1fj_Bhi2XPL3siwIh4sx4VRLAe31yD50oKdj5UlRYW0c/"", ""Сводка!A:AA""), 11, FALSE)"),"978 601 330 040 5")</f>
        <v>978 601 330 040 5</v>
      </c>
      <c r="E1104" s="11" t="s">
        <v>4391</v>
      </c>
      <c r="F1104" s="11" t="s">
        <v>4519</v>
      </c>
      <c r="G1104" s="12">
        <f ca="1">IFERROR(__xludf.DUMMYFUNCTION(" VLOOKUP(A1101, IMPORTRANGE(""https://docs.google.com/spreadsheets/d/1fj_Bhi2XPL3siwIh4sx4VRLAe31yD50oKdj5UlRYW0c/"", ""Сводка!A:AA""), 5, FALSE)"),104)</f>
        <v>104</v>
      </c>
      <c r="H1104" s="10" t="s">
        <v>4520</v>
      </c>
      <c r="I1104" s="10">
        <f ca="1">IFERROR(__xludf.DUMMYFUNCTION(" VLOOKUP(A1101, IMPORTRANGE(""https://docs.google.com/spreadsheets/d/1QNLbnkR_AongFt22vMfNzfpjZ0CjpI8QI-w0wBnYA1w/"", ""Инфа!A:AA""), 6, FALSE)"),2024)</f>
        <v>2024</v>
      </c>
      <c r="J1104" s="5">
        <f ca="1">ROUND((5000+G1104*30),-2)</f>
        <v>8100</v>
      </c>
      <c r="K1104" s="12" t="s">
        <v>78</v>
      </c>
      <c r="L1104" s="15" t="s">
        <v>4521</v>
      </c>
    </row>
    <row r="1105" spans="1:12" ht="270">
      <c r="A1105" s="8" t="s">
        <v>4522</v>
      </c>
      <c r="B1105" s="9" t="s">
        <v>12</v>
      </c>
      <c r="C1105" s="10" t="s">
        <v>443</v>
      </c>
      <c r="D1105" s="10" t="str">
        <f ca="1">IFERROR(__xludf.DUMMYFUNCTION(" VLOOKUP(A1102, IMPORTRANGE(""https://docs.google.com/spreadsheets/d/1fj_Bhi2XPL3siwIh4sx4VRLAe31yD50oKdj5UlRYW0c/"", ""Сводка!A:AA""), 11, FALSE)"),"978-601-352-634-8")</f>
        <v>978-601-352-634-8</v>
      </c>
      <c r="E1105" s="11" t="s">
        <v>4523</v>
      </c>
      <c r="F1105" s="11" t="s">
        <v>4524</v>
      </c>
      <c r="G1105" s="12">
        <f ca="1">IFERROR(__xludf.DUMMYFUNCTION(" VLOOKUP(A1102, IMPORTRANGE(""https://docs.google.com/spreadsheets/d/1fj_Bhi2XPL3siwIh4sx4VRLAe31yD50oKdj5UlRYW0c/"", ""Сводка!A:AA""), 5, FALSE)"),196)</f>
        <v>196</v>
      </c>
      <c r="H1105" s="10" t="s">
        <v>538</v>
      </c>
      <c r="I1105" s="10">
        <f ca="1">IFERROR(__xludf.DUMMYFUNCTION(" VLOOKUP(A1102, IMPORTRANGE(""https://docs.google.com/spreadsheets/d/1QNLbnkR_AongFt22vMfNzfpjZ0CjpI8QI-w0wBnYA1w/"", ""Инфа!A:AA""), 6, FALSE)"),2022)</f>
        <v>2022</v>
      </c>
      <c r="J1105" s="5">
        <f ca="1">ROUND((5000+G1105*60),-2)</f>
        <v>16800</v>
      </c>
      <c r="K1105" s="12" t="s">
        <v>2185</v>
      </c>
      <c r="L1105" s="15" t="s">
        <v>4525</v>
      </c>
    </row>
    <row r="1106" spans="1:12" ht="326.25">
      <c r="A1106" s="8" t="s">
        <v>4526</v>
      </c>
      <c r="B1106" s="9" t="s">
        <v>12</v>
      </c>
      <c r="C1106" s="12" t="s">
        <v>151</v>
      </c>
      <c r="D1106" s="10" t="str">
        <f ca="1">IFERROR(__xludf.DUMMYFUNCTION(" VLOOKUP(A1103, IMPORTRANGE(""https://docs.google.com/spreadsheets/d/1fj_Bhi2XPL3siwIh4sx4VRLAe31yD50oKdj5UlRYW0c/"", ""Сводка!A:AA""), 11, FALSE)"),"")</f>
        <v/>
      </c>
      <c r="E1106" s="11" t="s">
        <v>4527</v>
      </c>
      <c r="F1106" s="11" t="s">
        <v>4528</v>
      </c>
      <c r="G1106" s="12">
        <f ca="1">IFERROR(__xludf.DUMMYFUNCTION(" VLOOKUP(A1103, IMPORTRANGE(""https://docs.google.com/spreadsheets/d/1fj_Bhi2XPL3siwIh4sx4VRLAe31yD50oKdj5UlRYW0c/"", ""Сводка!A:AA""), 5, FALSE)"),312)</f>
        <v>312</v>
      </c>
      <c r="H1106" s="12" t="s">
        <v>4470</v>
      </c>
      <c r="I1106" s="10">
        <f ca="1">IFERROR(__xludf.DUMMYFUNCTION(" VLOOKUP(A1103, IMPORTRANGE(""https://docs.google.com/spreadsheets/d/1QNLbnkR_AongFt22vMfNzfpjZ0CjpI8QI-w0wBnYA1w/"", ""Инфа!A:AA""), 6, FALSE)"),2024)</f>
        <v>2024</v>
      </c>
      <c r="J1106" s="5">
        <f ca="1">ROUND((5000+G1106*30),-2)</f>
        <v>14400</v>
      </c>
      <c r="K1106" s="12" t="s">
        <v>4529</v>
      </c>
      <c r="L1106" s="15" t="s">
        <v>4530</v>
      </c>
    </row>
    <row r="1107" spans="1:12" ht="191.25">
      <c r="A1107" s="8" t="s">
        <v>4531</v>
      </c>
      <c r="B1107" s="9" t="s">
        <v>12</v>
      </c>
      <c r="C1107" s="12" t="s">
        <v>443</v>
      </c>
      <c r="D1107" s="10" t="str">
        <f ca="1">IFERROR(__xludf.DUMMYFUNCTION(" VLOOKUP(A1104, IMPORTRANGE(""https://docs.google.com/spreadsheets/d/1fj_Bhi2XPL3siwIh4sx4VRLAe31yD50oKdj5UlRYW0c/"", ""Сводка!A:AA""), 11, FALSE)"),"978-601-352-836-6")</f>
        <v>978-601-352-836-6</v>
      </c>
      <c r="E1107" s="11" t="s">
        <v>4532</v>
      </c>
      <c r="F1107" s="11" t="s">
        <v>4533</v>
      </c>
      <c r="G1107" s="12">
        <f ca="1">IFERROR(__xludf.DUMMYFUNCTION(" VLOOKUP(A1104, IMPORTRANGE(""https://docs.google.com/spreadsheets/d/1fj_Bhi2XPL3siwIh4sx4VRLAe31yD50oKdj5UlRYW0c/"", ""Сводка!A:AA""), 5, FALSE)"),276)</f>
        <v>276</v>
      </c>
      <c r="H1107" s="12" t="s">
        <v>538</v>
      </c>
      <c r="I1107" s="10">
        <f ca="1">IFERROR(__xludf.DUMMYFUNCTION(" VLOOKUP(A1104, IMPORTRANGE(""https://docs.google.com/spreadsheets/d/1QNLbnkR_AongFt22vMfNzfpjZ0CjpI8QI-w0wBnYA1w/"", ""Инфа!A:AA""), 6, FALSE)"),2024)</f>
        <v>2024</v>
      </c>
      <c r="J1107" s="5">
        <f ca="1">ROUND((5000+G1107*30),-2)</f>
        <v>13300</v>
      </c>
      <c r="K1107" s="12" t="s">
        <v>2046</v>
      </c>
      <c r="L1107" s="15" t="s">
        <v>4534</v>
      </c>
    </row>
    <row r="1108" spans="1:12" ht="191.25">
      <c r="A1108" s="8" t="s">
        <v>4535</v>
      </c>
      <c r="B1108" s="9" t="s">
        <v>12</v>
      </c>
      <c r="C1108" s="12" t="s">
        <v>443</v>
      </c>
      <c r="D1108" s="10" t="str">
        <f ca="1">IFERROR(__xludf.DUMMYFUNCTION(" VLOOKUP(A1105, IMPORTRANGE(""https://docs.google.com/spreadsheets/d/1fj_Bhi2XPL3siwIh4sx4VRLAe31yD50oKdj5UlRYW0c/"", ""Сводка!A:AA""), 11, FALSE)"),"978-601-352-836-6")</f>
        <v>978-601-352-836-6</v>
      </c>
      <c r="E1108" s="11" t="s">
        <v>4532</v>
      </c>
      <c r="F1108" s="11" t="s">
        <v>4536</v>
      </c>
      <c r="G1108" s="12">
        <f ca="1">IFERROR(__xludf.DUMMYFUNCTION(" VLOOKUP(A1105, IMPORTRANGE(""https://docs.google.com/spreadsheets/d/1fj_Bhi2XPL3siwIh4sx4VRLAe31yD50oKdj5UlRYW0c/"", ""Сводка!A:AA""), 5, FALSE)"),272)</f>
        <v>272</v>
      </c>
      <c r="H1108" s="12" t="s">
        <v>538</v>
      </c>
      <c r="I1108" s="10">
        <f ca="1">IFERROR(__xludf.DUMMYFUNCTION(" VLOOKUP(A1105, IMPORTRANGE(""https://docs.google.com/spreadsheets/d/1QNLbnkR_AongFt22vMfNzfpjZ0CjpI8QI-w0wBnYA1w/"", ""Инфа!A:AA""), 6, FALSE)"),2024)</f>
        <v>2024</v>
      </c>
      <c r="J1108" s="5">
        <f ca="1">ROUND((5000+G1108*30),-2)</f>
        <v>13200</v>
      </c>
      <c r="K1108" s="12" t="s">
        <v>2046</v>
      </c>
      <c r="L1108" s="15" t="s">
        <v>4534</v>
      </c>
    </row>
    <row r="1109" spans="1:12" ht="281.25">
      <c r="A1109" s="8" t="s">
        <v>4537</v>
      </c>
      <c r="B1109" s="9" t="s">
        <v>12</v>
      </c>
      <c r="C1109" s="12" t="s">
        <v>443</v>
      </c>
      <c r="D1109" s="10" t="str">
        <f ca="1">IFERROR(__xludf.DUMMYFUNCTION(" VLOOKUP(A1106, IMPORTRANGE(""https://docs.google.com/spreadsheets/d/1fj_Bhi2XPL3siwIh4sx4VRLAe31yD50oKdj5UlRYW0c/"", ""Сводка!A:AA""), 11, FALSE)"),"978-601-352-837-3")</f>
        <v>978-601-352-837-3</v>
      </c>
      <c r="E1109" s="11" t="s">
        <v>1503</v>
      </c>
      <c r="F1109" s="11" t="s">
        <v>4538</v>
      </c>
      <c r="G1109" s="12">
        <f ca="1">IFERROR(__xludf.DUMMYFUNCTION(" VLOOKUP(A1106, IMPORTRANGE(""https://docs.google.com/spreadsheets/d/1fj_Bhi2XPL3siwIh4sx4VRLAe31yD50oKdj5UlRYW0c/"", ""Сводка!A:AA""), 5, FALSE)"),280)</f>
        <v>280</v>
      </c>
      <c r="H1109" s="12" t="s">
        <v>511</v>
      </c>
      <c r="I1109" s="10">
        <f ca="1">IFERROR(__xludf.DUMMYFUNCTION(" VLOOKUP(A1106, IMPORTRANGE(""https://docs.google.com/spreadsheets/d/1QNLbnkR_AongFt22vMfNzfpjZ0CjpI8QI-w0wBnYA1w/"", ""Инфа!A:AA""), 6, FALSE)"),2024)</f>
        <v>2024</v>
      </c>
      <c r="J1109" s="5">
        <f ca="1">ROUND((5000+G1109*60),-2)</f>
        <v>21800</v>
      </c>
      <c r="K1109" s="12" t="s">
        <v>4539</v>
      </c>
      <c r="L1109" s="15" t="s">
        <v>4540</v>
      </c>
    </row>
    <row r="1110" spans="1:12" ht="202.5">
      <c r="A1110" s="8" t="s">
        <v>4541</v>
      </c>
      <c r="B1110" s="9" t="s">
        <v>12</v>
      </c>
      <c r="C1110" s="12" t="s">
        <v>443</v>
      </c>
      <c r="D1110" s="10" t="s">
        <v>4542</v>
      </c>
      <c r="E1110" s="11" t="s">
        <v>4543</v>
      </c>
      <c r="F1110" s="11" t="s">
        <v>4544</v>
      </c>
      <c r="G1110" s="12">
        <f ca="1">IFERROR(__xludf.DUMMYFUNCTION(" VLOOKUP(A1107, IMPORTRANGE(""https://docs.google.com/spreadsheets/d/1fj_Bhi2XPL3siwIh4sx4VRLAe31yD50oKdj5UlRYW0c/"", ""Сводка!A:AA""), 5, FALSE)"),148)</f>
        <v>148</v>
      </c>
      <c r="H1110" s="12" t="s">
        <v>538</v>
      </c>
      <c r="I1110" s="10">
        <f ca="1">IFERROR(__xludf.DUMMYFUNCTION(" VLOOKUP(A1107, IMPORTRANGE(""https://docs.google.com/spreadsheets/d/1QNLbnkR_AongFt22vMfNzfpjZ0CjpI8QI-w0wBnYA1w/"", ""Инфа!A:AA""), 6, FALSE)"),2024)</f>
        <v>2024</v>
      </c>
      <c r="J1110" s="5">
        <f ca="1">ROUND((5000+G1110*30),-2)</f>
        <v>9400</v>
      </c>
      <c r="K1110" s="12" t="s">
        <v>4529</v>
      </c>
      <c r="L1110" s="15" t="s">
        <v>4545</v>
      </c>
    </row>
    <row r="1111" spans="1:12" ht="315">
      <c r="A1111" s="8" t="s">
        <v>4546</v>
      </c>
      <c r="B1111" s="9" t="s">
        <v>12</v>
      </c>
      <c r="C1111" s="12" t="s">
        <v>151</v>
      </c>
      <c r="D1111" s="10" t="str">
        <f ca="1">IFERROR(__xludf.DUMMYFUNCTION(" VLOOKUP(A1108, IMPORTRANGE(""https://docs.google.com/spreadsheets/d/1fj_Bhi2XPL3siwIh4sx4VRLAe31yD50oKdj5UlRYW0c/"", ""Сводка!A:AA""), 11, FALSE)"),"978-601-352-900-4")</f>
        <v>978-601-352-900-4</v>
      </c>
      <c r="E1111" s="11" t="s">
        <v>4547</v>
      </c>
      <c r="F1111" s="11" t="s">
        <v>4548</v>
      </c>
      <c r="G1111" s="12">
        <f ca="1">IFERROR(__xludf.DUMMYFUNCTION(" VLOOKUP(A1108, IMPORTRANGE(""https://docs.google.com/spreadsheets/d/1fj_Bhi2XPL3siwIh4sx4VRLAe31yD50oKdj5UlRYW0c/"", ""Сводка!A:AA""), 5, FALSE)"),268)</f>
        <v>268</v>
      </c>
      <c r="H1111" s="12" t="s">
        <v>165</v>
      </c>
      <c r="I1111" s="10">
        <f ca="1">IFERROR(__xludf.DUMMYFUNCTION(" VLOOKUP(A1108, IMPORTRANGE(""https://docs.google.com/spreadsheets/d/1QNLbnkR_AongFt22vMfNzfpjZ0CjpI8QI-w0wBnYA1w/"", ""Инфа!A:AA""), 6, FALSE)"),2024)</f>
        <v>2024</v>
      </c>
      <c r="J1111" s="5">
        <f ca="1">ROUND((5000+G1111*60),-2)</f>
        <v>21100</v>
      </c>
      <c r="K1111" s="12" t="s">
        <v>4549</v>
      </c>
      <c r="L1111" s="15" t="s">
        <v>4550</v>
      </c>
    </row>
    <row r="1112" spans="1:12" ht="315">
      <c r="A1112" s="8" t="s">
        <v>4551</v>
      </c>
      <c r="B1112" s="9" t="s">
        <v>12</v>
      </c>
      <c r="C1112" s="12" t="s">
        <v>151</v>
      </c>
      <c r="D1112" s="10" t="str">
        <f ca="1">IFERROR(__xludf.DUMMYFUNCTION(" VLOOKUP(A1109, IMPORTRANGE(""https://docs.google.com/spreadsheets/d/1fj_Bhi2XPL3siwIh4sx4VRLAe31yD50oKdj5UlRYW0c/"", ""Сводка!A:AA""), 11, FALSE)"),"978-601-330-099-3")</f>
        <v>978-601-330-099-3</v>
      </c>
      <c r="E1112" s="11" t="s">
        <v>4552</v>
      </c>
      <c r="F1112" s="11" t="s">
        <v>4553</v>
      </c>
      <c r="G1112" s="12">
        <f ca="1">IFERROR(__xludf.DUMMYFUNCTION(" VLOOKUP(A1109, IMPORTRANGE(""https://docs.google.com/spreadsheets/d/1fj_Bhi2XPL3siwIh4sx4VRLAe31yD50oKdj5UlRYW0c/"", ""Сводка!A:AA""), 5, FALSE)"),292)</f>
        <v>292</v>
      </c>
      <c r="H1112" s="12" t="s">
        <v>165</v>
      </c>
      <c r="I1112" s="10">
        <f ca="1">IFERROR(__xludf.DUMMYFUNCTION(" VLOOKUP(A1109, IMPORTRANGE(""https://docs.google.com/spreadsheets/d/1QNLbnkR_AongFt22vMfNzfpjZ0CjpI8QI-w0wBnYA1w/"", ""Инфа!A:AA""), 6, FALSE)"),2024)</f>
        <v>2024</v>
      </c>
      <c r="J1112" s="5">
        <f ca="1">ROUND((5000+G1112*30),-2)</f>
        <v>13800</v>
      </c>
      <c r="K1112" s="12" t="s">
        <v>4539</v>
      </c>
      <c r="L1112" s="15" t="s">
        <v>4554</v>
      </c>
    </row>
    <row r="1113" spans="1:12" ht="157.5">
      <c r="A1113" s="8" t="s">
        <v>4555</v>
      </c>
      <c r="B1113" s="9" t="s">
        <v>2231</v>
      </c>
      <c r="C1113" s="12" t="s">
        <v>443</v>
      </c>
      <c r="D1113" s="10" t="str">
        <f ca="1">IFERROR(__xludf.DUMMYFUNCTION(" VLOOKUP(A1110, IMPORTRANGE(""https://docs.google.com/spreadsheets/d/1fj_Bhi2XPL3siwIh4sx4VRLAe31yD50oKdj5UlRYW0c/"", ""Сводка!A:AA""), 11, FALSE)"),"978-601-352-943-1")</f>
        <v>978-601-352-943-1</v>
      </c>
      <c r="E1113" s="11" t="s">
        <v>4556</v>
      </c>
      <c r="F1113" s="11" t="s">
        <v>4557</v>
      </c>
      <c r="G1113" s="12">
        <f ca="1">IFERROR(__xludf.DUMMYFUNCTION(" VLOOKUP(A1110, IMPORTRANGE(""https://docs.google.com/spreadsheets/d/1fj_Bhi2XPL3siwIh4sx4VRLAe31yD50oKdj5UlRYW0c/"", ""Сводка!A:AA""), 5, FALSE)"),132)</f>
        <v>132</v>
      </c>
      <c r="H1113" s="12" t="s">
        <v>538</v>
      </c>
      <c r="I1113" s="10">
        <f ca="1">IFERROR(__xludf.DUMMYFUNCTION(" VLOOKUP(A1110, IMPORTRANGE(""https://docs.google.com/spreadsheets/d/1QNLbnkR_AongFt22vMfNzfpjZ0CjpI8QI-w0wBnYA1w/"", ""Инфа!A:AA""), 6, FALSE)"),2023)</f>
        <v>2023</v>
      </c>
      <c r="J1113" s="5">
        <f ca="1">ROUND((5000+G1113*30),-2)</f>
        <v>9000</v>
      </c>
      <c r="K1113" s="12"/>
      <c r="L1113" s="15" t="s">
        <v>4558</v>
      </c>
    </row>
    <row r="1114" spans="1:12" ht="135">
      <c r="A1114" s="8" t="s">
        <v>4559</v>
      </c>
      <c r="B1114" s="9" t="s">
        <v>12</v>
      </c>
      <c r="C1114" s="12" t="s">
        <v>151</v>
      </c>
      <c r="D1114" s="10" t="str">
        <f ca="1">IFERROR(__xludf.DUMMYFUNCTION(" VLOOKUP(A1111, IMPORTRANGE(""https://docs.google.com/spreadsheets/d/1fj_Bhi2XPL3siwIh4sx4VRLAe31yD50oKdj5UlRYW0c/"", ""Сводка!A:AA""), 11, FALSE)"),"978-601-342-983-1")</f>
        <v>978-601-342-983-1</v>
      </c>
      <c r="E1114" s="45" t="s">
        <v>4560</v>
      </c>
      <c r="F1114" s="46" t="s">
        <v>4561</v>
      </c>
      <c r="G1114" s="12">
        <f ca="1">IFERROR(__xludf.DUMMYFUNCTION(" VLOOKUP(A1111, IMPORTRANGE(""https://docs.google.com/spreadsheets/d/1fj_Bhi2XPL3siwIh4sx4VRLAe31yD50oKdj5UlRYW0c/"", ""Сводка!A:AA""), 5, FALSE)"),280)</f>
        <v>280</v>
      </c>
      <c r="H1114" s="12" t="s">
        <v>47</v>
      </c>
      <c r="I1114" s="10">
        <f ca="1">IFERROR(__xludf.DUMMYFUNCTION(" VLOOKUP(A1111, IMPORTRANGE(""https://docs.google.com/spreadsheets/d/1QNLbnkR_AongFt22vMfNzfpjZ0CjpI8QI-w0wBnYA1w/"", ""Инфа!A:AA""), 6, FALSE)"),2023)</f>
        <v>2023</v>
      </c>
      <c r="J1114" s="5">
        <f ca="1">ROUND((5000+G1114*30),-2)</f>
        <v>13400</v>
      </c>
      <c r="K1114" s="12" t="s">
        <v>2185</v>
      </c>
      <c r="L1114" s="15" t="s">
        <v>4562</v>
      </c>
    </row>
    <row r="1115" spans="1:12" ht="202.5">
      <c r="A1115" s="8" t="s">
        <v>4563</v>
      </c>
      <c r="B1115" s="9" t="s">
        <v>12</v>
      </c>
      <c r="C1115" s="12" t="s">
        <v>151</v>
      </c>
      <c r="D1115" s="10" t="str">
        <f ca="1">IFERROR(__xludf.DUMMYFUNCTION(" VLOOKUP(A1112, IMPORTRANGE(""https://docs.google.com/spreadsheets/d/1fj_Bhi2XPL3siwIh4sx4VRLAe31yD50oKdj5UlRYW0c/"", ""Сводка!A:AA""), 11, FALSE)"),"978-601-330-239-3")</f>
        <v>978-601-330-239-3</v>
      </c>
      <c r="E1115" s="45" t="s">
        <v>4564</v>
      </c>
      <c r="F1115" s="46" t="s">
        <v>4565</v>
      </c>
      <c r="G1115" s="12">
        <f ca="1">IFERROR(__xludf.DUMMYFUNCTION(" VLOOKUP(A1112, IMPORTRANGE(""https://docs.google.com/spreadsheets/d/1fj_Bhi2XPL3siwIh4sx4VRLAe31yD50oKdj5UlRYW0c/"", ""Сводка!A:AA""), 5, FALSE)"),220)</f>
        <v>220</v>
      </c>
      <c r="H1115" s="12" t="s">
        <v>47</v>
      </c>
      <c r="I1115" s="10">
        <f ca="1">IFERROR(__xludf.DUMMYFUNCTION(" VLOOKUP(A1112, IMPORTRANGE(""https://docs.google.com/spreadsheets/d/1QNLbnkR_AongFt22vMfNzfpjZ0CjpI8QI-w0wBnYA1w/"", ""Инфа!A:AA""), 6, FALSE)"),2024)</f>
        <v>2024</v>
      </c>
      <c r="J1115" s="5">
        <f ca="1">ROUND((5000+G1115*30),-2)</f>
        <v>11600</v>
      </c>
      <c r="K1115" s="12" t="s">
        <v>2421</v>
      </c>
      <c r="L1115" s="15" t="s">
        <v>4566</v>
      </c>
    </row>
    <row r="1116" spans="1:12" ht="78.75">
      <c r="A1116" s="8" t="s">
        <v>4567</v>
      </c>
      <c r="B1116" s="9" t="s">
        <v>12</v>
      </c>
      <c r="C1116" s="12" t="s">
        <v>151</v>
      </c>
      <c r="D1116" s="10" t="str">
        <f ca="1">IFERROR(__xludf.DUMMYFUNCTION(" VLOOKUP(A1113, IMPORTRANGE(""https://docs.google.com/spreadsheets/d/1fj_Bhi2XPL3siwIh4sx4VRLAe31yD50oKdj5UlRYW0c/"", ""Сводка!A:AA""), 11, FALSE)"),"978-601-330-175-4")</f>
        <v>978-601-330-175-4</v>
      </c>
      <c r="E1116" s="45" t="s">
        <v>4564</v>
      </c>
      <c r="F1116" s="46" t="s">
        <v>4568</v>
      </c>
      <c r="G1116" s="12">
        <f ca="1">IFERROR(__xludf.DUMMYFUNCTION(" VLOOKUP(A1113, IMPORTRANGE(""https://docs.google.com/spreadsheets/d/1fj_Bhi2XPL3siwIh4sx4VRLAe31yD50oKdj5UlRYW0c/"", ""Сводка!A:AA""), 5, FALSE)"),268)</f>
        <v>268</v>
      </c>
      <c r="H1116" s="12" t="s">
        <v>47</v>
      </c>
      <c r="I1116" s="10">
        <f ca="1">IFERROR(__xludf.DUMMYFUNCTION(" VLOOKUP(A1113, IMPORTRANGE(""https://docs.google.com/spreadsheets/d/1QNLbnkR_AongFt22vMfNzfpjZ0CjpI8QI-w0wBnYA1w/"", ""Инфа!A:AA""), 6, FALSE)"),2023)</f>
        <v>2023</v>
      </c>
      <c r="J1116" s="5">
        <f ca="1">ROUND((5000+G1116*30),-2)</f>
        <v>13000</v>
      </c>
      <c r="K1116" s="12" t="s">
        <v>26</v>
      </c>
      <c r="L1116" s="15" t="s">
        <v>4569</v>
      </c>
    </row>
    <row r="1117" spans="1:12" ht="191.25">
      <c r="A1117" s="8" t="s">
        <v>4570</v>
      </c>
      <c r="B1117" s="9" t="s">
        <v>12</v>
      </c>
      <c r="C1117" s="10" t="s">
        <v>443</v>
      </c>
      <c r="D1117" s="10" t="str">
        <f ca="1">IFERROR(__xludf.DUMMYFUNCTION(" VLOOKUP(A1114, IMPORTRANGE(""https://docs.google.com/spreadsheets/d/1fj_Bhi2XPL3siwIh4sx4VRLAe31yD50oKdj5UlRYW0c/"", ""Сводка!A:AA""), 11, FALSE)"),"978-601-342-973-1")</f>
        <v>978-601-342-973-1</v>
      </c>
      <c r="E1117" s="11" t="s">
        <v>4571</v>
      </c>
      <c r="F1117" s="11" t="s">
        <v>4572</v>
      </c>
      <c r="G1117" s="12">
        <f ca="1">IFERROR(__xludf.DUMMYFUNCTION(" VLOOKUP(A1114, IMPORTRANGE(""https://docs.google.com/spreadsheets/d/1fj_Bhi2XPL3siwIh4sx4VRLAe31yD50oKdj5UlRYW0c/"", ""Сводка!A:AA""), 5, FALSE)"),116)</f>
        <v>116</v>
      </c>
      <c r="H1117" s="12" t="s">
        <v>538</v>
      </c>
      <c r="I1117" s="10">
        <f ca="1">IFERROR(__xludf.DUMMYFUNCTION(" VLOOKUP(A1114, IMPORTRANGE(""https://docs.google.com/spreadsheets/d/1QNLbnkR_AongFt22vMfNzfpjZ0CjpI8QI-w0wBnYA1w/"", ""Инфа!A:AA""), 6, FALSE)"),2024)</f>
        <v>2024</v>
      </c>
      <c r="J1117" s="5">
        <f ca="1">ROUND((5000+G1117*60),-2)</f>
        <v>12000</v>
      </c>
      <c r="K1117" s="12" t="s">
        <v>2046</v>
      </c>
      <c r="L1117" s="15" t="s">
        <v>4573</v>
      </c>
    </row>
    <row r="1118" spans="1:12" ht="78.75">
      <c r="A1118" s="8" t="s">
        <v>4574</v>
      </c>
      <c r="B1118" s="9" t="s">
        <v>12</v>
      </c>
      <c r="C1118" s="12" t="s">
        <v>151</v>
      </c>
      <c r="D1118" s="10" t="str">
        <f ca="1">IFERROR(__xludf.DUMMYFUNCTION(" VLOOKUP(A1115, IMPORTRANGE(""https://docs.google.com/spreadsheets/d/1fj_Bhi2XPL3siwIh4sx4VRLAe31yD50oKdj5UlRYW0c/"", ""Сводка!A:AA""), 11, FALSE)"),"978-601-330-179-2")</f>
        <v>978-601-330-179-2</v>
      </c>
      <c r="E1118" s="45" t="s">
        <v>4564</v>
      </c>
      <c r="F1118" s="46" t="s">
        <v>4575</v>
      </c>
      <c r="G1118" s="12">
        <f ca="1">IFERROR(__xludf.DUMMYFUNCTION(" VLOOKUP(A1115, IMPORTRANGE(""https://docs.google.com/spreadsheets/d/1fj_Bhi2XPL3siwIh4sx4VRLAe31yD50oKdj5UlRYW0c/"", ""Сводка!A:AA""), 5, FALSE)"),288)</f>
        <v>288</v>
      </c>
      <c r="H1118" s="12" t="s">
        <v>47</v>
      </c>
      <c r="I1118" s="10">
        <f ca="1">IFERROR(__xludf.DUMMYFUNCTION(" VLOOKUP(A1115, IMPORTRANGE(""https://docs.google.com/spreadsheets/d/1QNLbnkR_AongFt22vMfNzfpjZ0CjpI8QI-w0wBnYA1w/"", ""Инфа!A:AA""), 6, FALSE)"),2023)</f>
        <v>2023</v>
      </c>
      <c r="J1118" s="5">
        <f ca="1">ROUND((5000+G1118*30),-2)</f>
        <v>13600</v>
      </c>
      <c r="K1118" s="12" t="s">
        <v>26</v>
      </c>
      <c r="L1118" s="15" t="s">
        <v>4569</v>
      </c>
    </row>
    <row r="1119" spans="1:12" ht="56.25">
      <c r="A1119" s="8" t="s">
        <v>4576</v>
      </c>
      <c r="B1119" s="9" t="s">
        <v>12</v>
      </c>
      <c r="C1119" s="12" t="s">
        <v>151</v>
      </c>
      <c r="D1119" s="10" t="str">
        <f ca="1">IFERROR(__xludf.DUMMYFUNCTION(" VLOOKUP(A1116, IMPORTRANGE(""https://docs.google.com/spreadsheets/d/1fj_Bhi2XPL3siwIh4sx4VRLAe31yD50oKdj5UlRYW0c/"", ""Сводка!A:AA""), 11, FALSE)"),"978-601-7664-47-3")</f>
        <v>978-601-7664-47-3</v>
      </c>
      <c r="E1119" s="45" t="s">
        <v>4577</v>
      </c>
      <c r="F1119" s="46" t="s">
        <v>4578</v>
      </c>
      <c r="G1119" s="12">
        <f ca="1">IFERROR(__xludf.DUMMYFUNCTION(" VLOOKUP(A1116, IMPORTRANGE(""https://docs.google.com/spreadsheets/d/1fj_Bhi2XPL3siwIh4sx4VRLAe31yD50oKdj5UlRYW0c/"", ""Сводка!A:AA""), 5, FALSE)"),224)</f>
        <v>224</v>
      </c>
      <c r="H1119" s="12" t="s">
        <v>282</v>
      </c>
      <c r="I1119" s="10">
        <f ca="1">IFERROR(__xludf.DUMMYFUNCTION(" VLOOKUP(A1116, IMPORTRANGE(""https://docs.google.com/spreadsheets/d/1QNLbnkR_AongFt22vMfNzfpjZ0CjpI8QI-w0wBnYA1w/"", ""Инфа!A:AA""), 6, FALSE)"),2024)</f>
        <v>2024</v>
      </c>
      <c r="J1119" s="5">
        <f ca="1">ROUND((5000+G1119*30),-2)</f>
        <v>11700</v>
      </c>
      <c r="K1119" s="12" t="s">
        <v>4579</v>
      </c>
      <c r="L1119" s="15" t="s">
        <v>4580</v>
      </c>
    </row>
    <row r="1120" spans="1:12" ht="67.5">
      <c r="A1120" s="8" t="s">
        <v>4581</v>
      </c>
      <c r="B1120" s="9" t="s">
        <v>12</v>
      </c>
      <c r="C1120" s="12" t="s">
        <v>151</v>
      </c>
      <c r="D1120" s="10" t="str">
        <f ca="1">IFERROR(__xludf.DUMMYFUNCTION(" VLOOKUP(A1117, IMPORTRANGE(""https://docs.google.com/spreadsheets/d/1fj_Bhi2XPL3siwIh4sx4VRLAe31yD50oKdj5UlRYW0c/"", ""Сводка!A:AA""), 11, FALSE)"),"978-601-7664-48-0")</f>
        <v>978-601-7664-48-0</v>
      </c>
      <c r="E1120" s="45" t="s">
        <v>4582</v>
      </c>
      <c r="F1120" s="46" t="s">
        <v>799</v>
      </c>
      <c r="G1120" s="12">
        <f ca="1">IFERROR(__xludf.DUMMYFUNCTION(" VLOOKUP(A1117, IMPORTRANGE(""https://docs.google.com/spreadsheets/d/1fj_Bhi2XPL3siwIh4sx4VRLAe31yD50oKdj5UlRYW0c/"", ""Сводка!A:AA""), 5, FALSE)"),252)</f>
        <v>252</v>
      </c>
      <c r="H1120" s="12" t="s">
        <v>282</v>
      </c>
      <c r="I1120" s="10">
        <f ca="1">IFERROR(__xludf.DUMMYFUNCTION(" VLOOKUP(A1117, IMPORTRANGE(""https://docs.google.com/spreadsheets/d/1QNLbnkR_AongFt22vMfNzfpjZ0CjpI8QI-w0wBnYA1w/"", ""Инфа!A:AA""), 6, FALSE)"),2023)</f>
        <v>2023</v>
      </c>
      <c r="J1120" s="5">
        <f ca="1">ROUND((5000+G1120*30),-2)</f>
        <v>12600</v>
      </c>
      <c r="K1120" s="12" t="s">
        <v>213</v>
      </c>
      <c r="L1120" s="15" t="s">
        <v>4583</v>
      </c>
    </row>
    <row r="1121" spans="1:12" ht="90">
      <c r="A1121" s="8" t="s">
        <v>4584</v>
      </c>
      <c r="B1121" s="9" t="s">
        <v>12</v>
      </c>
      <c r="C1121" s="12" t="s">
        <v>151</v>
      </c>
      <c r="D1121" s="10" t="str">
        <f ca="1">IFERROR(__xludf.DUMMYFUNCTION(" VLOOKUP(A1118, IMPORTRANGE(""https://docs.google.com/spreadsheets/d/1fj_Bhi2XPL3siwIh4sx4VRLAe31yD50oKdj5UlRYW0c/"", ""Сводка!A:AA""), 11, FALSE)"),"978-601-352-990-5")</f>
        <v>978-601-352-990-5</v>
      </c>
      <c r="E1121" s="45" t="s">
        <v>4564</v>
      </c>
      <c r="F1121" s="46" t="s">
        <v>4585</v>
      </c>
      <c r="G1121" s="12">
        <f ca="1">IFERROR(__xludf.DUMMYFUNCTION(" VLOOKUP(A1118, IMPORTRANGE(""https://docs.google.com/spreadsheets/d/1fj_Bhi2XPL3siwIh4sx4VRLAe31yD50oKdj5UlRYW0c/"", ""Сводка!A:AA""), 5, FALSE)"),232)</f>
        <v>232</v>
      </c>
      <c r="H1121" s="12" t="s">
        <v>47</v>
      </c>
      <c r="I1121" s="10">
        <f ca="1">IFERROR(__xludf.DUMMYFUNCTION(" VLOOKUP(A1118, IMPORTRANGE(""https://docs.google.com/spreadsheets/d/1QNLbnkR_AongFt22vMfNzfpjZ0CjpI8QI-w0wBnYA1w/"", ""Инфа!A:AA""), 6, FALSE)"),2023)</f>
        <v>2023</v>
      </c>
      <c r="J1121" s="5">
        <f ca="1">ROUND((5000+G1121*30),-2)</f>
        <v>12000</v>
      </c>
      <c r="K1121" s="12" t="s">
        <v>26</v>
      </c>
      <c r="L1121" s="15" t="s">
        <v>4586</v>
      </c>
    </row>
    <row r="1122" spans="1:12" ht="135">
      <c r="A1122" s="8" t="s">
        <v>4587</v>
      </c>
      <c r="B1122" s="9" t="s">
        <v>12</v>
      </c>
      <c r="C1122" s="12" t="s">
        <v>151</v>
      </c>
      <c r="D1122" s="10" t="str">
        <f ca="1">IFERROR(__xludf.DUMMYFUNCTION(" VLOOKUP(A1119, IMPORTRANGE(""https://docs.google.com/spreadsheets/d/1fj_Bhi2XPL3siwIh4sx4VRLAe31yD50oKdj5UlRYW0c/"", ""Сводка!A:AA""), 11, FALSE)"),"978-601-352-888-5")</f>
        <v>978-601-352-888-5</v>
      </c>
      <c r="E1122" s="45" t="s">
        <v>4588</v>
      </c>
      <c r="F1122" s="11" t="s">
        <v>4589</v>
      </c>
      <c r="G1122" s="12">
        <f ca="1">IFERROR(__xludf.DUMMYFUNCTION(" VLOOKUP(A1119, IMPORTRANGE(""https://docs.google.com/spreadsheets/d/1fj_Bhi2XPL3siwIh4sx4VRLAe31yD50oKdj5UlRYW0c/"", ""Сводка!A:AA""), 5, FALSE)"),100)</f>
        <v>100</v>
      </c>
      <c r="H1122" s="12" t="s">
        <v>47</v>
      </c>
      <c r="I1122" s="10">
        <f ca="1">IFERROR(__xludf.DUMMYFUNCTION(" VLOOKUP(A1119, IMPORTRANGE(""https://docs.google.com/spreadsheets/d/1QNLbnkR_AongFt22vMfNzfpjZ0CjpI8QI-w0wBnYA1w/"", ""Инфа!A:AA""), 6, FALSE)"),2024)</f>
        <v>2024</v>
      </c>
      <c r="J1122" s="5">
        <f ca="1">ROUND((5000+G1122*30),-2)</f>
        <v>8000</v>
      </c>
      <c r="K1122" s="12" t="s">
        <v>4590</v>
      </c>
      <c r="L1122" s="15" t="s">
        <v>4591</v>
      </c>
    </row>
    <row r="1123" spans="1:12" ht="123.75">
      <c r="A1123" s="8" t="s">
        <v>4592</v>
      </c>
      <c r="B1123" s="9" t="s">
        <v>12</v>
      </c>
      <c r="C1123" s="12" t="s">
        <v>151</v>
      </c>
      <c r="D1123" s="10" t="str">
        <f ca="1">IFERROR(__xludf.DUMMYFUNCTION(" VLOOKUP(A1120, IMPORTRANGE(""https://docs.google.com/spreadsheets/d/1fj_Bhi2XPL3siwIh4sx4VRLAe31yD50oKdj5UlRYW0c/"", ""Сводка!A:AA""), 11, FALSE)"),"978-601-352-887-8")</f>
        <v>978-601-352-887-8</v>
      </c>
      <c r="E1123" s="45" t="s">
        <v>4564</v>
      </c>
      <c r="F1123" s="11" t="s">
        <v>4593</v>
      </c>
      <c r="G1123" s="12">
        <f ca="1">IFERROR(__xludf.DUMMYFUNCTION(" VLOOKUP(A1120, IMPORTRANGE(""https://docs.google.com/spreadsheets/d/1fj_Bhi2XPL3siwIh4sx4VRLAe31yD50oKdj5UlRYW0c/"", ""Сводка!A:AA""), 5, FALSE)"),188)</f>
        <v>188</v>
      </c>
      <c r="H1123" s="12" t="s">
        <v>47</v>
      </c>
      <c r="I1123" s="10">
        <f ca="1">IFERROR(__xludf.DUMMYFUNCTION(" VLOOKUP(A1120, IMPORTRANGE(""https://docs.google.com/spreadsheets/d/1QNLbnkR_AongFt22vMfNzfpjZ0CjpI8QI-w0wBnYA1w/"", ""Инфа!A:AA""), 6, FALSE)"),2024)</f>
        <v>2024</v>
      </c>
      <c r="J1123" s="5">
        <f ca="1">ROUND((5000+G1123*60),-2)</f>
        <v>16300</v>
      </c>
      <c r="K1123" s="12" t="s">
        <v>4590</v>
      </c>
      <c r="L1123" s="15" t="s">
        <v>4594</v>
      </c>
    </row>
    <row r="1124" spans="1:12" ht="191.25">
      <c r="A1124" s="8" t="s">
        <v>4595</v>
      </c>
      <c r="B1124" s="9" t="s">
        <v>12</v>
      </c>
      <c r="C1124" s="12" t="s">
        <v>443</v>
      </c>
      <c r="D1124" s="10" t="str">
        <f ca="1">IFERROR(__xludf.DUMMYFUNCTION(" VLOOKUP(A1121, IMPORTRANGE(""https://docs.google.com/spreadsheets/d/1fj_Bhi2XPL3siwIh4sx4VRLAe31yD50oKdj5UlRYW0c/"", ""Сводка!A:AA""), 11, FALSE)"),"978-601-330-004-7")</f>
        <v>978-601-330-004-7</v>
      </c>
      <c r="E1124" s="11" t="s">
        <v>4596</v>
      </c>
      <c r="F1124" s="11" t="s">
        <v>4597</v>
      </c>
      <c r="G1124" s="12">
        <f ca="1">IFERROR(__xludf.DUMMYFUNCTION(" VLOOKUP(A1121, IMPORTRANGE(""https://docs.google.com/spreadsheets/d/1fj_Bhi2XPL3siwIh4sx4VRLAe31yD50oKdj5UlRYW0c/"", ""Сводка!A:AA""), 5, FALSE)"),148)</f>
        <v>148</v>
      </c>
      <c r="H1124" s="12" t="s">
        <v>3665</v>
      </c>
      <c r="I1124" s="10">
        <f ca="1">IFERROR(__xludf.DUMMYFUNCTION(" VLOOKUP(A1121, IMPORTRANGE(""https://docs.google.com/spreadsheets/d/1QNLbnkR_AongFt22vMfNzfpjZ0CjpI8QI-w0wBnYA1w/"", ""Инфа!A:AA""), 6, FALSE)"),2023)</f>
        <v>2023</v>
      </c>
      <c r="J1124" s="5">
        <f ca="1">ROUND((5000+G1124*60),-2)</f>
        <v>13900</v>
      </c>
      <c r="K1124" s="12" t="s">
        <v>4598</v>
      </c>
      <c r="L1124" s="15" t="s">
        <v>4599</v>
      </c>
    </row>
    <row r="1125" spans="1:12" ht="146.25">
      <c r="A1125" s="8" t="s">
        <v>4600</v>
      </c>
      <c r="B1125" s="9" t="s">
        <v>12</v>
      </c>
      <c r="C1125" s="12" t="s">
        <v>151</v>
      </c>
      <c r="D1125" s="10" t="str">
        <f ca="1">IFERROR(__xludf.DUMMYFUNCTION(" VLOOKUP(A1122, IMPORTRANGE(""https://docs.google.com/spreadsheets/d/1fj_Bhi2XPL3siwIh4sx4VRLAe31yD50oKdj5UlRYW0c/"", ""Сводка!A:AA""), 11, FALSE)"),"978-601-261-153-3")</f>
        <v>978-601-261-153-3</v>
      </c>
      <c r="E1125" s="11" t="s">
        <v>4601</v>
      </c>
      <c r="F1125" s="11" t="s">
        <v>4602</v>
      </c>
      <c r="G1125" s="12">
        <f ca="1">IFERROR(__xludf.DUMMYFUNCTION(" VLOOKUP(A1122, IMPORTRANGE(""https://docs.google.com/spreadsheets/d/1fj_Bhi2XPL3siwIh4sx4VRLAe31yD50oKdj5UlRYW0c/"", ""Сводка!A:AA""), 5, FALSE)"),220)</f>
        <v>220</v>
      </c>
      <c r="H1125" s="12" t="s">
        <v>47</v>
      </c>
      <c r="I1125" s="10">
        <f ca="1">IFERROR(__xludf.DUMMYFUNCTION(" VLOOKUP(A1122, IMPORTRANGE(""https://docs.google.com/spreadsheets/d/1QNLbnkR_AongFt22vMfNzfpjZ0CjpI8QI-w0wBnYA1w/"", ""Инфа!A:AA""), 6, FALSE)"),2024)</f>
        <v>2024</v>
      </c>
      <c r="J1125" s="5">
        <f ca="1">ROUND((5000+G1125*60),-2)</f>
        <v>18200</v>
      </c>
      <c r="K1125" s="12" t="s">
        <v>4603</v>
      </c>
      <c r="L1125" s="16" t="s">
        <v>4604</v>
      </c>
    </row>
    <row r="1126" spans="1:12" ht="38.25">
      <c r="A1126" s="8" t="s">
        <v>4605</v>
      </c>
      <c r="B1126" s="9" t="s">
        <v>12</v>
      </c>
      <c r="C1126" s="10" t="s">
        <v>151</v>
      </c>
      <c r="D1126" s="10" t="str">
        <f ca="1">IFERROR(__xludf.DUMMYFUNCTION(" VLOOKUP(A1123, IMPORTRANGE(""https://docs.google.com/spreadsheets/d/1fj_Bhi2XPL3siwIh4sx4VRLAe31yD50oKdj5UlRYW0c/"", ""Сводка!A:AA""), 11, FALSE)"),"978-601-327-005-0")</f>
        <v>978-601-327-005-0</v>
      </c>
      <c r="E1126" s="25" t="s">
        <v>4606</v>
      </c>
      <c r="F1126" s="25" t="s">
        <v>4607</v>
      </c>
      <c r="G1126" s="12">
        <f ca="1">IFERROR(__xludf.DUMMYFUNCTION(" VLOOKUP(A1123, IMPORTRANGE(""https://docs.google.com/spreadsheets/d/1fj_Bhi2XPL3siwIh4sx4VRLAe31yD50oKdj5UlRYW0c/"", ""Сводка!A:AA""), 5, FALSE)"),184)</f>
        <v>184</v>
      </c>
      <c r="H1126" s="26"/>
      <c r="I1126" s="10">
        <f ca="1">IFERROR(__xludf.DUMMYFUNCTION(" VLOOKUP(A1123, IMPORTRANGE(""https://docs.google.com/spreadsheets/d/1QNLbnkR_AongFt22vMfNzfpjZ0CjpI8QI-w0wBnYA1w/"", ""Инфа!A:AA""), 6, FALSE)"),2024)</f>
        <v>2024</v>
      </c>
      <c r="J1126" s="5">
        <f ca="1">ROUND((5000+G1126*30),-2)</f>
        <v>10500</v>
      </c>
      <c r="K1126" s="12" t="s">
        <v>277</v>
      </c>
      <c r="L1126" s="15"/>
    </row>
    <row r="1127" spans="1:12" ht="123.75">
      <c r="A1127" s="8" t="s">
        <v>4608</v>
      </c>
      <c r="B1127" s="9" t="s">
        <v>12</v>
      </c>
      <c r="C1127" s="12" t="s">
        <v>443</v>
      </c>
      <c r="D1127" s="10" t="str">
        <f ca="1">IFERROR(__xludf.DUMMYFUNCTION(" VLOOKUP(A1124, IMPORTRANGE(""https://docs.google.com/spreadsheets/d/1fj_Bhi2XPL3siwIh4sx4VRLAe31yD50oKdj5UlRYW0c/"", ""Сводка!A:AA""), 11, FALSE)"),"978-601-267-608-2")</f>
        <v>978-601-267-608-2</v>
      </c>
      <c r="E1127" s="11" t="s">
        <v>4609</v>
      </c>
      <c r="F1127" s="11" t="s">
        <v>4610</v>
      </c>
      <c r="G1127" s="12">
        <f ca="1">IFERROR(__xludf.DUMMYFUNCTION(" VLOOKUP(A1124, IMPORTRANGE(""https://docs.google.com/spreadsheets/d/1fj_Bhi2XPL3siwIh4sx4VRLAe31yD50oKdj5UlRYW0c/"", ""Сводка!A:AA""), 5, FALSE)"),340)</f>
        <v>340</v>
      </c>
      <c r="H1127" s="12" t="s">
        <v>538</v>
      </c>
      <c r="I1127" s="10">
        <f ca="1">IFERROR(__xludf.DUMMYFUNCTION(" VLOOKUP(A1124, IMPORTRANGE(""https://docs.google.com/spreadsheets/d/1QNLbnkR_AongFt22vMfNzfpjZ0CjpI8QI-w0wBnYA1w/"", ""Инфа!A:AA""), 6, FALSE)"),2023)</f>
        <v>2023</v>
      </c>
      <c r="J1127" s="5">
        <f ca="1">ROUND((5000+G1127*60),-2)</f>
        <v>25400</v>
      </c>
      <c r="K1127" s="12" t="s">
        <v>171</v>
      </c>
      <c r="L1127" s="15" t="s">
        <v>4611</v>
      </c>
    </row>
    <row r="1128" spans="1:12" ht="102">
      <c r="A1128" s="8" t="s">
        <v>4612</v>
      </c>
      <c r="B1128" s="9" t="s">
        <v>12</v>
      </c>
      <c r="C1128" s="12" t="s">
        <v>443</v>
      </c>
      <c r="D1128" s="10" t="str">
        <f ca="1">IFERROR(__xludf.DUMMYFUNCTION(" VLOOKUP(A1125, IMPORTRANGE(""https://docs.google.com/spreadsheets/d/1fj_Bhi2XPL3siwIh4sx4VRLAe31yD50oKdj5UlRYW0c/"", ""Сводка!A:AA""), 11, FALSE)"),"978-601-330-096-2")</f>
        <v>978-601-330-096-2</v>
      </c>
      <c r="E1128" s="11" t="s">
        <v>4613</v>
      </c>
      <c r="F1128" s="22" t="s">
        <v>4614</v>
      </c>
      <c r="G1128" s="12">
        <f ca="1">IFERROR(__xludf.DUMMYFUNCTION(" VLOOKUP(A1125, IMPORTRANGE(""https://docs.google.com/spreadsheets/d/1fj_Bhi2XPL3siwIh4sx4VRLAe31yD50oKdj5UlRYW0c/"", ""Сводка!A:AA""), 5, FALSE)"),208)</f>
        <v>208</v>
      </c>
      <c r="H1128" s="12" t="s">
        <v>777</v>
      </c>
      <c r="I1128" s="10">
        <f ca="1">IFERROR(__xludf.DUMMYFUNCTION(" VLOOKUP(A1125, IMPORTRANGE(""https://docs.google.com/spreadsheets/d/1QNLbnkR_AongFt22vMfNzfpjZ0CjpI8QI-w0wBnYA1w/"", ""Инфа!A:AA""), 6, FALSE)"),2024)</f>
        <v>2024</v>
      </c>
      <c r="J1128" s="5">
        <f ca="1">ROUND((5000+G1128*30),-2)</f>
        <v>11200</v>
      </c>
      <c r="K1128" s="12" t="s">
        <v>2568</v>
      </c>
      <c r="L1128" s="15" t="s">
        <v>4615</v>
      </c>
    </row>
    <row r="1129" spans="1:12" ht="56.25">
      <c r="A1129" s="8" t="s">
        <v>4616</v>
      </c>
      <c r="B1129" s="9" t="s">
        <v>2231</v>
      </c>
      <c r="C1129" s="12" t="s">
        <v>443</v>
      </c>
      <c r="D1129" s="10" t="str">
        <f ca="1">IFERROR(__xludf.DUMMYFUNCTION(" VLOOKUP(A1126, IMPORTRANGE(""https://docs.google.com/spreadsheets/d/1fj_Bhi2XPL3siwIh4sx4VRLAe31yD50oKdj5UlRYW0c/"", ""Сводка!A:AA""), 11, FALSE)"),"")</f>
        <v/>
      </c>
      <c r="E1129" s="45" t="s">
        <v>4617</v>
      </c>
      <c r="F1129" s="45" t="s">
        <v>4618</v>
      </c>
      <c r="G1129" s="12">
        <f ca="1">IFERROR(__xludf.DUMMYFUNCTION(" VLOOKUP(A1126, IMPORTRANGE(""https://docs.google.com/spreadsheets/d/1fj_Bhi2XPL3siwIh4sx4VRLAe31yD50oKdj5UlRYW0c/"", ""Сводка!A:AA""), 5, FALSE)"),72)</f>
        <v>72</v>
      </c>
      <c r="H1129" s="12" t="s">
        <v>777</v>
      </c>
      <c r="I1129" s="10">
        <f ca="1">IFERROR(__xludf.DUMMYFUNCTION(" VLOOKUP(A1126, IMPORTRANGE(""https://docs.google.com/spreadsheets/d/1QNLbnkR_AongFt22vMfNzfpjZ0CjpI8QI-w0wBnYA1w/"", ""Инфа!A:AA""), 6, FALSE)"),2024)</f>
        <v>2024</v>
      </c>
      <c r="J1129" s="5">
        <f ca="1">ROUND((5000+G1129*30),-2)</f>
        <v>7200</v>
      </c>
      <c r="K1129" s="12" t="s">
        <v>4619</v>
      </c>
      <c r="L1129" s="16" t="s">
        <v>4620</v>
      </c>
    </row>
    <row r="1130" spans="1:12" ht="112.5">
      <c r="A1130" s="8" t="s">
        <v>4621</v>
      </c>
      <c r="B1130" s="9" t="s">
        <v>2231</v>
      </c>
      <c r="C1130" s="12" t="s">
        <v>151</v>
      </c>
      <c r="D1130" s="10" t="s">
        <v>4622</v>
      </c>
      <c r="E1130" s="11" t="s">
        <v>4623</v>
      </c>
      <c r="F1130" s="11" t="s">
        <v>4624</v>
      </c>
      <c r="G1130" s="12">
        <f ca="1">IFERROR(__xludf.DUMMYFUNCTION(" VLOOKUP(A1127, IMPORTRANGE(""https://docs.google.com/spreadsheets/d/1fj_Bhi2XPL3siwIh4sx4VRLAe31yD50oKdj5UlRYW0c/"", ""Сводка!A:AA""), 5, FALSE)"),112)</f>
        <v>112</v>
      </c>
      <c r="H1130" s="12" t="s">
        <v>498</v>
      </c>
      <c r="I1130" s="10">
        <f ca="1">IFERROR(__xludf.DUMMYFUNCTION(" VLOOKUP(A1127, IMPORTRANGE(""https://docs.google.com/spreadsheets/d/1QNLbnkR_AongFt22vMfNzfpjZ0CjpI8QI-w0wBnYA1w/"", ""Инфа!A:AA""), 6, FALSE)"),2024)</f>
        <v>2024</v>
      </c>
      <c r="J1130" s="5">
        <f ca="1">ROUND(((5000+G1130*30)*1.3),-2)</f>
        <v>10900</v>
      </c>
      <c r="K1130" s="12"/>
      <c r="L1130" s="15" t="s">
        <v>4625</v>
      </c>
    </row>
    <row r="1131" spans="1:12" ht="225">
      <c r="A1131" s="8" t="s">
        <v>4626</v>
      </c>
      <c r="B1131" s="9" t="s">
        <v>2231</v>
      </c>
      <c r="C1131" s="12" t="s">
        <v>151</v>
      </c>
      <c r="D1131" s="10" t="s">
        <v>4627</v>
      </c>
      <c r="E1131" s="11" t="s">
        <v>4628</v>
      </c>
      <c r="F1131" s="11" t="s">
        <v>4629</v>
      </c>
      <c r="G1131" s="12">
        <f ca="1">IFERROR(__xludf.DUMMYFUNCTION(" VLOOKUP(A1128, IMPORTRANGE(""https://docs.google.com/spreadsheets/d/1fj_Bhi2XPL3siwIh4sx4VRLAe31yD50oKdj5UlRYW0c/"", ""Сводка!A:AA""), 5, FALSE)"),80)</f>
        <v>80</v>
      </c>
      <c r="H1131" s="12" t="s">
        <v>3419</v>
      </c>
      <c r="I1131" s="10">
        <f ca="1">IFERROR(__xludf.DUMMYFUNCTION(" VLOOKUP(A1128, IMPORTRANGE(""https://docs.google.com/spreadsheets/d/1QNLbnkR_AongFt22vMfNzfpjZ0CjpI8QI-w0wBnYA1w/"", ""Инфа!A:AA""), 6, FALSE)"),2024)</f>
        <v>2024</v>
      </c>
      <c r="J1131" s="5">
        <f ca="1">ROUND((5000+G1131*60),-2)</f>
        <v>9800</v>
      </c>
      <c r="K1131" s="12"/>
      <c r="L1131" s="15" t="s">
        <v>4630</v>
      </c>
    </row>
    <row r="1132" spans="1:12" ht="135">
      <c r="A1132" s="8" t="s">
        <v>4631</v>
      </c>
      <c r="B1132" s="9" t="s">
        <v>2231</v>
      </c>
      <c r="C1132" s="12" t="s">
        <v>151</v>
      </c>
      <c r="D1132" s="10" t="s">
        <v>4632</v>
      </c>
      <c r="E1132" s="11" t="s">
        <v>4633</v>
      </c>
      <c r="F1132" s="11" t="s">
        <v>4634</v>
      </c>
      <c r="G1132" s="12">
        <f ca="1">IFERROR(__xludf.DUMMYFUNCTION(" VLOOKUP(A1129, IMPORTRANGE(""https://docs.google.com/spreadsheets/d/1fj_Bhi2XPL3siwIh4sx4VRLAe31yD50oKdj5UlRYW0c/"", ""Сводка!A:AA""), 5, FALSE)"),220)</f>
        <v>220</v>
      </c>
      <c r="H1132" s="12" t="s">
        <v>498</v>
      </c>
      <c r="I1132" s="10">
        <f ca="1">IFERROR(__xludf.DUMMYFUNCTION(" VLOOKUP(A1129, IMPORTRANGE(""https://docs.google.com/spreadsheets/d/1QNLbnkR_AongFt22vMfNzfpjZ0CjpI8QI-w0wBnYA1w/"", ""Инфа!A:AA""), 6, FALSE)"),2024)</f>
        <v>2024</v>
      </c>
      <c r="J1132" s="5">
        <f ca="1">ROUND((5000+G1132*30),-2)</f>
        <v>11600</v>
      </c>
      <c r="K1132" s="12"/>
      <c r="L1132" s="15" t="s">
        <v>4635</v>
      </c>
    </row>
    <row r="1133" spans="1:12" ht="225">
      <c r="A1133" s="8" t="s">
        <v>4636</v>
      </c>
      <c r="B1133" s="9" t="s">
        <v>2231</v>
      </c>
      <c r="C1133" s="12" t="s">
        <v>443</v>
      </c>
      <c r="D1133" s="10" t="s">
        <v>4637</v>
      </c>
      <c r="E1133" s="11" t="s">
        <v>4638</v>
      </c>
      <c r="F1133" s="11" t="s">
        <v>4639</v>
      </c>
      <c r="G1133" s="12">
        <f ca="1">IFERROR(__xludf.DUMMYFUNCTION(" VLOOKUP(A1130, IMPORTRANGE(""https://docs.google.com/spreadsheets/d/1fj_Bhi2XPL3siwIh4sx4VRLAe31yD50oKdj5UlRYW0c/"", ""Сводка!A:AA""), 5, FALSE)"),332)</f>
        <v>332</v>
      </c>
      <c r="H1133" s="12" t="s">
        <v>511</v>
      </c>
      <c r="I1133" s="10">
        <f ca="1">IFERROR(__xludf.DUMMYFUNCTION(" VLOOKUP(A1130, IMPORTRANGE(""https://docs.google.com/spreadsheets/d/1QNLbnkR_AongFt22vMfNzfpjZ0CjpI8QI-w0wBnYA1w/"", ""Инфа!A:AA""), 6, FALSE)"),2023)</f>
        <v>2023</v>
      </c>
      <c r="J1133" s="5">
        <f ca="1">ROUND((5000+G1133*60),-2)</f>
        <v>24900</v>
      </c>
      <c r="K1133" s="12"/>
      <c r="L1133" s="15" t="s">
        <v>4640</v>
      </c>
    </row>
    <row r="1134" spans="1:12" ht="101.25">
      <c r="A1134" s="8" t="s">
        <v>4641</v>
      </c>
      <c r="B1134" s="9" t="s">
        <v>2231</v>
      </c>
      <c r="C1134" s="12" t="s">
        <v>151</v>
      </c>
      <c r="D1134" s="10" t="s">
        <v>4642</v>
      </c>
      <c r="E1134" s="11" t="s">
        <v>4643</v>
      </c>
      <c r="F1134" s="11" t="s">
        <v>4644</v>
      </c>
      <c r="G1134" s="12">
        <f ca="1">IFERROR(__xludf.DUMMYFUNCTION(" VLOOKUP(A1131, IMPORTRANGE(""https://docs.google.com/spreadsheets/d/1fj_Bhi2XPL3siwIh4sx4VRLAe31yD50oKdj5UlRYW0c/"", ""Сводка!A:AA""), 5, FALSE)"),244)</f>
        <v>244</v>
      </c>
      <c r="H1134" s="12" t="s">
        <v>282</v>
      </c>
      <c r="I1134" s="10">
        <f ca="1">IFERROR(__xludf.DUMMYFUNCTION(" VLOOKUP(A1131, IMPORTRANGE(""https://docs.google.com/spreadsheets/d/1QNLbnkR_AongFt22vMfNzfpjZ0CjpI8QI-w0wBnYA1w/"", ""Инфа!A:AA""), 6, FALSE)"),2023)</f>
        <v>2023</v>
      </c>
      <c r="J1134" s="5">
        <f t="shared" ref="J1134:J1139" ca="1" si="32">ROUND((5000+G1134*30),-2)</f>
        <v>12300</v>
      </c>
      <c r="K1134" s="12"/>
      <c r="L1134" s="15" t="s">
        <v>4645</v>
      </c>
    </row>
    <row r="1135" spans="1:12" ht="56.25">
      <c r="A1135" s="8" t="s">
        <v>4646</v>
      </c>
      <c r="B1135" s="9" t="s">
        <v>12</v>
      </c>
      <c r="C1135" s="12" t="s">
        <v>151</v>
      </c>
      <c r="D1135" s="10" t="str">
        <f ca="1">IFERROR(__xludf.DUMMYFUNCTION(" VLOOKUP(A1132, IMPORTRANGE(""https://docs.google.com/spreadsheets/d/1fj_Bhi2XPL3siwIh4sx4VRLAe31yD50oKdj5UlRYW0c/"", ""Сводка!A:AA""), 11, FALSE)"),"978-601-352-977-6")</f>
        <v>978-601-352-977-6</v>
      </c>
      <c r="E1135" s="11" t="s">
        <v>4647</v>
      </c>
      <c r="F1135" s="11" t="s">
        <v>4648</v>
      </c>
      <c r="G1135" s="12">
        <f ca="1">IFERROR(__xludf.DUMMYFUNCTION(" VLOOKUP(A1132, IMPORTRANGE(""https://docs.google.com/spreadsheets/d/1fj_Bhi2XPL3siwIh4sx4VRLAe31yD50oKdj5UlRYW0c/"", ""Сводка!A:AA""), 5, FALSE)"),196)</f>
        <v>196</v>
      </c>
      <c r="H1135" s="12" t="s">
        <v>4649</v>
      </c>
      <c r="I1135" s="10">
        <f ca="1">IFERROR(__xludf.DUMMYFUNCTION(" VLOOKUP(A1132, IMPORTRANGE(""https://docs.google.com/spreadsheets/d/1QNLbnkR_AongFt22vMfNzfpjZ0CjpI8QI-w0wBnYA1w/"", ""Инфа!A:AA""), 6, FALSE)"),2024)</f>
        <v>2024</v>
      </c>
      <c r="J1135" s="5">
        <f t="shared" ca="1" si="32"/>
        <v>10900</v>
      </c>
      <c r="K1135" s="12" t="s">
        <v>4650</v>
      </c>
      <c r="L1135" s="15" t="s">
        <v>4651</v>
      </c>
    </row>
    <row r="1136" spans="1:12" ht="157.5">
      <c r="A1136" s="8" t="s">
        <v>4652</v>
      </c>
      <c r="B1136" s="9" t="s">
        <v>12</v>
      </c>
      <c r="C1136" s="12" t="s">
        <v>151</v>
      </c>
      <c r="D1136" s="10" t="str">
        <f ca="1">IFERROR(__xludf.DUMMYFUNCTION(" VLOOKUP(A1133, IMPORTRANGE(""https://docs.google.com/spreadsheets/d/1fj_Bhi2XPL3siwIh4sx4VRLAe31yD50oKdj5UlRYW0c/"", ""Сводка!A:AA""), 11, FALSE)"),"978-601-7597-77-1")</f>
        <v>978-601-7597-77-1</v>
      </c>
      <c r="E1136" s="11" t="s">
        <v>4653</v>
      </c>
      <c r="F1136" s="11" t="s">
        <v>4654</v>
      </c>
      <c r="G1136" s="12">
        <f ca="1">IFERROR(__xludf.DUMMYFUNCTION(" VLOOKUP(A1133, IMPORTRANGE(""https://docs.google.com/spreadsheets/d/1fj_Bhi2XPL3siwIh4sx4VRLAe31yD50oKdj5UlRYW0c/"", ""Сводка!A:AA""), 5, FALSE)"),114)</f>
        <v>114</v>
      </c>
      <c r="H1136" s="12" t="s">
        <v>3699</v>
      </c>
      <c r="I1136" s="10">
        <f ca="1">IFERROR(__xludf.DUMMYFUNCTION(" VLOOKUP(A1133, IMPORTRANGE(""https://docs.google.com/spreadsheets/d/1QNLbnkR_AongFt22vMfNzfpjZ0CjpI8QI-w0wBnYA1w/"", ""Инфа!A:AA""), 6, FALSE)"),2024)</f>
        <v>2024</v>
      </c>
      <c r="J1136" s="5">
        <f t="shared" ca="1" si="32"/>
        <v>8400</v>
      </c>
      <c r="K1136" s="12" t="s">
        <v>257</v>
      </c>
      <c r="L1136" s="15" t="s">
        <v>4655</v>
      </c>
    </row>
    <row r="1137" spans="1:12" ht="90">
      <c r="A1137" s="8" t="s">
        <v>4656</v>
      </c>
      <c r="B1137" s="9" t="s">
        <v>12</v>
      </c>
      <c r="C1137" s="12" t="s">
        <v>443</v>
      </c>
      <c r="D1137" s="10" t="str">
        <f ca="1">IFERROR(__xludf.DUMMYFUNCTION(" VLOOKUP(A1134, IMPORTRANGE(""https://docs.google.com/spreadsheets/d/1fj_Bhi2XPL3siwIh4sx4VRLAe31yD50oKdj5UlRYW0c/"", ""Сводка!A:AA""), 11, FALSE)"),"978-601-356-002-1")</f>
        <v>978-601-356-002-1</v>
      </c>
      <c r="E1137" s="11" t="s">
        <v>4657</v>
      </c>
      <c r="F1137" s="11" t="s">
        <v>4658</v>
      </c>
      <c r="G1137" s="12">
        <f ca="1">IFERROR(__xludf.DUMMYFUNCTION(" VLOOKUP(A1134, IMPORTRANGE(""https://docs.google.com/spreadsheets/d/1fj_Bhi2XPL3siwIh4sx4VRLAe31yD50oKdj5UlRYW0c/"", ""Сводка!A:AA""), 5, FALSE)"),124)</f>
        <v>124</v>
      </c>
      <c r="H1137" s="12" t="s">
        <v>538</v>
      </c>
      <c r="I1137" s="10">
        <f ca="1">IFERROR(__xludf.DUMMYFUNCTION(" VLOOKUP(A1134, IMPORTRANGE(""https://docs.google.com/spreadsheets/d/1QNLbnkR_AongFt22vMfNzfpjZ0CjpI8QI-w0wBnYA1w/"", ""Инфа!A:AA""), 6, FALSE)"),2024)</f>
        <v>2024</v>
      </c>
      <c r="J1137" s="5">
        <f t="shared" ca="1" si="32"/>
        <v>8700</v>
      </c>
      <c r="K1137" s="12" t="s">
        <v>1603</v>
      </c>
      <c r="L1137" s="15" t="s">
        <v>4659</v>
      </c>
    </row>
    <row r="1138" spans="1:12" ht="67.5">
      <c r="A1138" s="8" t="s">
        <v>4660</v>
      </c>
      <c r="B1138" s="9" t="s">
        <v>12</v>
      </c>
      <c r="C1138" s="12" t="s">
        <v>443</v>
      </c>
      <c r="D1138" s="10" t="str">
        <f ca="1">IFERROR(__xludf.DUMMYFUNCTION(" VLOOKUP(A1135, IMPORTRANGE(""https://docs.google.com/spreadsheets/d/1fj_Bhi2XPL3siwIh4sx4VRLAe31yD50oKdj5UlRYW0c/"", ""Сводка!A:AA""), 11, FALSE)"),"978-601-356-003-8")</f>
        <v>978-601-356-003-8</v>
      </c>
      <c r="E1138" s="11" t="s">
        <v>4661</v>
      </c>
      <c r="F1138" s="11" t="s">
        <v>4662</v>
      </c>
      <c r="G1138" s="12">
        <f ca="1">IFERROR(__xludf.DUMMYFUNCTION(" VLOOKUP(A1135, IMPORTRANGE(""https://docs.google.com/spreadsheets/d/1fj_Bhi2XPL3siwIh4sx4VRLAe31yD50oKdj5UlRYW0c/"", ""Сводка!A:AA""), 5, FALSE)"),132)</f>
        <v>132</v>
      </c>
      <c r="H1138" s="12" t="s">
        <v>538</v>
      </c>
      <c r="I1138" s="10">
        <f ca="1">IFERROR(__xludf.DUMMYFUNCTION(" VLOOKUP(A1135, IMPORTRANGE(""https://docs.google.com/spreadsheets/d/1QNLbnkR_AongFt22vMfNzfpjZ0CjpI8QI-w0wBnYA1w/"", ""Инфа!A:AA""), 6, FALSE)"),2024)</f>
        <v>2024</v>
      </c>
      <c r="J1138" s="5">
        <f t="shared" ca="1" si="32"/>
        <v>9000</v>
      </c>
      <c r="K1138" s="12" t="s">
        <v>1603</v>
      </c>
      <c r="L1138" s="15" t="s">
        <v>4663</v>
      </c>
    </row>
    <row r="1139" spans="1:12" ht="51">
      <c r="A1139" s="8" t="s">
        <v>4664</v>
      </c>
      <c r="B1139" s="9" t="s">
        <v>12</v>
      </c>
      <c r="C1139" s="10" t="s">
        <v>151</v>
      </c>
      <c r="D1139" s="10" t="str">
        <f ca="1">IFERROR(__xludf.DUMMYFUNCTION(" VLOOKUP(A1136, IMPORTRANGE(""https://docs.google.com/spreadsheets/d/1fj_Bhi2XPL3siwIh4sx4VRLAe31yD50oKdj5UlRYW0c/"", ""Сводка!A:AA""), 11, FALSE)"),"978-601-310-702-8")</f>
        <v>978-601-310-702-8</v>
      </c>
      <c r="E1139" s="11" t="s">
        <v>4665</v>
      </c>
      <c r="F1139" s="11" t="s">
        <v>4666</v>
      </c>
      <c r="G1139" s="12">
        <f ca="1">IFERROR(__xludf.DUMMYFUNCTION(" VLOOKUP(A1136, IMPORTRANGE(""https://docs.google.com/spreadsheets/d/1fj_Bhi2XPL3siwIh4sx4VRLAe31yD50oKdj5UlRYW0c/"", ""Сводка!A:AA""), 5, FALSE)"),192)</f>
        <v>192</v>
      </c>
      <c r="H1139" s="12" t="s">
        <v>47</v>
      </c>
      <c r="I1139" s="10">
        <f ca="1">IFERROR(__xludf.DUMMYFUNCTION(" VLOOKUP(A1136, IMPORTRANGE(""https://docs.google.com/spreadsheets/d/1QNLbnkR_AongFt22vMfNzfpjZ0CjpI8QI-w0wBnYA1w/"", ""Инфа!A:AA""), 6, FALSE)"),2024)</f>
        <v>2024</v>
      </c>
      <c r="J1139" s="5">
        <f t="shared" ca="1" si="32"/>
        <v>10800</v>
      </c>
      <c r="K1139" s="12" t="s">
        <v>277</v>
      </c>
      <c r="L1139" s="15" t="s">
        <v>4667</v>
      </c>
    </row>
    <row r="1140" spans="1:12" ht="168.75">
      <c r="A1140" s="8" t="s">
        <v>4668</v>
      </c>
      <c r="B1140" s="9" t="s">
        <v>12</v>
      </c>
      <c r="C1140" s="10" t="s">
        <v>443</v>
      </c>
      <c r="D1140" s="10" t="str">
        <f ca="1">IFERROR(__xludf.DUMMYFUNCTION(" VLOOKUP(A1137, IMPORTRANGE(""https://docs.google.com/spreadsheets/d/1fj_Bhi2XPL3siwIh4sx4VRLAe31yD50oKdj5UlRYW0c/"", ""Сводка!A:AA""), 11, FALSE)"),"978-601-330-093-1")</f>
        <v>978-601-330-093-1</v>
      </c>
      <c r="E1140" s="46" t="s">
        <v>4669</v>
      </c>
      <c r="F1140" s="46" t="s">
        <v>4670</v>
      </c>
      <c r="G1140" s="12">
        <f ca="1">IFERROR(__xludf.DUMMYFUNCTION(" VLOOKUP(A1137, IMPORTRANGE(""https://docs.google.com/spreadsheets/d/1fj_Bhi2XPL3siwIh4sx4VRLAe31yD50oKdj5UlRYW0c/"", ""Сводка!A:AA""), 5, FALSE)"),308)</f>
        <v>308</v>
      </c>
      <c r="H1140" s="10" t="s">
        <v>538</v>
      </c>
      <c r="I1140" s="10">
        <f ca="1">IFERROR(__xludf.DUMMYFUNCTION(" VLOOKUP(A1137, IMPORTRANGE(""https://docs.google.com/spreadsheets/d/1QNLbnkR_AongFt22vMfNzfpjZ0CjpI8QI-w0wBnYA1w/"", ""Инфа!A:AA""), 6, FALSE)"),2023)</f>
        <v>2023</v>
      </c>
      <c r="J1140" s="5">
        <f ca="1">ROUND((5000+G1140*60),-2)</f>
        <v>23500</v>
      </c>
      <c r="K1140" s="10" t="s">
        <v>48</v>
      </c>
      <c r="L1140" s="23" t="s">
        <v>4671</v>
      </c>
    </row>
    <row r="1141" spans="1:12" ht="236.25">
      <c r="A1141" s="8" t="s">
        <v>4672</v>
      </c>
      <c r="B1141" s="9" t="s">
        <v>12</v>
      </c>
      <c r="C1141" s="10" t="s">
        <v>151</v>
      </c>
      <c r="D1141" s="10" t="str">
        <f ca="1">IFERROR(__xludf.DUMMYFUNCTION(" VLOOKUP(A1138, IMPORTRANGE(""https://docs.google.com/spreadsheets/d/1fj_Bhi2XPL3siwIh4sx4VRLAe31yD50oKdj5UlRYW0c/"", ""Сводка!A:AA""), 11, FALSE)"),"")</f>
        <v/>
      </c>
      <c r="E1141" s="46" t="s">
        <v>4673</v>
      </c>
      <c r="F1141" s="46" t="s">
        <v>4674</v>
      </c>
      <c r="G1141" s="12">
        <f ca="1">IFERROR(__xludf.DUMMYFUNCTION(" VLOOKUP(A1138, IMPORTRANGE(""https://docs.google.com/spreadsheets/d/1fj_Bhi2XPL3siwIh4sx4VRLAe31yD50oKdj5UlRYW0c/"", ""Сводка!A:AA""), 5, FALSE)"),300)</f>
        <v>300</v>
      </c>
      <c r="H1141" s="10" t="s">
        <v>47</v>
      </c>
      <c r="I1141" s="10">
        <f ca="1">IFERROR(__xludf.DUMMYFUNCTION(" VLOOKUP(A1138, IMPORTRANGE(""https://docs.google.com/spreadsheets/d/1QNLbnkR_AongFt22vMfNzfpjZ0CjpI8QI-w0wBnYA1w/"", ""Инфа!A:AA""), 6, FALSE)"),2024)</f>
        <v>2024</v>
      </c>
      <c r="J1141" s="5">
        <f ca="1">ROUND((5000+G1141*30),-2)</f>
        <v>14000</v>
      </c>
      <c r="K1141" s="10" t="s">
        <v>3961</v>
      </c>
      <c r="L1141" s="23" t="s">
        <v>4675</v>
      </c>
    </row>
    <row r="1142" spans="1:12" ht="247.5">
      <c r="A1142" s="8" t="s">
        <v>4676</v>
      </c>
      <c r="B1142" s="9" t="s">
        <v>12</v>
      </c>
      <c r="C1142" s="10" t="s">
        <v>443</v>
      </c>
      <c r="D1142" s="10" t="str">
        <f ca="1">IFERROR(__xludf.DUMMYFUNCTION(" VLOOKUP(A1139, IMPORTRANGE(""https://docs.google.com/spreadsheets/d/1fj_Bhi2XPL3siwIh4sx4VRLAe31yD50oKdj5UlRYW0c/"", ""Сводка!A:AA""), 11, FALSE)"),"978-601-330-083-2")</f>
        <v>978-601-330-083-2</v>
      </c>
      <c r="E1142" s="46" t="s">
        <v>4673</v>
      </c>
      <c r="F1142" s="46" t="s">
        <v>4677</v>
      </c>
      <c r="G1142" s="12">
        <f ca="1">IFERROR(__xludf.DUMMYFUNCTION(" VLOOKUP(A1139, IMPORTRANGE(""https://docs.google.com/spreadsheets/d/1fj_Bhi2XPL3siwIh4sx4VRLAe31yD50oKdj5UlRYW0c/"", ""Сводка!A:AA""), 5, FALSE)"),176)</f>
        <v>176</v>
      </c>
      <c r="H1142" s="10" t="s">
        <v>538</v>
      </c>
      <c r="I1142" s="10">
        <f ca="1">IFERROR(__xludf.DUMMYFUNCTION(" VLOOKUP(A1139, IMPORTRANGE(""https://docs.google.com/spreadsheets/d/1QNLbnkR_AongFt22vMfNzfpjZ0CjpI8QI-w0wBnYA1w/"", ""Инфа!A:AA""), 6, FALSE)"),2023)</f>
        <v>2023</v>
      </c>
      <c r="J1142" s="5">
        <f ca="1">ROUND((5000+G1142*30),-2)</f>
        <v>10300</v>
      </c>
      <c r="K1142" s="10" t="s">
        <v>3961</v>
      </c>
      <c r="L1142" s="23" t="s">
        <v>4678</v>
      </c>
    </row>
    <row r="1143" spans="1:12" ht="168.75">
      <c r="A1143" s="8" t="s">
        <v>4679</v>
      </c>
      <c r="B1143" s="9" t="s">
        <v>12</v>
      </c>
      <c r="C1143" s="10" t="s">
        <v>151</v>
      </c>
      <c r="D1143" s="10" t="str">
        <f ca="1">IFERROR(__xludf.DUMMYFUNCTION(" VLOOKUP(A1140, IMPORTRANGE(""https://docs.google.com/spreadsheets/d/1fj_Bhi2XPL3siwIh4sx4VRLAe31yD50oKdj5UlRYW0c/"", ""Сводка!A:AA""), 11, FALSE)"),"978-601-330-191-4")</f>
        <v>978-601-330-191-4</v>
      </c>
      <c r="E1143" s="46" t="s">
        <v>4560</v>
      </c>
      <c r="F1143" s="46" t="s">
        <v>4680</v>
      </c>
      <c r="G1143" s="12">
        <f ca="1">IFERROR(__xludf.DUMMYFUNCTION(" VLOOKUP(A1140, IMPORTRANGE(""https://docs.google.com/spreadsheets/d/1fj_Bhi2XPL3siwIh4sx4VRLAe31yD50oKdj5UlRYW0c/"", ""Сводка!A:AA""), 5, FALSE)"),316)</f>
        <v>316</v>
      </c>
      <c r="H1143" s="10" t="s">
        <v>47</v>
      </c>
      <c r="I1143" s="10">
        <f ca="1">IFERROR(__xludf.DUMMYFUNCTION(" VLOOKUP(A1140, IMPORTRANGE(""https://docs.google.com/spreadsheets/d/1QNLbnkR_AongFt22vMfNzfpjZ0CjpI8QI-w0wBnYA1w/"", ""Инфа!A:AA""), 6, FALSE)"),2023)</f>
        <v>2023</v>
      </c>
      <c r="J1143" s="5">
        <f ca="1">ROUND((5000+G1143*30),-2)</f>
        <v>14500</v>
      </c>
      <c r="K1143" s="10" t="s">
        <v>48</v>
      </c>
      <c r="L1143" s="23" t="s">
        <v>4681</v>
      </c>
    </row>
    <row r="1144" spans="1:12" ht="112.5">
      <c r="A1144" s="8" t="s">
        <v>4682</v>
      </c>
      <c r="B1144" s="9" t="s">
        <v>2231</v>
      </c>
      <c r="C1144" s="10" t="s">
        <v>151</v>
      </c>
      <c r="D1144" s="10" t="str">
        <f ca="1">IFERROR(__xludf.DUMMYFUNCTION(" VLOOKUP(A1141, IMPORTRANGE(""https://docs.google.com/spreadsheets/d/1fj_Bhi2XPL3siwIh4sx4VRLAe31yD50oKdj5UlRYW0c/"", ""Сводка!A:AA""), 11, FALSE)"),"978-601-330-233-1")</f>
        <v>978-601-330-233-1</v>
      </c>
      <c r="E1144" s="46" t="s">
        <v>4564</v>
      </c>
      <c r="F1144" s="46" t="s">
        <v>4683</v>
      </c>
      <c r="G1144" s="12">
        <f ca="1">IFERROR(__xludf.DUMMYFUNCTION(" VLOOKUP(A1141, IMPORTRANGE(""https://docs.google.com/spreadsheets/d/1fj_Bhi2XPL3siwIh4sx4VRLAe31yD50oKdj5UlRYW0c/"", ""Сводка!A:AA""), 5, FALSE)"),268)</f>
        <v>268</v>
      </c>
      <c r="H1144" s="10" t="s">
        <v>47</v>
      </c>
      <c r="I1144" s="10">
        <f ca="1">IFERROR(__xludf.DUMMYFUNCTION(" VLOOKUP(A1141, IMPORTRANGE(""https://docs.google.com/spreadsheets/d/1QNLbnkR_AongFt22vMfNzfpjZ0CjpI8QI-w0wBnYA1w/"", ""Инфа!A:AA""), 6, FALSE)"),2023)</f>
        <v>2023</v>
      </c>
      <c r="J1144" s="5">
        <f ca="1">ROUND((5000+G1144*60),-2)</f>
        <v>21100</v>
      </c>
      <c r="K1144" s="10" t="s">
        <v>48</v>
      </c>
      <c r="L1144" s="23" t="s">
        <v>4684</v>
      </c>
    </row>
    <row r="1145" spans="1:12" ht="114.75">
      <c r="A1145" s="8" t="s">
        <v>4685</v>
      </c>
      <c r="B1145" s="9" t="s">
        <v>12</v>
      </c>
      <c r="C1145" s="12" t="s">
        <v>151</v>
      </c>
      <c r="D1145" s="10" t="str">
        <f ca="1">IFERROR(__xludf.DUMMYFUNCTION(" VLOOKUP(A1142, IMPORTRANGE(""https://docs.google.com/spreadsheets/d/1fj_Bhi2XPL3siwIh4sx4VRLAe31yD50oKdj5UlRYW0c/"", ""Сводка!A:AA""), 11, FALSE)"),"978-601-352-952-3")</f>
        <v>978-601-352-952-3</v>
      </c>
      <c r="E1145" s="45" t="s">
        <v>4686</v>
      </c>
      <c r="F1145" s="11" t="s">
        <v>4687</v>
      </c>
      <c r="G1145" s="12">
        <f ca="1">IFERROR(__xludf.DUMMYFUNCTION(" VLOOKUP(A1142, IMPORTRANGE(""https://docs.google.com/spreadsheets/d/1fj_Bhi2XPL3siwIh4sx4VRLAe31yD50oKdj5UlRYW0c/"", ""Сводка!A:AA""), 5, FALSE)"),152)</f>
        <v>152</v>
      </c>
      <c r="H1145" s="12" t="s">
        <v>47</v>
      </c>
      <c r="I1145" s="10">
        <f ca="1">IFERROR(__xludf.DUMMYFUNCTION(" VLOOKUP(A1142, IMPORTRANGE(""https://docs.google.com/spreadsheets/d/1QNLbnkR_AongFt22vMfNzfpjZ0CjpI8QI-w0wBnYA1w/"", ""Инфа!A:AA""), 6, FALSE)"),2024)</f>
        <v>2024</v>
      </c>
      <c r="J1145" s="5">
        <f ca="1">ROUND((5000+G1145*60),-2)</f>
        <v>14100</v>
      </c>
      <c r="K1145" s="10" t="s">
        <v>3961</v>
      </c>
      <c r="L1145" s="15" t="s">
        <v>4615</v>
      </c>
    </row>
    <row r="1146" spans="1:12" ht="202.5">
      <c r="A1146" s="8" t="s">
        <v>4688</v>
      </c>
      <c r="B1146" s="9" t="s">
        <v>12</v>
      </c>
      <c r="C1146" s="10" t="s">
        <v>13</v>
      </c>
      <c r="D1146" s="10" t="str">
        <f ca="1">IFERROR(__xludf.DUMMYFUNCTION(" VLOOKUP(A1143, IMPORTRANGE(""https://docs.google.com/spreadsheets/d/1fj_Bhi2XPL3siwIh4sx4VRLAe31yD50oKdj5UlRYW0c/"", ""Сводка!A:AA""), 11, FALSE)"),"978-601-330-126-6")</f>
        <v>978-601-330-126-6</v>
      </c>
      <c r="E1146" s="46" t="s">
        <v>4689</v>
      </c>
      <c r="F1146" s="46" t="s">
        <v>4690</v>
      </c>
      <c r="G1146" s="12">
        <f ca="1">IFERROR(__xludf.DUMMYFUNCTION(" VLOOKUP(A1143, IMPORTRANGE(""https://docs.google.com/spreadsheets/d/1fj_Bhi2XPL3siwIh4sx4VRLAe31yD50oKdj5UlRYW0c/"", ""Сводка!A:AA""), 5, FALSE)"),162)</f>
        <v>162</v>
      </c>
      <c r="H1146" s="10" t="s">
        <v>373</v>
      </c>
      <c r="I1146" s="10">
        <f ca="1">IFERROR(__xludf.DUMMYFUNCTION(" VLOOKUP(A1143, IMPORTRANGE(""https://docs.google.com/spreadsheets/d/1QNLbnkR_AongFt22vMfNzfpjZ0CjpI8QI-w0wBnYA1w/"", ""Инфа!A:AA""), 6, FALSE)"),2024)</f>
        <v>2024</v>
      </c>
      <c r="J1146" s="5">
        <f ca="1">ROUND((5000+G1146*30),-2)</f>
        <v>9900</v>
      </c>
      <c r="K1146" s="10" t="s">
        <v>4691</v>
      </c>
      <c r="L1146" s="23" t="s">
        <v>4692</v>
      </c>
    </row>
    <row r="1147" spans="1:12" ht="135">
      <c r="A1147" s="8" t="s">
        <v>4693</v>
      </c>
      <c r="B1147" s="9" t="s">
        <v>12</v>
      </c>
      <c r="C1147" s="12" t="s">
        <v>443</v>
      </c>
      <c r="D1147" s="10" t="str">
        <f ca="1">IFERROR(__xludf.DUMMYFUNCTION(" VLOOKUP(A1144, IMPORTRANGE(""https://docs.google.com/spreadsheets/d/1fj_Bhi2XPL3siwIh4sx4VRLAe31yD50oKdj5UlRYW0c/"", ""Сводка!A:AA""), 11, FALSE)"),"978-601-330-089-5")</f>
        <v>978-601-330-089-5</v>
      </c>
      <c r="E1147" s="11" t="s">
        <v>4694</v>
      </c>
      <c r="F1147" s="11" t="s">
        <v>4695</v>
      </c>
      <c r="G1147" s="12">
        <f ca="1">IFERROR(__xludf.DUMMYFUNCTION(" VLOOKUP(A1144, IMPORTRANGE(""https://docs.google.com/spreadsheets/d/1fj_Bhi2XPL3siwIh4sx4VRLAe31yD50oKdj5UlRYW0c/"", ""Сводка!A:AA""), 5, FALSE)"),144)</f>
        <v>144</v>
      </c>
      <c r="H1147" s="12" t="s">
        <v>1271</v>
      </c>
      <c r="I1147" s="10">
        <f ca="1">IFERROR(__xludf.DUMMYFUNCTION(" VLOOKUP(A1144, IMPORTRANGE(""https://docs.google.com/spreadsheets/d/1QNLbnkR_AongFt22vMfNzfpjZ0CjpI8QI-w0wBnYA1w/"", ""Инфа!A:AA""), 6, FALSE)"),2024)</f>
        <v>2024</v>
      </c>
      <c r="J1147" s="5">
        <f ca="1">ROUND((5000+G1147*60),-2)</f>
        <v>13600</v>
      </c>
      <c r="K1147" s="12" t="s">
        <v>4314</v>
      </c>
      <c r="L1147" s="15" t="s">
        <v>4696</v>
      </c>
    </row>
    <row r="1148" spans="1:12" ht="90">
      <c r="A1148" s="8" t="s">
        <v>4697</v>
      </c>
      <c r="B1148" s="9" t="s">
        <v>12</v>
      </c>
      <c r="C1148" s="12" t="s">
        <v>443</v>
      </c>
      <c r="D1148" s="10" t="str">
        <f ca="1">IFERROR(__xludf.DUMMYFUNCTION(" VLOOKUP(A1145, IMPORTRANGE(""https://docs.google.com/spreadsheets/d/1fj_Bhi2XPL3siwIh4sx4VRLAe31yD50oKdj5UlRYW0c/"", ""Сводка!A:AA""), 11, FALSE)"),"978-601-330-082-5")</f>
        <v>978-601-330-082-5</v>
      </c>
      <c r="E1148" s="45" t="s">
        <v>1460</v>
      </c>
      <c r="F1148" s="11" t="s">
        <v>4698</v>
      </c>
      <c r="G1148" s="12">
        <f ca="1">IFERROR(__xludf.DUMMYFUNCTION(" VLOOKUP(A1145, IMPORTRANGE(""https://docs.google.com/spreadsheets/d/1fj_Bhi2XPL3siwIh4sx4VRLAe31yD50oKdj5UlRYW0c/"", ""Сводка!A:AA""), 5, FALSE)"),152)</f>
        <v>152</v>
      </c>
      <c r="H1148" s="12" t="s">
        <v>1271</v>
      </c>
      <c r="I1148" s="10">
        <f ca="1">IFERROR(__xludf.DUMMYFUNCTION(" VLOOKUP(A1145, IMPORTRANGE(""https://docs.google.com/spreadsheets/d/1QNLbnkR_AongFt22vMfNzfpjZ0CjpI8QI-w0wBnYA1w/"", ""Инфа!A:AA""), 6, FALSE)"),2023)</f>
        <v>2023</v>
      </c>
      <c r="J1148" s="5">
        <f ca="1">ROUND((5000+G1148*60),-2)</f>
        <v>14100</v>
      </c>
      <c r="K1148" s="12" t="s">
        <v>4314</v>
      </c>
      <c r="L1148" s="15" t="s">
        <v>4699</v>
      </c>
    </row>
    <row r="1149" spans="1:12" ht="101.25">
      <c r="A1149" s="8" t="s">
        <v>4700</v>
      </c>
      <c r="B1149" s="9" t="s">
        <v>12</v>
      </c>
      <c r="C1149" s="12" t="s">
        <v>151</v>
      </c>
      <c r="D1149" s="10" t="str">
        <f ca="1">IFERROR(__xludf.DUMMYFUNCTION(" VLOOKUP(A1146, IMPORTRANGE(""https://docs.google.com/spreadsheets/d/1fj_Bhi2XPL3siwIh4sx4VRLAe31yD50oKdj5UlRYW0c/"", ""Сводка!A:AA""), 11, FALSE)"),"978-601-330-227-0")</f>
        <v>978-601-330-227-0</v>
      </c>
      <c r="E1149" s="45" t="s">
        <v>1460</v>
      </c>
      <c r="F1149" s="11" t="s">
        <v>4701</v>
      </c>
      <c r="G1149" s="12">
        <f ca="1">IFERROR(__xludf.DUMMYFUNCTION(" VLOOKUP(A1146, IMPORTRANGE(""https://docs.google.com/spreadsheets/d/1fj_Bhi2XPL3siwIh4sx4VRLAe31yD50oKdj5UlRYW0c/"", ""Сводка!A:AA""), 5, FALSE)"),156)</f>
        <v>156</v>
      </c>
      <c r="H1149" s="12" t="s">
        <v>282</v>
      </c>
      <c r="I1149" s="10">
        <f ca="1">IFERROR(__xludf.DUMMYFUNCTION(" VLOOKUP(A1146, IMPORTRANGE(""https://docs.google.com/spreadsheets/d/1QNLbnkR_AongFt22vMfNzfpjZ0CjpI8QI-w0wBnYA1w/"", ""Инфа!A:AA""), 6, FALSE)"),2023)</f>
        <v>2023</v>
      </c>
      <c r="J1149" s="5">
        <f ca="1">ROUND((5000+G1149*30),-2)</f>
        <v>9700</v>
      </c>
      <c r="K1149" s="12" t="s">
        <v>4314</v>
      </c>
      <c r="L1149" s="15" t="s">
        <v>4702</v>
      </c>
    </row>
    <row r="1150" spans="1:12" ht="270">
      <c r="A1150" s="8" t="s">
        <v>4703</v>
      </c>
      <c r="B1150" s="9" t="s">
        <v>12</v>
      </c>
      <c r="C1150" s="12" t="s">
        <v>21</v>
      </c>
      <c r="D1150" s="10" t="str">
        <f ca="1">IFERROR(__xludf.DUMMYFUNCTION(" VLOOKUP(A1147, IMPORTRANGE(""https://docs.google.com/spreadsheets/d/1fj_Bhi2XPL3siwIh4sx4VRLAe31yD50oKdj5UlRYW0c/"", ""Сводка!A:AA""), 11, FALSE)"),"978-601-352-812-0")</f>
        <v>978-601-352-812-0</v>
      </c>
      <c r="E1150" s="11" t="s">
        <v>4704</v>
      </c>
      <c r="F1150" s="11" t="s">
        <v>4705</v>
      </c>
      <c r="G1150" s="12">
        <f ca="1">IFERROR(__xludf.DUMMYFUNCTION(" VLOOKUP(A1147, IMPORTRANGE(""https://docs.google.com/spreadsheets/d/1fj_Bhi2XPL3siwIh4sx4VRLAe31yD50oKdj5UlRYW0c/"", ""Сводка!A:AA""), 5, FALSE)"),260)</f>
        <v>260</v>
      </c>
      <c r="H1150" s="12" t="s">
        <v>42</v>
      </c>
      <c r="I1150" s="10">
        <f ca="1">IFERROR(__xludf.DUMMYFUNCTION(" VLOOKUP(A1147, IMPORTRANGE(""https://docs.google.com/spreadsheets/d/1QNLbnkR_AongFt22vMfNzfpjZ0CjpI8QI-w0wBnYA1w/"", ""Инфа!A:AA""), 6, FALSE)"),2024)</f>
        <v>2024</v>
      </c>
      <c r="J1150" s="5">
        <f ca="1">ROUND((5000+G1150*60),-2)</f>
        <v>20600</v>
      </c>
      <c r="K1150" s="12" t="s">
        <v>4706</v>
      </c>
      <c r="L1150" s="15" t="s">
        <v>4707</v>
      </c>
    </row>
    <row r="1151" spans="1:12" ht="315">
      <c r="A1151" s="8" t="s">
        <v>4708</v>
      </c>
      <c r="B1151" s="9" t="s">
        <v>12</v>
      </c>
      <c r="C1151" s="12" t="s">
        <v>443</v>
      </c>
      <c r="D1151" s="10" t="str">
        <f ca="1">IFERROR(__xludf.DUMMYFUNCTION(" VLOOKUP(A1148, IMPORTRANGE(""https://docs.google.com/spreadsheets/d/1fj_Bhi2XPL3siwIh4sx4VRLAe31yD50oKdj5UlRYW0c/"", ""Сводка!A:AA""), 11, FALSE)"),"978-601--08-2223--8")</f>
        <v>978-601--08-2223--8</v>
      </c>
      <c r="E1151" s="11" t="s">
        <v>4709</v>
      </c>
      <c r="F1151" s="11" t="s">
        <v>4710</v>
      </c>
      <c r="G1151" s="12">
        <f ca="1">IFERROR(__xludf.DUMMYFUNCTION(" VLOOKUP(A1148, IMPORTRANGE(""https://docs.google.com/spreadsheets/d/1fj_Bhi2XPL3siwIh4sx4VRLAe31yD50oKdj5UlRYW0c/"", ""Сводка!A:AA""), 5, FALSE)"),244)</f>
        <v>244</v>
      </c>
      <c r="H1151" s="12" t="s">
        <v>511</v>
      </c>
      <c r="I1151" s="10">
        <f ca="1">IFERROR(__xludf.DUMMYFUNCTION(" VLOOKUP(A1148, IMPORTRANGE(""https://docs.google.com/spreadsheets/d/1QNLbnkR_AongFt22vMfNzfpjZ0CjpI8QI-w0wBnYA1w/"", ""Инфа!A:AA""), 6, FALSE)"),2024)</f>
        <v>2024</v>
      </c>
      <c r="J1151" s="5">
        <f t="shared" ref="J1151:J1157" ca="1" si="33">ROUND((5000+G1151*30),-2)</f>
        <v>12300</v>
      </c>
      <c r="K1151" s="12" t="s">
        <v>4711</v>
      </c>
      <c r="L1151" s="15" t="s">
        <v>4712</v>
      </c>
    </row>
    <row r="1152" spans="1:12" ht="315">
      <c r="A1152" s="8" t="s">
        <v>4713</v>
      </c>
      <c r="B1152" s="9" t="s">
        <v>12</v>
      </c>
      <c r="C1152" s="12" t="s">
        <v>443</v>
      </c>
      <c r="D1152" s="10" t="s">
        <v>4714</v>
      </c>
      <c r="E1152" s="11" t="s">
        <v>4709</v>
      </c>
      <c r="F1152" s="11" t="s">
        <v>4715</v>
      </c>
      <c r="G1152" s="12">
        <f ca="1">IFERROR(__xludf.DUMMYFUNCTION(" VLOOKUP(A1149, IMPORTRANGE(""https://docs.google.com/spreadsheets/d/1fj_Bhi2XPL3siwIh4sx4VRLAe31yD50oKdj5UlRYW0c/"", ""Сводка!A:AA""), 5, FALSE)"),192)</f>
        <v>192</v>
      </c>
      <c r="H1152" s="12" t="s">
        <v>511</v>
      </c>
      <c r="I1152" s="10">
        <f ca="1">IFERROR(__xludf.DUMMYFUNCTION(" VLOOKUP(A1149, IMPORTRANGE(""https://docs.google.com/spreadsheets/d/1QNLbnkR_AongFt22vMfNzfpjZ0CjpI8QI-w0wBnYA1w/"", ""Инфа!A:AA""), 6, FALSE)"),2024)</f>
        <v>2024</v>
      </c>
      <c r="J1152" s="5">
        <f t="shared" ca="1" si="33"/>
        <v>10800</v>
      </c>
      <c r="K1152" s="12" t="s">
        <v>4711</v>
      </c>
      <c r="L1152" s="15" t="s">
        <v>4712</v>
      </c>
    </row>
    <row r="1153" spans="1:12" ht="303.75">
      <c r="A1153" s="8" t="s">
        <v>4716</v>
      </c>
      <c r="B1153" s="9" t="s">
        <v>12</v>
      </c>
      <c r="C1153" s="12" t="s">
        <v>151</v>
      </c>
      <c r="D1153" s="10" t="str">
        <f ca="1">IFERROR(__xludf.DUMMYFUNCTION(" VLOOKUP(A1150, IMPORTRANGE(""https://docs.google.com/spreadsheets/d/1fj_Bhi2XPL3siwIh4sx4VRLAe31yD50oKdj5UlRYW0c/"", ""Сводка!A:AA""), 11, FALSE)"),"978-601-352-825-0")</f>
        <v>978-601-352-825-0</v>
      </c>
      <c r="E1153" s="11" t="s">
        <v>4717</v>
      </c>
      <c r="F1153" s="11" t="s">
        <v>4718</v>
      </c>
      <c r="G1153" s="12">
        <f ca="1">IFERROR(__xludf.DUMMYFUNCTION(" VLOOKUP(A1150, IMPORTRANGE(""https://docs.google.com/spreadsheets/d/1fj_Bhi2XPL3siwIh4sx4VRLAe31yD50oKdj5UlRYW0c/"", ""Сводка!A:AA""), 5, FALSE)"),124)</f>
        <v>124</v>
      </c>
      <c r="H1153" s="12" t="s">
        <v>106</v>
      </c>
      <c r="I1153" s="10">
        <f ca="1">IFERROR(__xludf.DUMMYFUNCTION(" VLOOKUP(A1150, IMPORTRANGE(""https://docs.google.com/spreadsheets/d/1QNLbnkR_AongFt22vMfNzfpjZ0CjpI8QI-w0wBnYA1w/"", ""Инфа!A:AA""), 6, FALSE)"),2024)</f>
        <v>2024</v>
      </c>
      <c r="J1153" s="5">
        <f t="shared" ca="1" si="33"/>
        <v>8700</v>
      </c>
      <c r="K1153" s="12" t="s">
        <v>4719</v>
      </c>
      <c r="L1153" s="15" t="s">
        <v>4720</v>
      </c>
    </row>
    <row r="1154" spans="1:12" ht="236.25">
      <c r="A1154" s="8" t="s">
        <v>4721</v>
      </c>
      <c r="B1154" s="9" t="s">
        <v>12</v>
      </c>
      <c r="C1154" s="12" t="s">
        <v>443</v>
      </c>
      <c r="D1154" s="10" t="str">
        <f ca="1">IFERROR(__xludf.DUMMYFUNCTION(" VLOOKUP(A1151, IMPORTRANGE(""https://docs.google.com/spreadsheets/d/1fj_Bhi2XPL3siwIh4sx4VRLAe31yD50oKdj5UlRYW0c/"", ""Сводка!A:AA""), 11, FALSE)"),"978-601-352-820-5")</f>
        <v>978-601-352-820-5</v>
      </c>
      <c r="E1154" s="11" t="s">
        <v>4722</v>
      </c>
      <c r="F1154" s="11" t="s">
        <v>4723</v>
      </c>
      <c r="G1154" s="12">
        <f ca="1">IFERROR(__xludf.DUMMYFUNCTION(" VLOOKUP(A1151, IMPORTRANGE(""https://docs.google.com/spreadsheets/d/1fj_Bhi2XPL3siwIh4sx4VRLAe31yD50oKdj5UlRYW0c/"", ""Сводка!A:AA""), 5, FALSE)"),148)</f>
        <v>148</v>
      </c>
      <c r="H1154" s="12" t="s">
        <v>1016</v>
      </c>
      <c r="I1154" s="10">
        <f ca="1">IFERROR(__xludf.DUMMYFUNCTION(" VLOOKUP(A1151, IMPORTRANGE(""https://docs.google.com/spreadsheets/d/1QNLbnkR_AongFt22vMfNzfpjZ0CjpI8QI-w0wBnYA1w/"", ""Инфа!A:AA""), 6, FALSE)"),2023)</f>
        <v>2023</v>
      </c>
      <c r="J1154" s="5">
        <f t="shared" ca="1" si="33"/>
        <v>9400</v>
      </c>
      <c r="K1154" s="12" t="s">
        <v>2217</v>
      </c>
      <c r="L1154" s="15" t="s">
        <v>4724</v>
      </c>
    </row>
    <row r="1155" spans="1:12" ht="157.5">
      <c r="A1155" s="8" t="s">
        <v>4725</v>
      </c>
      <c r="B1155" s="9" t="s">
        <v>12</v>
      </c>
      <c r="C1155" s="12" t="s">
        <v>151</v>
      </c>
      <c r="D1155" s="10" t="str">
        <f ca="1">IFERROR(__xludf.DUMMYFUNCTION(" VLOOKUP(A1152, IMPORTRANGE(""https://docs.google.com/spreadsheets/d/1fj_Bhi2XPL3siwIh4sx4VRLAe31yD50oKdj5UlRYW0c/"", ""Сводка!A:AA""), 11, FALSE)"),"978-601-352-971-4")</f>
        <v>978-601-352-971-4</v>
      </c>
      <c r="E1155" s="11" t="s">
        <v>4726</v>
      </c>
      <c r="F1155" s="11" t="s">
        <v>4727</v>
      </c>
      <c r="G1155" s="12">
        <f ca="1">IFERROR(__xludf.DUMMYFUNCTION(" VLOOKUP(A1152, IMPORTRANGE(""https://docs.google.com/spreadsheets/d/1fj_Bhi2XPL3siwIh4sx4VRLAe31yD50oKdj5UlRYW0c/"", ""Сводка!A:AA""), 5, FALSE)"),108)</f>
        <v>108</v>
      </c>
      <c r="H1155" s="12" t="s">
        <v>4728</v>
      </c>
      <c r="I1155" s="10">
        <f ca="1">IFERROR(__xludf.DUMMYFUNCTION(" VLOOKUP(A1152, IMPORTRANGE(""https://docs.google.com/spreadsheets/d/1QNLbnkR_AongFt22vMfNzfpjZ0CjpI8QI-w0wBnYA1w/"", ""Инфа!A:AA""), 6, FALSE)"),2024)</f>
        <v>2024</v>
      </c>
      <c r="J1155" s="5">
        <f t="shared" ca="1" si="33"/>
        <v>8200</v>
      </c>
      <c r="K1155" s="12" t="s">
        <v>4729</v>
      </c>
      <c r="L1155" s="16" t="s">
        <v>4730</v>
      </c>
    </row>
    <row r="1156" spans="1:12" ht="146.25">
      <c r="A1156" s="8" t="s">
        <v>4731</v>
      </c>
      <c r="B1156" s="9" t="s">
        <v>12</v>
      </c>
      <c r="C1156" s="12" t="s">
        <v>443</v>
      </c>
      <c r="D1156" s="10" t="str">
        <f ca="1">IFERROR(__xludf.DUMMYFUNCTION(" VLOOKUP(A1153, IMPORTRANGE(""https://docs.google.com/spreadsheets/d/1fj_Bhi2XPL3siwIh4sx4VRLAe31yD50oKdj5UlRYW0c/"", ""Сводка!A:AA""), 11, FALSE)"),"978-601-352-970-7")</f>
        <v>978-601-352-970-7</v>
      </c>
      <c r="E1156" s="11" t="s">
        <v>4726</v>
      </c>
      <c r="F1156" s="11" t="s">
        <v>4732</v>
      </c>
      <c r="G1156" s="12">
        <f ca="1">IFERROR(__xludf.DUMMYFUNCTION(" VLOOKUP(A1153, IMPORTRANGE(""https://docs.google.com/spreadsheets/d/1fj_Bhi2XPL3siwIh4sx4VRLAe31yD50oKdj5UlRYW0c/"", ""Сводка!A:AA""), 5, FALSE)"),112)</f>
        <v>112</v>
      </c>
      <c r="H1156" s="12" t="s">
        <v>538</v>
      </c>
      <c r="I1156" s="10">
        <f ca="1">IFERROR(__xludf.DUMMYFUNCTION(" VLOOKUP(A1153, IMPORTRANGE(""https://docs.google.com/spreadsheets/d/1QNLbnkR_AongFt22vMfNzfpjZ0CjpI8QI-w0wBnYA1w/"", ""Инфа!A:AA""), 6, FALSE)"),2023)</f>
        <v>2023</v>
      </c>
      <c r="J1156" s="5">
        <f t="shared" ca="1" si="33"/>
        <v>8400</v>
      </c>
      <c r="K1156" s="12" t="s">
        <v>4729</v>
      </c>
      <c r="L1156" s="16" t="s">
        <v>4733</v>
      </c>
    </row>
    <row r="1157" spans="1:12" ht="326.25">
      <c r="A1157" s="8" t="s">
        <v>4734</v>
      </c>
      <c r="B1157" s="9" t="s">
        <v>12</v>
      </c>
      <c r="C1157" s="10" t="s">
        <v>151</v>
      </c>
      <c r="D1157" s="10" t="str">
        <f ca="1">IFERROR(__xludf.DUMMYFUNCTION(" VLOOKUP(A1154, IMPORTRANGE(""https://docs.google.com/spreadsheets/d/1fj_Bhi2XPL3siwIh4sx4VRLAe31yD50oKdj5UlRYW0c/"", ""Сводка!A:AA""), 11, FALSE)"),"978-601-327-005-0")</f>
        <v>978-601-327-005-0</v>
      </c>
      <c r="E1157" s="11" t="s">
        <v>4735</v>
      </c>
      <c r="F1157" s="11" t="s">
        <v>4736</v>
      </c>
      <c r="G1157" s="12">
        <f ca="1">IFERROR(__xludf.DUMMYFUNCTION(" VLOOKUP(A1154, IMPORTRANGE(""https://docs.google.com/spreadsheets/d/1fj_Bhi2XPL3siwIh4sx4VRLAe31yD50oKdj5UlRYW0c/"", ""Сводка!A:AA""), 5, FALSE)"),184)</f>
        <v>184</v>
      </c>
      <c r="H1157" s="12" t="s">
        <v>106</v>
      </c>
      <c r="I1157" s="10">
        <f ca="1">IFERROR(__xludf.DUMMYFUNCTION(" VLOOKUP(A1154, IMPORTRANGE(""https://docs.google.com/spreadsheets/d/1QNLbnkR_AongFt22vMfNzfpjZ0CjpI8QI-w0wBnYA1w/"", ""Инфа!A:AA""), 6, FALSE)"),2024)</f>
        <v>2024</v>
      </c>
      <c r="J1157" s="5">
        <f t="shared" ca="1" si="33"/>
        <v>10500</v>
      </c>
      <c r="K1157" s="12" t="s">
        <v>277</v>
      </c>
      <c r="L1157" s="15" t="s">
        <v>4737</v>
      </c>
    </row>
    <row r="1158" spans="1:12" ht="168.75">
      <c r="A1158" s="8" t="s">
        <v>4738</v>
      </c>
      <c r="B1158" s="9" t="s">
        <v>12</v>
      </c>
      <c r="C1158" s="12" t="s">
        <v>443</v>
      </c>
      <c r="D1158" s="10" t="str">
        <f ca="1">IFERROR(__xludf.DUMMYFUNCTION(" VLOOKUP(A1155, IMPORTRANGE(""https://docs.google.com/spreadsheets/d/1fj_Bhi2XPL3siwIh4sx4VRLAe31yD50oKdj5UlRYW0c/"", ""Сводка!A:AA""), 11, FALSE)"),"978-601-352-972-1")</f>
        <v>978-601-352-972-1</v>
      </c>
      <c r="E1158" s="11" t="s">
        <v>4739</v>
      </c>
      <c r="F1158" s="11" t="s">
        <v>4740</v>
      </c>
      <c r="G1158" s="12">
        <f ca="1">IFERROR(__xludf.DUMMYFUNCTION(" VLOOKUP(A1155, IMPORTRANGE(""https://docs.google.com/spreadsheets/d/1fj_Bhi2XPL3siwIh4sx4VRLAe31yD50oKdj5UlRYW0c/"", ""Сводка!A:AA""), 5, FALSE)"),188)</f>
        <v>188</v>
      </c>
      <c r="H1158" s="12" t="s">
        <v>538</v>
      </c>
      <c r="I1158" s="10">
        <f ca="1">IFERROR(__xludf.DUMMYFUNCTION(" VLOOKUP(A1155, IMPORTRANGE(""https://docs.google.com/spreadsheets/d/1QNLbnkR_AongFt22vMfNzfpjZ0CjpI8QI-w0wBnYA1w/"", ""Инфа!A:AA""), 6, FALSE)"),2023)</f>
        <v>2023</v>
      </c>
      <c r="J1158" s="5">
        <f ca="1">ROUND((5000+G1158*60),-2)</f>
        <v>16300</v>
      </c>
      <c r="K1158" s="12" t="s">
        <v>4729</v>
      </c>
      <c r="L1158" s="16" t="s">
        <v>4741</v>
      </c>
    </row>
    <row r="1159" spans="1:12" ht="101.25">
      <c r="A1159" s="8" t="s">
        <v>4742</v>
      </c>
      <c r="B1159" s="9" t="s">
        <v>12</v>
      </c>
      <c r="C1159" s="12" t="s">
        <v>151</v>
      </c>
      <c r="D1159" s="10" t="str">
        <f ca="1">IFERROR(__xludf.DUMMYFUNCTION(" VLOOKUP(A1156, IMPORTRANGE(""https://docs.google.com/spreadsheets/d/1fj_Bhi2XPL3siwIh4sx4VRLAe31yD50oKdj5UlRYW0c/"", ""Сводка!A:AA""), 11, FALSE)"),"978-601-337-627-1")</f>
        <v>978-601-337-627-1</v>
      </c>
      <c r="E1159" s="11" t="s">
        <v>4743</v>
      </c>
      <c r="F1159" s="11" t="s">
        <v>4744</v>
      </c>
      <c r="G1159" s="12">
        <f ca="1">IFERROR(__xludf.DUMMYFUNCTION(" VLOOKUP(A1156, IMPORTRANGE(""https://docs.google.com/spreadsheets/d/1fj_Bhi2XPL3siwIh4sx4VRLAe31yD50oKdj5UlRYW0c/"", ""Сводка!A:AA""), 5, FALSE)"),300)</f>
        <v>300</v>
      </c>
      <c r="H1159" s="12" t="s">
        <v>4728</v>
      </c>
      <c r="I1159" s="10">
        <f ca="1">IFERROR(__xludf.DUMMYFUNCTION(" VLOOKUP(A1156, IMPORTRANGE(""https://docs.google.com/spreadsheets/d/1QNLbnkR_AongFt22vMfNzfpjZ0CjpI8QI-w0wBnYA1w/"", ""Инфа!A:AA""), 6, FALSE)"),2024)</f>
        <v>2024</v>
      </c>
      <c r="J1159" s="5">
        <f ca="1">ROUND((5000+G1159*30),-2)</f>
        <v>14000</v>
      </c>
      <c r="K1159" s="12" t="s">
        <v>4745</v>
      </c>
      <c r="L1159" s="15" t="s">
        <v>4746</v>
      </c>
    </row>
    <row r="1160" spans="1:12" ht="202.5">
      <c r="A1160" s="8" t="s">
        <v>4747</v>
      </c>
      <c r="B1160" s="9" t="s">
        <v>12</v>
      </c>
      <c r="C1160" s="12" t="s">
        <v>443</v>
      </c>
      <c r="D1160" s="10" t="s">
        <v>4748</v>
      </c>
      <c r="E1160" s="11" t="s">
        <v>4749</v>
      </c>
      <c r="F1160" s="11" t="s">
        <v>4750</v>
      </c>
      <c r="G1160" s="12">
        <f ca="1">IFERROR(__xludf.DUMMYFUNCTION(" VLOOKUP(A1157, IMPORTRANGE(""https://docs.google.com/spreadsheets/d/1fj_Bhi2XPL3siwIh4sx4VRLAe31yD50oKdj5UlRYW0c/"", ""Сводка!A:AA""), 5, FALSE)"),136)</f>
        <v>136</v>
      </c>
      <c r="H1160" s="12" t="s">
        <v>4751</v>
      </c>
      <c r="I1160" s="10">
        <f ca="1">IFERROR(__xludf.DUMMYFUNCTION(" VLOOKUP(A1157, IMPORTRANGE(""https://docs.google.com/spreadsheets/d/1QNLbnkR_AongFt22vMfNzfpjZ0CjpI8QI-w0wBnYA1w/"", ""Инфа!A:AA""), 6, FALSE)"),2024)</f>
        <v>2024</v>
      </c>
      <c r="J1160" s="5">
        <f ca="1">ROUND((5000+G1160*30),-2)</f>
        <v>9100</v>
      </c>
      <c r="K1160" s="12" t="s">
        <v>4752</v>
      </c>
      <c r="L1160" s="15" t="s">
        <v>4753</v>
      </c>
    </row>
    <row r="1161" spans="1:12" ht="258.75">
      <c r="A1161" s="8" t="s">
        <v>4754</v>
      </c>
      <c r="B1161" s="9" t="s">
        <v>12</v>
      </c>
      <c r="C1161" s="12" t="s">
        <v>443</v>
      </c>
      <c r="D1161" s="10" t="str">
        <f ca="1">IFERROR(__xludf.DUMMYFUNCTION(" VLOOKUP(A1158, IMPORTRANGE(""https://docs.google.com/spreadsheets/d/1fj_Bhi2XPL3siwIh4sx4VRLAe31yD50oKdj5UlRYW0c/"", ""Сводка!A:AA""), 11, FALSE)"),"ISBN 978-601-352-213-9")</f>
        <v>ISBN 978-601-352-213-9</v>
      </c>
      <c r="E1161" s="11" t="s">
        <v>4755</v>
      </c>
      <c r="F1161" s="11" t="s">
        <v>4756</v>
      </c>
      <c r="G1161" s="12">
        <f ca="1">IFERROR(__xludf.DUMMYFUNCTION(" VLOOKUP(A1158, IMPORTRANGE(""https://docs.google.com/spreadsheets/d/1fj_Bhi2XPL3siwIh4sx4VRLAe31yD50oKdj5UlRYW0c/"", ""Сводка!A:AA""), 5, FALSE)"),216)</f>
        <v>216</v>
      </c>
      <c r="H1161" s="12" t="s">
        <v>511</v>
      </c>
      <c r="I1161" s="10">
        <f ca="1">IFERROR(__xludf.DUMMYFUNCTION(" VLOOKUP(A1158, IMPORTRANGE(""https://docs.google.com/spreadsheets/d/1QNLbnkR_AongFt22vMfNzfpjZ0CjpI8QI-w0wBnYA1w/"", ""Инфа!A:AA""), 6, FALSE)"),2024)</f>
        <v>2024</v>
      </c>
      <c r="J1161" s="5">
        <f ca="1">ROUND((5000+G1161*30),-2)</f>
        <v>11500</v>
      </c>
      <c r="K1161" s="12" t="s">
        <v>4757</v>
      </c>
      <c r="L1161" s="15" t="s">
        <v>4758</v>
      </c>
    </row>
    <row r="1162" spans="1:12" ht="146.25">
      <c r="A1162" s="8" t="s">
        <v>4759</v>
      </c>
      <c r="B1162" s="9" t="s">
        <v>12</v>
      </c>
      <c r="C1162" s="12" t="s">
        <v>443</v>
      </c>
      <c r="D1162" s="10" t="str">
        <f ca="1">IFERROR(__xludf.DUMMYFUNCTION(" VLOOKUP(A1159, IMPORTRANGE(""https://docs.google.com/spreadsheets/d/1fj_Bhi2XPL3siwIh4sx4VRLAe31yD50oKdj5UlRYW0c/"", ""Сводка!A:AA""), 11, FALSE)"),"978-601-330-106-8")</f>
        <v>978-601-330-106-8</v>
      </c>
      <c r="E1162" s="22" t="s">
        <v>4760</v>
      </c>
      <c r="F1162" s="11" t="s">
        <v>4761</v>
      </c>
      <c r="G1162" s="12">
        <f ca="1">IFERROR(__xludf.DUMMYFUNCTION(" VLOOKUP(A1159, IMPORTRANGE(""https://docs.google.com/spreadsheets/d/1fj_Bhi2XPL3siwIh4sx4VRLAe31yD50oKdj5UlRYW0c/"", ""Сводка!A:AA""), 5, FALSE)"),216)</f>
        <v>216</v>
      </c>
      <c r="H1162" s="12" t="s">
        <v>106</v>
      </c>
      <c r="I1162" s="10">
        <f ca="1">IFERROR(__xludf.DUMMYFUNCTION(" VLOOKUP(A1159, IMPORTRANGE(""https://docs.google.com/spreadsheets/d/1QNLbnkR_AongFt22vMfNzfpjZ0CjpI8QI-w0wBnYA1w/"", ""Инфа!A:AA""), 6, FALSE)"),2023)</f>
        <v>2023</v>
      </c>
      <c r="J1162" s="5">
        <f ca="1">ROUND((5000+G1162*60),-2)</f>
        <v>18000</v>
      </c>
      <c r="K1162" s="12" t="s">
        <v>575</v>
      </c>
      <c r="L1162" s="15" t="s">
        <v>4762</v>
      </c>
    </row>
    <row r="1163" spans="1:12" ht="191.25">
      <c r="A1163" s="8" t="s">
        <v>4763</v>
      </c>
      <c r="B1163" s="9" t="s">
        <v>12</v>
      </c>
      <c r="C1163" s="12" t="s">
        <v>443</v>
      </c>
      <c r="D1163" s="10" t="str">
        <f ca="1">IFERROR(__xludf.DUMMYFUNCTION(" VLOOKUP(A1160, IMPORTRANGE(""https://docs.google.com/spreadsheets/d/1fj_Bhi2XPL3siwIh4sx4VRLAe31yD50oKdj5UlRYW0c/"", ""Сводка!A:AA""), 11, FALSE)"),"978-601-330-013-9")</f>
        <v>978-601-330-013-9</v>
      </c>
      <c r="E1163" s="46" t="s">
        <v>4764</v>
      </c>
      <c r="F1163" s="45" t="s">
        <v>4765</v>
      </c>
      <c r="G1163" s="12">
        <f ca="1">IFERROR(__xludf.DUMMYFUNCTION(" VLOOKUP(A1160, IMPORTRANGE(""https://docs.google.com/spreadsheets/d/1fj_Bhi2XPL3siwIh4sx4VRLAe31yD50oKdj5UlRYW0c/"", ""Сводка!A:AA""), 5, FALSE)"),128)</f>
        <v>128</v>
      </c>
      <c r="H1163" s="12" t="s">
        <v>538</v>
      </c>
      <c r="I1163" s="10">
        <f ca="1">IFERROR(__xludf.DUMMYFUNCTION(" VLOOKUP(A1160, IMPORTRANGE(""https://docs.google.com/spreadsheets/d/1QNLbnkR_AongFt22vMfNzfpjZ0CjpI8QI-w0wBnYA1w/"", ""Инфа!A:AA""), 6, FALSE)"),2024)</f>
        <v>2024</v>
      </c>
      <c r="J1163" s="5">
        <f ca="1">ROUND((5000+G1163*60),-2)</f>
        <v>12700</v>
      </c>
      <c r="K1163" s="12" t="s">
        <v>3707</v>
      </c>
      <c r="L1163" s="15" t="s">
        <v>4766</v>
      </c>
    </row>
    <row r="1164" spans="1:12" ht="292.5">
      <c r="A1164" s="8" t="s">
        <v>4767</v>
      </c>
      <c r="B1164" s="9" t="s">
        <v>12</v>
      </c>
      <c r="C1164" s="12" t="s">
        <v>443</v>
      </c>
      <c r="D1164" s="10" t="str">
        <f ca="1">IFERROR(__xludf.DUMMYFUNCTION(" VLOOKUP(A1161, IMPORTRANGE(""https://docs.google.com/spreadsheets/d/1fj_Bhi2XPL3siwIh4sx4VRLAe31yD50oKdj5UlRYW0c/"", ""Сводка!A:AA""), 11, FALSE)"),"978-601-330-012-2")</f>
        <v>978-601-330-012-2</v>
      </c>
      <c r="E1164" s="22" t="s">
        <v>4768</v>
      </c>
      <c r="F1164" s="11" t="s">
        <v>4769</v>
      </c>
      <c r="G1164" s="12">
        <f ca="1">IFERROR(__xludf.DUMMYFUNCTION(" VLOOKUP(A1161, IMPORTRANGE(""https://docs.google.com/spreadsheets/d/1fj_Bhi2XPL3siwIh4sx4VRLAe31yD50oKdj5UlRYW0c/"", ""Сводка!A:AA""), 5, FALSE)"),216)</f>
        <v>216</v>
      </c>
      <c r="H1164" s="12" t="s">
        <v>538</v>
      </c>
      <c r="I1164" s="10">
        <f ca="1">IFERROR(__xludf.DUMMYFUNCTION(" VLOOKUP(A1161, IMPORTRANGE(""https://docs.google.com/spreadsheets/d/1QNLbnkR_AongFt22vMfNzfpjZ0CjpI8QI-w0wBnYA1w/"", ""Инфа!A:AA""), 6, FALSE)"),2024)</f>
        <v>2024</v>
      </c>
      <c r="J1164" s="5">
        <f ca="1">ROUND((5000+G1164*60),-2)</f>
        <v>18000</v>
      </c>
      <c r="K1164" s="12" t="s">
        <v>3707</v>
      </c>
      <c r="L1164" s="15" t="s">
        <v>4770</v>
      </c>
    </row>
    <row r="1165" spans="1:12" ht="281.25">
      <c r="A1165" s="8" t="s">
        <v>4771</v>
      </c>
      <c r="B1165" s="9" t="s">
        <v>12</v>
      </c>
      <c r="C1165" s="12" t="s">
        <v>151</v>
      </c>
      <c r="D1165" s="10" t="str">
        <f ca="1">IFERROR(__xludf.DUMMYFUNCTION(" VLOOKUP(A1162, IMPORTRANGE(""https://docs.google.com/spreadsheets/d/1fj_Bhi2XPL3siwIh4sx4VRLAe31yD50oKdj5UlRYW0c/"", ""Сводка!A:AA""), 11, FALSE)"),"978-601-330-020-7")</f>
        <v>978-601-330-020-7</v>
      </c>
      <c r="E1165" s="22" t="s">
        <v>4772</v>
      </c>
      <c r="F1165" s="11" t="s">
        <v>4773</v>
      </c>
      <c r="G1165" s="12">
        <f ca="1">IFERROR(__xludf.DUMMYFUNCTION(" VLOOKUP(A1162, IMPORTRANGE(""https://docs.google.com/spreadsheets/d/1fj_Bhi2XPL3siwIh4sx4VRLAe31yD50oKdj5UlRYW0c/"", ""Сводка!A:AA""), 5, FALSE)"),260)</f>
        <v>260</v>
      </c>
      <c r="H1165" s="12" t="s">
        <v>47</v>
      </c>
      <c r="I1165" s="10">
        <f ca="1">IFERROR(__xludf.DUMMYFUNCTION(" VLOOKUP(A1162, IMPORTRANGE(""https://docs.google.com/spreadsheets/d/1QNLbnkR_AongFt22vMfNzfpjZ0CjpI8QI-w0wBnYA1w/"", ""Инфа!A:AA""), 6, FALSE)"),2023)</f>
        <v>2023</v>
      </c>
      <c r="J1165" s="5">
        <f ca="1">ROUND((5000+G1165*30),-2)</f>
        <v>12800</v>
      </c>
      <c r="K1165" s="12" t="s">
        <v>171</v>
      </c>
      <c r="L1165" s="15" t="s">
        <v>4774</v>
      </c>
    </row>
    <row r="1166" spans="1:12" ht="51">
      <c r="A1166" s="8" t="s">
        <v>4775</v>
      </c>
      <c r="B1166" s="9" t="s">
        <v>12</v>
      </c>
      <c r="C1166" s="10" t="s">
        <v>151</v>
      </c>
      <c r="D1166" s="10" t="str">
        <f ca="1">IFERROR(__xludf.DUMMYFUNCTION(" VLOOKUP(A1163, IMPORTRANGE(""https://docs.google.com/spreadsheets/d/1fj_Bhi2XPL3siwIh4sx4VRLAe31yD50oKdj5UlRYW0c/"", ""Сводка!A:AA""), 11, FALSE)"),"")</f>
        <v/>
      </c>
      <c r="E1166" s="25" t="s">
        <v>4776</v>
      </c>
      <c r="F1166" s="25" t="s">
        <v>4777</v>
      </c>
      <c r="G1166" s="12">
        <f ca="1">IFERROR(__xludf.DUMMYFUNCTION(" VLOOKUP(A1163, IMPORTRANGE(""https://docs.google.com/spreadsheets/d/1fj_Bhi2XPL3siwIh4sx4VRLAe31yD50oKdj5UlRYW0c/"", ""Сводка!A:AA""), 5, FALSE)"),140)</f>
        <v>140</v>
      </c>
      <c r="H1166" s="26" t="s">
        <v>498</v>
      </c>
      <c r="I1166" s="10">
        <f ca="1">IFERROR(__xludf.DUMMYFUNCTION(" VLOOKUP(A1163, IMPORTRANGE(""https://docs.google.com/spreadsheets/d/1QNLbnkR_AongFt22vMfNzfpjZ0CjpI8QI-w0wBnYA1w/"", ""Инфа!A:AA""), 6, FALSE)"),2024)</f>
        <v>2024</v>
      </c>
      <c r="J1166" s="5">
        <f ca="1">ROUND((5000+G1166*60),-2)</f>
        <v>13400</v>
      </c>
      <c r="K1166" s="12" t="s">
        <v>440</v>
      </c>
      <c r="L1166" s="15"/>
    </row>
    <row r="1167" spans="1:12" ht="281.25">
      <c r="A1167" s="8" t="s">
        <v>4778</v>
      </c>
      <c r="B1167" s="9" t="s">
        <v>12</v>
      </c>
      <c r="C1167" s="12" t="s">
        <v>151</v>
      </c>
      <c r="D1167" s="10" t="s">
        <v>4779</v>
      </c>
      <c r="E1167" s="22" t="s">
        <v>4772</v>
      </c>
      <c r="F1167" s="11" t="s">
        <v>4780</v>
      </c>
      <c r="G1167" s="12">
        <f ca="1">IFERROR(__xludf.DUMMYFUNCTION(" VLOOKUP(A1164, IMPORTRANGE(""https://docs.google.com/spreadsheets/d/1fj_Bhi2XPL3siwIh4sx4VRLAe31yD50oKdj5UlRYW0c/"", ""Сводка!A:AA""), 5, FALSE)"),216)</f>
        <v>216</v>
      </c>
      <c r="H1167" s="12" t="s">
        <v>47</v>
      </c>
      <c r="I1167" s="10">
        <f ca="1">IFERROR(__xludf.DUMMYFUNCTION(" VLOOKUP(A1164, IMPORTRANGE(""https://docs.google.com/spreadsheets/d/1QNLbnkR_AongFt22vMfNzfpjZ0CjpI8QI-w0wBnYA1w/"", ""Инфа!A:AA""), 6, FALSE)"),2023)</f>
        <v>2023</v>
      </c>
      <c r="J1167" s="5">
        <f t="shared" ref="J1167:J1173" ca="1" si="34">ROUND((5000+G1167*30),-2)</f>
        <v>11500</v>
      </c>
      <c r="K1167" s="12" t="s">
        <v>171</v>
      </c>
      <c r="L1167" s="15" t="s">
        <v>4774</v>
      </c>
    </row>
    <row r="1168" spans="1:12" ht="247.5">
      <c r="A1168" s="8" t="s">
        <v>4781</v>
      </c>
      <c r="B1168" s="9" t="s">
        <v>12</v>
      </c>
      <c r="C1168" s="12" t="s">
        <v>151</v>
      </c>
      <c r="D1168" s="10" t="str">
        <f ca="1">IFERROR(__xludf.DUMMYFUNCTION(" VLOOKUP(A1165, IMPORTRANGE(""https://docs.google.com/spreadsheets/d/1fj_Bhi2XPL3siwIh4sx4VRLAe31yD50oKdj5UlRYW0c/"", ""Сводка!A:AA""), 11, FALSE)"),"978-601-327-488-1")</f>
        <v>978-601-327-488-1</v>
      </c>
      <c r="E1168" s="22" t="s">
        <v>4782</v>
      </c>
      <c r="F1168" s="11" t="s">
        <v>4783</v>
      </c>
      <c r="G1168" s="12">
        <f ca="1">IFERROR(__xludf.DUMMYFUNCTION(" VLOOKUP(A1165, IMPORTRANGE(""https://docs.google.com/spreadsheets/d/1fj_Bhi2XPL3siwIh4sx4VRLAe31yD50oKdj5UlRYW0c/"", ""Сводка!A:AA""), 5, FALSE)"),308)</f>
        <v>308</v>
      </c>
      <c r="H1168" s="12" t="s">
        <v>4784</v>
      </c>
      <c r="I1168" s="10">
        <f ca="1">IFERROR(__xludf.DUMMYFUNCTION(" VLOOKUP(A1165, IMPORTRANGE(""https://docs.google.com/spreadsheets/d/1QNLbnkR_AongFt22vMfNzfpjZ0CjpI8QI-w0wBnYA1w/"", ""Инфа!A:AA""), 6, FALSE)"),2024)</f>
        <v>2024</v>
      </c>
      <c r="J1168" s="5">
        <f t="shared" ca="1" si="34"/>
        <v>14200</v>
      </c>
      <c r="K1168" s="12" t="s">
        <v>26</v>
      </c>
      <c r="L1168" s="16" t="s">
        <v>4785</v>
      </c>
    </row>
    <row r="1169" spans="1:12" ht="247.5">
      <c r="A1169" s="8" t="s">
        <v>4786</v>
      </c>
      <c r="B1169" s="9" t="s">
        <v>12</v>
      </c>
      <c r="C1169" s="12" t="s">
        <v>151</v>
      </c>
      <c r="D1169" s="10" t="str">
        <f ca="1">IFERROR(__xludf.DUMMYFUNCTION(" VLOOKUP(A1166, IMPORTRANGE(""https://docs.google.com/spreadsheets/d/1fj_Bhi2XPL3siwIh4sx4VRLAe31yD50oKdj5UlRYW0c/"", ""Сводка!A:AA""), 11, FALSE)"),"978-601-327-488-1")</f>
        <v>978-601-327-488-1</v>
      </c>
      <c r="E1169" s="22" t="s">
        <v>4782</v>
      </c>
      <c r="F1169" s="11" t="s">
        <v>4787</v>
      </c>
      <c r="G1169" s="12">
        <f ca="1">IFERROR(__xludf.DUMMYFUNCTION(" VLOOKUP(A1166, IMPORTRANGE(""https://docs.google.com/spreadsheets/d/1fj_Bhi2XPL3siwIh4sx4VRLAe31yD50oKdj5UlRYW0c/"", ""Сводка!A:AA""), 5, FALSE)"),348)</f>
        <v>348</v>
      </c>
      <c r="H1169" s="12" t="s">
        <v>4784</v>
      </c>
      <c r="I1169" s="10">
        <f ca="1">IFERROR(__xludf.DUMMYFUNCTION(" VLOOKUP(A1166, IMPORTRANGE(""https://docs.google.com/spreadsheets/d/1QNLbnkR_AongFt22vMfNzfpjZ0CjpI8QI-w0wBnYA1w/"", ""Инфа!A:AA""), 6, FALSE)"),2024)</f>
        <v>2024</v>
      </c>
      <c r="J1169" s="5">
        <f t="shared" ca="1" si="34"/>
        <v>15400</v>
      </c>
      <c r="K1169" s="12" t="s">
        <v>26</v>
      </c>
      <c r="L1169" s="16" t="s">
        <v>4785</v>
      </c>
    </row>
    <row r="1170" spans="1:12" ht="135">
      <c r="A1170" s="8" t="s">
        <v>4788</v>
      </c>
      <c r="B1170" s="9" t="s">
        <v>12</v>
      </c>
      <c r="C1170" s="12" t="s">
        <v>151</v>
      </c>
      <c r="D1170" s="10" t="str">
        <f ca="1">IFERROR(__xludf.DUMMYFUNCTION(" VLOOKUP(A1167, IMPORTRANGE(""https://docs.google.com/spreadsheets/d/1fj_Bhi2XPL3siwIh4sx4VRLAe31yD50oKdj5UlRYW0c/"", ""Сводка!A:AA""), 11, FALSE)"),"978-601-327-488-1")</f>
        <v>978-601-327-488-1</v>
      </c>
      <c r="E1170" s="11" t="s">
        <v>4782</v>
      </c>
      <c r="F1170" s="11" t="s">
        <v>4789</v>
      </c>
      <c r="G1170" s="12">
        <f ca="1">IFERROR(__xludf.DUMMYFUNCTION(" VLOOKUP(A1167, IMPORTRANGE(""https://docs.google.com/spreadsheets/d/1fj_Bhi2XPL3siwIh4sx4VRLAe31yD50oKdj5UlRYW0c/"", ""Сводка!A:AA""), 5, FALSE)"),220)</f>
        <v>220</v>
      </c>
      <c r="H1170" s="12" t="s">
        <v>4784</v>
      </c>
      <c r="I1170" s="10">
        <f ca="1">IFERROR(__xludf.DUMMYFUNCTION(" VLOOKUP(A1167, IMPORTRANGE(""https://docs.google.com/spreadsheets/d/1QNLbnkR_AongFt22vMfNzfpjZ0CjpI8QI-w0wBnYA1w/"", ""Инфа!A:AA""), 6, FALSE)"),2024)</f>
        <v>2024</v>
      </c>
      <c r="J1170" s="5">
        <f t="shared" ca="1" si="34"/>
        <v>11600</v>
      </c>
      <c r="K1170" s="12" t="s">
        <v>26</v>
      </c>
      <c r="L1170" s="15" t="s">
        <v>4790</v>
      </c>
    </row>
    <row r="1171" spans="1:12" ht="135">
      <c r="A1171" s="8" t="s">
        <v>4791</v>
      </c>
      <c r="B1171" s="9" t="s">
        <v>12</v>
      </c>
      <c r="C1171" s="12" t="s">
        <v>151</v>
      </c>
      <c r="D1171" s="10" t="str">
        <f ca="1">IFERROR(__xludf.DUMMYFUNCTION(" VLOOKUP(A1168, IMPORTRANGE(""https://docs.google.com/spreadsheets/d/1fj_Bhi2XPL3siwIh4sx4VRLAe31yD50oKdj5UlRYW0c/"", ""Сводка!A:AA""), 11, FALSE)"),"978-601-327-488-1")</f>
        <v>978-601-327-488-1</v>
      </c>
      <c r="E1171" s="11" t="s">
        <v>4782</v>
      </c>
      <c r="F1171" s="45" t="s">
        <v>4792</v>
      </c>
      <c r="G1171" s="12">
        <f ca="1">IFERROR(__xludf.DUMMYFUNCTION(" VLOOKUP(A1168, IMPORTRANGE(""https://docs.google.com/spreadsheets/d/1fj_Bhi2XPL3siwIh4sx4VRLAe31yD50oKdj5UlRYW0c/"", ""Сводка!A:AA""), 5, FALSE)"),340)</f>
        <v>340</v>
      </c>
      <c r="H1171" s="12" t="s">
        <v>4784</v>
      </c>
      <c r="I1171" s="10">
        <f ca="1">IFERROR(__xludf.DUMMYFUNCTION(" VLOOKUP(A1168, IMPORTRANGE(""https://docs.google.com/spreadsheets/d/1QNLbnkR_AongFt22vMfNzfpjZ0CjpI8QI-w0wBnYA1w/"", ""Инфа!A:AA""), 6, FALSE)"),2024)</f>
        <v>2024</v>
      </c>
      <c r="J1171" s="5">
        <f t="shared" ca="1" si="34"/>
        <v>15200</v>
      </c>
      <c r="K1171" s="12" t="s">
        <v>26</v>
      </c>
      <c r="L1171" s="15" t="s">
        <v>4793</v>
      </c>
    </row>
    <row r="1172" spans="1:12" ht="168.75">
      <c r="A1172" s="8" t="s">
        <v>4794</v>
      </c>
      <c r="B1172" s="9" t="s">
        <v>12</v>
      </c>
      <c r="C1172" s="12" t="s">
        <v>151</v>
      </c>
      <c r="D1172" s="10" t="s">
        <v>4795</v>
      </c>
      <c r="E1172" s="45" t="s">
        <v>4796</v>
      </c>
      <c r="F1172" s="45" t="s">
        <v>4797</v>
      </c>
      <c r="G1172" s="12">
        <f ca="1">IFERROR(__xludf.DUMMYFUNCTION(" VLOOKUP(A1169, IMPORTRANGE(""https://docs.google.com/spreadsheets/d/1fj_Bhi2XPL3siwIh4sx4VRLAe31yD50oKdj5UlRYW0c/"", ""Сводка!A:AA""), 5, FALSE)"),256)</f>
        <v>256</v>
      </c>
      <c r="H1172" s="12" t="s">
        <v>106</v>
      </c>
      <c r="I1172" s="10">
        <f ca="1">IFERROR(__xludf.DUMMYFUNCTION(" VLOOKUP(A1169, IMPORTRANGE(""https://docs.google.com/spreadsheets/d/1QNLbnkR_AongFt22vMfNzfpjZ0CjpI8QI-w0wBnYA1w/"", ""Инфа!A:AA""), 6, FALSE)"),2024)</f>
        <v>2024</v>
      </c>
      <c r="J1172" s="5">
        <f t="shared" ca="1" si="34"/>
        <v>12700</v>
      </c>
      <c r="K1172" s="12" t="s">
        <v>26</v>
      </c>
      <c r="L1172" s="16" t="s">
        <v>4798</v>
      </c>
    </row>
    <row r="1173" spans="1:12" ht="236.25">
      <c r="A1173" s="8" t="s">
        <v>4799</v>
      </c>
      <c r="B1173" s="9" t="s">
        <v>2231</v>
      </c>
      <c r="C1173" s="12" t="s">
        <v>443</v>
      </c>
      <c r="D1173" s="10" t="s">
        <v>4800</v>
      </c>
      <c r="E1173" s="11" t="s">
        <v>4801</v>
      </c>
      <c r="F1173" s="11" t="s">
        <v>4802</v>
      </c>
      <c r="G1173" s="12">
        <f ca="1">IFERROR(__xludf.DUMMYFUNCTION(" VLOOKUP(A1170, IMPORTRANGE(""https://docs.google.com/spreadsheets/d/1fj_Bhi2XPL3siwIh4sx4VRLAe31yD50oKdj5UlRYW0c/"", ""Сводка!A:AA""), 5, FALSE)"),220)</f>
        <v>220</v>
      </c>
      <c r="H1173" s="12" t="s">
        <v>671</v>
      </c>
      <c r="I1173" s="10">
        <f ca="1">IFERROR(__xludf.DUMMYFUNCTION(" VLOOKUP(A1170, IMPORTRANGE(""https://docs.google.com/spreadsheets/d/1QNLbnkR_AongFt22vMfNzfpjZ0CjpI8QI-w0wBnYA1w/"", ""Инфа!A:AA""), 6, FALSE)"),2024)</f>
        <v>2024</v>
      </c>
      <c r="J1173" s="5">
        <f t="shared" ca="1" si="34"/>
        <v>11600</v>
      </c>
      <c r="K1173" s="12" t="s">
        <v>4803</v>
      </c>
      <c r="L1173" s="16" t="s">
        <v>4804</v>
      </c>
    </row>
    <row r="1174" spans="1:12" ht="51">
      <c r="A1174" s="8" t="s">
        <v>4805</v>
      </c>
      <c r="B1174" s="9" t="s">
        <v>12</v>
      </c>
      <c r="C1174" s="10" t="s">
        <v>151</v>
      </c>
      <c r="D1174" s="10" t="str">
        <f ca="1">IFERROR(__xludf.DUMMYFUNCTION(" VLOOKUP(A1171, IMPORTRANGE(""https://docs.google.com/spreadsheets/d/1fj_Bhi2XPL3siwIh4sx4VRLAe31yD50oKdj5UlRYW0c/"", ""Сводка!A:AA""), 11, FALSE)"),"")</f>
        <v/>
      </c>
      <c r="E1174" s="25" t="s">
        <v>4776</v>
      </c>
      <c r="F1174" s="25" t="s">
        <v>4806</v>
      </c>
      <c r="G1174" s="12">
        <f ca="1">IFERROR(__xludf.DUMMYFUNCTION(" VLOOKUP(A1171, IMPORTRANGE(""https://docs.google.com/spreadsheets/d/1fj_Bhi2XPL3siwIh4sx4VRLAe31yD50oKdj5UlRYW0c/"", ""Сводка!A:AA""), 5, FALSE)"),348)</f>
        <v>348</v>
      </c>
      <c r="H1174" s="26" t="s">
        <v>498</v>
      </c>
      <c r="I1174" s="10">
        <f ca="1">IFERROR(__xludf.DUMMYFUNCTION(" VLOOKUP(A1171, IMPORTRANGE(""https://docs.google.com/spreadsheets/d/1QNLbnkR_AongFt22vMfNzfpjZ0CjpI8QI-w0wBnYA1w/"", ""Инфа!A:AA""), 6, FALSE)"),2024)</f>
        <v>2024</v>
      </c>
      <c r="J1174" s="5">
        <f ca="1">ROUND((5000+G1174*60),-2)</f>
        <v>25900</v>
      </c>
      <c r="K1174" s="12" t="s">
        <v>440</v>
      </c>
      <c r="L1174" s="15"/>
    </row>
    <row r="1175" spans="1:12" ht="123.75">
      <c r="A1175" s="8" t="s">
        <v>4807</v>
      </c>
      <c r="B1175" s="9" t="s">
        <v>2231</v>
      </c>
      <c r="C1175" s="12" t="s">
        <v>443</v>
      </c>
      <c r="D1175" s="10" t="str">
        <f ca="1">IFERROR(__xludf.DUMMYFUNCTION(" VLOOKUP(A1172, IMPORTRANGE(""https://docs.google.com/spreadsheets/d/1fj_Bhi2XPL3siwIh4sx4VRLAe31yD50oKdj5UlRYW0c/"", ""Сводка!A:AA""), 11, FALSE)"),"978-601-352-966-0")</f>
        <v>978-601-352-966-0</v>
      </c>
      <c r="E1175" s="45" t="s">
        <v>4808</v>
      </c>
      <c r="F1175" s="11" t="s">
        <v>4809</v>
      </c>
      <c r="G1175" s="12">
        <f ca="1">IFERROR(__xludf.DUMMYFUNCTION(" VLOOKUP(A1172, IMPORTRANGE(""https://docs.google.com/spreadsheets/d/1fj_Bhi2XPL3siwIh4sx4VRLAe31yD50oKdj5UlRYW0c/"", ""Сводка!A:AA""), 5, FALSE)"),228)</f>
        <v>228</v>
      </c>
      <c r="H1175" s="12" t="s">
        <v>1024</v>
      </c>
      <c r="I1175" s="10">
        <f ca="1">IFERROR(__xludf.DUMMYFUNCTION(" VLOOKUP(A1172, IMPORTRANGE(""https://docs.google.com/spreadsheets/d/1QNLbnkR_AongFt22vMfNzfpjZ0CjpI8QI-w0wBnYA1w/"", ""Инфа!A:AA""), 6, FALSE)"),2024)</f>
        <v>2024</v>
      </c>
      <c r="J1175" s="5">
        <f ca="1">ROUND((5000+G1175*60),-2)</f>
        <v>18700</v>
      </c>
      <c r="K1175" s="12" t="s">
        <v>4810</v>
      </c>
      <c r="L1175" s="16" t="s">
        <v>4811</v>
      </c>
    </row>
    <row r="1176" spans="1:12" ht="168.75">
      <c r="A1176" s="8" t="s">
        <v>4812</v>
      </c>
      <c r="B1176" s="9" t="s">
        <v>2231</v>
      </c>
      <c r="C1176" s="12" t="s">
        <v>443</v>
      </c>
      <c r="D1176" s="10" t="str">
        <f ca="1">IFERROR(__xludf.DUMMYFUNCTION(" VLOOKUP(A1173, IMPORTRANGE(""https://docs.google.com/spreadsheets/d/1fj_Bhi2XPL3siwIh4sx4VRLAe31yD50oKdj5UlRYW0c/"", ""Сводка!A:AA""), 11, FALSE)"),"")</f>
        <v/>
      </c>
      <c r="E1176" s="45" t="s">
        <v>4813</v>
      </c>
      <c r="F1176" s="11" t="s">
        <v>4814</v>
      </c>
      <c r="G1176" s="12">
        <f ca="1">IFERROR(__xludf.DUMMYFUNCTION(" VLOOKUP(A1173, IMPORTRANGE(""https://docs.google.com/spreadsheets/d/1fj_Bhi2XPL3siwIh4sx4VRLAe31yD50oKdj5UlRYW0c/"", ""Сводка!A:AA""), 5, FALSE)"),188)</f>
        <v>188</v>
      </c>
      <c r="H1176" s="12" t="s">
        <v>538</v>
      </c>
      <c r="I1176" s="10">
        <f ca="1">IFERROR(__xludf.DUMMYFUNCTION(" VLOOKUP(A1173, IMPORTRANGE(""https://docs.google.com/spreadsheets/d/1QNLbnkR_AongFt22vMfNzfpjZ0CjpI8QI-w0wBnYA1w/"", ""Инфа!A:AA""), 6, FALSE)"),2024)</f>
        <v>2024</v>
      </c>
      <c r="J1176" s="5">
        <f ca="1">ROUND((5000+G1176*30),-2)</f>
        <v>10600</v>
      </c>
      <c r="K1176" s="12" t="s">
        <v>4815</v>
      </c>
      <c r="L1176" s="15" t="s">
        <v>4816</v>
      </c>
    </row>
    <row r="1177" spans="1:12" ht="225">
      <c r="A1177" s="8" t="s">
        <v>4817</v>
      </c>
      <c r="B1177" s="9" t="s">
        <v>2231</v>
      </c>
      <c r="C1177" s="12" t="s">
        <v>443</v>
      </c>
      <c r="D1177" s="10" t="str">
        <f ca="1">IFERROR(__xludf.DUMMYFUNCTION(" VLOOKUP(A1174, IMPORTRANGE(""https://docs.google.com/spreadsheets/d/1fj_Bhi2XPL3siwIh4sx4VRLAe31yD50oKdj5UlRYW0c/"", ""Сводка!A:AA""), 11, FALSE)"),"978-601-352-819-9")</f>
        <v>978-601-352-819-9</v>
      </c>
      <c r="E1177" s="11" t="s">
        <v>4818</v>
      </c>
      <c r="F1177" s="11" t="s">
        <v>4819</v>
      </c>
      <c r="G1177" s="12">
        <f ca="1">IFERROR(__xludf.DUMMYFUNCTION(" VLOOKUP(A1174, IMPORTRANGE(""https://docs.google.com/spreadsheets/d/1fj_Bhi2XPL3siwIh4sx4VRLAe31yD50oKdj5UlRYW0c/"", ""Сводка!A:AA""), 5, FALSE)"),268)</f>
        <v>268</v>
      </c>
      <c r="H1177" s="12" t="s">
        <v>538</v>
      </c>
      <c r="I1177" s="10">
        <f ca="1">IFERROR(__xludf.DUMMYFUNCTION(" VLOOKUP(A1174, IMPORTRANGE(""https://docs.google.com/spreadsheets/d/1QNLbnkR_AongFt22vMfNzfpjZ0CjpI8QI-w0wBnYA1w/"", ""Инфа!A:AA""), 6, FALSE)"),2024)</f>
        <v>2024</v>
      </c>
      <c r="J1177" s="5">
        <f ca="1">ROUND((5000+G1177*60),-2)</f>
        <v>21100</v>
      </c>
      <c r="K1177" s="12" t="s">
        <v>2466</v>
      </c>
      <c r="L1177" s="15" t="s">
        <v>4820</v>
      </c>
    </row>
    <row r="1178" spans="1:12" ht="303.75">
      <c r="A1178" s="8" t="s">
        <v>4821</v>
      </c>
      <c r="B1178" s="9" t="s">
        <v>2231</v>
      </c>
      <c r="C1178" s="12" t="s">
        <v>443</v>
      </c>
      <c r="D1178" s="10" t="s">
        <v>4822</v>
      </c>
      <c r="E1178" s="11" t="s">
        <v>4823</v>
      </c>
      <c r="F1178" s="11" t="s">
        <v>4824</v>
      </c>
      <c r="G1178" s="12">
        <f ca="1">IFERROR(__xludf.DUMMYFUNCTION(" VLOOKUP(A1175, IMPORTRANGE(""https://docs.google.com/spreadsheets/d/1fj_Bhi2XPL3siwIh4sx4VRLAe31yD50oKdj5UlRYW0c/"", ""Сводка!A:AA""), 5, FALSE)"),320)</f>
        <v>320</v>
      </c>
      <c r="H1178" s="12" t="s">
        <v>511</v>
      </c>
      <c r="I1178" s="10">
        <f ca="1">IFERROR(__xludf.DUMMYFUNCTION(" VLOOKUP(A1175, IMPORTRANGE(""https://docs.google.com/spreadsheets/d/1QNLbnkR_AongFt22vMfNzfpjZ0CjpI8QI-w0wBnYA1w/"", ""Инфа!A:AA""), 6, FALSE)"),2024)</f>
        <v>2024</v>
      </c>
      <c r="J1178" s="5">
        <f ca="1">ROUND((5000+G1178*30),-2)</f>
        <v>14600</v>
      </c>
      <c r="K1178" s="12" t="s">
        <v>2466</v>
      </c>
      <c r="L1178" s="15" t="s">
        <v>4825</v>
      </c>
    </row>
    <row r="1179" spans="1:12" ht="236.25">
      <c r="A1179" s="8" t="s">
        <v>4826</v>
      </c>
      <c r="B1179" s="9" t="s">
        <v>2231</v>
      </c>
      <c r="C1179" s="12" t="s">
        <v>443</v>
      </c>
      <c r="D1179" s="10" t="s">
        <v>4827</v>
      </c>
      <c r="E1179" s="11" t="s">
        <v>4823</v>
      </c>
      <c r="F1179" s="11" t="s">
        <v>4828</v>
      </c>
      <c r="G1179" s="12">
        <f ca="1">IFERROR(__xludf.DUMMYFUNCTION(" VLOOKUP(A1176, IMPORTRANGE(""https://docs.google.com/spreadsheets/d/1fj_Bhi2XPL3siwIh4sx4VRLAe31yD50oKdj5UlRYW0c/"", ""Сводка!A:AA""), 5, FALSE)"),284)</f>
        <v>284</v>
      </c>
      <c r="H1179" s="12" t="s">
        <v>511</v>
      </c>
      <c r="I1179" s="10">
        <f ca="1">IFERROR(__xludf.DUMMYFUNCTION(" VLOOKUP(A1176, IMPORTRANGE(""https://docs.google.com/spreadsheets/d/1QNLbnkR_AongFt22vMfNzfpjZ0CjpI8QI-w0wBnYA1w/"", ""Инфа!A:AA""), 6, FALSE)"),2024)</f>
        <v>2024</v>
      </c>
      <c r="J1179" s="5">
        <f ca="1">ROUND((5000+G1179*30),-2)</f>
        <v>13500</v>
      </c>
      <c r="K1179" s="12" t="s">
        <v>2466</v>
      </c>
      <c r="L1179" s="15" t="s">
        <v>4829</v>
      </c>
    </row>
    <row r="1180" spans="1:12" ht="157.5">
      <c r="A1180" s="8" t="s">
        <v>4830</v>
      </c>
      <c r="B1180" s="9" t="s">
        <v>12</v>
      </c>
      <c r="C1180" s="10" t="s">
        <v>443</v>
      </c>
      <c r="D1180" s="10" t="str">
        <f ca="1">IFERROR(__xludf.DUMMYFUNCTION(" VLOOKUP(A1177, IMPORTRANGE(""https://docs.google.com/spreadsheets/d/1fj_Bhi2XPL3siwIh4sx4VRLAe31yD50oKdj5UlRYW0c/"", ""Сводка!A:AA""), 11, FALSE)"),"978-601-330-207-2")</f>
        <v>978-601-330-207-2</v>
      </c>
      <c r="E1180" s="22" t="s">
        <v>4831</v>
      </c>
      <c r="F1180" s="22" t="s">
        <v>4832</v>
      </c>
      <c r="G1180" s="12">
        <f ca="1">IFERROR(__xludf.DUMMYFUNCTION(" VLOOKUP(A1177, IMPORTRANGE(""https://docs.google.com/spreadsheets/d/1fj_Bhi2XPL3siwIh4sx4VRLAe31yD50oKdj5UlRYW0c/"", ""Сводка!A:AA""), 5, FALSE)"),176)</f>
        <v>176</v>
      </c>
      <c r="H1180" s="10" t="s">
        <v>4833</v>
      </c>
      <c r="I1180" s="10">
        <f ca="1">IFERROR(__xludf.DUMMYFUNCTION(" VLOOKUP(A1177, IMPORTRANGE(""https://docs.google.com/spreadsheets/d/1QNLbnkR_AongFt22vMfNzfpjZ0CjpI8QI-w0wBnYA1w/"", ""Инфа!A:AA""), 6, FALSE)"),2023)</f>
        <v>2023</v>
      </c>
      <c r="J1180" s="5">
        <f ca="1">ROUND((5000+G1180*30),-2)</f>
        <v>10300</v>
      </c>
      <c r="K1180" s="12" t="s">
        <v>2185</v>
      </c>
      <c r="L1180" s="15" t="s">
        <v>4834</v>
      </c>
    </row>
    <row r="1181" spans="1:12" ht="213.75">
      <c r="A1181" s="8" t="s">
        <v>4835</v>
      </c>
      <c r="B1181" s="9" t="s">
        <v>12</v>
      </c>
      <c r="C1181" s="10" t="s">
        <v>443</v>
      </c>
      <c r="D1181" s="10" t="str">
        <f ca="1">IFERROR(__xludf.DUMMYFUNCTION(" VLOOKUP(A1178, IMPORTRANGE(""https://docs.google.com/spreadsheets/d/1fj_Bhi2XPL3siwIh4sx4VRLAe31yD50oKdj5UlRYW0c/"", ""Сводка!A:AA""), 11, FALSE)"),"978-601-330-186-0")</f>
        <v>978-601-330-186-0</v>
      </c>
      <c r="E1181" s="22" t="s">
        <v>4836</v>
      </c>
      <c r="F1181" s="22" t="s">
        <v>4837</v>
      </c>
      <c r="G1181" s="12">
        <f ca="1">IFERROR(__xludf.DUMMYFUNCTION(" VLOOKUP(A1178, IMPORTRANGE(""https://docs.google.com/spreadsheets/d/1fj_Bhi2XPL3siwIh4sx4VRLAe31yD50oKdj5UlRYW0c/"", ""Сводка!A:AA""), 5, FALSE)"),116)</f>
        <v>116</v>
      </c>
      <c r="H1181" s="10" t="s">
        <v>538</v>
      </c>
      <c r="I1181" s="10">
        <f ca="1">IFERROR(__xludf.DUMMYFUNCTION(" VLOOKUP(A1178, IMPORTRANGE(""https://docs.google.com/spreadsheets/d/1QNLbnkR_AongFt22vMfNzfpjZ0CjpI8QI-w0wBnYA1w/"", ""Инфа!A:AA""), 6, FALSE)"),2023)</f>
        <v>2023</v>
      </c>
      <c r="J1181" s="5">
        <f ca="1">ROUND((5000+G1181*30),-2)</f>
        <v>8500</v>
      </c>
      <c r="K1181" s="12" t="s">
        <v>4838</v>
      </c>
      <c r="L1181" s="15" t="s">
        <v>4839</v>
      </c>
    </row>
    <row r="1182" spans="1:12" ht="202.5">
      <c r="A1182" s="8" t="s">
        <v>4840</v>
      </c>
      <c r="B1182" s="9" t="s">
        <v>12</v>
      </c>
      <c r="C1182" s="10" t="s">
        <v>443</v>
      </c>
      <c r="D1182" s="10" t="s">
        <v>4841</v>
      </c>
      <c r="E1182" s="22" t="s">
        <v>4842</v>
      </c>
      <c r="F1182" s="22" t="s">
        <v>4843</v>
      </c>
      <c r="G1182" s="12">
        <f ca="1">IFERROR(__xludf.DUMMYFUNCTION(" VLOOKUP(A1179, IMPORTRANGE(""https://docs.google.com/spreadsheets/d/1fj_Bhi2XPL3siwIh4sx4VRLAe31yD50oKdj5UlRYW0c/"", ""Сводка!A:AA""), 5, FALSE)"),176)</f>
        <v>176</v>
      </c>
      <c r="H1182" s="10" t="s">
        <v>4844</v>
      </c>
      <c r="I1182" s="10">
        <f ca="1">IFERROR(__xludf.DUMMYFUNCTION(" VLOOKUP(A1179, IMPORTRANGE(""https://docs.google.com/spreadsheets/d/1QNLbnkR_AongFt22vMfNzfpjZ0CjpI8QI-w0wBnYA1w/"", ""Инфа!A:AA""), 6, FALSE)"),2024)</f>
        <v>2024</v>
      </c>
      <c r="J1182" s="5">
        <f ca="1">ROUND((5000+G1182*60),-2)</f>
        <v>15600</v>
      </c>
      <c r="K1182" s="10" t="s">
        <v>4845</v>
      </c>
      <c r="L1182" s="23" t="s">
        <v>4846</v>
      </c>
    </row>
    <row r="1183" spans="1:12" ht="236.25">
      <c r="A1183" s="8" t="s">
        <v>4847</v>
      </c>
      <c r="B1183" s="9" t="s">
        <v>12</v>
      </c>
      <c r="C1183" s="10" t="s">
        <v>151</v>
      </c>
      <c r="D1183" s="10" t="str">
        <f ca="1">IFERROR(__xludf.DUMMYFUNCTION(" VLOOKUP(A1180, IMPORTRANGE(""https://docs.google.com/spreadsheets/d/1fj_Bhi2XPL3siwIh4sx4VRLAe31yD50oKdj5UlRYW0c/"", ""Сводка!A:AA""), 11, FALSE)"),"978-601-310-754-7")</f>
        <v>978-601-310-754-7</v>
      </c>
      <c r="E1183" s="11" t="s">
        <v>4848</v>
      </c>
      <c r="F1183" s="11" t="s">
        <v>4849</v>
      </c>
      <c r="G1183" s="12">
        <f ca="1">IFERROR(__xludf.DUMMYFUNCTION(" VLOOKUP(A1180, IMPORTRANGE(""https://docs.google.com/spreadsheets/d/1fj_Bhi2XPL3siwIh4sx4VRLAe31yD50oKdj5UlRYW0c/"", ""Сводка!A:AA""), 5, FALSE)"),320)</f>
        <v>320</v>
      </c>
      <c r="H1183" s="12" t="s">
        <v>106</v>
      </c>
      <c r="I1183" s="10">
        <f ca="1">IFERROR(__xludf.DUMMYFUNCTION(" VLOOKUP(A1180, IMPORTRANGE(""https://docs.google.com/spreadsheets/d/1QNLbnkR_AongFt22vMfNzfpjZ0CjpI8QI-w0wBnYA1w/"", ""Инфа!A:AA""), 6, FALSE)"),2024)</f>
        <v>2024</v>
      </c>
      <c r="J1183" s="5">
        <f ca="1">ROUND((5000+G1183*60),-2)</f>
        <v>24200</v>
      </c>
      <c r="K1183" s="12" t="s">
        <v>440</v>
      </c>
      <c r="L1183" s="15" t="s">
        <v>4850</v>
      </c>
    </row>
    <row r="1184" spans="1:12" ht="168.75">
      <c r="A1184" s="8" t="s">
        <v>4851</v>
      </c>
      <c r="B1184" s="9" t="s">
        <v>12</v>
      </c>
      <c r="C1184" s="10" t="s">
        <v>443</v>
      </c>
      <c r="D1184" s="10" t="str">
        <f ca="1">IFERROR(__xludf.DUMMYFUNCTION(" VLOOKUP(A1181, IMPORTRANGE(""https://docs.google.com/spreadsheets/d/1fj_Bhi2XPL3siwIh4sx4VRLAe31yD50oKdj5UlRYW0c/"", ""Сводка!A:AA""), 11, FALSE)"),"978-601-330-069-6")</f>
        <v>978-601-330-069-6</v>
      </c>
      <c r="E1184" s="22" t="s">
        <v>4852</v>
      </c>
      <c r="F1184" s="22" t="s">
        <v>4853</v>
      </c>
      <c r="G1184" s="12">
        <f ca="1">IFERROR(__xludf.DUMMYFUNCTION(" VLOOKUP(A1181, IMPORTRANGE(""https://docs.google.com/spreadsheets/d/1fj_Bhi2XPL3siwIh4sx4VRLAe31yD50oKdj5UlRYW0c/"", ""Сводка!A:AA""), 5, FALSE)"),128)</f>
        <v>128</v>
      </c>
      <c r="H1184" s="10" t="s">
        <v>538</v>
      </c>
      <c r="I1184" s="10">
        <f ca="1">IFERROR(__xludf.DUMMYFUNCTION(" VLOOKUP(A1181, IMPORTRANGE(""https://docs.google.com/spreadsheets/d/1QNLbnkR_AongFt22vMfNzfpjZ0CjpI8QI-w0wBnYA1w/"", ""Инфа!A:AA""), 6, FALSE)"),2024)</f>
        <v>2024</v>
      </c>
      <c r="J1184" s="5">
        <f ca="1">ROUND((5000+G1184*60),-2)</f>
        <v>12700</v>
      </c>
      <c r="K1184" s="12" t="s">
        <v>4854</v>
      </c>
      <c r="L1184" s="15" t="s">
        <v>4855</v>
      </c>
    </row>
    <row r="1185" spans="1:12" ht="123.75">
      <c r="A1185" s="8" t="s">
        <v>4856</v>
      </c>
      <c r="B1185" s="9" t="s">
        <v>12</v>
      </c>
      <c r="C1185" s="10" t="s">
        <v>443</v>
      </c>
      <c r="D1185" s="10" t="s">
        <v>4857</v>
      </c>
      <c r="E1185" s="22" t="s">
        <v>4858</v>
      </c>
      <c r="F1185" s="22" t="s">
        <v>4859</v>
      </c>
      <c r="G1185" s="12">
        <f ca="1">IFERROR(__xludf.DUMMYFUNCTION(" VLOOKUP(A1182, IMPORTRANGE(""https://docs.google.com/spreadsheets/d/1fj_Bhi2XPL3siwIh4sx4VRLAe31yD50oKdj5UlRYW0c/"", ""Сводка!A:AA""), 5, FALSE)"),208)</f>
        <v>208</v>
      </c>
      <c r="H1185" s="10" t="s">
        <v>538</v>
      </c>
      <c r="I1185" s="10">
        <f ca="1">IFERROR(__xludf.DUMMYFUNCTION(" VLOOKUP(A1182, IMPORTRANGE(""https://docs.google.com/spreadsheets/d/1QNLbnkR_AongFt22vMfNzfpjZ0CjpI8QI-w0wBnYA1w/"", ""Инфа!A:AA""), 6, FALSE)"),2024)</f>
        <v>2024</v>
      </c>
      <c r="J1185" s="5">
        <f ca="1">ROUND((5000+G1185*30),-2)</f>
        <v>11200</v>
      </c>
      <c r="K1185" s="12" t="s">
        <v>865</v>
      </c>
      <c r="L1185" s="15" t="s">
        <v>4860</v>
      </c>
    </row>
    <row r="1186" spans="1:12" ht="213.75">
      <c r="A1186" s="8" t="s">
        <v>4861</v>
      </c>
      <c r="B1186" s="9" t="s">
        <v>12</v>
      </c>
      <c r="C1186" s="10" t="s">
        <v>443</v>
      </c>
      <c r="D1186" s="10" t="str">
        <f ca="1">IFERROR(__xludf.DUMMYFUNCTION(" VLOOKUP(A1183, IMPORTRANGE(""https://docs.google.com/spreadsheets/d/1fj_Bhi2XPL3siwIh4sx4VRLAe31yD50oKdj5UlRYW0c/"", ""Сводка!A:AA""), 11, FALSE)"),"")</f>
        <v/>
      </c>
      <c r="E1186" s="22" t="s">
        <v>4862</v>
      </c>
      <c r="F1186" s="22" t="s">
        <v>4863</v>
      </c>
      <c r="G1186" s="12">
        <f ca="1">IFERROR(__xludf.DUMMYFUNCTION(" VLOOKUP(A1183, IMPORTRANGE(""https://docs.google.com/spreadsheets/d/1fj_Bhi2XPL3siwIh4sx4VRLAe31yD50oKdj5UlRYW0c/"", ""Сводка!A:AA""), 5, FALSE)"),256)</f>
        <v>256</v>
      </c>
      <c r="H1186" s="10" t="s">
        <v>538</v>
      </c>
      <c r="I1186" s="10">
        <f ca="1">IFERROR(__xludf.DUMMYFUNCTION(" VLOOKUP(A1183, IMPORTRANGE(""https://docs.google.com/spreadsheets/d/1QNLbnkR_AongFt22vMfNzfpjZ0CjpI8QI-w0wBnYA1w/"", ""Инфа!A:AA""), 6, FALSE)"),2024)</f>
        <v>2024</v>
      </c>
      <c r="J1186" s="5">
        <f ca="1">ROUND((5000+G1186*30),-2)</f>
        <v>12700</v>
      </c>
      <c r="K1186" s="12" t="s">
        <v>865</v>
      </c>
      <c r="L1186" s="15" t="s">
        <v>4864</v>
      </c>
    </row>
    <row r="1187" spans="1:12" ht="157.5">
      <c r="A1187" s="8" t="s">
        <v>4865</v>
      </c>
      <c r="B1187" s="9" t="s">
        <v>12</v>
      </c>
      <c r="C1187" s="10" t="s">
        <v>443</v>
      </c>
      <c r="D1187" s="10" t="str">
        <f ca="1">IFERROR(__xludf.DUMMYFUNCTION(" VLOOKUP(A1184, IMPORTRANGE(""https://docs.google.com/spreadsheets/d/1fj_Bhi2XPL3siwIh4sx4VRLAe31yD50oKdj5UlRYW0c/"", ""Сводка!A:AA""), 11, FALSE)"),"978-601-330-185-3")</f>
        <v>978-601-330-185-3</v>
      </c>
      <c r="E1187" s="22" t="s">
        <v>4866</v>
      </c>
      <c r="F1187" s="22" t="s">
        <v>4867</v>
      </c>
      <c r="G1187" s="12">
        <f ca="1">IFERROR(__xludf.DUMMYFUNCTION(" VLOOKUP(A1184, IMPORTRANGE(""https://docs.google.com/spreadsheets/d/1fj_Bhi2XPL3siwIh4sx4VRLAe31yD50oKdj5UlRYW0c/"", ""Сводка!A:AA""), 5, FALSE)"),244)</f>
        <v>244</v>
      </c>
      <c r="H1187" s="10" t="s">
        <v>538</v>
      </c>
      <c r="I1187" s="10">
        <f ca="1">IFERROR(__xludf.DUMMYFUNCTION(" VLOOKUP(A1184, IMPORTRANGE(""https://docs.google.com/spreadsheets/d/1QNLbnkR_AongFt22vMfNzfpjZ0CjpI8QI-w0wBnYA1w/"", ""Инфа!A:AA""), 6, FALSE)"),2023)</f>
        <v>2023</v>
      </c>
      <c r="J1187" s="5">
        <f ca="1">ROUND((5000+G1187*60),-2)</f>
        <v>19600</v>
      </c>
      <c r="K1187" s="12" t="s">
        <v>2185</v>
      </c>
      <c r="L1187" s="15" t="s">
        <v>4868</v>
      </c>
    </row>
    <row r="1188" spans="1:12" ht="157.5">
      <c r="A1188" s="8" t="s">
        <v>4869</v>
      </c>
      <c r="B1188" s="9" t="s">
        <v>12</v>
      </c>
      <c r="C1188" s="12" t="s">
        <v>151</v>
      </c>
      <c r="D1188" s="10" t="s">
        <v>4870</v>
      </c>
      <c r="E1188" s="11" t="s">
        <v>4871</v>
      </c>
      <c r="F1188" s="11" t="s">
        <v>4872</v>
      </c>
      <c r="G1188" s="12">
        <f ca="1">IFERROR(__xludf.DUMMYFUNCTION(" VLOOKUP(A1185, IMPORTRANGE(""https://docs.google.com/spreadsheets/d/1fj_Bhi2XPL3siwIh4sx4VRLAe31yD50oKdj5UlRYW0c/"", ""Сводка!A:AA""), 5, FALSE)"),108)</f>
        <v>108</v>
      </c>
      <c r="H1188" s="12" t="s">
        <v>165</v>
      </c>
      <c r="I1188" s="10">
        <f ca="1">IFERROR(__xludf.DUMMYFUNCTION(" VLOOKUP(A1185, IMPORTRANGE(""https://docs.google.com/spreadsheets/d/1QNLbnkR_AongFt22vMfNzfpjZ0CjpI8QI-w0wBnYA1w/"", ""Инфа!A:AA""), 6, FALSE)"),2024)</f>
        <v>2024</v>
      </c>
      <c r="J1188" s="5">
        <f ca="1">ROUND((5000+G1188*60),-2)</f>
        <v>11500</v>
      </c>
      <c r="K1188" s="12" t="s">
        <v>4873</v>
      </c>
      <c r="L1188" s="15" t="s">
        <v>4874</v>
      </c>
    </row>
    <row r="1189" spans="1:12" ht="303.75">
      <c r="A1189" s="8" t="s">
        <v>4875</v>
      </c>
      <c r="B1189" s="9" t="s">
        <v>12</v>
      </c>
      <c r="C1189" s="12" t="s">
        <v>151</v>
      </c>
      <c r="D1189" s="10" t="s">
        <v>4876</v>
      </c>
      <c r="E1189" s="11" t="s">
        <v>4871</v>
      </c>
      <c r="F1189" s="11" t="s">
        <v>4877</v>
      </c>
      <c r="G1189" s="12">
        <f ca="1">IFERROR(__xludf.DUMMYFUNCTION(" VLOOKUP(A1186, IMPORTRANGE(""https://docs.google.com/spreadsheets/d/1fj_Bhi2XPL3siwIh4sx4VRLAe31yD50oKdj5UlRYW0c/"", ""Сводка!A:AA""), 5, FALSE)"),260)</f>
        <v>260</v>
      </c>
      <c r="H1189" s="12" t="s">
        <v>282</v>
      </c>
      <c r="I1189" s="10">
        <f ca="1">IFERROR(__xludf.DUMMYFUNCTION(" VLOOKUP(A1186, IMPORTRANGE(""https://docs.google.com/spreadsheets/d/1QNLbnkR_AongFt22vMfNzfpjZ0CjpI8QI-w0wBnYA1w/"", ""Инфа!A:AA""), 6, FALSE)"),2023)</f>
        <v>2023</v>
      </c>
      <c r="J1189" s="5">
        <f t="shared" ref="J1189:J1194" ca="1" si="35">ROUND((5000+G1189*30),-2)</f>
        <v>12800</v>
      </c>
      <c r="K1189" s="12" t="s">
        <v>277</v>
      </c>
      <c r="L1189" s="15" t="s">
        <v>4878</v>
      </c>
    </row>
    <row r="1190" spans="1:12" ht="281.25">
      <c r="A1190" s="8" t="s">
        <v>4879</v>
      </c>
      <c r="B1190" s="9" t="s">
        <v>12</v>
      </c>
      <c r="C1190" s="12" t="s">
        <v>13</v>
      </c>
      <c r="D1190" s="10" t="s">
        <v>4880</v>
      </c>
      <c r="E1190" s="11" t="s">
        <v>4881</v>
      </c>
      <c r="F1190" s="11" t="s">
        <v>4882</v>
      </c>
      <c r="G1190" s="12">
        <f ca="1">IFERROR(__xludf.DUMMYFUNCTION(" VLOOKUP(A1187, IMPORTRANGE(""https://docs.google.com/spreadsheets/d/1fj_Bhi2XPL3siwIh4sx4VRLAe31yD50oKdj5UlRYW0c/"", ""Сводка!A:AA""), 5, FALSE)"),88)</f>
        <v>88</v>
      </c>
      <c r="H1190" s="12" t="s">
        <v>42</v>
      </c>
      <c r="I1190" s="10">
        <f ca="1">IFERROR(__xludf.DUMMYFUNCTION(" VLOOKUP(A1187, IMPORTRANGE(""https://docs.google.com/spreadsheets/d/1QNLbnkR_AongFt22vMfNzfpjZ0CjpI8QI-w0wBnYA1w/"", ""Инфа!A:AA""), 6, FALSE)"),2024)</f>
        <v>2024</v>
      </c>
      <c r="J1190" s="5">
        <f t="shared" ca="1" si="35"/>
        <v>7600</v>
      </c>
      <c r="K1190" s="12" t="s">
        <v>4883</v>
      </c>
      <c r="L1190" s="15" t="s">
        <v>4884</v>
      </c>
    </row>
    <row r="1191" spans="1:12" ht="281.25">
      <c r="A1191" s="8" t="s">
        <v>4885</v>
      </c>
      <c r="B1191" s="9" t="s">
        <v>12</v>
      </c>
      <c r="C1191" s="12" t="s">
        <v>13</v>
      </c>
      <c r="D1191" s="10" t="str">
        <f ca="1">IFERROR(__xludf.DUMMYFUNCTION(" VLOOKUP(A1188, IMPORTRANGE(""https://docs.google.com/spreadsheets/d/1fj_Bhi2XPL3siwIh4sx4VRLAe31yD50oKdj5UlRYW0c/"", ""Сводка!A:AA""), 11, FALSE)"),"978-601-330-219-5")</f>
        <v>978-601-330-219-5</v>
      </c>
      <c r="E1191" s="11" t="s">
        <v>4886</v>
      </c>
      <c r="F1191" s="11" t="s">
        <v>4887</v>
      </c>
      <c r="G1191" s="12">
        <f ca="1">IFERROR(__xludf.DUMMYFUNCTION(" VLOOKUP(A1188, IMPORTRANGE(""https://docs.google.com/spreadsheets/d/1fj_Bhi2XPL3siwIh4sx4VRLAe31yD50oKdj5UlRYW0c/"", ""Сводка!A:AA""), 5, FALSE)"),324)</f>
        <v>324</v>
      </c>
      <c r="H1191" s="12" t="s">
        <v>42</v>
      </c>
      <c r="I1191" s="10">
        <f ca="1">IFERROR(__xludf.DUMMYFUNCTION(" VLOOKUP(A1188, IMPORTRANGE(""https://docs.google.com/spreadsheets/d/1QNLbnkR_AongFt22vMfNzfpjZ0CjpI8QI-w0wBnYA1w/"", ""Инфа!A:AA""), 6, FALSE)"),2023)</f>
        <v>2023</v>
      </c>
      <c r="J1191" s="5">
        <f t="shared" ca="1" si="35"/>
        <v>14700</v>
      </c>
      <c r="K1191" s="12" t="s">
        <v>4883</v>
      </c>
      <c r="L1191" s="15" t="s">
        <v>4888</v>
      </c>
    </row>
    <row r="1192" spans="1:12" ht="146.25">
      <c r="A1192" s="8" t="s">
        <v>4889</v>
      </c>
      <c r="B1192" s="9" t="s">
        <v>12</v>
      </c>
      <c r="C1192" s="12" t="s">
        <v>443</v>
      </c>
      <c r="D1192" s="10" t="str">
        <f ca="1">IFERROR(__xludf.DUMMYFUNCTION(" VLOOKUP(A1189, IMPORTRANGE(""https://docs.google.com/spreadsheets/d/1fj_Bhi2XPL3siwIh4sx4VRLAe31yD50oKdj5UlRYW0c/"", ""Сводка!A:AA""), 11, FALSE)"),"978-601-330-268-3")</f>
        <v>978-601-330-268-3</v>
      </c>
      <c r="E1192" s="11" t="s">
        <v>4890</v>
      </c>
      <c r="F1192" s="11" t="s">
        <v>4891</v>
      </c>
      <c r="G1192" s="12">
        <f ca="1">IFERROR(__xludf.DUMMYFUNCTION(" VLOOKUP(A1189, IMPORTRANGE(""https://docs.google.com/spreadsheets/d/1fj_Bhi2XPL3siwIh4sx4VRLAe31yD50oKdj5UlRYW0c/"", ""Сводка!A:AA""), 5, FALSE)"),284)</f>
        <v>284</v>
      </c>
      <c r="H1192" s="12" t="s">
        <v>538</v>
      </c>
      <c r="I1192" s="10">
        <f ca="1">IFERROR(__xludf.DUMMYFUNCTION(" VLOOKUP(A1189, IMPORTRANGE(""https://docs.google.com/spreadsheets/d/1QNLbnkR_AongFt22vMfNzfpjZ0CjpI8QI-w0wBnYA1w/"", ""Инфа!A:AA""), 6, FALSE)"),2023)</f>
        <v>2023</v>
      </c>
      <c r="J1192" s="5">
        <f t="shared" ca="1" si="35"/>
        <v>13500</v>
      </c>
      <c r="K1192" s="12" t="s">
        <v>139</v>
      </c>
      <c r="L1192" s="15" t="s">
        <v>4892</v>
      </c>
    </row>
    <row r="1193" spans="1:12" ht="168.75">
      <c r="A1193" s="8" t="s">
        <v>4893</v>
      </c>
      <c r="B1193" s="9" t="s">
        <v>12</v>
      </c>
      <c r="C1193" s="12" t="s">
        <v>443</v>
      </c>
      <c r="D1193" s="10" t="str">
        <f ca="1">IFERROR(__xludf.DUMMYFUNCTION(" VLOOKUP(A1190, IMPORTRANGE(""https://docs.google.com/spreadsheets/d/1fj_Bhi2XPL3siwIh4sx4VRLAe31yD50oKdj5UlRYW0c/"", ""Сводка!A:AA""), 11, FALSE)"),"978-601-330-269-0")</f>
        <v>978-601-330-269-0</v>
      </c>
      <c r="E1193" s="11" t="s">
        <v>4890</v>
      </c>
      <c r="F1193" s="11" t="s">
        <v>4894</v>
      </c>
      <c r="G1193" s="12">
        <f ca="1">IFERROR(__xludf.DUMMYFUNCTION(" VLOOKUP(A1190, IMPORTRANGE(""https://docs.google.com/spreadsheets/d/1fj_Bhi2XPL3siwIh4sx4VRLAe31yD50oKdj5UlRYW0c/"", ""Сводка!A:AA""), 5, FALSE)"),244)</f>
        <v>244</v>
      </c>
      <c r="H1193" s="12" t="s">
        <v>538</v>
      </c>
      <c r="I1193" s="10">
        <f ca="1">IFERROR(__xludf.DUMMYFUNCTION(" VLOOKUP(A1190, IMPORTRANGE(""https://docs.google.com/spreadsheets/d/1QNLbnkR_AongFt22vMfNzfpjZ0CjpI8QI-w0wBnYA1w/"", ""Инфа!A:AA""), 6, FALSE)"),2023)</f>
        <v>2023</v>
      </c>
      <c r="J1193" s="5">
        <f t="shared" ca="1" si="35"/>
        <v>12300</v>
      </c>
      <c r="K1193" s="12" t="s">
        <v>139</v>
      </c>
      <c r="L1193" s="15" t="s">
        <v>4895</v>
      </c>
    </row>
    <row r="1194" spans="1:12" ht="123.75">
      <c r="A1194" s="8" t="s">
        <v>4896</v>
      </c>
      <c r="B1194" s="9" t="s">
        <v>12</v>
      </c>
      <c r="C1194" s="12" t="s">
        <v>443</v>
      </c>
      <c r="D1194" s="10" t="str">
        <f ca="1">IFERROR(__xludf.DUMMYFUNCTION(" VLOOKUP(A1191, IMPORTRANGE(""https://docs.google.com/spreadsheets/d/1fj_Bhi2XPL3siwIh4sx4VRLAe31yD50oKdj5UlRYW0c/"", ""Сводка!A:AA""), 11, FALSE)"),"978-601-760-152-4")</f>
        <v>978-601-760-152-4</v>
      </c>
      <c r="E1194" s="11" t="s">
        <v>4897</v>
      </c>
      <c r="F1194" s="11" t="s">
        <v>4898</v>
      </c>
      <c r="G1194" s="12">
        <f ca="1">IFERROR(__xludf.DUMMYFUNCTION(" VLOOKUP(A1191, IMPORTRANGE(""https://docs.google.com/spreadsheets/d/1fj_Bhi2XPL3siwIh4sx4VRLAe31yD50oKdj5UlRYW0c/"", ""Сводка!A:AA""), 5, FALSE)"),312)</f>
        <v>312</v>
      </c>
      <c r="H1194" s="12" t="s">
        <v>538</v>
      </c>
      <c r="I1194" s="10">
        <f ca="1">IFERROR(__xludf.DUMMYFUNCTION(" VLOOKUP(A1191, IMPORTRANGE(""https://docs.google.com/spreadsheets/d/1QNLbnkR_AongFt22vMfNzfpjZ0CjpI8QI-w0wBnYA1w/"", ""Инфа!A:AA""), 6, FALSE)"),2024)</f>
        <v>2024</v>
      </c>
      <c r="J1194" s="5">
        <f t="shared" ca="1" si="35"/>
        <v>14400</v>
      </c>
      <c r="K1194" s="12" t="s">
        <v>1387</v>
      </c>
      <c r="L1194" s="15" t="s">
        <v>4899</v>
      </c>
    </row>
    <row r="1195" spans="1:12" ht="90">
      <c r="A1195" s="8" t="s">
        <v>4900</v>
      </c>
      <c r="B1195" s="9" t="s">
        <v>12</v>
      </c>
      <c r="C1195" s="12" t="s">
        <v>443</v>
      </c>
      <c r="D1195" s="10" t="str">
        <f ca="1">IFERROR(__xludf.DUMMYFUNCTION(" VLOOKUP(A1192, IMPORTRANGE(""https://docs.google.com/spreadsheets/d/1fj_Bhi2XPL3siwIh4sx4VRLAe31yD50oKdj5UlRYW0c/"", ""Сводка!A:AA""), 11, FALSE)"),"978-601-330-192-1")</f>
        <v>978-601-330-192-1</v>
      </c>
      <c r="E1195" s="11" t="s">
        <v>4901</v>
      </c>
      <c r="F1195" s="11" t="s">
        <v>4902</v>
      </c>
      <c r="G1195" s="12">
        <f ca="1">IFERROR(__xludf.DUMMYFUNCTION(" VLOOKUP(A1192, IMPORTRANGE(""https://docs.google.com/spreadsheets/d/1fj_Bhi2XPL3siwIh4sx4VRLAe31yD50oKdj5UlRYW0c/"", ""Сводка!A:AA""), 5, FALSE)"),208)</f>
        <v>208</v>
      </c>
      <c r="H1195" s="12" t="s">
        <v>4903</v>
      </c>
      <c r="I1195" s="10">
        <f ca="1">IFERROR(__xludf.DUMMYFUNCTION(" VLOOKUP(A1192, IMPORTRANGE(""https://docs.google.com/spreadsheets/d/1QNLbnkR_AongFt22vMfNzfpjZ0CjpI8QI-w0wBnYA1w/"", ""Инфа!A:AA""), 6, FALSE)"),2023)</f>
        <v>2023</v>
      </c>
      <c r="J1195" s="5">
        <f ca="1">ROUND(((5000+G1195*30)*1.3),-2)</f>
        <v>14600</v>
      </c>
      <c r="K1195" s="12" t="s">
        <v>213</v>
      </c>
      <c r="L1195" s="15" t="s">
        <v>4904</v>
      </c>
    </row>
    <row r="1196" spans="1:12" ht="225">
      <c r="A1196" s="8" t="s">
        <v>4905</v>
      </c>
      <c r="B1196" s="9" t="s">
        <v>12</v>
      </c>
      <c r="C1196" s="12" t="s">
        <v>151</v>
      </c>
      <c r="D1196" s="10" t="str">
        <f ca="1">IFERROR(__xludf.DUMMYFUNCTION(" VLOOKUP(A1193, IMPORTRANGE(""https://docs.google.com/spreadsheets/d/1fj_Bhi2XPL3siwIh4sx4VRLAe31yD50oKdj5UlRYW0c/"", ""Сводка!A:AA""), 11, FALSE)"),"978-601-330-104-4")</f>
        <v>978-601-330-104-4</v>
      </c>
      <c r="E1196" s="11" t="s">
        <v>4906</v>
      </c>
      <c r="F1196" s="11" t="s">
        <v>4907</v>
      </c>
      <c r="G1196" s="12">
        <f ca="1">IFERROR(__xludf.DUMMYFUNCTION(" VLOOKUP(A1193, IMPORTRANGE(""https://docs.google.com/spreadsheets/d/1fj_Bhi2XPL3siwIh4sx4VRLAe31yD50oKdj5UlRYW0c/"", ""Сводка!A:AA""), 5, FALSE)"),160)</f>
        <v>160</v>
      </c>
      <c r="H1196" s="12" t="s">
        <v>106</v>
      </c>
      <c r="I1196" s="10">
        <f ca="1">IFERROR(__xludf.DUMMYFUNCTION(" VLOOKUP(A1193, IMPORTRANGE(""https://docs.google.com/spreadsheets/d/1QNLbnkR_AongFt22vMfNzfpjZ0CjpI8QI-w0wBnYA1w/"", ""Инфа!A:AA""), 6, FALSE)"),2024)</f>
        <v>2024</v>
      </c>
      <c r="J1196" s="5">
        <f ca="1">ROUND((5000+G1196*30),-2)</f>
        <v>9800</v>
      </c>
      <c r="K1196" s="12" t="s">
        <v>4908</v>
      </c>
      <c r="L1196" s="15" t="s">
        <v>4909</v>
      </c>
    </row>
    <row r="1197" spans="1:12" ht="225">
      <c r="A1197" s="8" t="s">
        <v>4910</v>
      </c>
      <c r="B1197" s="9" t="s">
        <v>12</v>
      </c>
      <c r="C1197" s="12" t="s">
        <v>151</v>
      </c>
      <c r="D1197" s="10" t="str">
        <f ca="1">IFERROR(__xludf.DUMMYFUNCTION(" VLOOKUP(A1194, IMPORTRANGE(""https://docs.google.com/spreadsheets/d/1fj_Bhi2XPL3siwIh4sx4VRLAe31yD50oKdj5UlRYW0c/"", ""Сводка!A:AA""), 11, FALSE)"),"978-601-330-578-3")</f>
        <v>978-601-330-578-3</v>
      </c>
      <c r="E1197" s="11" t="s">
        <v>4911</v>
      </c>
      <c r="F1197" s="11" t="s">
        <v>4912</v>
      </c>
      <c r="G1197" s="12">
        <f ca="1">IFERROR(__xludf.DUMMYFUNCTION(" VLOOKUP(A1194, IMPORTRANGE(""https://docs.google.com/spreadsheets/d/1fj_Bhi2XPL3siwIh4sx4VRLAe31yD50oKdj5UlRYW0c/"", ""Сводка!A:AA""), 5, FALSE)"),152)</f>
        <v>152</v>
      </c>
      <c r="H1197" s="12" t="s">
        <v>165</v>
      </c>
      <c r="I1197" s="10">
        <f ca="1">IFERROR(__xludf.DUMMYFUNCTION(" VLOOKUP(A1194, IMPORTRANGE(""https://docs.google.com/spreadsheets/d/1QNLbnkR_AongFt22vMfNzfpjZ0CjpI8QI-w0wBnYA1w/"", ""Инфа!A:AA""), 6, FALSE)"),2024)</f>
        <v>2024</v>
      </c>
      <c r="J1197" s="5">
        <f ca="1">ROUND((5000+G1197*30),-2)</f>
        <v>9600</v>
      </c>
      <c r="K1197" s="12" t="s">
        <v>4913</v>
      </c>
      <c r="L1197" s="15" t="s">
        <v>4914</v>
      </c>
    </row>
    <row r="1198" spans="1:12" ht="247.5">
      <c r="A1198" s="8" t="s">
        <v>4915</v>
      </c>
      <c r="B1198" s="9" t="s">
        <v>12</v>
      </c>
      <c r="C1198" s="12" t="s">
        <v>443</v>
      </c>
      <c r="D1198" s="10" t="str">
        <f ca="1">IFERROR(__xludf.DUMMYFUNCTION(" VLOOKUP(A1195, IMPORTRANGE(""https://docs.google.com/spreadsheets/d/1fj_Bhi2XPL3siwIh4sx4VRLAe31yD50oKdj5UlRYW0c/"", ""Сводка!A:AA""), 11, FALSE)"),"9965-31-371-7")</f>
        <v>9965-31-371-7</v>
      </c>
      <c r="E1198" s="11" t="s">
        <v>4911</v>
      </c>
      <c r="F1198" s="11" t="s">
        <v>4916</v>
      </c>
      <c r="G1198" s="12">
        <f ca="1">IFERROR(__xludf.DUMMYFUNCTION(" VLOOKUP(A1195, IMPORTRANGE(""https://docs.google.com/spreadsheets/d/1fj_Bhi2XPL3siwIh4sx4VRLAe31yD50oKdj5UlRYW0c/"", ""Сводка!A:AA""), 5, FALSE)"),140)</f>
        <v>140</v>
      </c>
      <c r="H1198" s="12" t="s">
        <v>538</v>
      </c>
      <c r="I1198" s="10">
        <f ca="1">IFERROR(__xludf.DUMMYFUNCTION(" VLOOKUP(A1195, IMPORTRANGE(""https://docs.google.com/spreadsheets/d/1QNLbnkR_AongFt22vMfNzfpjZ0CjpI8QI-w0wBnYA1w/"", ""Инфа!A:AA""), 6, FALSE)"),2024)</f>
        <v>2024</v>
      </c>
      <c r="J1198" s="5">
        <f ca="1">ROUND((5000+G1198*30),-2)</f>
        <v>9200</v>
      </c>
      <c r="K1198" s="12" t="s">
        <v>4913</v>
      </c>
      <c r="L1198" s="15" t="s">
        <v>4917</v>
      </c>
    </row>
    <row r="1199" spans="1:12" ht="135">
      <c r="A1199" s="8" t="s">
        <v>4918</v>
      </c>
      <c r="B1199" s="9" t="s">
        <v>12</v>
      </c>
      <c r="C1199" s="12" t="s">
        <v>443</v>
      </c>
      <c r="D1199" s="10" t="s">
        <v>4919</v>
      </c>
      <c r="E1199" s="11" t="s">
        <v>4920</v>
      </c>
      <c r="F1199" s="11" t="s">
        <v>4921</v>
      </c>
      <c r="G1199" s="12">
        <f ca="1">IFERROR(__xludf.DUMMYFUNCTION(" VLOOKUP(A1196, IMPORTRANGE(""https://docs.google.com/spreadsheets/d/1fj_Bhi2XPL3siwIh4sx4VRLAe31yD50oKdj5UlRYW0c/"", ""Сводка!A:AA""), 5, FALSE)"),128)</f>
        <v>128</v>
      </c>
      <c r="H1199" s="12" t="s">
        <v>538</v>
      </c>
      <c r="I1199" s="10">
        <f ca="1">IFERROR(__xludf.DUMMYFUNCTION(" VLOOKUP(A1196, IMPORTRANGE(""https://docs.google.com/spreadsheets/d/1QNLbnkR_AongFt22vMfNzfpjZ0CjpI8QI-w0wBnYA1w/"", ""Инфа!A:AA""), 6, FALSE)"),2024)</f>
        <v>2024</v>
      </c>
      <c r="J1199" s="5">
        <f ca="1">ROUND((5000+G1199*30),-2)</f>
        <v>8800</v>
      </c>
      <c r="K1199" s="12" t="s">
        <v>4922</v>
      </c>
      <c r="L1199" s="15" t="s">
        <v>4923</v>
      </c>
    </row>
    <row r="1200" spans="1:12" ht="157.5">
      <c r="A1200" s="8" t="s">
        <v>4924</v>
      </c>
      <c r="B1200" s="9" t="s">
        <v>12</v>
      </c>
      <c r="C1200" s="12" t="s">
        <v>443</v>
      </c>
      <c r="D1200" s="40" t="s">
        <v>4925</v>
      </c>
      <c r="E1200" s="11" t="s">
        <v>4926</v>
      </c>
      <c r="F1200" s="11" t="s">
        <v>4927</v>
      </c>
      <c r="G1200" s="12">
        <f ca="1">IFERROR(__xludf.DUMMYFUNCTION(" VLOOKUP(A1197, IMPORTRANGE(""https://docs.google.com/spreadsheets/d/1fj_Bhi2XPL3siwIh4sx4VRLAe31yD50oKdj5UlRYW0c/"", ""Сводка!A:AA""), 5, FALSE)"),184)</f>
        <v>184</v>
      </c>
      <c r="H1200" s="12" t="s">
        <v>4928</v>
      </c>
      <c r="I1200" s="10">
        <f ca="1">IFERROR(__xludf.DUMMYFUNCTION(" VLOOKUP(A1197, IMPORTRANGE(""https://docs.google.com/spreadsheets/d/1QNLbnkR_AongFt22vMfNzfpjZ0CjpI8QI-w0wBnYA1w/"", ""Инфа!A:AA""), 6, FALSE)"),2024)</f>
        <v>2024</v>
      </c>
      <c r="J1200" s="5">
        <f ca="1">ROUND((5000+G1200*30),-2)</f>
        <v>10500</v>
      </c>
      <c r="K1200" s="12" t="s">
        <v>4922</v>
      </c>
      <c r="L1200" s="15" t="s">
        <v>4929</v>
      </c>
    </row>
    <row r="1201" spans="1:12" ht="67.5">
      <c r="A1201" s="8" t="s">
        <v>4930</v>
      </c>
      <c r="B1201" s="9" t="s">
        <v>12</v>
      </c>
      <c r="C1201" s="12" t="s">
        <v>443</v>
      </c>
      <c r="D1201" s="10" t="str">
        <f ca="1">IFERROR(__xludf.DUMMYFUNCTION(" VLOOKUP(A1198, IMPORTRANGE(""https://docs.google.com/spreadsheets/d/1fj_Bhi2XPL3siwIh4sx4VRLAe31yD50oKdj5UlRYW0c/"", ""Сводка!A:AA""), 11, FALSE)"),"978-601-330-177-8")</f>
        <v>978-601-330-177-8</v>
      </c>
      <c r="E1201" s="11" t="s">
        <v>4931</v>
      </c>
      <c r="F1201" s="11" t="s">
        <v>4932</v>
      </c>
      <c r="G1201" s="12">
        <f ca="1">IFERROR(__xludf.DUMMYFUNCTION(" VLOOKUP(A1198, IMPORTRANGE(""https://docs.google.com/spreadsheets/d/1fj_Bhi2XPL3siwIh4sx4VRLAe31yD50oKdj5UlRYW0c/"", ""Сводка!A:AA""), 5, FALSE)"),244)</f>
        <v>244</v>
      </c>
      <c r="H1201" s="12" t="s">
        <v>106</v>
      </c>
      <c r="I1201" s="10">
        <f ca="1">IFERROR(__xludf.DUMMYFUNCTION(" VLOOKUP(A1198, IMPORTRANGE(""https://docs.google.com/spreadsheets/d/1QNLbnkR_AongFt22vMfNzfpjZ0CjpI8QI-w0wBnYA1w/"", ""Инфа!A:AA""), 6, FALSE)"),2023)</f>
        <v>2023</v>
      </c>
      <c r="J1201" s="5">
        <f ca="1">ROUND((5000+G1201*60),-2)</f>
        <v>19600</v>
      </c>
      <c r="K1201" s="12" t="s">
        <v>48</v>
      </c>
      <c r="L1201" s="15" t="s">
        <v>4933</v>
      </c>
    </row>
    <row r="1202" spans="1:12" ht="51">
      <c r="A1202" s="8" t="s">
        <v>4934</v>
      </c>
      <c r="B1202" s="9" t="s">
        <v>12</v>
      </c>
      <c r="C1202" s="10" t="s">
        <v>151</v>
      </c>
      <c r="D1202" s="10" t="str">
        <f ca="1">IFERROR(__xludf.DUMMYFUNCTION(" VLOOKUP(A1199, IMPORTRANGE(""https://docs.google.com/spreadsheets/d/1fj_Bhi2XPL3siwIh4sx4VRLAe31yD50oKdj5UlRYW0c/"", ""Сводка!A:AA""), 11, FALSE)"),"")</f>
        <v/>
      </c>
      <c r="E1202" s="25" t="s">
        <v>4935</v>
      </c>
      <c r="F1202" s="25" t="s">
        <v>4936</v>
      </c>
      <c r="G1202" s="26">
        <v>156</v>
      </c>
      <c r="H1202" s="26" t="s">
        <v>106</v>
      </c>
      <c r="I1202" s="10">
        <f ca="1">IFERROR(__xludf.DUMMYFUNCTION(" VLOOKUP(A1199, IMPORTRANGE(""https://docs.google.com/spreadsheets/d/1QNLbnkR_AongFt22vMfNzfpjZ0CjpI8QI-w0wBnYA1w/"", ""Инфа!A:AA""), 6, FALSE)"),2024)</f>
        <v>2024</v>
      </c>
      <c r="J1202" s="5">
        <f>ROUND((5000+G1202*60),-2)</f>
        <v>14400</v>
      </c>
      <c r="K1202" s="12" t="s">
        <v>440</v>
      </c>
      <c r="L1202" s="15"/>
    </row>
    <row r="1203" spans="1:12" ht="157.5">
      <c r="A1203" s="8" t="s">
        <v>4937</v>
      </c>
      <c r="B1203" s="9" t="s">
        <v>12</v>
      </c>
      <c r="C1203" s="12" t="s">
        <v>443</v>
      </c>
      <c r="D1203" s="40" t="s">
        <v>4938</v>
      </c>
      <c r="E1203" s="11" t="s">
        <v>4939</v>
      </c>
      <c r="F1203" s="11" t="s">
        <v>4940</v>
      </c>
      <c r="G1203" s="12">
        <f ca="1">IFERROR(__xludf.DUMMYFUNCTION(" VLOOKUP(A1200, IMPORTRANGE(""https://docs.google.com/spreadsheets/d/1fj_Bhi2XPL3siwIh4sx4VRLAe31yD50oKdj5UlRYW0c/"", ""Сводка!A:AA""), 5, FALSE)"),236)</f>
        <v>236</v>
      </c>
      <c r="H1203" s="12" t="s">
        <v>538</v>
      </c>
      <c r="I1203" s="10">
        <f ca="1">IFERROR(__xludf.DUMMYFUNCTION(" VLOOKUP(A1200, IMPORTRANGE(""https://docs.google.com/spreadsheets/d/1QNLbnkR_AongFt22vMfNzfpjZ0CjpI8QI-w0wBnYA1w/"", ""Инфа!A:AA""), 6, FALSE)"),2024)</f>
        <v>2024</v>
      </c>
      <c r="J1203" s="5">
        <f t="shared" ref="J1203:J1212" ca="1" si="36">ROUND((5000+G1203*30),-2)</f>
        <v>12100</v>
      </c>
      <c r="K1203" s="12" t="s">
        <v>4941</v>
      </c>
      <c r="L1203" s="15" t="s">
        <v>4942</v>
      </c>
    </row>
    <row r="1204" spans="1:12" ht="292.5">
      <c r="A1204" s="8" t="s">
        <v>4943</v>
      </c>
      <c r="B1204" s="9" t="s">
        <v>12</v>
      </c>
      <c r="C1204" s="12" t="s">
        <v>151</v>
      </c>
      <c r="D1204" s="10" t="str">
        <f ca="1">IFERROR(__xludf.DUMMYFUNCTION(" VLOOKUP(A1201, IMPORTRANGE(""https://docs.google.com/spreadsheets/d/1fj_Bhi2XPL3siwIh4sx4VRLAe31yD50oKdj5UlRYW0c/"", ""Сводка!A:AA""), 11, FALSE)"),"978-601-330-785-5")</f>
        <v>978-601-330-785-5</v>
      </c>
      <c r="E1204" s="11" t="s">
        <v>4944</v>
      </c>
      <c r="F1204" s="11" t="s">
        <v>4945</v>
      </c>
      <c r="G1204" s="12">
        <f ca="1">IFERROR(__xludf.DUMMYFUNCTION(" VLOOKUP(A1201, IMPORTRANGE(""https://docs.google.com/spreadsheets/d/1fj_Bhi2XPL3siwIh4sx4VRLAe31yD50oKdj5UlRYW0c/"", ""Сводка!A:AA""), 5, FALSE)"),188)</f>
        <v>188</v>
      </c>
      <c r="H1204" s="12" t="s">
        <v>56</v>
      </c>
      <c r="I1204" s="10">
        <f ca="1">IFERROR(__xludf.DUMMYFUNCTION(" VLOOKUP(A1201, IMPORTRANGE(""https://docs.google.com/spreadsheets/d/1QNLbnkR_AongFt22vMfNzfpjZ0CjpI8QI-w0wBnYA1w/"", ""Инфа!A:AA""), 6, FALSE)"),2024)</f>
        <v>2024</v>
      </c>
      <c r="J1204" s="5">
        <f t="shared" ca="1" si="36"/>
        <v>10600</v>
      </c>
      <c r="K1204" s="12" t="s">
        <v>4946</v>
      </c>
      <c r="L1204" s="15" t="s">
        <v>4947</v>
      </c>
    </row>
    <row r="1205" spans="1:12" ht="146.25">
      <c r="A1205" s="8" t="s">
        <v>4948</v>
      </c>
      <c r="B1205" s="9" t="s">
        <v>12</v>
      </c>
      <c r="C1205" s="12" t="s">
        <v>151</v>
      </c>
      <c r="D1205" s="10" t="str">
        <f ca="1">IFERROR(__xludf.DUMMYFUNCTION(" VLOOKUP(A1202, IMPORTRANGE(""https://docs.google.com/spreadsheets/d/1fj_Bhi2XPL3siwIh4sx4VRLAe31yD50oKdj5UlRYW0c/"", ""Сводка!A:AA""), 11, FALSE)"),"978-601-352-956-1")</f>
        <v>978-601-352-956-1</v>
      </c>
      <c r="E1205" s="11" t="s">
        <v>4949</v>
      </c>
      <c r="F1205" s="11" t="s">
        <v>4950</v>
      </c>
      <c r="G1205" s="12">
        <f ca="1">IFERROR(__xludf.DUMMYFUNCTION(" VLOOKUP(A1202, IMPORTRANGE(""https://docs.google.com/spreadsheets/d/1fj_Bhi2XPL3siwIh4sx4VRLAe31yD50oKdj5UlRYW0c/"", ""Сводка!A:AA""), 5, FALSE)"),192)</f>
        <v>192</v>
      </c>
      <c r="H1205" s="12" t="s">
        <v>56</v>
      </c>
      <c r="I1205" s="10">
        <f ca="1">IFERROR(__xludf.DUMMYFUNCTION(" VLOOKUP(A1202, IMPORTRANGE(""https://docs.google.com/spreadsheets/d/1QNLbnkR_AongFt22vMfNzfpjZ0CjpI8QI-w0wBnYA1w/"", ""Инфа!A:AA""), 6, FALSE)"),2024)</f>
        <v>2024</v>
      </c>
      <c r="J1205" s="5">
        <f t="shared" ca="1" si="36"/>
        <v>10800</v>
      </c>
      <c r="K1205" s="12" t="s">
        <v>3901</v>
      </c>
      <c r="L1205" s="15" t="s">
        <v>4951</v>
      </c>
    </row>
    <row r="1206" spans="1:12" ht="146.25">
      <c r="A1206" s="8" t="s">
        <v>4952</v>
      </c>
      <c r="B1206" s="9" t="s">
        <v>12</v>
      </c>
      <c r="C1206" s="12" t="s">
        <v>151</v>
      </c>
      <c r="D1206" s="10" t="str">
        <f ca="1">IFERROR(__xludf.DUMMYFUNCTION(" VLOOKUP(A1203, IMPORTRANGE(""https://docs.google.com/spreadsheets/d/1fj_Bhi2XPL3siwIh4sx4VRLAe31yD50oKdj5UlRYW0c/"", ""Сводка!A:AA""), 11, FALSE)"),"978-601-352-956-2")</f>
        <v>978-601-352-956-2</v>
      </c>
      <c r="E1206" s="11" t="s">
        <v>4949</v>
      </c>
      <c r="F1206" s="11" t="s">
        <v>4953</v>
      </c>
      <c r="G1206" s="12">
        <f ca="1">IFERROR(__xludf.DUMMYFUNCTION(" VLOOKUP(A1203, IMPORTRANGE(""https://docs.google.com/spreadsheets/d/1fj_Bhi2XPL3siwIh4sx4VRLAe31yD50oKdj5UlRYW0c/"", ""Сводка!A:AA""), 5, FALSE)"),260)</f>
        <v>260</v>
      </c>
      <c r="H1206" s="12" t="s">
        <v>56</v>
      </c>
      <c r="I1206" s="10">
        <f ca="1">IFERROR(__xludf.DUMMYFUNCTION(" VLOOKUP(A1203, IMPORTRANGE(""https://docs.google.com/spreadsheets/d/1QNLbnkR_AongFt22vMfNzfpjZ0CjpI8QI-w0wBnYA1w/"", ""Инфа!A:AA""), 6, FALSE)"),2024)</f>
        <v>2024</v>
      </c>
      <c r="J1206" s="5">
        <f t="shared" ca="1" si="36"/>
        <v>12800</v>
      </c>
      <c r="K1206" s="12" t="s">
        <v>3901</v>
      </c>
      <c r="L1206" s="15" t="s">
        <v>4951</v>
      </c>
    </row>
    <row r="1207" spans="1:12" ht="202.5">
      <c r="A1207" s="8" t="s">
        <v>4954</v>
      </c>
      <c r="B1207" s="9" t="s">
        <v>12</v>
      </c>
      <c r="C1207" s="12" t="s">
        <v>443</v>
      </c>
      <c r="D1207" s="10" t="str">
        <f ca="1">IFERROR(__xludf.DUMMYFUNCTION(" VLOOKUP(A1204, IMPORTRANGE(""https://docs.google.com/spreadsheets/d/1fj_Bhi2XPL3siwIh4sx4VRLAe31yD50oKdj5UlRYW0c/"", ""Сводка!A:AA""), 11, FALSE)"),"978-601-330-015-3")</f>
        <v>978-601-330-015-3</v>
      </c>
      <c r="E1207" s="11" t="s">
        <v>4955</v>
      </c>
      <c r="F1207" s="11" t="s">
        <v>4956</v>
      </c>
      <c r="G1207" s="12">
        <f ca="1">IFERROR(__xludf.DUMMYFUNCTION(" VLOOKUP(A1204, IMPORTRANGE(""https://docs.google.com/spreadsheets/d/1fj_Bhi2XPL3siwIh4sx4VRLAe31yD50oKdj5UlRYW0c/"", ""Сводка!A:AA""), 5, FALSE)"),112)</f>
        <v>112</v>
      </c>
      <c r="H1207" s="12" t="s">
        <v>636</v>
      </c>
      <c r="I1207" s="10">
        <f ca="1">IFERROR(__xludf.DUMMYFUNCTION(" VLOOKUP(A1204, IMPORTRANGE(""https://docs.google.com/spreadsheets/d/1QNLbnkR_AongFt22vMfNzfpjZ0CjpI8QI-w0wBnYA1w/"", ""Инфа!A:AA""), 6, FALSE)"),2024)</f>
        <v>2024</v>
      </c>
      <c r="J1207" s="5">
        <f t="shared" ca="1" si="36"/>
        <v>8400</v>
      </c>
      <c r="K1207" s="12" t="s">
        <v>4957</v>
      </c>
      <c r="L1207" s="15" t="s">
        <v>4958</v>
      </c>
    </row>
    <row r="1208" spans="1:12" ht="157.5">
      <c r="A1208" s="8" t="s">
        <v>4959</v>
      </c>
      <c r="B1208" s="9" t="s">
        <v>12</v>
      </c>
      <c r="C1208" s="12" t="s">
        <v>443</v>
      </c>
      <c r="D1208" s="10" t="str">
        <f ca="1">IFERROR(__xludf.DUMMYFUNCTION(" VLOOKUP(A1205, IMPORTRANGE(""https://docs.google.com/spreadsheets/d/1fj_Bhi2XPL3siwIh4sx4VRLAe31yD50oKdj5UlRYW0c/"", ""Сводка!A:AA""), 11, FALSE)"),"978-601-330-236-2")</f>
        <v>978-601-330-236-2</v>
      </c>
      <c r="E1208" s="11" t="s">
        <v>4955</v>
      </c>
      <c r="F1208" s="11" t="s">
        <v>4960</v>
      </c>
      <c r="G1208" s="12">
        <f ca="1">IFERROR(__xludf.DUMMYFUNCTION(" VLOOKUP(A1205, IMPORTRANGE(""https://docs.google.com/spreadsheets/d/1fj_Bhi2XPL3siwIh4sx4VRLAe31yD50oKdj5UlRYW0c/"", ""Сводка!A:AA""), 5, FALSE)"),212)</f>
        <v>212</v>
      </c>
      <c r="H1208" s="12" t="s">
        <v>538</v>
      </c>
      <c r="I1208" s="10">
        <f ca="1">IFERROR(__xludf.DUMMYFUNCTION(" VLOOKUP(A1205, IMPORTRANGE(""https://docs.google.com/spreadsheets/d/1QNLbnkR_AongFt22vMfNzfpjZ0CjpI8QI-w0wBnYA1w/"", ""Инфа!A:AA""), 6, FALSE)"),2023)</f>
        <v>2023</v>
      </c>
      <c r="J1208" s="5">
        <f t="shared" ca="1" si="36"/>
        <v>11400</v>
      </c>
      <c r="K1208" s="12" t="s">
        <v>197</v>
      </c>
      <c r="L1208" s="15" t="s">
        <v>4961</v>
      </c>
    </row>
    <row r="1209" spans="1:12" ht="78.75">
      <c r="A1209" s="8" t="s">
        <v>4962</v>
      </c>
      <c r="B1209" s="9" t="s">
        <v>12</v>
      </c>
      <c r="C1209" s="12" t="s">
        <v>443</v>
      </c>
      <c r="D1209" s="40" t="s">
        <v>4963</v>
      </c>
      <c r="E1209" s="11" t="s">
        <v>4955</v>
      </c>
      <c r="F1209" s="11" t="s">
        <v>4964</v>
      </c>
      <c r="G1209" s="12">
        <f ca="1">IFERROR(__xludf.DUMMYFUNCTION(" VLOOKUP(A1206, IMPORTRANGE(""https://docs.google.com/spreadsheets/d/1fj_Bhi2XPL3siwIh4sx4VRLAe31yD50oKdj5UlRYW0c/"", ""Сводка!A:AA""), 5, FALSE)"),228)</f>
        <v>228</v>
      </c>
      <c r="H1209" s="12" t="s">
        <v>538</v>
      </c>
      <c r="I1209" s="10">
        <f ca="1">IFERROR(__xludf.DUMMYFUNCTION(" VLOOKUP(A1206, IMPORTRANGE(""https://docs.google.com/spreadsheets/d/1QNLbnkR_AongFt22vMfNzfpjZ0CjpI8QI-w0wBnYA1w/"", ""Инфа!A:AA""), 6, FALSE)"),2024)</f>
        <v>2024</v>
      </c>
      <c r="J1209" s="5">
        <f t="shared" ca="1" si="36"/>
        <v>11800</v>
      </c>
      <c r="K1209" s="12" t="s">
        <v>4957</v>
      </c>
      <c r="L1209" s="15" t="s">
        <v>4965</v>
      </c>
    </row>
    <row r="1210" spans="1:12" ht="101.25">
      <c r="A1210" s="8" t="s">
        <v>4966</v>
      </c>
      <c r="B1210" s="9" t="s">
        <v>12</v>
      </c>
      <c r="C1210" s="12" t="s">
        <v>443</v>
      </c>
      <c r="D1210" s="40" t="s">
        <v>4967</v>
      </c>
      <c r="E1210" s="11" t="s">
        <v>4955</v>
      </c>
      <c r="F1210" s="11" t="s">
        <v>4968</v>
      </c>
      <c r="G1210" s="12">
        <f ca="1">IFERROR(__xludf.DUMMYFUNCTION(" VLOOKUP(A1207, IMPORTRANGE(""https://docs.google.com/spreadsheets/d/1fj_Bhi2XPL3siwIh4sx4VRLAe31yD50oKdj5UlRYW0c/"", ""Сводка!A:AA""), 5, FALSE)"),96)</f>
        <v>96</v>
      </c>
      <c r="H1210" s="12" t="s">
        <v>538</v>
      </c>
      <c r="I1210" s="10">
        <f ca="1">IFERROR(__xludf.DUMMYFUNCTION(" VLOOKUP(A1207, IMPORTRANGE(""https://docs.google.com/spreadsheets/d/1QNLbnkR_AongFt22vMfNzfpjZ0CjpI8QI-w0wBnYA1w/"", ""Инфа!A:AA""), 6, FALSE)"),2024)</f>
        <v>2024</v>
      </c>
      <c r="J1210" s="5">
        <f t="shared" ca="1" si="36"/>
        <v>7900</v>
      </c>
      <c r="K1210" s="12" t="s">
        <v>4957</v>
      </c>
      <c r="L1210" s="16" t="s">
        <v>4969</v>
      </c>
    </row>
    <row r="1211" spans="1:12" ht="78.75">
      <c r="A1211" s="8" t="s">
        <v>4970</v>
      </c>
      <c r="B1211" s="9" t="s">
        <v>12</v>
      </c>
      <c r="C1211" s="12" t="s">
        <v>443</v>
      </c>
      <c r="D1211" s="40" t="s">
        <v>4971</v>
      </c>
      <c r="E1211" s="11" t="s">
        <v>4955</v>
      </c>
      <c r="F1211" s="11" t="s">
        <v>4972</v>
      </c>
      <c r="G1211" s="12">
        <f ca="1">IFERROR(__xludf.DUMMYFUNCTION(" VLOOKUP(A1208, IMPORTRANGE(""https://docs.google.com/spreadsheets/d/1fj_Bhi2XPL3siwIh4sx4VRLAe31yD50oKdj5UlRYW0c/"", ""Сводка!A:AA""), 5, FALSE)"),140)</f>
        <v>140</v>
      </c>
      <c r="H1211" s="12" t="s">
        <v>538</v>
      </c>
      <c r="I1211" s="10">
        <f ca="1">IFERROR(__xludf.DUMMYFUNCTION(" VLOOKUP(A1208, IMPORTRANGE(""https://docs.google.com/spreadsheets/d/1QNLbnkR_AongFt22vMfNzfpjZ0CjpI8QI-w0wBnYA1w/"", ""Инфа!A:AA""), 6, FALSE)"),2024)</f>
        <v>2024</v>
      </c>
      <c r="J1211" s="5">
        <f t="shared" ca="1" si="36"/>
        <v>9200</v>
      </c>
      <c r="K1211" s="12" t="s">
        <v>4957</v>
      </c>
      <c r="L1211" s="15" t="s">
        <v>4973</v>
      </c>
    </row>
    <row r="1212" spans="1:12" ht="67.5">
      <c r="A1212" s="8" t="s">
        <v>4974</v>
      </c>
      <c r="B1212" s="9" t="s">
        <v>12</v>
      </c>
      <c r="C1212" s="12" t="s">
        <v>443</v>
      </c>
      <c r="D1212" s="40" t="s">
        <v>4975</v>
      </c>
      <c r="E1212" s="11" t="s">
        <v>4955</v>
      </c>
      <c r="F1212" s="11" t="s">
        <v>4976</v>
      </c>
      <c r="G1212" s="12">
        <f ca="1">IFERROR(__xludf.DUMMYFUNCTION(" VLOOKUP(A1209, IMPORTRANGE(""https://docs.google.com/spreadsheets/d/1fj_Bhi2XPL3siwIh4sx4VRLAe31yD50oKdj5UlRYW0c/"", ""Сводка!A:AA""), 5, FALSE)"),144)</f>
        <v>144</v>
      </c>
      <c r="H1212" s="12" t="s">
        <v>538</v>
      </c>
      <c r="I1212" s="10">
        <f ca="1">IFERROR(__xludf.DUMMYFUNCTION(" VLOOKUP(A1209, IMPORTRANGE(""https://docs.google.com/spreadsheets/d/1QNLbnkR_AongFt22vMfNzfpjZ0CjpI8QI-w0wBnYA1w/"", ""Инфа!A:AA""), 6, FALSE)"),2024)</f>
        <v>2024</v>
      </c>
      <c r="J1212" s="5">
        <f t="shared" ca="1" si="36"/>
        <v>9300</v>
      </c>
      <c r="K1212" s="12" t="s">
        <v>4957</v>
      </c>
      <c r="L1212" s="15" t="s">
        <v>4977</v>
      </c>
    </row>
    <row r="1213" spans="1:12" ht="51">
      <c r="A1213" s="8" t="s">
        <v>4978</v>
      </c>
      <c r="B1213" s="9" t="s">
        <v>12</v>
      </c>
      <c r="C1213" s="10" t="s">
        <v>151</v>
      </c>
      <c r="D1213" s="10" t="str">
        <f ca="1">IFERROR(__xludf.DUMMYFUNCTION(" VLOOKUP(A1210, IMPORTRANGE(""https://docs.google.com/spreadsheets/d/1fj_Bhi2XPL3siwIh4sx4VRLAe31yD50oKdj5UlRYW0c/"", ""Сводка!A:AA""), 11, FALSE)"),"978-601-310-754-7")</f>
        <v>978-601-310-754-7</v>
      </c>
      <c r="E1213" s="11" t="s">
        <v>4979</v>
      </c>
      <c r="F1213" s="11" t="s">
        <v>4980</v>
      </c>
      <c r="G1213" s="12">
        <f ca="1">IFERROR(__xludf.DUMMYFUNCTION(" VLOOKUP(A1210, IMPORTRANGE(""https://docs.google.com/spreadsheets/d/1fj_Bhi2XPL3siwIh4sx4VRLAe31yD50oKdj5UlRYW0c/"", ""Сводка!A:AA""), 5, FALSE)"),128)</f>
        <v>128</v>
      </c>
      <c r="H1213" s="12" t="s">
        <v>47</v>
      </c>
      <c r="I1213" s="10">
        <f ca="1">IFERROR(__xludf.DUMMYFUNCTION(" VLOOKUP(A1210, IMPORTRANGE(""https://docs.google.com/spreadsheets/d/1QNLbnkR_AongFt22vMfNzfpjZ0CjpI8QI-w0wBnYA1w/"", ""Инфа!A:AA""), 6, FALSE)"),2024)</f>
        <v>2024</v>
      </c>
      <c r="J1213" s="5">
        <f ca="1">ROUND((5000+G1213*60),-2)</f>
        <v>12700</v>
      </c>
      <c r="K1213" s="12" t="s">
        <v>440</v>
      </c>
      <c r="L1213" s="15"/>
    </row>
    <row r="1214" spans="1:12" ht="67.5">
      <c r="A1214" s="8" t="s">
        <v>4981</v>
      </c>
      <c r="B1214" s="9" t="s">
        <v>12</v>
      </c>
      <c r="C1214" s="12" t="s">
        <v>443</v>
      </c>
      <c r="D1214" s="10" t="s">
        <v>4982</v>
      </c>
      <c r="E1214" s="11" t="s">
        <v>4955</v>
      </c>
      <c r="F1214" s="11" t="s">
        <v>4983</v>
      </c>
      <c r="G1214" s="12">
        <f ca="1">IFERROR(__xludf.DUMMYFUNCTION(" VLOOKUP(A1211, IMPORTRANGE(""https://docs.google.com/spreadsheets/d/1fj_Bhi2XPL3siwIh4sx4VRLAe31yD50oKdj5UlRYW0c/"", ""Сводка!A:AA""), 5, FALSE)"),136)</f>
        <v>136</v>
      </c>
      <c r="H1214" s="12" t="s">
        <v>538</v>
      </c>
      <c r="I1214" s="10">
        <f ca="1">IFERROR(__xludf.DUMMYFUNCTION(" VLOOKUP(A1211, IMPORTRANGE(""https://docs.google.com/spreadsheets/d/1QNLbnkR_AongFt22vMfNzfpjZ0CjpI8QI-w0wBnYA1w/"", ""Инфа!A:AA""), 6, FALSE)"),2024)</f>
        <v>2024</v>
      </c>
      <c r="J1214" s="5">
        <f t="shared" ref="J1214:J1219" ca="1" si="37">ROUND((5000+G1214*30),-2)</f>
        <v>9100</v>
      </c>
      <c r="K1214" s="12" t="s">
        <v>4957</v>
      </c>
      <c r="L1214" s="15" t="s">
        <v>4984</v>
      </c>
    </row>
    <row r="1215" spans="1:12" ht="112.5">
      <c r="A1215" s="8" t="s">
        <v>4985</v>
      </c>
      <c r="B1215" s="9" t="s">
        <v>12</v>
      </c>
      <c r="C1215" s="12" t="s">
        <v>443</v>
      </c>
      <c r="D1215" s="10" t="str">
        <f ca="1">IFERROR(__xludf.DUMMYFUNCTION(" VLOOKUP(A1212, IMPORTRANGE(""https://docs.google.com/spreadsheets/d/1fj_Bhi2XPL3siwIh4sx4VRLAe31yD50oKdj5UlRYW0c/"", ""Сводка!A:AA""), 11, FALSE)"),"978-601-330-235-5")</f>
        <v>978-601-330-235-5</v>
      </c>
      <c r="E1215" s="11" t="s">
        <v>4955</v>
      </c>
      <c r="F1215" s="11" t="s">
        <v>4986</v>
      </c>
      <c r="G1215" s="12">
        <f ca="1">IFERROR(__xludf.DUMMYFUNCTION(" VLOOKUP(A1212, IMPORTRANGE(""https://docs.google.com/spreadsheets/d/1fj_Bhi2XPL3siwIh4sx4VRLAe31yD50oKdj5UlRYW0c/"", ""Сводка!A:AA""), 5, FALSE)"),200)</f>
        <v>200</v>
      </c>
      <c r="H1215" s="12" t="s">
        <v>538</v>
      </c>
      <c r="I1215" s="10">
        <f ca="1">IFERROR(__xludf.DUMMYFUNCTION(" VLOOKUP(A1212, IMPORTRANGE(""https://docs.google.com/spreadsheets/d/1QNLbnkR_AongFt22vMfNzfpjZ0CjpI8QI-w0wBnYA1w/"", ""Инфа!A:AA""), 6, FALSE)"),2023)</f>
        <v>2023</v>
      </c>
      <c r="J1215" s="5">
        <f t="shared" ca="1" si="37"/>
        <v>11000</v>
      </c>
      <c r="K1215" s="12" t="s">
        <v>26</v>
      </c>
      <c r="L1215" s="16" t="s">
        <v>4987</v>
      </c>
    </row>
    <row r="1216" spans="1:12" ht="236.25">
      <c r="A1216" s="8" t="s">
        <v>4988</v>
      </c>
      <c r="B1216" s="9" t="s">
        <v>12</v>
      </c>
      <c r="C1216" s="12" t="s">
        <v>151</v>
      </c>
      <c r="D1216" s="10" t="str">
        <f ca="1">IFERROR(__xludf.DUMMYFUNCTION(" VLOOKUP(A1213, IMPORTRANGE(""https://docs.google.com/spreadsheets/d/1fj_Bhi2XPL3siwIh4sx4VRLAe31yD50oKdj5UlRYW0c/"", ""Сводка!A:AA""), 11, FALSE)"),"978-601-330-060-3")</f>
        <v>978-601-330-060-3</v>
      </c>
      <c r="E1216" s="11" t="s">
        <v>4989</v>
      </c>
      <c r="F1216" s="11" t="s">
        <v>4990</v>
      </c>
      <c r="G1216" s="12">
        <f ca="1">IFERROR(__xludf.DUMMYFUNCTION(" VLOOKUP(A1213, IMPORTRANGE(""https://docs.google.com/spreadsheets/d/1fj_Bhi2XPL3siwIh4sx4VRLAe31yD50oKdj5UlRYW0c/"", ""Сводка!A:AA""), 5, FALSE)"),220)</f>
        <v>220</v>
      </c>
      <c r="H1216" s="12" t="s">
        <v>106</v>
      </c>
      <c r="I1216" s="10">
        <f ca="1">IFERROR(__xludf.DUMMYFUNCTION(" VLOOKUP(A1213, IMPORTRANGE(""https://docs.google.com/spreadsheets/d/1QNLbnkR_AongFt22vMfNzfpjZ0CjpI8QI-w0wBnYA1w/"", ""Инфа!A:AA""), 6, FALSE)"),2024)</f>
        <v>2024</v>
      </c>
      <c r="J1216" s="5">
        <f t="shared" ca="1" si="37"/>
        <v>11600</v>
      </c>
      <c r="K1216" s="12" t="s">
        <v>2614</v>
      </c>
      <c r="L1216" s="15" t="s">
        <v>4991</v>
      </c>
    </row>
    <row r="1217" spans="1:12" ht="157.5">
      <c r="A1217" s="8" t="s">
        <v>4992</v>
      </c>
      <c r="B1217" s="9" t="s">
        <v>12</v>
      </c>
      <c r="C1217" s="12" t="s">
        <v>443</v>
      </c>
      <c r="D1217" s="40" t="s">
        <v>4993</v>
      </c>
      <c r="E1217" s="11" t="s">
        <v>4994</v>
      </c>
      <c r="F1217" s="11" t="s">
        <v>4995</v>
      </c>
      <c r="G1217" s="12">
        <f ca="1">IFERROR(__xludf.DUMMYFUNCTION(" VLOOKUP(A1214, IMPORTRANGE(""https://docs.google.com/spreadsheets/d/1fj_Bhi2XPL3siwIh4sx4VRLAe31yD50oKdj5UlRYW0c/"", ""Сводка!A:AA""), 5, FALSE)"),272)</f>
        <v>272</v>
      </c>
      <c r="H1217" s="12" t="s">
        <v>538</v>
      </c>
      <c r="I1217" s="10">
        <f ca="1">IFERROR(__xludf.DUMMYFUNCTION(" VLOOKUP(A1214, IMPORTRANGE(""https://docs.google.com/spreadsheets/d/1QNLbnkR_AongFt22vMfNzfpjZ0CjpI8QI-w0wBnYA1w/"", ""Инфа!A:AA""), 6, FALSE)"),2024)</f>
        <v>2024</v>
      </c>
      <c r="J1217" s="5">
        <f t="shared" ca="1" si="37"/>
        <v>13200</v>
      </c>
      <c r="K1217" s="12" t="s">
        <v>3901</v>
      </c>
      <c r="L1217" s="15" t="s">
        <v>4996</v>
      </c>
    </row>
    <row r="1218" spans="1:12" ht="168.75">
      <c r="A1218" s="8" t="s">
        <v>4997</v>
      </c>
      <c r="B1218" s="9" t="s">
        <v>12</v>
      </c>
      <c r="C1218" s="12" t="s">
        <v>443</v>
      </c>
      <c r="D1218" s="40" t="s">
        <v>4998</v>
      </c>
      <c r="E1218" s="11" t="s">
        <v>4994</v>
      </c>
      <c r="F1218" s="11" t="s">
        <v>4999</v>
      </c>
      <c r="G1218" s="12">
        <f ca="1">IFERROR(__xludf.DUMMYFUNCTION(" VLOOKUP(A1215, IMPORTRANGE(""https://docs.google.com/spreadsheets/d/1fj_Bhi2XPL3siwIh4sx4VRLAe31yD50oKdj5UlRYW0c/"", ""Сводка!A:AA""), 5, FALSE)"),312)</f>
        <v>312</v>
      </c>
      <c r="H1218" s="12" t="s">
        <v>538</v>
      </c>
      <c r="I1218" s="10">
        <f ca="1">IFERROR(__xludf.DUMMYFUNCTION(" VLOOKUP(A1215, IMPORTRANGE(""https://docs.google.com/spreadsheets/d/1QNLbnkR_AongFt22vMfNzfpjZ0CjpI8QI-w0wBnYA1w/"", ""Инфа!A:AA""), 6, FALSE)"),2024)</f>
        <v>2024</v>
      </c>
      <c r="J1218" s="5">
        <f t="shared" ca="1" si="37"/>
        <v>14400</v>
      </c>
      <c r="K1218" s="12" t="s">
        <v>3901</v>
      </c>
      <c r="L1218" s="15" t="s">
        <v>5000</v>
      </c>
    </row>
    <row r="1219" spans="1:12" ht="168.75">
      <c r="A1219" s="8" t="s">
        <v>5001</v>
      </c>
      <c r="B1219" s="9" t="s">
        <v>12</v>
      </c>
      <c r="C1219" s="12" t="s">
        <v>443</v>
      </c>
      <c r="D1219" s="40" t="s">
        <v>5002</v>
      </c>
      <c r="E1219" s="11" t="s">
        <v>4994</v>
      </c>
      <c r="F1219" s="11" t="s">
        <v>5003</v>
      </c>
      <c r="G1219" s="12">
        <f ca="1">IFERROR(__xludf.DUMMYFUNCTION(" VLOOKUP(A1216, IMPORTRANGE(""https://docs.google.com/spreadsheets/d/1fj_Bhi2XPL3siwIh4sx4VRLAe31yD50oKdj5UlRYW0c/"", ""Сводка!A:AA""), 5, FALSE)"),324)</f>
        <v>324</v>
      </c>
      <c r="H1219" s="12" t="s">
        <v>538</v>
      </c>
      <c r="I1219" s="10">
        <f ca="1">IFERROR(__xludf.DUMMYFUNCTION(" VLOOKUP(A1216, IMPORTRANGE(""https://docs.google.com/spreadsheets/d/1QNLbnkR_AongFt22vMfNzfpjZ0CjpI8QI-w0wBnYA1w/"", ""Инфа!A:AA""), 6, FALSE)"),2024)</f>
        <v>2024</v>
      </c>
      <c r="J1219" s="5">
        <f t="shared" ca="1" si="37"/>
        <v>14700</v>
      </c>
      <c r="K1219" s="12" t="s">
        <v>3901</v>
      </c>
      <c r="L1219" s="15" t="s">
        <v>5000</v>
      </c>
    </row>
    <row r="1220" spans="1:12" ht="135">
      <c r="A1220" s="8" t="s">
        <v>5004</v>
      </c>
      <c r="B1220" s="9" t="s">
        <v>12</v>
      </c>
      <c r="C1220" s="12" t="s">
        <v>443</v>
      </c>
      <c r="D1220" s="10" t="str">
        <f ca="1">IFERROR(__xludf.DUMMYFUNCTION(" VLOOKUP(A1217, IMPORTRANGE(""https://docs.google.com/spreadsheets/d/1fj_Bhi2XPL3siwIh4sx4VRLAe31yD50oKdj5UlRYW0c/"", ""Сводка!A:AA""), 11, FALSE)"),"978-601-330-090-0")</f>
        <v>978-601-330-090-0</v>
      </c>
      <c r="E1220" s="11" t="s">
        <v>5005</v>
      </c>
      <c r="F1220" s="11" t="s">
        <v>5006</v>
      </c>
      <c r="G1220" s="12">
        <f ca="1">IFERROR(__xludf.DUMMYFUNCTION(" VLOOKUP(A1217, IMPORTRANGE(""https://docs.google.com/spreadsheets/d/1fj_Bhi2XPL3siwIh4sx4VRLAe31yD50oKdj5UlRYW0c/"", ""Сводка!A:AA""), 5, FALSE)"),112)</f>
        <v>112</v>
      </c>
      <c r="H1220" s="12" t="s">
        <v>538</v>
      </c>
      <c r="I1220" s="10">
        <f ca="1">IFERROR(__xludf.DUMMYFUNCTION(" VLOOKUP(A1217, IMPORTRANGE(""https://docs.google.com/spreadsheets/d/1QNLbnkR_AongFt22vMfNzfpjZ0CjpI8QI-w0wBnYA1w/"", ""Инфа!A:AA""), 6, FALSE)"),2024)</f>
        <v>2024</v>
      </c>
      <c r="J1220" s="5">
        <f ca="1">ROUND((5000+G1220*60),-2)</f>
        <v>11700</v>
      </c>
      <c r="K1220" s="12" t="s">
        <v>5007</v>
      </c>
      <c r="L1220" s="15" t="s">
        <v>5008</v>
      </c>
    </row>
    <row r="1221" spans="1:12" ht="135">
      <c r="A1221" s="8" t="s">
        <v>5009</v>
      </c>
      <c r="B1221" s="9" t="s">
        <v>12</v>
      </c>
      <c r="C1221" s="12" t="s">
        <v>443</v>
      </c>
      <c r="D1221" s="10" t="str">
        <f ca="1">IFERROR(__xludf.DUMMYFUNCTION(" VLOOKUP(A1218, IMPORTRANGE(""https://docs.google.com/spreadsheets/d/1fj_Bhi2XPL3siwIh4sx4VRLAe31yD50oKdj5UlRYW0c/"", ""Сводка!A:AA""), 11, FALSE)"),"978-601-330-092-4")</f>
        <v>978-601-330-092-4</v>
      </c>
      <c r="E1221" s="11" t="s">
        <v>5010</v>
      </c>
      <c r="F1221" s="11" t="s">
        <v>5011</v>
      </c>
      <c r="G1221" s="12">
        <f ca="1">IFERROR(__xludf.DUMMYFUNCTION(" VLOOKUP(A1218, IMPORTRANGE(""https://docs.google.com/spreadsheets/d/1fj_Bhi2XPL3siwIh4sx4VRLAe31yD50oKdj5UlRYW0c/"", ""Сводка!A:AA""), 5, FALSE)"),168)</f>
        <v>168</v>
      </c>
      <c r="H1221" s="12" t="s">
        <v>538</v>
      </c>
      <c r="I1221" s="10">
        <f ca="1">IFERROR(__xludf.DUMMYFUNCTION(" VLOOKUP(A1218, IMPORTRANGE(""https://docs.google.com/spreadsheets/d/1QNLbnkR_AongFt22vMfNzfpjZ0CjpI8QI-w0wBnYA1w/"", ""Инфа!A:AA""), 6, FALSE)"),2023)</f>
        <v>2023</v>
      </c>
      <c r="J1221" s="5">
        <f ca="1">ROUND((5000+G1221*30),-2)</f>
        <v>10000</v>
      </c>
      <c r="K1221" s="12" t="s">
        <v>3445</v>
      </c>
      <c r="L1221" s="15" t="s">
        <v>5012</v>
      </c>
    </row>
    <row r="1222" spans="1:12" ht="270">
      <c r="A1222" s="8" t="s">
        <v>5013</v>
      </c>
      <c r="B1222" s="9" t="s">
        <v>12</v>
      </c>
      <c r="C1222" s="12" t="s">
        <v>443</v>
      </c>
      <c r="D1222" s="10" t="str">
        <f ca="1">IFERROR(__xludf.DUMMYFUNCTION(" VLOOKUP(A1219, IMPORTRANGE(""https://docs.google.com/spreadsheets/d/1fj_Bhi2XPL3siwIh4sx4VRLAe31yD50oKdj5UlRYW0c/"", ""Сводка!A:AA""), 11, FALSE)"),"978-601-330-091-7")</f>
        <v>978-601-330-091-7</v>
      </c>
      <c r="E1222" s="11" t="s">
        <v>5014</v>
      </c>
      <c r="F1222" s="11" t="s">
        <v>5015</v>
      </c>
      <c r="G1222" s="12">
        <f ca="1">IFERROR(__xludf.DUMMYFUNCTION(" VLOOKUP(A1219, IMPORTRANGE(""https://docs.google.com/spreadsheets/d/1fj_Bhi2XPL3siwIh4sx4VRLAe31yD50oKdj5UlRYW0c/"", ""Сводка!A:AA""), 5, FALSE)"),184)</f>
        <v>184</v>
      </c>
      <c r="H1222" s="12" t="s">
        <v>538</v>
      </c>
      <c r="I1222" s="10">
        <f ca="1">IFERROR(__xludf.DUMMYFUNCTION(" VLOOKUP(A1219, IMPORTRANGE(""https://docs.google.com/spreadsheets/d/1QNLbnkR_AongFt22vMfNzfpjZ0CjpI8QI-w0wBnYA1w/"", ""Инфа!A:AA""), 6, FALSE)"),2024)</f>
        <v>2024</v>
      </c>
      <c r="J1222" s="5">
        <f ca="1">ROUND((5000+G1222*30),-2)</f>
        <v>10500</v>
      </c>
      <c r="K1222" s="12" t="s">
        <v>3445</v>
      </c>
      <c r="L1222" s="15" t="s">
        <v>5016</v>
      </c>
    </row>
    <row r="1223" spans="1:12" ht="258.75">
      <c r="A1223" s="8" t="s">
        <v>5017</v>
      </c>
      <c r="B1223" s="9" t="s">
        <v>12</v>
      </c>
      <c r="C1223" s="12" t="s">
        <v>13</v>
      </c>
      <c r="D1223" s="10" t="str">
        <f ca="1">IFERROR(__xludf.DUMMYFUNCTION(" VLOOKUP(A1220, IMPORTRANGE(""https://docs.google.com/spreadsheets/d/1fj_Bhi2XPL3siwIh4sx4VRLAe31yD50oKdj5UlRYW0c/"", ""Сводка!A:AA""), 11, FALSE)"),"978-601-7109-42-4")</f>
        <v>978-601-7109-42-4</v>
      </c>
      <c r="E1223" s="11" t="s">
        <v>5018</v>
      </c>
      <c r="F1223" s="11" t="s">
        <v>5019</v>
      </c>
      <c r="G1223" s="12">
        <f ca="1">IFERROR(__xludf.DUMMYFUNCTION(" VLOOKUP(A1220, IMPORTRANGE(""https://docs.google.com/spreadsheets/d/1fj_Bhi2XPL3siwIh4sx4VRLAe31yD50oKdj5UlRYW0c/"", ""Сводка!A:AA""), 5, FALSE)"),120)</f>
        <v>120</v>
      </c>
      <c r="H1223" s="12" t="s">
        <v>42</v>
      </c>
      <c r="I1223" s="10">
        <f ca="1">IFERROR(__xludf.DUMMYFUNCTION(" VLOOKUP(A1220, IMPORTRANGE(""https://docs.google.com/spreadsheets/d/1QNLbnkR_AongFt22vMfNzfpjZ0CjpI8QI-w0wBnYA1w/"", ""Инфа!A:AA""), 6, FALSE)"),2024)</f>
        <v>2024</v>
      </c>
      <c r="J1223" s="5">
        <f ca="1">ROUND((5000+G1223*30),-2)</f>
        <v>8600</v>
      </c>
      <c r="K1223" s="12" t="s">
        <v>2790</v>
      </c>
      <c r="L1223" s="15" t="s">
        <v>5020</v>
      </c>
    </row>
    <row r="1224" spans="1:12" ht="51">
      <c r="A1224" s="8" t="s">
        <v>5021</v>
      </c>
      <c r="B1224" s="9" t="s">
        <v>12</v>
      </c>
      <c r="C1224" s="10" t="s">
        <v>443</v>
      </c>
      <c r="D1224" s="10" t="str">
        <f ca="1">IFERROR(__xludf.DUMMYFUNCTION(" VLOOKUP(A1221, IMPORTRANGE(""https://docs.google.com/spreadsheets/d/1fj_Bhi2XPL3siwIh4sx4VRLAe31yD50oKdj5UlRYW0c/"", ""Сводка!A:AA""), 11, FALSE)"),"978-601-7816-84-1")</f>
        <v>978-601-7816-84-1</v>
      </c>
      <c r="E1224" s="25" t="s">
        <v>5022</v>
      </c>
      <c r="F1224" s="25" t="s">
        <v>5023</v>
      </c>
      <c r="G1224" s="12">
        <f ca="1">IFERROR(__xludf.DUMMYFUNCTION(" VLOOKUP(A1221, IMPORTRANGE(""https://docs.google.com/spreadsheets/d/1fj_Bhi2XPL3siwIh4sx4VRLAe31yD50oKdj5UlRYW0c/"", ""Сводка!A:AA""), 5, FALSE)"),104)</f>
        <v>104</v>
      </c>
      <c r="H1224" s="26" t="s">
        <v>538</v>
      </c>
      <c r="I1224" s="10">
        <f ca="1">IFERROR(__xludf.DUMMYFUNCTION(" VLOOKUP(A1221, IMPORTRANGE(""https://docs.google.com/spreadsheets/d/1QNLbnkR_AongFt22vMfNzfpjZ0CjpI8QI-w0wBnYA1w/"", ""Инфа!A:AA""), 6, FALSE)"),2024)</f>
        <v>2024</v>
      </c>
      <c r="J1224" s="5">
        <f ca="1">ROUND((5000+G1224*30),-2)</f>
        <v>8100</v>
      </c>
      <c r="K1224" s="12" t="s">
        <v>440</v>
      </c>
      <c r="L1224" s="15"/>
    </row>
    <row r="1225" spans="1:12" ht="112.5">
      <c r="A1225" s="8" t="s">
        <v>5024</v>
      </c>
      <c r="B1225" s="9" t="s">
        <v>12</v>
      </c>
      <c r="C1225" s="12" t="s">
        <v>443</v>
      </c>
      <c r="D1225" s="40" t="s">
        <v>5025</v>
      </c>
      <c r="E1225" s="11" t="s">
        <v>5026</v>
      </c>
      <c r="F1225" s="11" t="s">
        <v>5027</v>
      </c>
      <c r="G1225" s="12">
        <f ca="1">IFERROR(__xludf.DUMMYFUNCTION(" VLOOKUP(A1222, IMPORTRANGE(""https://docs.google.com/spreadsheets/d/1fj_Bhi2XPL3siwIh4sx4VRLAe31yD50oKdj5UlRYW0c/"", ""Сводка!A:AA""), 5, FALSE)"),184)</f>
        <v>184</v>
      </c>
      <c r="H1225" s="12" t="s">
        <v>538</v>
      </c>
      <c r="I1225" s="10">
        <f ca="1">IFERROR(__xludf.DUMMYFUNCTION(" VLOOKUP(A1222, IMPORTRANGE(""https://docs.google.com/spreadsheets/d/1QNLbnkR_AongFt22vMfNzfpjZ0CjpI8QI-w0wBnYA1w/"", ""Инфа!A:AA""), 6, FALSE)"),2024)</f>
        <v>2024</v>
      </c>
      <c r="J1225" s="5">
        <f ca="1">ROUND((5000+G1225*30),-2)</f>
        <v>10500</v>
      </c>
      <c r="K1225" s="12" t="s">
        <v>5007</v>
      </c>
      <c r="L1225" s="15" t="s">
        <v>5028</v>
      </c>
    </row>
    <row r="1226" spans="1:12" ht="112.5">
      <c r="A1226" s="8" t="s">
        <v>5029</v>
      </c>
      <c r="B1226" s="9" t="s">
        <v>12</v>
      </c>
      <c r="C1226" s="12" t="s">
        <v>443</v>
      </c>
      <c r="D1226" s="10" t="str">
        <f ca="1">IFERROR(__xludf.DUMMYFUNCTION(" VLOOKUP(A1223, IMPORTRANGE(""https://docs.google.com/spreadsheets/d/1fj_Bhi2XPL3siwIh4sx4VRLAe31yD50oKdj5UlRYW0c/"", ""Сводка!A:AA""), 11, FALSE)"),"978-601-330-089-4")</f>
        <v>978-601-330-089-4</v>
      </c>
      <c r="E1226" s="11" t="s">
        <v>5030</v>
      </c>
      <c r="F1226" s="11" t="s">
        <v>5031</v>
      </c>
      <c r="G1226" s="12">
        <f ca="1">IFERROR(__xludf.DUMMYFUNCTION(" VLOOKUP(A1223, IMPORTRANGE(""https://docs.google.com/spreadsheets/d/1fj_Bhi2XPL3siwIh4sx4VRLAe31yD50oKdj5UlRYW0c/"", ""Сводка!A:AA""), 5, FALSE)"),128)</f>
        <v>128</v>
      </c>
      <c r="H1226" s="12" t="s">
        <v>538</v>
      </c>
      <c r="I1226" s="10">
        <f ca="1">IFERROR(__xludf.DUMMYFUNCTION(" VLOOKUP(A1223, IMPORTRANGE(""https://docs.google.com/spreadsheets/d/1QNLbnkR_AongFt22vMfNzfpjZ0CjpI8QI-w0wBnYA1w/"", ""Инфа!A:AA""), 6, FALSE)"),2024)</f>
        <v>2024</v>
      </c>
      <c r="J1226" s="5">
        <f ca="1">ROUND((5000+G1226*60),-2)</f>
        <v>12700</v>
      </c>
      <c r="K1226" s="12" t="s">
        <v>5007</v>
      </c>
      <c r="L1226" s="15" t="s">
        <v>5032</v>
      </c>
    </row>
    <row r="1227" spans="1:12" ht="112.5">
      <c r="A1227" s="8" t="s">
        <v>5033</v>
      </c>
      <c r="B1227" s="9" t="s">
        <v>12</v>
      </c>
      <c r="C1227" s="12" t="s">
        <v>443</v>
      </c>
      <c r="D1227" s="10" t="str">
        <f ca="1">IFERROR(__xludf.DUMMYFUNCTION(" VLOOKUP(A1224, IMPORTRANGE(""https://docs.google.com/spreadsheets/d/1fj_Bhi2XPL3siwIh4sx4VRLAe31yD50oKdj5UlRYW0c/"", ""Сводка!A:AA""), 11, FALSE)"),"978-601-330-087-0")</f>
        <v>978-601-330-087-0</v>
      </c>
      <c r="E1227" s="11" t="s">
        <v>5034</v>
      </c>
      <c r="F1227" s="11" t="s">
        <v>5035</v>
      </c>
      <c r="G1227" s="12">
        <f ca="1">IFERROR(__xludf.DUMMYFUNCTION(" VLOOKUP(A1224, IMPORTRANGE(""https://docs.google.com/spreadsheets/d/1fj_Bhi2XPL3siwIh4sx4VRLAe31yD50oKdj5UlRYW0c/"", ""Сводка!A:AA""), 5, FALSE)"),176)</f>
        <v>176</v>
      </c>
      <c r="H1227" s="12" t="s">
        <v>538</v>
      </c>
      <c r="I1227" s="10">
        <f ca="1">IFERROR(__xludf.DUMMYFUNCTION(" VLOOKUP(A1224, IMPORTRANGE(""https://docs.google.com/spreadsheets/d/1QNLbnkR_AongFt22vMfNzfpjZ0CjpI8QI-w0wBnYA1w/"", ""Инфа!A:AA""), 6, FALSE)"),2024)</f>
        <v>2024</v>
      </c>
      <c r="J1227" s="5">
        <f ca="1">ROUND((5000+G1227*30),-2)</f>
        <v>10300</v>
      </c>
      <c r="K1227" s="12" t="s">
        <v>5007</v>
      </c>
      <c r="L1227" s="15" t="s">
        <v>5036</v>
      </c>
    </row>
    <row r="1228" spans="1:12" ht="123.75">
      <c r="A1228" s="8" t="s">
        <v>5037</v>
      </c>
      <c r="B1228" s="9" t="s">
        <v>12</v>
      </c>
      <c r="C1228" s="12" t="s">
        <v>443</v>
      </c>
      <c r="D1228" s="10" t="str">
        <f ca="1">IFERROR(__xludf.DUMMYFUNCTION(" VLOOKUP(A1225, IMPORTRANGE(""https://docs.google.com/spreadsheets/d/1fj_Bhi2XPL3siwIh4sx4VRLAe31yD50oKdj5UlRYW0c/"", ""Сводка!A:AA""), 11, FALSE)"),"978-601-330-073-3")</f>
        <v>978-601-330-073-3</v>
      </c>
      <c r="E1228" s="11" t="s">
        <v>5038</v>
      </c>
      <c r="F1228" s="11" t="s">
        <v>5039</v>
      </c>
      <c r="G1228" s="12">
        <f ca="1">IFERROR(__xludf.DUMMYFUNCTION(" VLOOKUP(A1225, IMPORTRANGE(""https://docs.google.com/spreadsheets/d/1fj_Bhi2XPL3siwIh4sx4VRLAe31yD50oKdj5UlRYW0c/"", ""Сводка!A:AA""), 5, FALSE)"),144)</f>
        <v>144</v>
      </c>
      <c r="H1228" s="12" t="s">
        <v>538</v>
      </c>
      <c r="I1228" s="10">
        <f ca="1">IFERROR(__xludf.DUMMYFUNCTION(" VLOOKUP(A1225, IMPORTRANGE(""https://docs.google.com/spreadsheets/d/1QNLbnkR_AongFt22vMfNzfpjZ0CjpI8QI-w0wBnYA1w/"", ""Инфа!A:AA""), 6, FALSE)"),2024)</f>
        <v>2024</v>
      </c>
      <c r="J1228" s="5">
        <f ca="1">ROUND((5000+G1228*60),-2)</f>
        <v>13600</v>
      </c>
      <c r="K1228" s="12" t="s">
        <v>5007</v>
      </c>
      <c r="L1228" s="15" t="s">
        <v>5040</v>
      </c>
    </row>
    <row r="1229" spans="1:12" ht="123.75">
      <c r="A1229" s="8" t="s">
        <v>5041</v>
      </c>
      <c r="B1229" s="9" t="s">
        <v>12</v>
      </c>
      <c r="C1229" s="12" t="s">
        <v>443</v>
      </c>
      <c r="D1229" s="10" t="str">
        <f ca="1">IFERROR(__xludf.DUMMYFUNCTION(" VLOOKUP(A1226, IMPORTRANGE(""https://docs.google.com/spreadsheets/d/1fj_Bhi2XPL3siwIh4sx4VRLAe31yD50oKdj5UlRYW0c/"", ""Сводка!A:AA""), 11, FALSE)"),"978-601-330-070-2")</f>
        <v>978-601-330-070-2</v>
      </c>
      <c r="E1229" s="11" t="s">
        <v>5042</v>
      </c>
      <c r="F1229" s="11" t="s">
        <v>5043</v>
      </c>
      <c r="G1229" s="12">
        <f ca="1">IFERROR(__xludf.DUMMYFUNCTION(" VLOOKUP(A1226, IMPORTRANGE(""https://docs.google.com/spreadsheets/d/1fj_Bhi2XPL3siwIh4sx4VRLAe31yD50oKdj5UlRYW0c/"", ""Сводка!A:AA""), 5, FALSE)"),160)</f>
        <v>160</v>
      </c>
      <c r="H1229" s="12" t="s">
        <v>538</v>
      </c>
      <c r="I1229" s="10">
        <f ca="1">IFERROR(__xludf.DUMMYFUNCTION(" VLOOKUP(A1226, IMPORTRANGE(""https://docs.google.com/spreadsheets/d/1QNLbnkR_AongFt22vMfNzfpjZ0CjpI8QI-w0wBnYA1w/"", ""Инфа!A:AA""), 6, FALSE)"),2024)</f>
        <v>2024</v>
      </c>
      <c r="J1229" s="5">
        <f ca="1">ROUND((5000+G1229*60),-2)</f>
        <v>14600</v>
      </c>
      <c r="K1229" s="12" t="s">
        <v>5007</v>
      </c>
      <c r="L1229" s="15" t="s">
        <v>5044</v>
      </c>
    </row>
    <row r="1230" spans="1:12" ht="123.75">
      <c r="A1230" s="8" t="s">
        <v>5045</v>
      </c>
      <c r="B1230" s="9" t="s">
        <v>12</v>
      </c>
      <c r="C1230" s="12" t="s">
        <v>443</v>
      </c>
      <c r="D1230" s="10" t="str">
        <f ca="1">IFERROR(__xludf.DUMMYFUNCTION(" VLOOKUP(A1227, IMPORTRANGE(""https://docs.google.com/spreadsheets/d/1fj_Bhi2XPL3siwIh4sx4VRLAe31yD50oKdj5UlRYW0c/"", ""Сводка!A:AA""), 11, FALSE)"),"978-601-241-980-1")</f>
        <v>978-601-241-980-1</v>
      </c>
      <c r="E1230" s="11" t="s">
        <v>2612</v>
      </c>
      <c r="F1230" s="11" t="s">
        <v>5046</v>
      </c>
      <c r="G1230" s="12">
        <f ca="1">IFERROR(__xludf.DUMMYFUNCTION(" VLOOKUP(A1227, IMPORTRANGE(""https://docs.google.com/spreadsheets/d/1fj_Bhi2XPL3siwIh4sx4VRLAe31yD50oKdj5UlRYW0c/"", ""Сводка!A:AA""), 5, FALSE)"),117)</f>
        <v>117</v>
      </c>
      <c r="H1230" s="12" t="s">
        <v>106</v>
      </c>
      <c r="I1230" s="10">
        <f ca="1">IFERROR(__xludf.DUMMYFUNCTION(" VLOOKUP(A1227, IMPORTRANGE(""https://docs.google.com/spreadsheets/d/1QNLbnkR_AongFt22vMfNzfpjZ0CjpI8QI-w0wBnYA1w/"", ""Инфа!A:AA""), 6, FALSE)"),2024)</f>
        <v>2024</v>
      </c>
      <c r="J1230" s="5">
        <f ca="1">ROUND((5000+G1230*30),-2)</f>
        <v>8500</v>
      </c>
      <c r="K1230" s="12" t="s">
        <v>2614</v>
      </c>
      <c r="L1230" s="15" t="s">
        <v>5047</v>
      </c>
    </row>
    <row r="1231" spans="1:12" ht="112.5">
      <c r="A1231" s="8" t="s">
        <v>5048</v>
      </c>
      <c r="B1231" s="9" t="s">
        <v>12</v>
      </c>
      <c r="C1231" s="12" t="s">
        <v>443</v>
      </c>
      <c r="D1231" s="10" t="str">
        <f ca="1">IFERROR(__xludf.DUMMYFUNCTION(" VLOOKUP(A1228, IMPORTRANGE(""https://docs.google.com/spreadsheets/d/1fj_Bhi2XPL3siwIh4sx4VRLAe31yD50oKdj5UlRYW0c/"", ""Сводка!A:AA""), 11, FALSE)"),"978-601-06-7974-0")</f>
        <v>978-601-06-7974-0</v>
      </c>
      <c r="E1231" s="11" t="s">
        <v>5049</v>
      </c>
      <c r="F1231" s="11" t="s">
        <v>5050</v>
      </c>
      <c r="G1231" s="12">
        <f ca="1">IFERROR(__xludf.DUMMYFUNCTION(" VLOOKUP(A1228, IMPORTRANGE(""https://docs.google.com/spreadsheets/d/1fj_Bhi2XPL3siwIh4sx4VRLAe31yD50oKdj5UlRYW0c/"", ""Сводка!A:AA""), 5, FALSE)"),160)</f>
        <v>160</v>
      </c>
      <c r="H1231" s="12" t="s">
        <v>511</v>
      </c>
      <c r="I1231" s="10">
        <f ca="1">IFERROR(__xludf.DUMMYFUNCTION(" VLOOKUP(A1228, IMPORTRANGE(""https://docs.google.com/spreadsheets/d/1QNLbnkR_AongFt22vMfNzfpjZ0CjpI8QI-w0wBnYA1w/"", ""Инфа!A:AA""), 6, FALSE)"),2024)</f>
        <v>2024</v>
      </c>
      <c r="J1231" s="5">
        <f ca="1">ROUND((5000+G1231*30),-2)</f>
        <v>9800</v>
      </c>
      <c r="K1231" s="12" t="s">
        <v>1387</v>
      </c>
      <c r="L1231" s="15" t="s">
        <v>5051</v>
      </c>
    </row>
    <row r="1232" spans="1:12" ht="101.25">
      <c r="A1232" s="8" t="s">
        <v>5052</v>
      </c>
      <c r="B1232" s="9" t="s">
        <v>12</v>
      </c>
      <c r="C1232" s="12" t="s">
        <v>443</v>
      </c>
      <c r="D1232" s="10" t="str">
        <f ca="1">IFERROR(__xludf.DUMMYFUNCTION(" VLOOKUP(A1229, IMPORTRANGE(""https://docs.google.com/spreadsheets/d/1fj_Bhi2XPL3siwIh4sx4VRLAe31yD50oKdj5UlRYW0c/"", ""Сводка!A:AA""), 11, FALSE)"),"978-601-330-074-0")</f>
        <v>978-601-330-074-0</v>
      </c>
      <c r="E1232" s="11" t="s">
        <v>5053</v>
      </c>
      <c r="F1232" s="11" t="s">
        <v>5054</v>
      </c>
      <c r="G1232" s="12">
        <f ca="1">IFERROR(__xludf.DUMMYFUNCTION(" VLOOKUP(A1229, IMPORTRANGE(""https://docs.google.com/spreadsheets/d/1fj_Bhi2XPL3siwIh4sx4VRLAe31yD50oKdj5UlRYW0c/"", ""Сводка!A:AA""), 5, FALSE)"),160)</f>
        <v>160</v>
      </c>
      <c r="H1232" s="12" t="s">
        <v>538</v>
      </c>
      <c r="I1232" s="10">
        <f ca="1">IFERROR(__xludf.DUMMYFUNCTION(" VLOOKUP(A1229, IMPORTRANGE(""https://docs.google.com/spreadsheets/d/1QNLbnkR_AongFt22vMfNzfpjZ0CjpI8QI-w0wBnYA1w/"", ""Инфа!A:AA""), 6, FALSE)"),2023)</f>
        <v>2023</v>
      </c>
      <c r="J1232" s="5">
        <f ca="1">ROUND((5000+G1232*30),-2)</f>
        <v>9800</v>
      </c>
      <c r="K1232" s="12" t="s">
        <v>2600</v>
      </c>
      <c r="L1232" s="15" t="s">
        <v>5055</v>
      </c>
    </row>
    <row r="1233" spans="1:12" ht="202.5">
      <c r="A1233" s="8" t="s">
        <v>5056</v>
      </c>
      <c r="B1233" s="9" t="s">
        <v>12</v>
      </c>
      <c r="C1233" s="12" t="s">
        <v>443</v>
      </c>
      <c r="D1233" s="10" t="str">
        <f ca="1">IFERROR(__xludf.DUMMYFUNCTION(" VLOOKUP(A1230, IMPORTRANGE(""https://docs.google.com/spreadsheets/d/1fj_Bhi2XPL3siwIh4sx4VRLAe31yD50oKdj5UlRYW0c/"", ""Сводка!A:AA""), 11, FALSE)"),"978-601-352-780-2")</f>
        <v>978-601-352-780-2</v>
      </c>
      <c r="E1233" s="11" t="s">
        <v>5057</v>
      </c>
      <c r="F1233" s="11" t="s">
        <v>5058</v>
      </c>
      <c r="G1233" s="12">
        <f ca="1">IFERROR(__xludf.DUMMYFUNCTION(" VLOOKUP(A1230, IMPORTRANGE(""https://docs.google.com/spreadsheets/d/1fj_Bhi2XPL3siwIh4sx4VRLAe31yD50oKdj5UlRYW0c/"", ""Сводка!A:AA""), 5, FALSE)"),132)</f>
        <v>132</v>
      </c>
      <c r="H1233" s="12" t="s">
        <v>538</v>
      </c>
      <c r="I1233" s="10">
        <f ca="1">IFERROR(__xludf.DUMMYFUNCTION(" VLOOKUP(A1230, IMPORTRANGE(""https://docs.google.com/spreadsheets/d/1QNLbnkR_AongFt22vMfNzfpjZ0CjpI8QI-w0wBnYA1w/"", ""Инфа!A:AA""), 6, FALSE)"),2023)</f>
        <v>2023</v>
      </c>
      <c r="J1233" s="5">
        <f ca="1">ROUND((5000+G1233*30),-2)</f>
        <v>9000</v>
      </c>
      <c r="K1233" s="12" t="s">
        <v>84</v>
      </c>
      <c r="L1233" s="15" t="s">
        <v>5059</v>
      </c>
    </row>
    <row r="1234" spans="1:12" ht="247.5">
      <c r="A1234" s="8" t="s">
        <v>5060</v>
      </c>
      <c r="B1234" s="9" t="s">
        <v>12</v>
      </c>
      <c r="C1234" s="10" t="s">
        <v>151</v>
      </c>
      <c r="D1234" s="10" t="str">
        <f ca="1">IFERROR(__xludf.DUMMYFUNCTION(" VLOOKUP(A1231, IMPORTRANGE(""https://docs.google.com/spreadsheets/d/1fj_Bhi2XPL3siwIh4sx4VRLAe31yD50oKdj5UlRYW0c/"", ""Сводка!A:AA""), 11, FALSE)"),"978-601-310-197-2")</f>
        <v>978-601-310-197-2</v>
      </c>
      <c r="E1234" s="11" t="s">
        <v>5061</v>
      </c>
      <c r="F1234" s="11" t="s">
        <v>5062</v>
      </c>
      <c r="G1234" s="12">
        <f ca="1">IFERROR(__xludf.DUMMYFUNCTION(" VLOOKUP(A1231, IMPORTRANGE(""https://docs.google.com/spreadsheets/d/1fj_Bhi2XPL3siwIh4sx4VRLAe31yD50oKdj5UlRYW0c/"", ""Сводка!A:AA""), 5, FALSE)"),304)</f>
        <v>304</v>
      </c>
      <c r="H1234" s="12" t="s">
        <v>47</v>
      </c>
      <c r="I1234" s="10">
        <f ca="1">IFERROR(__xludf.DUMMYFUNCTION(" VLOOKUP(A1231, IMPORTRANGE(""https://docs.google.com/spreadsheets/d/1QNLbnkR_AongFt22vMfNzfpjZ0CjpI8QI-w0wBnYA1w/"", ""Инфа!A:AA""), 6, FALSE)"),2024)</f>
        <v>2024</v>
      </c>
      <c r="J1234" s="5">
        <f ca="1">ROUND((5000+G1234*60),-2)</f>
        <v>23200</v>
      </c>
      <c r="K1234" s="12" t="s">
        <v>440</v>
      </c>
      <c r="L1234" s="15" t="s">
        <v>5063</v>
      </c>
    </row>
    <row r="1235" spans="1:12" ht="90">
      <c r="A1235" s="8" t="s">
        <v>5064</v>
      </c>
      <c r="B1235" s="9" t="s">
        <v>12</v>
      </c>
      <c r="C1235" s="12" t="s">
        <v>443</v>
      </c>
      <c r="D1235" s="10" t="str">
        <f ca="1">IFERROR(__xludf.DUMMYFUNCTION(" VLOOKUP(A1232, IMPORTRANGE(""https://docs.google.com/spreadsheets/d/1fj_Bhi2XPL3siwIh4sx4VRLAe31yD50oKdj5UlRYW0c/"", ""Сводка!A:AA""), 11, FALSE)"),"978-601-7640-40-8")</f>
        <v>978-601-7640-40-8</v>
      </c>
      <c r="E1235" s="11" t="s">
        <v>5065</v>
      </c>
      <c r="F1235" s="11" t="s">
        <v>5066</v>
      </c>
      <c r="G1235" s="12">
        <f ca="1">IFERROR(__xludf.DUMMYFUNCTION(" VLOOKUP(A1232, IMPORTRANGE(""https://docs.google.com/spreadsheets/d/1fj_Bhi2XPL3siwIh4sx4VRLAe31yD50oKdj5UlRYW0c/"", ""Сводка!A:AA""), 5, FALSE)"),172)</f>
        <v>172</v>
      </c>
      <c r="H1235" s="12" t="s">
        <v>538</v>
      </c>
      <c r="I1235" s="10">
        <f ca="1">IFERROR(__xludf.DUMMYFUNCTION(" VLOOKUP(A1232, IMPORTRANGE(""https://docs.google.com/spreadsheets/d/1QNLbnkR_AongFt22vMfNzfpjZ0CjpI8QI-w0wBnYA1w/"", ""Инфа!A:AA""), 6, FALSE)"),2024)</f>
        <v>2024</v>
      </c>
      <c r="J1235" s="5">
        <f ca="1">ROUND((5000+G1235*60),-2)</f>
        <v>15300</v>
      </c>
      <c r="K1235" s="12" t="s">
        <v>1603</v>
      </c>
      <c r="L1235" s="15" t="s">
        <v>5067</v>
      </c>
    </row>
    <row r="1236" spans="1:12" ht="157.5">
      <c r="A1236" s="8" t="s">
        <v>5068</v>
      </c>
      <c r="B1236" s="9" t="s">
        <v>12</v>
      </c>
      <c r="C1236" s="12" t="s">
        <v>151</v>
      </c>
      <c r="D1236" s="10" t="str">
        <f ca="1">IFERROR(__xludf.DUMMYFUNCTION(" VLOOKUP(A1233, IMPORTRANGE(""https://docs.google.com/spreadsheets/d/1fj_Bhi2XPL3siwIh4sx4VRLAe31yD50oKdj5UlRYW0c/"", ""Сводка!A:AA""), 11, FALSE)"),"978-601-327-488-1")</f>
        <v>978-601-327-488-1</v>
      </c>
      <c r="E1236" s="11" t="s">
        <v>4782</v>
      </c>
      <c r="F1236" s="11" t="s">
        <v>5069</v>
      </c>
      <c r="G1236" s="12">
        <f ca="1">IFERROR(__xludf.DUMMYFUNCTION(" VLOOKUP(A1233, IMPORTRANGE(""https://docs.google.com/spreadsheets/d/1fj_Bhi2XPL3siwIh4sx4VRLAe31yD50oKdj5UlRYW0c/"", ""Сводка!A:AA""), 5, FALSE)"),320)</f>
        <v>320</v>
      </c>
      <c r="H1236" s="12" t="s">
        <v>4784</v>
      </c>
      <c r="I1236" s="10">
        <f ca="1">IFERROR(__xludf.DUMMYFUNCTION(" VLOOKUP(A1233, IMPORTRANGE(""https://docs.google.com/spreadsheets/d/1QNLbnkR_AongFt22vMfNzfpjZ0CjpI8QI-w0wBnYA1w/"", ""Инфа!A:AA""), 6, FALSE)"),2024)</f>
        <v>2024</v>
      </c>
      <c r="J1236" s="5">
        <f t="shared" ref="J1236:J1242" ca="1" si="38">ROUND((5000+G1236*30),-2)</f>
        <v>14600</v>
      </c>
      <c r="K1236" s="12" t="s">
        <v>26</v>
      </c>
      <c r="L1236" s="16" t="s">
        <v>5070</v>
      </c>
    </row>
    <row r="1237" spans="1:12" ht="157.5">
      <c r="A1237" s="8" t="s">
        <v>5071</v>
      </c>
      <c r="B1237" s="9" t="s">
        <v>12</v>
      </c>
      <c r="C1237" s="12" t="s">
        <v>151</v>
      </c>
      <c r="D1237" s="10" t="str">
        <f ca="1">IFERROR(__xludf.DUMMYFUNCTION(" VLOOKUP(A1234, IMPORTRANGE(""https://docs.google.com/spreadsheets/d/1fj_Bhi2XPL3siwIh4sx4VRLAe31yD50oKdj5UlRYW0c/"", ""Сводка!A:AA""), 11, FALSE)"),"978-601-327-488-1")</f>
        <v>978-601-327-488-1</v>
      </c>
      <c r="E1237" s="11" t="s">
        <v>4782</v>
      </c>
      <c r="F1237" s="11" t="s">
        <v>5072</v>
      </c>
      <c r="G1237" s="12">
        <f ca="1">IFERROR(__xludf.DUMMYFUNCTION(" VLOOKUP(A1234, IMPORTRANGE(""https://docs.google.com/spreadsheets/d/1fj_Bhi2XPL3siwIh4sx4VRLAe31yD50oKdj5UlRYW0c/"", ""Сводка!A:AA""), 5, FALSE)"),260)</f>
        <v>260</v>
      </c>
      <c r="H1237" s="12" t="s">
        <v>4784</v>
      </c>
      <c r="I1237" s="10">
        <f ca="1">IFERROR(__xludf.DUMMYFUNCTION(" VLOOKUP(A1234, IMPORTRANGE(""https://docs.google.com/spreadsheets/d/1QNLbnkR_AongFt22vMfNzfpjZ0CjpI8QI-w0wBnYA1w/"", ""Инфа!A:AA""), 6, FALSE)"),2024)</f>
        <v>2024</v>
      </c>
      <c r="J1237" s="5">
        <f t="shared" ca="1" si="38"/>
        <v>12800</v>
      </c>
      <c r="K1237" s="12" t="s">
        <v>26</v>
      </c>
      <c r="L1237" s="16" t="s">
        <v>5070</v>
      </c>
    </row>
    <row r="1238" spans="1:12" ht="258.75">
      <c r="A1238" s="8" t="s">
        <v>5073</v>
      </c>
      <c r="B1238" s="9" t="s">
        <v>12</v>
      </c>
      <c r="C1238" s="12" t="s">
        <v>151</v>
      </c>
      <c r="D1238" s="40" t="s">
        <v>5074</v>
      </c>
      <c r="E1238" s="11" t="s">
        <v>5075</v>
      </c>
      <c r="F1238" s="11" t="s">
        <v>5076</v>
      </c>
      <c r="G1238" s="12">
        <f ca="1">IFERROR(__xludf.DUMMYFUNCTION(" VLOOKUP(A1235, IMPORTRANGE(""https://docs.google.com/spreadsheets/d/1fj_Bhi2XPL3siwIh4sx4VRLAe31yD50oKdj5UlRYW0c/"", ""Сводка!A:AA""), 5, FALSE)"),112)</f>
        <v>112</v>
      </c>
      <c r="H1238" s="12" t="s">
        <v>106</v>
      </c>
      <c r="I1238" s="10">
        <f ca="1">IFERROR(__xludf.DUMMYFUNCTION(" VLOOKUP(A1235, IMPORTRANGE(""https://docs.google.com/spreadsheets/d/1QNLbnkR_AongFt22vMfNzfpjZ0CjpI8QI-w0wBnYA1w/"", ""Инфа!A:AA""), 6, FALSE)"),2024)</f>
        <v>2024</v>
      </c>
      <c r="J1238" s="5">
        <f t="shared" ca="1" si="38"/>
        <v>8400</v>
      </c>
      <c r="K1238" s="12" t="s">
        <v>48</v>
      </c>
      <c r="L1238" s="15" t="s">
        <v>5077</v>
      </c>
    </row>
    <row r="1239" spans="1:12" ht="270">
      <c r="A1239" s="8" t="s">
        <v>5078</v>
      </c>
      <c r="B1239" s="9" t="s">
        <v>12</v>
      </c>
      <c r="C1239" s="12" t="s">
        <v>21</v>
      </c>
      <c r="D1239" s="10" t="str">
        <f ca="1">IFERROR(__xludf.DUMMYFUNCTION(" VLOOKUP(A1236, IMPORTRANGE(""https://docs.google.com/spreadsheets/d/1fj_Bhi2XPL3siwIh4sx4VRLAe31yD50oKdj5UlRYW0c/"", ""Сводка!A:AA""), 11, FALSE)"),"978-601-330-222-5")</f>
        <v>978-601-330-222-5</v>
      </c>
      <c r="E1239" s="11" t="s">
        <v>5079</v>
      </c>
      <c r="F1239" s="11" t="s">
        <v>5080</v>
      </c>
      <c r="G1239" s="12">
        <f ca="1">IFERROR(__xludf.DUMMYFUNCTION(" VLOOKUP(A1236, IMPORTRANGE(""https://docs.google.com/spreadsheets/d/1fj_Bhi2XPL3siwIh4sx4VRLAe31yD50oKdj5UlRYW0c/"", ""Сводка!A:AA""), 5, FALSE)"),148)</f>
        <v>148</v>
      </c>
      <c r="H1239" s="12" t="s">
        <v>176</v>
      </c>
      <c r="I1239" s="10">
        <f ca="1">IFERROR(__xludf.DUMMYFUNCTION(" VLOOKUP(A1236, IMPORTRANGE(""https://docs.google.com/spreadsheets/d/1QNLbnkR_AongFt22vMfNzfpjZ0CjpI8QI-w0wBnYA1w/"", ""Инфа!A:AA""), 6, FALSE)"),2023)</f>
        <v>2023</v>
      </c>
      <c r="J1239" s="5">
        <f t="shared" ca="1" si="38"/>
        <v>9400</v>
      </c>
      <c r="K1239" s="12" t="s">
        <v>5081</v>
      </c>
      <c r="L1239" s="16" t="s">
        <v>5082</v>
      </c>
    </row>
    <row r="1240" spans="1:12" ht="292.5">
      <c r="A1240" s="8" t="s">
        <v>5083</v>
      </c>
      <c r="B1240" s="9" t="s">
        <v>12</v>
      </c>
      <c r="C1240" s="12" t="s">
        <v>151</v>
      </c>
      <c r="D1240" s="10" t="str">
        <f ca="1">IFERROR(__xludf.DUMMYFUNCTION(" VLOOKUP(A1237, IMPORTRANGE(""https://docs.google.com/spreadsheets/d/1fj_Bhi2XPL3siwIh4sx4VRLAe31yD50oKdj5UlRYW0c/"", ""Сводка!A:AA""), 11, FALSE)"),"978-601-330-245-4")</f>
        <v>978-601-330-245-4</v>
      </c>
      <c r="E1240" s="11" t="s">
        <v>5084</v>
      </c>
      <c r="F1240" s="11" t="s">
        <v>5085</v>
      </c>
      <c r="G1240" s="12">
        <f ca="1">IFERROR(__xludf.DUMMYFUNCTION(" VLOOKUP(A1237, IMPORTRANGE(""https://docs.google.com/spreadsheets/d/1fj_Bhi2XPL3siwIh4sx4VRLAe31yD50oKdj5UlRYW0c/"", ""Сводка!A:AA""), 5, FALSE)"),170)</f>
        <v>170</v>
      </c>
      <c r="H1240" s="12" t="s">
        <v>5086</v>
      </c>
      <c r="I1240" s="10">
        <f ca="1">IFERROR(__xludf.DUMMYFUNCTION(" VLOOKUP(A1237, IMPORTRANGE(""https://docs.google.com/spreadsheets/d/1QNLbnkR_AongFt22vMfNzfpjZ0CjpI8QI-w0wBnYA1w/"", ""Инфа!A:AA""), 6, FALSE)"),2023)</f>
        <v>2023</v>
      </c>
      <c r="J1240" s="5">
        <f t="shared" ca="1" si="38"/>
        <v>10100</v>
      </c>
      <c r="K1240" s="12" t="s">
        <v>5081</v>
      </c>
      <c r="L1240" s="15" t="s">
        <v>5087</v>
      </c>
    </row>
    <row r="1241" spans="1:12" ht="281.25">
      <c r="A1241" s="8" t="s">
        <v>5088</v>
      </c>
      <c r="B1241" s="9" t="s">
        <v>12</v>
      </c>
      <c r="C1241" s="12" t="s">
        <v>443</v>
      </c>
      <c r="D1241" s="10" t="str">
        <f ca="1">IFERROR(__xludf.DUMMYFUNCTION(" VLOOKUP(A1238, IMPORTRANGE(""https://docs.google.com/spreadsheets/d/1fj_Bhi2XPL3siwIh4sx4VRLAe31yD50oKdj5UlRYW0c/"", ""Сводка!A:AA""), 11, FALSE)"),"978-601-330-289-8")</f>
        <v>978-601-330-289-8</v>
      </c>
      <c r="E1241" s="45" t="s">
        <v>5089</v>
      </c>
      <c r="F1241" s="11" t="s">
        <v>5090</v>
      </c>
      <c r="G1241" s="12">
        <f ca="1">IFERROR(__xludf.DUMMYFUNCTION(" VLOOKUP(A1238, IMPORTRANGE(""https://docs.google.com/spreadsheets/d/1fj_Bhi2XPL3siwIh4sx4VRLAe31yD50oKdj5UlRYW0c/"", ""Сводка!A:AA""), 5, FALSE)"),164)</f>
        <v>164</v>
      </c>
      <c r="H1241" s="12" t="s">
        <v>538</v>
      </c>
      <c r="I1241" s="10">
        <f ca="1">IFERROR(__xludf.DUMMYFUNCTION(" VLOOKUP(A1238, IMPORTRANGE(""https://docs.google.com/spreadsheets/d/1QNLbnkR_AongFt22vMfNzfpjZ0CjpI8QI-w0wBnYA1w/"", ""Инфа!A:AA""), 6, FALSE)"),2023)</f>
        <v>2023</v>
      </c>
      <c r="J1241" s="5">
        <f t="shared" ca="1" si="38"/>
        <v>9900</v>
      </c>
      <c r="K1241" s="12" t="s">
        <v>5081</v>
      </c>
      <c r="L1241" s="15" t="s">
        <v>5091</v>
      </c>
    </row>
    <row r="1242" spans="1:12" ht="315">
      <c r="A1242" s="8" t="s">
        <v>5092</v>
      </c>
      <c r="B1242" s="9" t="s">
        <v>12</v>
      </c>
      <c r="C1242" s="10" t="s">
        <v>151</v>
      </c>
      <c r="D1242" s="10" t="str">
        <f ca="1">IFERROR(__xludf.DUMMYFUNCTION(" VLOOKUP(A1239, IMPORTRANGE(""https://docs.google.com/spreadsheets/d/1fj_Bhi2XPL3siwIh4sx4VRLAe31yD50oKdj5UlRYW0c/"", ""Сводка!A:AA""), 11, FALSE)"),"978-601-310-078-4")</f>
        <v>978-601-310-078-4</v>
      </c>
      <c r="E1242" s="11" t="s">
        <v>5093</v>
      </c>
      <c r="F1242" s="11" t="s">
        <v>5094</v>
      </c>
      <c r="G1242" s="12">
        <f ca="1">IFERROR(__xludf.DUMMYFUNCTION(" VLOOKUP(A1239, IMPORTRANGE(""https://docs.google.com/spreadsheets/d/1fj_Bhi2XPL3siwIh4sx4VRLAe31yD50oKdj5UlRYW0c/"", ""Сводка!A:AA""), 5, FALSE)"),128)</f>
        <v>128</v>
      </c>
      <c r="H1242" s="12" t="s">
        <v>952</v>
      </c>
      <c r="I1242" s="10">
        <f ca="1">IFERROR(__xludf.DUMMYFUNCTION(" VLOOKUP(A1239, IMPORTRANGE(""https://docs.google.com/spreadsheets/d/1QNLbnkR_AongFt22vMfNzfpjZ0CjpI8QI-w0wBnYA1w/"", ""Инфа!A:AA""), 6, FALSE)"),2024)</f>
        <v>2024</v>
      </c>
      <c r="J1242" s="5">
        <f t="shared" ca="1" si="38"/>
        <v>8800</v>
      </c>
      <c r="K1242" s="12" t="s">
        <v>440</v>
      </c>
      <c r="L1242" s="15" t="s">
        <v>5095</v>
      </c>
    </row>
    <row r="1243" spans="1:12" ht="90">
      <c r="A1243" s="8" t="s">
        <v>5096</v>
      </c>
      <c r="B1243" s="9" t="s">
        <v>12</v>
      </c>
      <c r="C1243" s="12" t="s">
        <v>151</v>
      </c>
      <c r="D1243" s="10" t="str">
        <f ca="1">IFERROR(__xludf.DUMMYFUNCTION(" VLOOKUP(A1240, IMPORTRANGE(""https://docs.google.com/spreadsheets/d/1fj_Bhi2XPL3siwIh4sx4VRLAe31yD50oKdj5UlRYW0c/"", ""Сводка!A:AA""), 11, FALSE)"),"978-601-330-181-8")</f>
        <v>978-601-330-181-8</v>
      </c>
      <c r="E1243" s="45" t="s">
        <v>5097</v>
      </c>
      <c r="F1243" s="45" t="s">
        <v>5098</v>
      </c>
      <c r="G1243" s="12">
        <f ca="1">IFERROR(__xludf.DUMMYFUNCTION(" VLOOKUP(A1240, IMPORTRANGE(""https://docs.google.com/spreadsheets/d/1fj_Bhi2XPL3siwIh4sx4VRLAe31yD50oKdj5UlRYW0c/"", ""Сводка!A:AA""), 5, FALSE)"),240)</f>
        <v>240</v>
      </c>
      <c r="H1243" s="12" t="s">
        <v>165</v>
      </c>
      <c r="I1243" s="10">
        <f ca="1">IFERROR(__xludf.DUMMYFUNCTION(" VLOOKUP(A1240, IMPORTRANGE(""https://docs.google.com/spreadsheets/d/1QNLbnkR_AongFt22vMfNzfpjZ0CjpI8QI-w0wBnYA1w/"", ""Инфа!A:AA""), 6, FALSE)"),2023)</f>
        <v>2023</v>
      </c>
      <c r="J1243" s="5">
        <f ca="1">ROUND((5000+G1243*60),-2)</f>
        <v>19400</v>
      </c>
      <c r="K1243" s="12" t="s">
        <v>5099</v>
      </c>
      <c r="L1243" s="16" t="s">
        <v>5100</v>
      </c>
    </row>
    <row r="1244" spans="1:12" ht="90">
      <c r="A1244" s="8" t="s">
        <v>5101</v>
      </c>
      <c r="B1244" s="9" t="s">
        <v>12</v>
      </c>
      <c r="C1244" s="12" t="s">
        <v>151</v>
      </c>
      <c r="D1244" s="10" t="str">
        <f ca="1">IFERROR(__xludf.DUMMYFUNCTION(" VLOOKUP(A1241, IMPORTRANGE(""https://docs.google.com/spreadsheets/d/1fj_Bhi2XPL3siwIh4sx4VRLAe31yD50oKdj5UlRYW0c/"", ""Сводка!A:AA""), 11, FALSE)"),"978-601-330-180-8")</f>
        <v>978-601-330-180-8</v>
      </c>
      <c r="E1244" s="45" t="s">
        <v>5097</v>
      </c>
      <c r="F1244" s="45" t="s">
        <v>5102</v>
      </c>
      <c r="G1244" s="12">
        <f ca="1">IFERROR(__xludf.DUMMYFUNCTION(" VLOOKUP(A1241, IMPORTRANGE(""https://docs.google.com/spreadsheets/d/1fj_Bhi2XPL3siwIh4sx4VRLAe31yD50oKdj5UlRYW0c/"", ""Сводка!A:AA""), 5, FALSE)"),244)</f>
        <v>244</v>
      </c>
      <c r="H1244" s="12" t="s">
        <v>165</v>
      </c>
      <c r="I1244" s="10">
        <f ca="1">IFERROR(__xludf.DUMMYFUNCTION(" VLOOKUP(A1241, IMPORTRANGE(""https://docs.google.com/spreadsheets/d/1QNLbnkR_AongFt22vMfNzfpjZ0CjpI8QI-w0wBnYA1w/"", ""Инфа!A:AA""), 6, FALSE)"),2023)</f>
        <v>2023</v>
      </c>
      <c r="J1244" s="5">
        <f t="shared" ref="J1244:J1250" ca="1" si="39">ROUND((5000+G1244*30),-2)</f>
        <v>12300</v>
      </c>
      <c r="K1244" s="12" t="s">
        <v>5099</v>
      </c>
      <c r="L1244" s="16" t="s">
        <v>5100</v>
      </c>
    </row>
    <row r="1245" spans="1:12" ht="112.5">
      <c r="A1245" s="8" t="s">
        <v>5103</v>
      </c>
      <c r="B1245" s="9" t="s">
        <v>12</v>
      </c>
      <c r="C1245" s="12" t="s">
        <v>443</v>
      </c>
      <c r="D1245" s="10" t="str">
        <f ca="1">IFERROR(__xludf.DUMMYFUNCTION(" VLOOKUP(A1242, IMPORTRANGE(""https://docs.google.com/spreadsheets/d/1fj_Bhi2XPL3siwIh4sx4VRLAe31yD50oKdj5UlRYW0c/"", ""Сводка!A:AA""), 11, FALSE)"),"978-601-352-200-6")</f>
        <v>978-601-352-200-6</v>
      </c>
      <c r="E1245" s="11" t="s">
        <v>5104</v>
      </c>
      <c r="F1245" s="11" t="s">
        <v>5105</v>
      </c>
      <c r="G1245" s="12">
        <f ca="1">IFERROR(__xludf.DUMMYFUNCTION(" VLOOKUP(A1242, IMPORTRANGE(""https://docs.google.com/spreadsheets/d/1fj_Bhi2XPL3siwIh4sx4VRLAe31yD50oKdj5UlRYW0c/"", ""Сводка!A:AA""), 5, FALSE)"),276)</f>
        <v>276</v>
      </c>
      <c r="H1245" s="12" t="s">
        <v>5106</v>
      </c>
      <c r="I1245" s="10">
        <f ca="1">IFERROR(__xludf.DUMMYFUNCTION(" VLOOKUP(A1242, IMPORTRANGE(""https://docs.google.com/spreadsheets/d/1QNLbnkR_AongFt22vMfNzfpjZ0CjpI8QI-w0wBnYA1w/"", ""Инфа!A:AA""), 6, FALSE)"),2024)</f>
        <v>2024</v>
      </c>
      <c r="J1245" s="5">
        <f t="shared" ca="1" si="39"/>
        <v>13300</v>
      </c>
      <c r="K1245" s="12" t="s">
        <v>4529</v>
      </c>
      <c r="L1245" s="15" t="s">
        <v>5107</v>
      </c>
    </row>
    <row r="1246" spans="1:12" ht="168.75">
      <c r="A1246" s="8" t="s">
        <v>5108</v>
      </c>
      <c r="B1246" s="9" t="s">
        <v>12</v>
      </c>
      <c r="C1246" s="12" t="s">
        <v>151</v>
      </c>
      <c r="D1246" s="10" t="str">
        <f ca="1">IFERROR(__xludf.DUMMYFUNCTION(" VLOOKUP(A1243, IMPORTRANGE(""https://docs.google.com/spreadsheets/d/1fj_Bhi2XPL3siwIh4sx4VRLAe31yD50oKdj5UlRYW0c/"", ""Сводка!A:AA""), 11, FALSE)"),"978-601-330-025-2")</f>
        <v>978-601-330-025-2</v>
      </c>
      <c r="E1246" s="11" t="s">
        <v>5109</v>
      </c>
      <c r="F1246" s="11" t="s">
        <v>5110</v>
      </c>
      <c r="G1246" s="12">
        <f ca="1">IFERROR(__xludf.DUMMYFUNCTION(" VLOOKUP(A1243, IMPORTRANGE(""https://docs.google.com/spreadsheets/d/1fj_Bhi2XPL3siwIh4sx4VRLAe31yD50oKdj5UlRYW0c/"", ""Сводка!A:AA""), 5, FALSE)"),88)</f>
        <v>88</v>
      </c>
      <c r="H1246" s="12" t="s">
        <v>165</v>
      </c>
      <c r="I1246" s="10">
        <f ca="1">IFERROR(__xludf.DUMMYFUNCTION(" VLOOKUP(A1243, IMPORTRANGE(""https://docs.google.com/spreadsheets/d/1QNLbnkR_AongFt22vMfNzfpjZ0CjpI8QI-w0wBnYA1w/"", ""Инфа!A:AA""), 6, FALSE)"),2024)</f>
        <v>2024</v>
      </c>
      <c r="J1246" s="5">
        <f t="shared" ca="1" si="39"/>
        <v>7600</v>
      </c>
      <c r="K1246" s="12" t="s">
        <v>5111</v>
      </c>
      <c r="L1246" s="15" t="s">
        <v>5112</v>
      </c>
    </row>
    <row r="1247" spans="1:12" ht="112.5">
      <c r="A1247" s="8" t="s">
        <v>5113</v>
      </c>
      <c r="B1247" s="9" t="s">
        <v>12</v>
      </c>
      <c r="C1247" s="12" t="s">
        <v>151</v>
      </c>
      <c r="D1247" s="10" t="s">
        <v>5114</v>
      </c>
      <c r="E1247" s="11" t="s">
        <v>5115</v>
      </c>
      <c r="F1247" s="11" t="s">
        <v>5116</v>
      </c>
      <c r="G1247" s="12">
        <f ca="1">IFERROR(__xludf.DUMMYFUNCTION(" VLOOKUP(A1244, IMPORTRANGE(""https://docs.google.com/spreadsheets/d/1fj_Bhi2XPL3siwIh4sx4VRLAe31yD50oKdj5UlRYW0c/"", ""Сводка!A:AA""), 5, FALSE)"),128)</f>
        <v>128</v>
      </c>
      <c r="H1247" s="12" t="s">
        <v>106</v>
      </c>
      <c r="I1247" s="10">
        <f ca="1">IFERROR(__xludf.DUMMYFUNCTION(" VLOOKUP(A1244, IMPORTRANGE(""https://docs.google.com/spreadsheets/d/1QNLbnkR_AongFt22vMfNzfpjZ0CjpI8QI-w0wBnYA1w/"", ""Инфа!A:AA""), 6, FALSE)"),2024)</f>
        <v>2024</v>
      </c>
      <c r="J1247" s="5">
        <f t="shared" ca="1" si="39"/>
        <v>8800</v>
      </c>
      <c r="K1247" s="12" t="s">
        <v>48</v>
      </c>
      <c r="L1247" s="16" t="s">
        <v>5117</v>
      </c>
    </row>
    <row r="1248" spans="1:12" ht="180">
      <c r="A1248" s="8" t="s">
        <v>5118</v>
      </c>
      <c r="B1248" s="9" t="s">
        <v>12</v>
      </c>
      <c r="C1248" s="12" t="s">
        <v>443</v>
      </c>
      <c r="D1248" s="10" t="str">
        <f ca="1">IFERROR(__xludf.DUMMYFUNCTION(" VLOOKUP(A1245, IMPORTRANGE(""https://docs.google.com/spreadsheets/d/1fj_Bhi2XPL3siwIh4sx4VRLAe31yD50oKdj5UlRYW0c/"", ""Сводка!A:AA""), 11, FALSE)"),"978-601-352-965-3")</f>
        <v>978-601-352-965-3</v>
      </c>
      <c r="E1248" s="11" t="s">
        <v>5119</v>
      </c>
      <c r="F1248" s="11" t="s">
        <v>5120</v>
      </c>
      <c r="G1248" s="12">
        <f ca="1">IFERROR(__xludf.DUMMYFUNCTION(" VLOOKUP(A1245, IMPORTRANGE(""https://docs.google.com/spreadsheets/d/1fj_Bhi2XPL3siwIh4sx4VRLAe31yD50oKdj5UlRYW0c/"", ""Сводка!A:AA""), 5, FALSE)"),116)</f>
        <v>116</v>
      </c>
      <c r="H1248" s="12" t="s">
        <v>538</v>
      </c>
      <c r="I1248" s="10">
        <f ca="1">IFERROR(__xludf.DUMMYFUNCTION(" VLOOKUP(A1245, IMPORTRANGE(""https://docs.google.com/spreadsheets/d/1QNLbnkR_AongFt22vMfNzfpjZ0CjpI8QI-w0wBnYA1w/"", ""Инфа!A:AA""), 6, FALSE)"),2023)</f>
        <v>2023</v>
      </c>
      <c r="J1248" s="5">
        <f t="shared" ca="1" si="39"/>
        <v>8500</v>
      </c>
      <c r="K1248" s="12" t="s">
        <v>5121</v>
      </c>
      <c r="L1248" s="16" t="s">
        <v>5122</v>
      </c>
    </row>
    <row r="1249" spans="1:12" ht="247.5">
      <c r="A1249" s="8" t="s">
        <v>5123</v>
      </c>
      <c r="B1249" s="9" t="s">
        <v>12</v>
      </c>
      <c r="C1249" s="12" t="s">
        <v>443</v>
      </c>
      <c r="D1249" s="10" t="str">
        <f ca="1">IFERROR(__xludf.DUMMYFUNCTION(" VLOOKUP(A1246, IMPORTRANGE(""https://docs.google.com/spreadsheets/d/1fj_Bhi2XPL3siwIh4sx4VRLAe31yD50oKdj5UlRYW0c/"", ""Сводка!A:AA""), 11, FALSE)"),"978-601-352-967-7")</f>
        <v>978-601-352-967-7</v>
      </c>
      <c r="E1249" s="11" t="s">
        <v>5124</v>
      </c>
      <c r="F1249" s="11" t="s">
        <v>5125</v>
      </c>
      <c r="G1249" s="12">
        <f ca="1">IFERROR(__xludf.DUMMYFUNCTION(" VLOOKUP(A1246, IMPORTRANGE(""https://docs.google.com/spreadsheets/d/1fj_Bhi2XPL3siwIh4sx4VRLAe31yD50oKdj5UlRYW0c/"", ""Сводка!A:AA""), 5, FALSE)"),136)</f>
        <v>136</v>
      </c>
      <c r="H1249" s="12" t="s">
        <v>538</v>
      </c>
      <c r="I1249" s="10">
        <f ca="1">IFERROR(__xludf.DUMMYFUNCTION(" VLOOKUP(A1246, IMPORTRANGE(""https://docs.google.com/spreadsheets/d/1QNLbnkR_AongFt22vMfNzfpjZ0CjpI8QI-w0wBnYA1w/"", ""Инфа!A:AA""), 6, FALSE)"),2024)</f>
        <v>2024</v>
      </c>
      <c r="J1249" s="5">
        <f t="shared" ca="1" si="39"/>
        <v>9100</v>
      </c>
      <c r="K1249" s="12" t="s">
        <v>5126</v>
      </c>
      <c r="L1249" s="16" t="s">
        <v>5127</v>
      </c>
    </row>
    <row r="1250" spans="1:12" ht="146.25">
      <c r="A1250" s="8" t="s">
        <v>5128</v>
      </c>
      <c r="B1250" s="9" t="s">
        <v>12</v>
      </c>
      <c r="C1250" s="12" t="s">
        <v>443</v>
      </c>
      <c r="D1250" s="10" t="str">
        <f ca="1">IFERROR(__xludf.DUMMYFUNCTION(" VLOOKUP(A1247, IMPORTRANGE(""https://docs.google.com/spreadsheets/d/1fj_Bhi2XPL3siwIh4sx4VRLAe31yD50oKdj5UlRYW0c/"", ""Сводка!A:AA""), 11, FALSE)"),"978-601-352-963-9")</f>
        <v>978-601-352-963-9</v>
      </c>
      <c r="E1250" s="11" t="s">
        <v>5129</v>
      </c>
      <c r="F1250" s="11" t="s">
        <v>5130</v>
      </c>
      <c r="G1250" s="12">
        <f ca="1">IFERROR(__xludf.DUMMYFUNCTION(" VLOOKUP(A1247, IMPORTRANGE(""https://docs.google.com/spreadsheets/d/1fj_Bhi2XPL3siwIh4sx4VRLAe31yD50oKdj5UlRYW0c/"", ""Сводка!A:AA""), 5, FALSE)"),120)</f>
        <v>120</v>
      </c>
      <c r="H1250" s="12" t="s">
        <v>538</v>
      </c>
      <c r="I1250" s="10">
        <f ca="1">IFERROR(__xludf.DUMMYFUNCTION(" VLOOKUP(A1247, IMPORTRANGE(""https://docs.google.com/spreadsheets/d/1QNLbnkR_AongFt22vMfNzfpjZ0CjpI8QI-w0wBnYA1w/"", ""Инфа!A:AA""), 6, FALSE)"),2023)</f>
        <v>2023</v>
      </c>
      <c r="J1250" s="5">
        <f t="shared" ca="1" si="39"/>
        <v>8600</v>
      </c>
      <c r="K1250" s="12" t="s">
        <v>5121</v>
      </c>
      <c r="L1250" s="16" t="s">
        <v>5131</v>
      </c>
    </row>
    <row r="1251" spans="1:12" ht="303.75">
      <c r="A1251" s="8" t="s">
        <v>5132</v>
      </c>
      <c r="B1251" s="9" t="s">
        <v>12</v>
      </c>
      <c r="C1251" s="12" t="s">
        <v>443</v>
      </c>
      <c r="D1251" s="10" t="str">
        <f ca="1">IFERROR(__xludf.DUMMYFUNCTION(" VLOOKUP(A1248, IMPORTRANGE(""https://docs.google.com/spreadsheets/d/1fj_Bhi2XPL3siwIh4sx4VRLAe31yD50oKdj5UlRYW0c/"", ""Сводка!A:AA""), 11, FALSE)"),"978-601-330-166-2")</f>
        <v>978-601-330-166-2</v>
      </c>
      <c r="E1251" s="11" t="s">
        <v>5133</v>
      </c>
      <c r="F1251" s="11" t="s">
        <v>5134</v>
      </c>
      <c r="G1251" s="12">
        <f ca="1">IFERROR(__xludf.DUMMYFUNCTION(" VLOOKUP(A1248, IMPORTRANGE(""https://docs.google.com/spreadsheets/d/1fj_Bhi2XPL3siwIh4sx4VRLAe31yD50oKdj5UlRYW0c/"", ""Сводка!A:AA""), 5, FALSE)"),340)</f>
        <v>340</v>
      </c>
      <c r="H1251" s="12" t="s">
        <v>538</v>
      </c>
      <c r="I1251" s="10">
        <f ca="1">IFERROR(__xludf.DUMMYFUNCTION(" VLOOKUP(A1248, IMPORTRANGE(""https://docs.google.com/spreadsheets/d/1QNLbnkR_AongFt22vMfNzfpjZ0CjpI8QI-w0wBnYA1w/"", ""Инфа!A:AA""), 6, FALSE)"),2024)</f>
        <v>2024</v>
      </c>
      <c r="J1251" s="5">
        <f ca="1">ROUND((5000+G1251*60),-2)</f>
        <v>25400</v>
      </c>
      <c r="K1251" s="12" t="s">
        <v>2542</v>
      </c>
      <c r="L1251" s="15" t="s">
        <v>5135</v>
      </c>
    </row>
    <row r="1252" spans="1:12" ht="281.25">
      <c r="A1252" s="8" t="s">
        <v>5136</v>
      </c>
      <c r="B1252" s="9" t="s">
        <v>12</v>
      </c>
      <c r="C1252" s="12" t="s">
        <v>443</v>
      </c>
      <c r="D1252" s="10" t="str">
        <f ca="1">IFERROR(__xludf.DUMMYFUNCTION(" VLOOKUP(A1249, IMPORTRANGE(""https://docs.google.com/spreadsheets/d/1fj_Bhi2XPL3siwIh4sx4VRLAe31yD50oKdj5UlRYW0c/"", ""Сводка!A:AA""), 11, FALSE)"),"978-601-330-105-1")</f>
        <v>978-601-330-105-1</v>
      </c>
      <c r="E1252" s="11" t="s">
        <v>5137</v>
      </c>
      <c r="F1252" s="11" t="s">
        <v>5138</v>
      </c>
      <c r="G1252" s="12">
        <f ca="1">IFERROR(__xludf.DUMMYFUNCTION(" VLOOKUP(A1249, IMPORTRANGE(""https://docs.google.com/spreadsheets/d/1fj_Bhi2XPL3siwIh4sx4VRLAe31yD50oKdj5UlRYW0c/"", ""Сводка!A:AA""), 5, FALSE)"),88)</f>
        <v>88</v>
      </c>
      <c r="H1252" s="12" t="s">
        <v>777</v>
      </c>
      <c r="I1252" s="10">
        <f ca="1">IFERROR(__xludf.DUMMYFUNCTION(" VLOOKUP(A1249, IMPORTRANGE(""https://docs.google.com/spreadsheets/d/1QNLbnkR_AongFt22vMfNzfpjZ0CjpI8QI-w0wBnYA1w/"", ""Инфа!A:AA""), 6, FALSE)"),2023)</f>
        <v>2023</v>
      </c>
      <c r="J1252" s="5">
        <f ca="1">ROUND((5000+G1252*60),-2)</f>
        <v>10300</v>
      </c>
      <c r="K1252" s="12" t="s">
        <v>139</v>
      </c>
      <c r="L1252" s="15" t="s">
        <v>5139</v>
      </c>
    </row>
    <row r="1253" spans="1:12" ht="281.25">
      <c r="A1253" s="8" t="s">
        <v>5140</v>
      </c>
      <c r="B1253" s="9" t="s">
        <v>12</v>
      </c>
      <c r="C1253" s="12" t="s">
        <v>13</v>
      </c>
      <c r="D1253" s="10" t="str">
        <f ca="1">IFERROR(__xludf.DUMMYFUNCTION(" VLOOKUP(A1250, IMPORTRANGE(""https://docs.google.com/spreadsheets/d/1fj_Bhi2XPL3siwIh4sx4VRLAe31yD50oKdj5UlRYW0c/"", ""Сводка!A:AA""), 11, FALSE)"),"978-601-342-289-7")</f>
        <v>978-601-342-289-7</v>
      </c>
      <c r="E1253" s="11" t="s">
        <v>5141</v>
      </c>
      <c r="F1253" s="11" t="s">
        <v>5142</v>
      </c>
      <c r="G1253" s="12">
        <f ca="1">IFERROR(__xludf.DUMMYFUNCTION(" VLOOKUP(A1250, IMPORTRANGE(""https://docs.google.com/spreadsheets/d/1fj_Bhi2XPL3siwIh4sx4VRLAe31yD50oKdj5UlRYW0c/"", ""Сводка!A:AA""), 5, FALSE)"),176)</f>
        <v>176</v>
      </c>
      <c r="H1253" s="12" t="s">
        <v>42</v>
      </c>
      <c r="I1253" s="10">
        <f ca="1">IFERROR(__xludf.DUMMYFUNCTION(" VLOOKUP(A1250, IMPORTRANGE(""https://docs.google.com/spreadsheets/d/1QNLbnkR_AongFt22vMfNzfpjZ0CjpI8QI-w0wBnYA1w/"", ""Инфа!A:AA""), 6, FALSE)"),2023)</f>
        <v>2023</v>
      </c>
      <c r="J1253" s="5">
        <f ca="1">ROUND((5000+G1253*30),-2)</f>
        <v>10300</v>
      </c>
      <c r="K1253" s="12" t="s">
        <v>160</v>
      </c>
      <c r="L1253" s="15" t="s">
        <v>5143</v>
      </c>
    </row>
    <row r="1254" spans="1:12" ht="191.25">
      <c r="A1254" s="8" t="s">
        <v>5144</v>
      </c>
      <c r="B1254" s="9" t="s">
        <v>12</v>
      </c>
      <c r="C1254" s="12" t="s">
        <v>151</v>
      </c>
      <c r="D1254" s="10" t="str">
        <f ca="1">IFERROR(__xludf.DUMMYFUNCTION(" VLOOKUP(A1251, IMPORTRANGE(""https://docs.google.com/spreadsheets/d/1fj_Bhi2XPL3siwIh4sx4VRLAe31yD50oKdj5UlRYW0c/"", ""Сводка!A:AA""), 11, FALSE)"),"978-601-330-022-1")</f>
        <v>978-601-330-022-1</v>
      </c>
      <c r="E1254" s="11" t="s">
        <v>5145</v>
      </c>
      <c r="F1254" s="11" t="s">
        <v>5146</v>
      </c>
      <c r="G1254" s="12">
        <f ca="1">IFERROR(__xludf.DUMMYFUNCTION(" VLOOKUP(A1251, IMPORTRANGE(""https://docs.google.com/spreadsheets/d/1fj_Bhi2XPL3siwIh4sx4VRLAe31yD50oKdj5UlRYW0c/"", ""Сводка!A:AA""), 5, FALSE)"),132)</f>
        <v>132</v>
      </c>
      <c r="H1254" s="12" t="s">
        <v>5147</v>
      </c>
      <c r="I1254" s="10">
        <f ca="1">IFERROR(__xludf.DUMMYFUNCTION(" VLOOKUP(A1251, IMPORTRANGE(""https://docs.google.com/spreadsheets/d/1QNLbnkR_AongFt22vMfNzfpjZ0CjpI8QI-w0wBnYA1w/"", ""Инфа!A:AA""), 6, FALSE)"),2024)</f>
        <v>2024</v>
      </c>
      <c r="J1254" s="5">
        <f ca="1">ROUND((5000+G1254*60),-2)</f>
        <v>12900</v>
      </c>
      <c r="K1254" s="12" t="s">
        <v>570</v>
      </c>
      <c r="L1254" s="15" t="s">
        <v>5148</v>
      </c>
    </row>
    <row r="1255" spans="1:12" ht="191.25">
      <c r="A1255" s="8" t="s">
        <v>5149</v>
      </c>
      <c r="B1255" s="9" t="s">
        <v>12</v>
      </c>
      <c r="C1255" s="12" t="s">
        <v>151</v>
      </c>
      <c r="D1255" s="10" t="str">
        <f ca="1">IFERROR(__xludf.DUMMYFUNCTION(" VLOOKUP(A1252, IMPORTRANGE(""https://docs.google.com/spreadsheets/d/1fj_Bhi2XPL3siwIh4sx4VRLAe31yD50oKdj5UlRYW0c/"", ""Сводка!A:AA""), 11, FALSE)"),"978-601-330-112-9")</f>
        <v>978-601-330-112-9</v>
      </c>
      <c r="E1255" s="45" t="s">
        <v>5150</v>
      </c>
      <c r="F1255" s="45" t="s">
        <v>5151</v>
      </c>
      <c r="G1255" s="12">
        <f ca="1">IFERROR(__xludf.DUMMYFUNCTION(" VLOOKUP(A1252, IMPORTRANGE(""https://docs.google.com/spreadsheets/d/1fj_Bhi2XPL3siwIh4sx4VRLAe31yD50oKdj5UlRYW0c/"", ""Сводка!A:AA""), 5, FALSE)"),320)</f>
        <v>320</v>
      </c>
      <c r="H1255" s="12" t="s">
        <v>47</v>
      </c>
      <c r="I1255" s="10">
        <f ca="1">IFERROR(__xludf.DUMMYFUNCTION(" VLOOKUP(A1252, IMPORTRANGE(""https://docs.google.com/spreadsheets/d/1QNLbnkR_AongFt22vMfNzfpjZ0CjpI8QI-w0wBnYA1w/"", ""Инфа!A:AA""), 6, FALSE)"),2024)</f>
        <v>2024</v>
      </c>
      <c r="J1255" s="5">
        <f ca="1">ROUND(((5000+G1255*30)*1.3),-2)</f>
        <v>19000</v>
      </c>
      <c r="K1255" s="12" t="s">
        <v>5152</v>
      </c>
      <c r="L1255" s="15" t="s">
        <v>5153</v>
      </c>
    </row>
    <row r="1256" spans="1:12" ht="157.5">
      <c r="A1256" s="8" t="s">
        <v>5154</v>
      </c>
      <c r="B1256" s="9" t="s">
        <v>12</v>
      </c>
      <c r="C1256" s="12" t="s">
        <v>151</v>
      </c>
      <c r="D1256" s="10" t="str">
        <f ca="1">IFERROR(__xludf.DUMMYFUNCTION(" VLOOKUP(A1253, IMPORTRANGE(""https://docs.google.com/spreadsheets/d/1fj_Bhi2XPL3siwIh4sx4VRLAe31yD50oKdj5UlRYW0c/"", ""Сводка!A:AA""), 11, FALSE)"),"978-601-330-113-6")</f>
        <v>978-601-330-113-6</v>
      </c>
      <c r="E1256" s="45" t="s">
        <v>5150</v>
      </c>
      <c r="F1256" s="45" t="s">
        <v>5155</v>
      </c>
      <c r="G1256" s="12">
        <f ca="1">IFERROR(__xludf.DUMMYFUNCTION(" VLOOKUP(A1253, IMPORTRANGE(""https://docs.google.com/spreadsheets/d/1fj_Bhi2XPL3siwIh4sx4VRLAe31yD50oKdj5UlRYW0c/"", ""Сводка!A:AA""), 5, FALSE)"),244)</f>
        <v>244</v>
      </c>
      <c r="H1256" s="12" t="s">
        <v>47</v>
      </c>
      <c r="I1256" s="10">
        <f ca="1">IFERROR(__xludf.DUMMYFUNCTION(" VLOOKUP(A1253, IMPORTRANGE(""https://docs.google.com/spreadsheets/d/1QNLbnkR_AongFt22vMfNzfpjZ0CjpI8QI-w0wBnYA1w/"", ""Инфа!A:AA""), 6, FALSE)"),2024)</f>
        <v>2024</v>
      </c>
      <c r="J1256" s="5">
        <f ca="1">ROUND(((5000+G1256*30)*1.3),-2)</f>
        <v>16000</v>
      </c>
      <c r="K1256" s="12" t="s">
        <v>5152</v>
      </c>
      <c r="L1256" s="15" t="s">
        <v>5156</v>
      </c>
    </row>
    <row r="1257" spans="1:12" ht="146.25">
      <c r="A1257" s="8" t="s">
        <v>5157</v>
      </c>
      <c r="B1257" s="9" t="s">
        <v>12</v>
      </c>
      <c r="C1257" s="12" t="s">
        <v>151</v>
      </c>
      <c r="D1257" s="10" t="str">
        <f ca="1">IFERROR(__xludf.DUMMYFUNCTION(" VLOOKUP(A1254, IMPORTRANGE(""https://docs.google.com/spreadsheets/d/1fj_Bhi2XPL3siwIh4sx4VRLAe31yD50oKdj5UlRYW0c/"", ""Сводка!A:AA""), 11, FALSE)"),"978-601-330-111-2")</f>
        <v>978-601-330-111-2</v>
      </c>
      <c r="E1257" s="45" t="s">
        <v>5150</v>
      </c>
      <c r="F1257" s="45" t="s">
        <v>5158</v>
      </c>
      <c r="G1257" s="12">
        <f ca="1">IFERROR(__xludf.DUMMYFUNCTION(" VLOOKUP(A1254, IMPORTRANGE(""https://docs.google.com/spreadsheets/d/1fj_Bhi2XPL3siwIh4sx4VRLAe31yD50oKdj5UlRYW0c/"", ""Сводка!A:AA""), 5, FALSE)"),92)</f>
        <v>92</v>
      </c>
      <c r="H1257" s="12" t="s">
        <v>47</v>
      </c>
      <c r="I1257" s="10">
        <f ca="1">IFERROR(__xludf.DUMMYFUNCTION(" VLOOKUP(A1254, IMPORTRANGE(""https://docs.google.com/spreadsheets/d/1QNLbnkR_AongFt22vMfNzfpjZ0CjpI8QI-w0wBnYA1w/"", ""Инфа!A:AA""), 6, FALSE)"),2024)</f>
        <v>2024</v>
      </c>
      <c r="J1257" s="5">
        <f ca="1">ROUND(((5000+G1257*60)*1.3),-2)</f>
        <v>13700</v>
      </c>
      <c r="K1257" s="12" t="s">
        <v>5152</v>
      </c>
      <c r="L1257" s="15" t="s">
        <v>5159</v>
      </c>
    </row>
    <row r="1258" spans="1:12" ht="168.75">
      <c r="A1258" s="8" t="s">
        <v>5160</v>
      </c>
      <c r="B1258" s="9" t="s">
        <v>12</v>
      </c>
      <c r="C1258" s="12" t="s">
        <v>151</v>
      </c>
      <c r="D1258" s="10" t="str">
        <f ca="1">IFERROR(__xludf.DUMMYFUNCTION(" VLOOKUP(A1255, IMPORTRANGE(""https://docs.google.com/spreadsheets/d/1fj_Bhi2XPL3siwIh4sx4VRLAe31yD50oKdj5UlRYW0c/"", ""Сводка!A:AA""), 11, FALSE)"),"978-601-330-107-5")</f>
        <v>978-601-330-107-5</v>
      </c>
      <c r="E1258" s="45" t="s">
        <v>5150</v>
      </c>
      <c r="F1258" s="45" t="s">
        <v>5161</v>
      </c>
      <c r="G1258" s="12">
        <f ca="1">IFERROR(__xludf.DUMMYFUNCTION(" VLOOKUP(A1255, IMPORTRANGE(""https://docs.google.com/spreadsheets/d/1fj_Bhi2XPL3siwIh4sx4VRLAe31yD50oKdj5UlRYW0c/"", ""Сводка!A:AA""), 5, FALSE)"),108)</f>
        <v>108</v>
      </c>
      <c r="H1258" s="12" t="s">
        <v>47</v>
      </c>
      <c r="I1258" s="10">
        <f ca="1">IFERROR(__xludf.DUMMYFUNCTION(" VLOOKUP(A1255, IMPORTRANGE(""https://docs.google.com/spreadsheets/d/1QNLbnkR_AongFt22vMfNzfpjZ0CjpI8QI-w0wBnYA1w/"", ""Инфа!A:AA""), 6, FALSE)"),2024)</f>
        <v>2024</v>
      </c>
      <c r="J1258" s="5">
        <f ca="1">ROUND(((5000+G1258*60)*1.3),-2)</f>
        <v>14900</v>
      </c>
      <c r="K1258" s="12" t="s">
        <v>5152</v>
      </c>
      <c r="L1258" s="15" t="s">
        <v>5162</v>
      </c>
    </row>
    <row r="1259" spans="1:12" ht="67.5">
      <c r="A1259" s="8" t="s">
        <v>5163</v>
      </c>
      <c r="B1259" s="9" t="s">
        <v>12</v>
      </c>
      <c r="C1259" s="12" t="s">
        <v>443</v>
      </c>
      <c r="D1259" s="10" t="str">
        <f ca="1">IFERROR(__xludf.DUMMYFUNCTION(" VLOOKUP(A1256, IMPORTRANGE(""https://docs.google.com/spreadsheets/d/1fj_Bhi2XPL3siwIh4sx4VRLAe31yD50oKdj5UlRYW0c/"", ""Сводка!A:AA""), 11, FALSE)"),"978-601-330-197-6")</f>
        <v>978-601-330-197-6</v>
      </c>
      <c r="E1259" s="11" t="s">
        <v>5164</v>
      </c>
      <c r="F1259" s="11" t="s">
        <v>5165</v>
      </c>
      <c r="G1259" s="12">
        <f ca="1">IFERROR(__xludf.DUMMYFUNCTION(" VLOOKUP(A1256, IMPORTRANGE(""https://docs.google.com/spreadsheets/d/1fj_Bhi2XPL3siwIh4sx4VRLAe31yD50oKdj5UlRYW0c/"", ""Сводка!A:AA""), 5, FALSE)"),132)</f>
        <v>132</v>
      </c>
      <c r="H1259" s="12" t="s">
        <v>538</v>
      </c>
      <c r="I1259" s="10">
        <f ca="1">IFERROR(__xludf.DUMMYFUNCTION(" VLOOKUP(A1256, IMPORTRANGE(""https://docs.google.com/spreadsheets/d/1QNLbnkR_AongFt22vMfNzfpjZ0CjpI8QI-w0wBnYA1w/"", ""Инфа!A:AA""), 6, FALSE)"),2023)</f>
        <v>2023</v>
      </c>
      <c r="J1259" s="5">
        <f ca="1">ROUND((5000+G1259*30),-2)</f>
        <v>9000</v>
      </c>
      <c r="K1259" s="12" t="s">
        <v>5166</v>
      </c>
      <c r="L1259" s="15" t="s">
        <v>5167</v>
      </c>
    </row>
    <row r="1260" spans="1:12" ht="213.75">
      <c r="A1260" s="8" t="s">
        <v>5168</v>
      </c>
      <c r="B1260" s="9" t="s">
        <v>12</v>
      </c>
      <c r="C1260" s="12" t="s">
        <v>443</v>
      </c>
      <c r="D1260" s="10" t="s">
        <v>5169</v>
      </c>
      <c r="E1260" s="11" t="s">
        <v>5170</v>
      </c>
      <c r="F1260" s="11" t="s">
        <v>5171</v>
      </c>
      <c r="G1260" s="12">
        <f ca="1">IFERROR(__xludf.DUMMYFUNCTION(" VLOOKUP(A1257, IMPORTRANGE(""https://docs.google.com/spreadsheets/d/1fj_Bhi2XPL3siwIh4sx4VRLAe31yD50oKdj5UlRYW0c/"", ""Сводка!A:AA""), 5, FALSE)"),80)</f>
        <v>80</v>
      </c>
      <c r="H1260" s="12" t="s">
        <v>538</v>
      </c>
      <c r="I1260" s="10">
        <f ca="1">IFERROR(__xludf.DUMMYFUNCTION(" VLOOKUP(A1257, IMPORTRANGE(""https://docs.google.com/spreadsheets/d/1QNLbnkR_AongFt22vMfNzfpjZ0CjpI8QI-w0wBnYA1w/"", ""Инфа!A:AA""), 6, FALSE)"),2024)</f>
        <v>2024</v>
      </c>
      <c r="J1260" s="5">
        <f ca="1">ROUND((5000+G1260*60),-2)</f>
        <v>9800</v>
      </c>
      <c r="K1260" s="12" t="s">
        <v>84</v>
      </c>
      <c r="L1260" s="15" t="s">
        <v>5172</v>
      </c>
    </row>
    <row r="1261" spans="1:12" ht="56.25">
      <c r="A1261" s="8" t="s">
        <v>5173</v>
      </c>
      <c r="B1261" s="9" t="s">
        <v>2231</v>
      </c>
      <c r="C1261" s="12" t="s">
        <v>443</v>
      </c>
      <c r="D1261" s="10" t="s">
        <v>5174</v>
      </c>
      <c r="E1261" s="45" t="s">
        <v>5175</v>
      </c>
      <c r="F1261" s="45" t="s">
        <v>5176</v>
      </c>
      <c r="G1261" s="12">
        <f ca="1">IFERROR(__xludf.DUMMYFUNCTION(" VLOOKUP(A1258, IMPORTRANGE(""https://docs.google.com/spreadsheets/d/1fj_Bhi2XPL3siwIh4sx4VRLAe31yD50oKdj5UlRYW0c/"", ""Сводка!A:AA""), 5, FALSE)"),112)</f>
        <v>112</v>
      </c>
      <c r="H1261" s="12" t="s">
        <v>1016</v>
      </c>
      <c r="I1261" s="10">
        <f ca="1">IFERROR(__xludf.DUMMYFUNCTION(" VLOOKUP(A1258, IMPORTRANGE(""https://docs.google.com/spreadsheets/d/1QNLbnkR_AongFt22vMfNzfpjZ0CjpI8QI-w0wBnYA1w/"", ""Инфа!A:AA""), 6, FALSE)"),2024)</f>
        <v>2024</v>
      </c>
      <c r="J1261" s="5">
        <f ca="1">ROUND((5000+G1261*30),-2)</f>
        <v>8400</v>
      </c>
      <c r="K1261" s="12" t="s">
        <v>2466</v>
      </c>
      <c r="L1261" s="16" t="s">
        <v>5177</v>
      </c>
    </row>
    <row r="1262" spans="1:12" ht="292.5">
      <c r="A1262" s="8" t="s">
        <v>5178</v>
      </c>
      <c r="B1262" s="9" t="s">
        <v>12</v>
      </c>
      <c r="C1262" s="10" t="s">
        <v>443</v>
      </c>
      <c r="D1262" s="10" t="str">
        <f ca="1">IFERROR(__xludf.DUMMYFUNCTION(" VLOOKUP(A1259, IMPORTRANGE(""https://docs.google.com/spreadsheets/d/1fj_Bhi2XPL3siwIh4sx4VRLAe31yD50oKdj5UlRYW0c/"", ""Сводка!A:AA""), 11, FALSE)"),"978-601-327-531-4")</f>
        <v>978-601-327-531-4</v>
      </c>
      <c r="E1262" s="11" t="s">
        <v>5179</v>
      </c>
      <c r="F1262" s="11" t="s">
        <v>5180</v>
      </c>
      <c r="G1262" s="12">
        <f ca="1">IFERROR(__xludf.DUMMYFUNCTION(" VLOOKUP(A1259, IMPORTRANGE(""https://docs.google.com/spreadsheets/d/1fj_Bhi2XPL3siwIh4sx4VRLAe31yD50oKdj5UlRYW0c/"", ""Сводка!A:AA""), 5, FALSE)"),108)</f>
        <v>108</v>
      </c>
      <c r="H1262" s="12" t="s">
        <v>538</v>
      </c>
      <c r="I1262" s="10">
        <f ca="1">IFERROR(__xludf.DUMMYFUNCTION(" VLOOKUP(A1259, IMPORTRANGE(""https://docs.google.com/spreadsheets/d/1QNLbnkR_AongFt22vMfNzfpjZ0CjpI8QI-w0wBnYA1w/"", ""Инфа!A:AA""), 6, FALSE)"),2024)</f>
        <v>2024</v>
      </c>
      <c r="J1262" s="5">
        <f ca="1">ROUND((5000+G1262*30),-2)</f>
        <v>8200</v>
      </c>
      <c r="K1262" s="9" t="s">
        <v>408</v>
      </c>
      <c r="L1262" s="15" t="s">
        <v>5181</v>
      </c>
    </row>
    <row r="1263" spans="1:12" ht="157.5">
      <c r="A1263" s="8" t="s">
        <v>5182</v>
      </c>
      <c r="B1263" s="9" t="s">
        <v>12</v>
      </c>
      <c r="C1263" s="12" t="s">
        <v>443</v>
      </c>
      <c r="D1263" s="10" t="str">
        <f ca="1">IFERROR(__xludf.DUMMYFUNCTION(" VLOOKUP(A1260, IMPORTRANGE(""https://docs.google.com/spreadsheets/d/1fj_Bhi2XPL3siwIh4sx4VRLAe31yD50oKdj5UlRYW0c/"", ""Сводка!A:AA""), 11, FALSE)"),"978-601-352-960-8")</f>
        <v>978-601-352-960-8</v>
      </c>
      <c r="E1263" s="45" t="s">
        <v>5183</v>
      </c>
      <c r="F1263" s="45" t="s">
        <v>5184</v>
      </c>
      <c r="G1263" s="12">
        <f ca="1">IFERROR(__xludf.DUMMYFUNCTION(" VLOOKUP(A1260, IMPORTRANGE(""https://docs.google.com/spreadsheets/d/1fj_Bhi2XPL3siwIh4sx4VRLAe31yD50oKdj5UlRYW0c/"", ""Сводка!A:AA""), 5, FALSE)"),164)</f>
        <v>164</v>
      </c>
      <c r="H1263" s="12" t="s">
        <v>538</v>
      </c>
      <c r="I1263" s="10">
        <f ca="1">IFERROR(__xludf.DUMMYFUNCTION(" VLOOKUP(A1260, IMPORTRANGE(""https://docs.google.com/spreadsheets/d/1QNLbnkR_AongFt22vMfNzfpjZ0CjpI8QI-w0wBnYA1w/"", ""Инфа!A:AA""), 6, FALSE)"),2023)</f>
        <v>2023</v>
      </c>
      <c r="J1263" s="5">
        <f ca="1">ROUND((5000+G1263*30),-2)</f>
        <v>9900</v>
      </c>
      <c r="K1263" s="12" t="s">
        <v>5121</v>
      </c>
      <c r="L1263" s="16" t="s">
        <v>5185</v>
      </c>
    </row>
    <row r="1264" spans="1:12" ht="78.75">
      <c r="A1264" s="8" t="s">
        <v>5186</v>
      </c>
      <c r="B1264" s="9" t="s">
        <v>12</v>
      </c>
      <c r="C1264" s="12" t="s">
        <v>443</v>
      </c>
      <c r="D1264" s="10" t="str">
        <f ca="1">IFERROR(__xludf.DUMMYFUNCTION(" VLOOKUP(A1261, IMPORTRANGE(""https://docs.google.com/spreadsheets/d/1fj_Bhi2XPL3siwIh4sx4VRLAe31yD50oKdj5UlRYW0c/"", ""Сводка!A:AA""), 11, FALSE)"),"978-601-330-134-1")</f>
        <v>978-601-330-134-1</v>
      </c>
      <c r="E1264" s="45" t="s">
        <v>5187</v>
      </c>
      <c r="F1264" s="45" t="s">
        <v>5188</v>
      </c>
      <c r="G1264" s="12">
        <f ca="1">IFERROR(__xludf.DUMMYFUNCTION(" VLOOKUP(A1261, IMPORTRANGE(""https://docs.google.com/spreadsheets/d/1fj_Bhi2XPL3siwIh4sx4VRLAe31yD50oKdj5UlRYW0c/"", ""Сводка!A:AA""), 5, FALSE)"),176)</f>
        <v>176</v>
      </c>
      <c r="H1264" s="12" t="s">
        <v>106</v>
      </c>
      <c r="I1264" s="10">
        <f ca="1">IFERROR(__xludf.DUMMYFUNCTION(" VLOOKUP(A1261, IMPORTRANGE(""https://docs.google.com/spreadsheets/d/1QNLbnkR_AongFt22vMfNzfpjZ0CjpI8QI-w0wBnYA1w/"", ""Инфа!A:AA""), 6, FALSE)"),2024)</f>
        <v>2024</v>
      </c>
      <c r="J1264" s="5">
        <f ca="1">ROUND((5000+G1264*60),-2)</f>
        <v>15600</v>
      </c>
      <c r="K1264" s="12" t="s">
        <v>5189</v>
      </c>
      <c r="L1264" s="16" t="s">
        <v>5190</v>
      </c>
    </row>
    <row r="1265" spans="1:12" ht="213.75">
      <c r="A1265" s="8" t="s">
        <v>5191</v>
      </c>
      <c r="B1265" s="9" t="s">
        <v>12</v>
      </c>
      <c r="C1265" s="12" t="s">
        <v>443</v>
      </c>
      <c r="D1265" s="10" t="s">
        <v>5192</v>
      </c>
      <c r="E1265" s="45" t="s">
        <v>5187</v>
      </c>
      <c r="F1265" s="45" t="s">
        <v>5193</v>
      </c>
      <c r="G1265" s="12">
        <f ca="1">IFERROR(__xludf.DUMMYFUNCTION(" VLOOKUP(A1262, IMPORTRANGE(""https://docs.google.com/spreadsheets/d/1fj_Bhi2XPL3siwIh4sx4VRLAe31yD50oKdj5UlRYW0c/"", ""Сводка!A:AA""), 5, FALSE)"),316)</f>
        <v>316</v>
      </c>
      <c r="H1265" s="12" t="s">
        <v>538</v>
      </c>
      <c r="I1265" s="10">
        <f ca="1">IFERROR(__xludf.DUMMYFUNCTION(" VLOOKUP(A1262, IMPORTRANGE(""https://docs.google.com/spreadsheets/d/1QNLbnkR_AongFt22vMfNzfpjZ0CjpI8QI-w0wBnYA1w/"", ""Инфа!A:AA""), 6, FALSE)"),2024)</f>
        <v>2024</v>
      </c>
      <c r="J1265" s="5">
        <f ca="1">ROUND((5000+G1265*60),-2)</f>
        <v>24000</v>
      </c>
      <c r="K1265" s="12" t="s">
        <v>5194</v>
      </c>
      <c r="L1265" s="16" t="s">
        <v>5195</v>
      </c>
    </row>
    <row r="1266" spans="1:12" ht="101.25">
      <c r="A1266" s="8" t="s">
        <v>5196</v>
      </c>
      <c r="B1266" s="9" t="s">
        <v>12</v>
      </c>
      <c r="C1266" s="12" t="s">
        <v>443</v>
      </c>
      <c r="D1266" s="10" t="s">
        <v>5197</v>
      </c>
      <c r="E1266" s="45" t="s">
        <v>5198</v>
      </c>
      <c r="F1266" s="45" t="s">
        <v>5199</v>
      </c>
      <c r="G1266" s="12">
        <f ca="1">IFERROR(__xludf.DUMMYFUNCTION(" VLOOKUP(A1263, IMPORTRANGE(""https://docs.google.com/spreadsheets/d/1fj_Bhi2XPL3siwIh4sx4VRLAe31yD50oKdj5UlRYW0c/"", ""Сводка!A:AA""), 5, FALSE)"),216)</f>
        <v>216</v>
      </c>
      <c r="H1266" s="12" t="s">
        <v>538</v>
      </c>
      <c r="I1266" s="10">
        <f ca="1">IFERROR(__xludf.DUMMYFUNCTION(" VLOOKUP(A1263, IMPORTRANGE(""https://docs.google.com/spreadsheets/d/1QNLbnkR_AongFt22vMfNzfpjZ0CjpI8QI-w0wBnYA1w/"", ""Инфа!A:AA""), 6, FALSE)"),2024)</f>
        <v>2024</v>
      </c>
      <c r="J1266" s="5">
        <f ca="1">ROUND((5000+G1266*60),-2)</f>
        <v>18000</v>
      </c>
      <c r="K1266" s="12" t="s">
        <v>1387</v>
      </c>
      <c r="L1266" s="16" t="s">
        <v>5200</v>
      </c>
    </row>
    <row r="1267" spans="1:12" ht="146.25">
      <c r="A1267" s="8" t="s">
        <v>5201</v>
      </c>
      <c r="B1267" s="9" t="s">
        <v>12</v>
      </c>
      <c r="C1267" s="12" t="s">
        <v>443</v>
      </c>
      <c r="D1267" s="10" t="str">
        <f ca="1">IFERROR(__xludf.DUMMYFUNCTION(" VLOOKUP(A1264, IMPORTRANGE(""https://docs.google.com/spreadsheets/d/1fj_Bhi2XPL3siwIh4sx4VRLAe31yD50oKdj5UlRYW0c/"", ""Сводка!A:AA""), 11, FALSE)"),"978-601-330-122-8")</f>
        <v>978-601-330-122-8</v>
      </c>
      <c r="E1267" s="11" t="s">
        <v>5202</v>
      </c>
      <c r="F1267" s="11" t="s">
        <v>5203</v>
      </c>
      <c r="G1267" s="12">
        <f ca="1">IFERROR(__xludf.DUMMYFUNCTION(" VLOOKUP(A1264, IMPORTRANGE(""https://docs.google.com/spreadsheets/d/1fj_Bhi2XPL3siwIh4sx4VRLAe31yD50oKdj5UlRYW0c/"", ""Сводка!A:AA""), 5, FALSE)"),216)</f>
        <v>216</v>
      </c>
      <c r="H1267" s="12" t="s">
        <v>1298</v>
      </c>
      <c r="I1267" s="10">
        <f ca="1">IFERROR(__xludf.DUMMYFUNCTION(" VLOOKUP(A1264, IMPORTRANGE(""https://docs.google.com/spreadsheets/d/1QNLbnkR_AongFt22vMfNzfpjZ0CjpI8QI-w0wBnYA1w/"", ""Инфа!A:AA""), 6, FALSE)"),2024)</f>
        <v>2024</v>
      </c>
      <c r="J1267" s="5">
        <f ca="1">ROUND((5000+G1267*60),-2)</f>
        <v>18000</v>
      </c>
      <c r="K1267" s="12" t="s">
        <v>5204</v>
      </c>
      <c r="L1267" s="15" t="s">
        <v>5205</v>
      </c>
    </row>
    <row r="1268" spans="1:12" ht="247.5">
      <c r="A1268" s="8" t="s">
        <v>5206</v>
      </c>
      <c r="B1268" s="9" t="s">
        <v>12</v>
      </c>
      <c r="C1268" s="12" t="s">
        <v>443</v>
      </c>
      <c r="D1268" s="10" t="str">
        <f ca="1">IFERROR(__xludf.DUMMYFUNCTION(" VLOOKUP(A1265, IMPORTRANGE(""https://docs.google.com/spreadsheets/d/1fj_Bhi2XPL3siwIh4sx4VRLAe31yD50oKdj5UlRYW0c/"", ""Сводка!A:AA""), 11, FALSE)"),"")</f>
        <v/>
      </c>
      <c r="E1268" s="11" t="s">
        <v>5207</v>
      </c>
      <c r="F1268" s="11" t="s">
        <v>5208</v>
      </c>
      <c r="G1268" s="12">
        <f ca="1">IFERROR(__xludf.DUMMYFUNCTION(" VLOOKUP(A1265, IMPORTRANGE(""https://docs.google.com/spreadsheets/d/1fj_Bhi2XPL3siwIh4sx4VRLAe31yD50oKdj5UlRYW0c/"", ""Сводка!A:AA""), 5, FALSE)"),108)</f>
        <v>108</v>
      </c>
      <c r="H1268" s="12" t="s">
        <v>106</v>
      </c>
      <c r="I1268" s="10">
        <f ca="1">IFERROR(__xludf.DUMMYFUNCTION(" VLOOKUP(A1265, IMPORTRANGE(""https://docs.google.com/spreadsheets/d/1QNLbnkR_AongFt22vMfNzfpjZ0CjpI8QI-w0wBnYA1w/"", ""Инфа!A:AA""), 6, FALSE)"),2024)</f>
        <v>2024</v>
      </c>
      <c r="J1268" s="5">
        <f ca="1">ROUND((5000+G1268*30),-2)</f>
        <v>8200</v>
      </c>
      <c r="K1268" s="12" t="s">
        <v>18</v>
      </c>
      <c r="L1268" s="15" t="s">
        <v>5209</v>
      </c>
    </row>
    <row r="1269" spans="1:12" ht="202.5">
      <c r="A1269" s="8" t="s">
        <v>5210</v>
      </c>
      <c r="B1269" s="9" t="s">
        <v>12</v>
      </c>
      <c r="C1269" s="12" t="s">
        <v>151</v>
      </c>
      <c r="D1269" s="10" t="str">
        <f ca="1">IFERROR(__xludf.DUMMYFUNCTION(" VLOOKUP(A1266, IMPORTRANGE(""https://docs.google.com/spreadsheets/d/1fj_Bhi2XPL3siwIh4sx4VRLAe31yD50oKdj5UlRYW0c/"", ""Сводка!A:AA""), 11, FALSE)"),"978-601-330-129-7")</f>
        <v>978-601-330-129-7</v>
      </c>
      <c r="E1269" s="11" t="s">
        <v>5211</v>
      </c>
      <c r="F1269" s="11" t="s">
        <v>5212</v>
      </c>
      <c r="G1269" s="12">
        <f ca="1">IFERROR(__xludf.DUMMYFUNCTION(" VLOOKUP(A1266, IMPORTRANGE(""https://docs.google.com/spreadsheets/d/1fj_Bhi2XPL3siwIh4sx4VRLAe31yD50oKdj5UlRYW0c/"", ""Сводка!A:AA""), 5, FALSE)"),272)</f>
        <v>272</v>
      </c>
      <c r="H1269" s="12" t="s">
        <v>282</v>
      </c>
      <c r="I1269" s="10">
        <f ca="1">IFERROR(__xludf.DUMMYFUNCTION(" VLOOKUP(A1266, IMPORTRANGE(""https://docs.google.com/spreadsheets/d/1QNLbnkR_AongFt22vMfNzfpjZ0CjpI8QI-w0wBnYA1w/"", ""Инфа!A:AA""), 6, FALSE)"),2024)</f>
        <v>2024</v>
      </c>
      <c r="J1269" s="5">
        <f ca="1">ROUND((5000+G1269*30),-2)</f>
        <v>13200</v>
      </c>
      <c r="K1269" s="12" t="s">
        <v>277</v>
      </c>
      <c r="L1269" s="15" t="s">
        <v>5213</v>
      </c>
    </row>
    <row r="1270" spans="1:12" ht="213.75">
      <c r="A1270" s="8" t="s">
        <v>5214</v>
      </c>
      <c r="B1270" s="9" t="s">
        <v>12</v>
      </c>
      <c r="C1270" s="12" t="s">
        <v>151</v>
      </c>
      <c r="D1270" s="10" t="str">
        <f ca="1">IFERROR(__xludf.DUMMYFUNCTION(" VLOOKUP(A1267, IMPORTRANGE(""https://docs.google.com/spreadsheets/d/1fj_Bhi2XPL3siwIh4sx4VRLAe31yD50oKdj5UlRYW0c/"", ""Сводка!A:AA""), 11, FALSE)"),"978-601-330-130-3")</f>
        <v>978-601-330-130-3</v>
      </c>
      <c r="E1270" s="11" t="s">
        <v>5211</v>
      </c>
      <c r="F1270" s="11" t="s">
        <v>5215</v>
      </c>
      <c r="G1270" s="12">
        <f ca="1">IFERROR(__xludf.DUMMYFUNCTION(" VLOOKUP(A1267, IMPORTRANGE(""https://docs.google.com/spreadsheets/d/1fj_Bhi2XPL3siwIh4sx4VRLAe31yD50oKdj5UlRYW0c/"", ""Сводка!A:AA""), 5, FALSE)"),252)</f>
        <v>252</v>
      </c>
      <c r="H1270" s="12" t="s">
        <v>282</v>
      </c>
      <c r="I1270" s="10">
        <f ca="1">IFERROR(__xludf.DUMMYFUNCTION(" VLOOKUP(A1267, IMPORTRANGE(""https://docs.google.com/spreadsheets/d/1QNLbnkR_AongFt22vMfNzfpjZ0CjpI8QI-w0wBnYA1w/"", ""Инфа!A:AA""), 6, FALSE)"),2024)</f>
        <v>2024</v>
      </c>
      <c r="J1270" s="5">
        <f ca="1">ROUND((5000+G1270*30),-2)</f>
        <v>12600</v>
      </c>
      <c r="K1270" s="12" t="s">
        <v>277</v>
      </c>
      <c r="L1270" s="15" t="s">
        <v>5216</v>
      </c>
    </row>
    <row r="1271" spans="1:12" ht="135">
      <c r="A1271" s="8" t="s">
        <v>5217</v>
      </c>
      <c r="B1271" s="9" t="s">
        <v>12</v>
      </c>
      <c r="C1271" s="12" t="s">
        <v>443</v>
      </c>
      <c r="D1271" s="10" t="str">
        <f ca="1">IFERROR(__xludf.DUMMYFUNCTION(" VLOOKUP(A1268, IMPORTRANGE(""https://docs.google.com/spreadsheets/d/1fj_Bhi2XPL3siwIh4sx4VRLAe31yD50oKdj5UlRYW0c/"", ""Сводка!A:AA""), 11, FALSE)"),"978-601-330-077-1")</f>
        <v>978-601-330-077-1</v>
      </c>
      <c r="E1271" s="11" t="s">
        <v>5218</v>
      </c>
      <c r="F1271" s="11" t="s">
        <v>3507</v>
      </c>
      <c r="G1271" s="12">
        <f ca="1">IFERROR(__xludf.DUMMYFUNCTION(" VLOOKUP(A1268, IMPORTRANGE(""https://docs.google.com/spreadsheets/d/1fj_Bhi2XPL3siwIh4sx4VRLAe31yD50oKdj5UlRYW0c/"", ""Сводка!A:AA""), 5, FALSE)"),344)</f>
        <v>344</v>
      </c>
      <c r="H1271" s="12" t="s">
        <v>538</v>
      </c>
      <c r="I1271" s="10">
        <f ca="1">IFERROR(__xludf.DUMMYFUNCTION(" VLOOKUP(A1268, IMPORTRANGE(""https://docs.google.com/spreadsheets/d/1QNLbnkR_AongFt22vMfNzfpjZ0CjpI8QI-w0wBnYA1w/"", ""Инфа!A:AA""), 6, FALSE)"),2024)</f>
        <v>2024</v>
      </c>
      <c r="J1271" s="5">
        <f ca="1">ROUND((5000+G1271*60),-2)</f>
        <v>25600</v>
      </c>
      <c r="K1271" s="12" t="s">
        <v>2185</v>
      </c>
      <c r="L1271" s="15" t="s">
        <v>5219</v>
      </c>
    </row>
    <row r="1272" spans="1:12" ht="191.25">
      <c r="A1272" s="8" t="s">
        <v>5220</v>
      </c>
      <c r="B1272" s="9" t="s">
        <v>12</v>
      </c>
      <c r="C1272" s="12" t="s">
        <v>443</v>
      </c>
      <c r="D1272" s="10" t="str">
        <f ca="1">IFERROR(__xludf.DUMMYFUNCTION(" VLOOKUP(A1269, IMPORTRANGE(""https://docs.google.com/spreadsheets/d/1fj_Bhi2XPL3siwIh4sx4VRLAe31yD50oKdj5UlRYW0c/"", ""Сводка!A:AA""), 11, FALSE)"),"978-601-330-081-8")</f>
        <v>978-601-330-081-8</v>
      </c>
      <c r="E1272" s="11" t="s">
        <v>5221</v>
      </c>
      <c r="F1272" s="11" t="s">
        <v>5222</v>
      </c>
      <c r="G1272" s="12">
        <f ca="1">IFERROR(__xludf.DUMMYFUNCTION(" VLOOKUP(A1269, IMPORTRANGE(""https://docs.google.com/spreadsheets/d/1fj_Bhi2XPL3siwIh4sx4VRLAe31yD50oKdj5UlRYW0c/"", ""Сводка!A:AA""), 5, FALSE)"),268)</f>
        <v>268</v>
      </c>
      <c r="H1272" s="12" t="s">
        <v>538</v>
      </c>
      <c r="I1272" s="10">
        <f ca="1">IFERROR(__xludf.DUMMYFUNCTION(" VLOOKUP(A1269, IMPORTRANGE(""https://docs.google.com/spreadsheets/d/1QNLbnkR_AongFt22vMfNzfpjZ0CjpI8QI-w0wBnYA1w/"", ""Инфа!A:AA""), 6, FALSE)"),2024)</f>
        <v>2024</v>
      </c>
      <c r="J1272" s="5">
        <f ca="1">ROUND((5000+G1272*30),-2)</f>
        <v>13000</v>
      </c>
      <c r="K1272" s="12" t="s">
        <v>2185</v>
      </c>
      <c r="L1272" s="15" t="s">
        <v>5223</v>
      </c>
    </row>
    <row r="1273" spans="1:12" ht="123.75">
      <c r="A1273" s="8" t="s">
        <v>5224</v>
      </c>
      <c r="B1273" s="9" t="s">
        <v>12</v>
      </c>
      <c r="C1273" s="12" t="s">
        <v>443</v>
      </c>
      <c r="D1273" s="10" t="str">
        <f ca="1">IFERROR(__xludf.DUMMYFUNCTION(" VLOOKUP(A1270, IMPORTRANGE(""https://docs.google.com/spreadsheets/d/1fj_Bhi2XPL3siwIh4sx4VRLAe31yD50oKdj5UlRYW0c/"", ""Сводка!A:AA""), 11, FALSE)"),"978-601-330-080-1")</f>
        <v>978-601-330-080-1</v>
      </c>
      <c r="E1273" s="11" t="s">
        <v>5225</v>
      </c>
      <c r="F1273" s="11" t="s">
        <v>5226</v>
      </c>
      <c r="G1273" s="12">
        <f ca="1">IFERROR(__xludf.DUMMYFUNCTION(" VLOOKUP(A1270, IMPORTRANGE(""https://docs.google.com/spreadsheets/d/1fj_Bhi2XPL3siwIh4sx4VRLAe31yD50oKdj5UlRYW0c/"", ""Сводка!A:AA""), 5, FALSE)"),180)</f>
        <v>180</v>
      </c>
      <c r="H1273" s="12" t="s">
        <v>538</v>
      </c>
      <c r="I1273" s="10">
        <f ca="1">IFERROR(__xludf.DUMMYFUNCTION(" VLOOKUP(A1270, IMPORTRANGE(""https://docs.google.com/spreadsheets/d/1QNLbnkR_AongFt22vMfNzfpjZ0CjpI8QI-w0wBnYA1w/"", ""Инфа!A:AA""), 6, FALSE)"),2024)</f>
        <v>2024</v>
      </c>
      <c r="J1273" s="5">
        <f ca="1">ROUND((5000+G1273*60),-2)</f>
        <v>15800</v>
      </c>
      <c r="K1273" s="12" t="s">
        <v>4590</v>
      </c>
      <c r="L1273" s="15" t="s">
        <v>5227</v>
      </c>
    </row>
    <row r="1274" spans="1:12" ht="123.75">
      <c r="A1274" s="8" t="s">
        <v>5228</v>
      </c>
      <c r="B1274" s="9" t="s">
        <v>2231</v>
      </c>
      <c r="C1274" s="12" t="s">
        <v>443</v>
      </c>
      <c r="D1274" s="10" t="str">
        <f ca="1">IFERROR(__xludf.DUMMYFUNCTION(" VLOOKUP(A1271, IMPORTRANGE(""https://docs.google.com/spreadsheets/d/1fj_Bhi2XPL3siwIh4sx4VRLAe31yD50oKdj5UlRYW0c/"", ""Сводка!A:AA""), 11, FALSE)"),"978-601-352-955-4")</f>
        <v>978-601-352-955-4</v>
      </c>
      <c r="E1274" s="45" t="s">
        <v>5229</v>
      </c>
      <c r="F1274" s="45" t="s">
        <v>5230</v>
      </c>
      <c r="G1274" s="12">
        <f ca="1">IFERROR(__xludf.DUMMYFUNCTION(" VLOOKUP(A1271, IMPORTRANGE(""https://docs.google.com/spreadsheets/d/1fj_Bhi2XPL3siwIh4sx4VRLAe31yD50oKdj5UlRYW0c/"", ""Сводка!A:AA""), 5, FALSE)"),84)</f>
        <v>84</v>
      </c>
      <c r="H1274" s="12" t="s">
        <v>538</v>
      </c>
      <c r="I1274" s="10">
        <f ca="1">IFERROR(__xludf.DUMMYFUNCTION(" VLOOKUP(A1271, IMPORTRANGE(""https://docs.google.com/spreadsheets/d/1QNLbnkR_AongFt22vMfNzfpjZ0CjpI8QI-w0wBnYA1w/"", ""Инфа!A:AA""), 6, FALSE)"),2024)</f>
        <v>2024</v>
      </c>
      <c r="J1274" s="5">
        <f ca="1">ROUND((5000+G1274*30),-2)</f>
        <v>7500</v>
      </c>
      <c r="K1274" s="12" t="s">
        <v>5231</v>
      </c>
      <c r="L1274" s="16" t="s">
        <v>5232</v>
      </c>
    </row>
    <row r="1275" spans="1:12" ht="168.75">
      <c r="A1275" s="8" t="s">
        <v>5233</v>
      </c>
      <c r="B1275" s="9" t="s">
        <v>12</v>
      </c>
      <c r="C1275" s="12" t="s">
        <v>443</v>
      </c>
      <c r="D1275" s="10" t="str">
        <f ca="1">IFERROR(__xludf.DUMMYFUNCTION(" VLOOKUP(A1272, IMPORTRANGE(""https://docs.google.com/spreadsheets/d/1fj_Bhi2XPL3siwIh4sx4VRLAe31yD50oKdj5UlRYW0c/"", ""Сводка!A:AA""), 11, FALSE)"),"978-601-352-877-9")</f>
        <v>978-601-352-877-9</v>
      </c>
      <c r="E1275" s="11" t="s">
        <v>5234</v>
      </c>
      <c r="F1275" s="11" t="s">
        <v>5235</v>
      </c>
      <c r="G1275" s="12">
        <f ca="1">IFERROR(__xludf.DUMMYFUNCTION(" VLOOKUP(A1272, IMPORTRANGE(""https://docs.google.com/spreadsheets/d/1fj_Bhi2XPL3siwIh4sx4VRLAe31yD50oKdj5UlRYW0c/"", ""Сводка!A:AA""), 5, FALSE)"),152)</f>
        <v>152</v>
      </c>
      <c r="H1275" s="12" t="s">
        <v>538</v>
      </c>
      <c r="I1275" s="10">
        <f ca="1">IFERROR(__xludf.DUMMYFUNCTION(" VLOOKUP(A1272, IMPORTRANGE(""https://docs.google.com/spreadsheets/d/1QNLbnkR_AongFt22vMfNzfpjZ0CjpI8QI-w0wBnYA1w/"", ""Инфа!A:AA""), 6, FALSE)"),2023)</f>
        <v>2023</v>
      </c>
      <c r="J1275" s="5">
        <f ca="1">ROUND((5000+G1275*30),-2)</f>
        <v>9600</v>
      </c>
      <c r="K1275" s="12" t="s">
        <v>5236</v>
      </c>
      <c r="L1275" s="15" t="s">
        <v>5237</v>
      </c>
    </row>
    <row r="1276" spans="1:12" ht="135">
      <c r="A1276" s="8" t="s">
        <v>5238</v>
      </c>
      <c r="B1276" s="9" t="s">
        <v>2231</v>
      </c>
      <c r="C1276" s="12" t="s">
        <v>443</v>
      </c>
      <c r="D1276" s="10" t="str">
        <f ca="1">IFERROR(__xludf.DUMMYFUNCTION(" VLOOKUP(A1273, IMPORTRANGE(""https://docs.google.com/spreadsheets/d/1fj_Bhi2XPL3siwIh4sx4VRLAe31yD50oKdj5UlRYW0c/"", ""Сводка!A:AA""), 11, FALSE)"),"")</f>
        <v/>
      </c>
      <c r="E1276" s="11" t="s">
        <v>5239</v>
      </c>
      <c r="F1276" s="11" t="s">
        <v>5240</v>
      </c>
      <c r="G1276" s="12">
        <f ca="1">IFERROR(__xludf.DUMMYFUNCTION(" VLOOKUP(A1273, IMPORTRANGE(""https://docs.google.com/spreadsheets/d/1fj_Bhi2XPL3siwIh4sx4VRLAe31yD50oKdj5UlRYW0c/"", ""Сводка!A:AA""), 5, FALSE)"),336)</f>
        <v>336</v>
      </c>
      <c r="H1276" s="12" t="s">
        <v>671</v>
      </c>
      <c r="I1276" s="10">
        <f ca="1">IFERROR(__xludf.DUMMYFUNCTION(" VLOOKUP(A1273, IMPORTRANGE(""https://docs.google.com/spreadsheets/d/1QNLbnkR_AongFt22vMfNzfpjZ0CjpI8QI-w0wBnYA1w/"", ""Инфа!A:AA""), 6, FALSE)"),2024)</f>
        <v>2024</v>
      </c>
      <c r="J1276" s="5">
        <f ca="1">ROUND((5000+G1276*30),-2)</f>
        <v>15100</v>
      </c>
      <c r="K1276" s="12" t="s">
        <v>5241</v>
      </c>
      <c r="L1276" s="16" t="s">
        <v>5242</v>
      </c>
    </row>
    <row r="1277" spans="1:12" ht="213.75">
      <c r="A1277" s="8" t="s">
        <v>5243</v>
      </c>
      <c r="B1277" s="9" t="s">
        <v>12</v>
      </c>
      <c r="C1277" s="12" t="s">
        <v>443</v>
      </c>
      <c r="D1277" s="10" t="str">
        <f ca="1">IFERROR(__xludf.DUMMYFUNCTION(" VLOOKUP(A1274, IMPORTRANGE(""https://docs.google.com/spreadsheets/d/1fj_Bhi2XPL3siwIh4sx4VRLAe31yD50oKdj5UlRYW0c/"", ""Сводка!A:AA""), 11, FALSE)"),"978-601-330-170-9")</f>
        <v>978-601-330-170-9</v>
      </c>
      <c r="E1277" s="11" t="s">
        <v>5244</v>
      </c>
      <c r="F1277" s="11" t="s">
        <v>5245</v>
      </c>
      <c r="G1277" s="12">
        <f ca="1">IFERROR(__xludf.DUMMYFUNCTION(" VLOOKUP(A1274, IMPORTRANGE(""https://docs.google.com/spreadsheets/d/1fj_Bhi2XPL3siwIh4sx4VRLAe31yD50oKdj5UlRYW0c/"", ""Сводка!A:AA""), 5, FALSE)"),132)</f>
        <v>132</v>
      </c>
      <c r="H1277" s="12" t="s">
        <v>538</v>
      </c>
      <c r="I1277" s="10">
        <f ca="1">IFERROR(__xludf.DUMMYFUNCTION(" VLOOKUP(A1274, IMPORTRANGE(""https://docs.google.com/spreadsheets/d/1QNLbnkR_AongFt22vMfNzfpjZ0CjpI8QI-w0wBnYA1w/"", ""Инфа!A:AA""), 6, FALSE)"),2024)</f>
        <v>2024</v>
      </c>
      <c r="J1277" s="5">
        <f ca="1">ROUND((5000+G1277*60),-2)</f>
        <v>12900</v>
      </c>
      <c r="K1277" s="12" t="s">
        <v>3707</v>
      </c>
      <c r="L1277" s="15" t="s">
        <v>5246</v>
      </c>
    </row>
    <row r="1278" spans="1:12" ht="236.25">
      <c r="A1278" s="8" t="s">
        <v>5247</v>
      </c>
      <c r="B1278" s="9" t="s">
        <v>2231</v>
      </c>
      <c r="C1278" s="12" t="s">
        <v>443</v>
      </c>
      <c r="D1278" s="10" t="str">
        <f ca="1">IFERROR(__xludf.DUMMYFUNCTION(" VLOOKUP(A1275, IMPORTRANGE(""https://docs.google.com/spreadsheets/d/1fj_Bhi2XPL3siwIh4sx4VRLAe31yD50oKdj5UlRYW0c/"", ""Сводка!A:AA""), 11, FALSE)"),"978-601-330-037-5")</f>
        <v>978-601-330-037-5</v>
      </c>
      <c r="E1278" s="11" t="s">
        <v>5248</v>
      </c>
      <c r="F1278" s="11" t="s">
        <v>5249</v>
      </c>
      <c r="G1278" s="12">
        <f ca="1">IFERROR(__xludf.DUMMYFUNCTION(" VLOOKUP(A1275, IMPORTRANGE(""https://docs.google.com/spreadsheets/d/1fj_Bhi2XPL3siwIh4sx4VRLAe31yD50oKdj5UlRYW0c/"", ""Сводка!A:AA""), 5, FALSE)"),170)</f>
        <v>170</v>
      </c>
      <c r="H1278" s="12" t="s">
        <v>446</v>
      </c>
      <c r="I1278" s="10">
        <f ca="1">IFERROR(__xludf.DUMMYFUNCTION(" VLOOKUP(A1275, IMPORTRANGE(""https://docs.google.com/spreadsheets/d/1QNLbnkR_AongFt22vMfNzfpjZ0CjpI8QI-w0wBnYA1w/"", ""Инфа!A:AA""), 6, FALSE)"),2024)</f>
        <v>2024</v>
      </c>
      <c r="J1278" s="5">
        <f ca="1">ROUND((5000+G1278*30),-2)</f>
        <v>10100</v>
      </c>
      <c r="K1278" s="12" t="s">
        <v>5250</v>
      </c>
      <c r="L1278" s="15" t="s">
        <v>5251</v>
      </c>
    </row>
    <row r="1279" spans="1:12" ht="146.25">
      <c r="A1279" s="8" t="s">
        <v>5252</v>
      </c>
      <c r="B1279" s="9" t="s">
        <v>12</v>
      </c>
      <c r="C1279" s="12" t="s">
        <v>443</v>
      </c>
      <c r="D1279" s="10" t="s">
        <v>5253</v>
      </c>
      <c r="E1279" s="11" t="s">
        <v>5254</v>
      </c>
      <c r="F1279" s="11" t="s">
        <v>5255</v>
      </c>
      <c r="G1279" s="12">
        <f ca="1">IFERROR(__xludf.DUMMYFUNCTION(" VLOOKUP(A1276, IMPORTRANGE(""https://docs.google.com/spreadsheets/d/1fj_Bhi2XPL3siwIh4sx4VRLAe31yD50oKdj5UlRYW0c/"", ""Сводка!A:AA""), 5, FALSE)"),252)</f>
        <v>252</v>
      </c>
      <c r="H1279" s="12" t="s">
        <v>511</v>
      </c>
      <c r="I1279" s="10">
        <f ca="1">IFERROR(__xludf.DUMMYFUNCTION(" VLOOKUP(A1276, IMPORTRANGE(""https://docs.google.com/spreadsheets/d/1QNLbnkR_AongFt22vMfNzfpjZ0CjpI8QI-w0wBnYA1w/"", ""Инфа!A:AA""), 6, FALSE)"),2024)</f>
        <v>2024</v>
      </c>
      <c r="J1279" s="5">
        <f ca="1">ROUND((5000+G1279*30),-2)</f>
        <v>12600</v>
      </c>
      <c r="K1279" s="12" t="s">
        <v>171</v>
      </c>
      <c r="L1279" s="16" t="s">
        <v>5256</v>
      </c>
    </row>
    <row r="1280" spans="1:12" ht="270">
      <c r="A1280" s="8" t="s">
        <v>5257</v>
      </c>
      <c r="B1280" s="12" t="s">
        <v>12</v>
      </c>
      <c r="C1280" s="12" t="s">
        <v>21</v>
      </c>
      <c r="D1280" s="10" t="str">
        <f ca="1">IFERROR(__xludf.DUMMYFUNCTION(" VLOOKUP(A1277, IMPORTRANGE(""https://docs.google.com/spreadsheets/d/1fj_Bhi2XPL3siwIh4sx4VRLAe31yD50oKdj5UlRYW0c/"", ""Сводка!A:AA""), 11, FALSE)"),"978-601-352-828-1")</f>
        <v>978-601-352-828-1</v>
      </c>
      <c r="E1280" s="11" t="s">
        <v>5258</v>
      </c>
      <c r="F1280" s="11" t="s">
        <v>5259</v>
      </c>
      <c r="G1280" s="12">
        <f ca="1">IFERROR(__xludf.DUMMYFUNCTION(" VLOOKUP(A1277, IMPORTRANGE(""https://docs.google.com/spreadsheets/d/1fj_Bhi2XPL3siwIh4sx4VRLAe31yD50oKdj5UlRYW0c/"", ""Сводка!A:AA""), 5, FALSE)"),240)</f>
        <v>240</v>
      </c>
      <c r="H1280" s="12" t="s">
        <v>62</v>
      </c>
      <c r="I1280" s="10">
        <f ca="1">IFERROR(__xludf.DUMMYFUNCTION(" VLOOKUP(A1277, IMPORTRANGE(""https://docs.google.com/spreadsheets/d/1QNLbnkR_AongFt22vMfNzfpjZ0CjpI8QI-w0wBnYA1w/"", ""Инфа!A:AA""), 6, FALSE)"),2024)</f>
        <v>2024</v>
      </c>
      <c r="J1280" s="5">
        <f ca="1">ROUND((5000+G1280*30),-2)</f>
        <v>12200</v>
      </c>
      <c r="K1280" s="12" t="s">
        <v>26</v>
      </c>
      <c r="L1280" s="15" t="s">
        <v>5260</v>
      </c>
    </row>
    <row r="1281" spans="1:12" ht="135">
      <c r="A1281" s="8" t="s">
        <v>5261</v>
      </c>
      <c r="B1281" s="12" t="s">
        <v>12</v>
      </c>
      <c r="C1281" s="12" t="s">
        <v>151</v>
      </c>
      <c r="D1281" s="10" t="str">
        <f ca="1">IFERROR(__xludf.DUMMYFUNCTION(" VLOOKUP(A1278, IMPORTRANGE(""https://docs.google.com/spreadsheets/d/1fj_Bhi2XPL3siwIh4sx4VRLAe31yD50oKdj5UlRYW0c/"", ""Сводка!A:AA""), 11, FALSE)"),"978-601-330-310-9")</f>
        <v>978-601-330-310-9</v>
      </c>
      <c r="E1281" s="11" t="s">
        <v>5262</v>
      </c>
      <c r="F1281" s="11" t="s">
        <v>5263</v>
      </c>
      <c r="G1281" s="12">
        <f ca="1">IFERROR(__xludf.DUMMYFUNCTION(" VLOOKUP(A1278, IMPORTRANGE(""https://docs.google.com/spreadsheets/d/1fj_Bhi2XPL3siwIh4sx4VRLAe31yD50oKdj5UlRYW0c/"", ""Сводка!A:AA""), 5, FALSE)"),132)</f>
        <v>132</v>
      </c>
      <c r="H1281" s="12" t="s">
        <v>47</v>
      </c>
      <c r="I1281" s="10">
        <f ca="1">IFERROR(__xludf.DUMMYFUNCTION(" VLOOKUP(A1278, IMPORTRANGE(""https://docs.google.com/spreadsheets/d/1QNLbnkR_AongFt22vMfNzfpjZ0CjpI8QI-w0wBnYA1w/"", ""Инфа!A:AA""), 6, FALSE)"),2024)</f>
        <v>2024</v>
      </c>
      <c r="J1281" s="5">
        <f ca="1">ROUND((5000+G1281*30),-2)</f>
        <v>9000</v>
      </c>
      <c r="K1281" s="12" t="s">
        <v>5264</v>
      </c>
      <c r="L1281" s="15" t="s">
        <v>5265</v>
      </c>
    </row>
    <row r="1282" spans="1:12" ht="168.75">
      <c r="A1282" s="8" t="s">
        <v>5266</v>
      </c>
      <c r="B1282" s="12" t="s">
        <v>12</v>
      </c>
      <c r="C1282" s="12" t="s">
        <v>443</v>
      </c>
      <c r="D1282" s="10" t="str">
        <f ca="1">IFERROR(__xludf.DUMMYFUNCTION(" VLOOKUP(A1279, IMPORTRANGE(""https://docs.google.com/spreadsheets/d/1fj_Bhi2XPL3siwIh4sx4VRLAe31yD50oKdj5UlRYW0c/"", ""Сводка!A:AA""), 11, FALSE)"),"978-601-352-968-4")</f>
        <v>978-601-352-968-4</v>
      </c>
      <c r="E1282" s="11" t="s">
        <v>5267</v>
      </c>
      <c r="F1282" s="11" t="s">
        <v>1248</v>
      </c>
      <c r="G1282" s="12">
        <f ca="1">IFERROR(__xludf.DUMMYFUNCTION(" VLOOKUP(A1279, IMPORTRANGE(""https://docs.google.com/spreadsheets/d/1fj_Bhi2XPL3siwIh4sx4VRLAe31yD50oKdj5UlRYW0c/"", ""Сводка!A:AA""), 5, FALSE)"),272)</f>
        <v>272</v>
      </c>
      <c r="H1282" s="12" t="s">
        <v>5268</v>
      </c>
      <c r="I1282" s="10">
        <f ca="1">IFERROR(__xludf.DUMMYFUNCTION(" VLOOKUP(A1279, IMPORTRANGE(""https://docs.google.com/spreadsheets/d/1QNLbnkR_AongFt22vMfNzfpjZ0CjpI8QI-w0wBnYA1w/"", ""Инфа!A:AA""), 6, FALSE)"),2023)</f>
        <v>2023</v>
      </c>
      <c r="J1282" s="5">
        <f ca="1">ROUND((5000+G1282*60),-2)</f>
        <v>21300</v>
      </c>
      <c r="K1282" s="12" t="s">
        <v>26</v>
      </c>
      <c r="L1282" s="15" t="s">
        <v>5269</v>
      </c>
    </row>
    <row r="1283" spans="1:12" ht="90">
      <c r="A1283" s="8" t="s">
        <v>5270</v>
      </c>
      <c r="B1283" s="12" t="s">
        <v>12</v>
      </c>
      <c r="C1283" s="12" t="s">
        <v>151</v>
      </c>
      <c r="D1283" s="10" t="str">
        <f ca="1">IFERROR(__xludf.DUMMYFUNCTION(" VLOOKUP(A1280, IMPORTRANGE(""https://docs.google.com/spreadsheets/d/1fj_Bhi2XPL3siwIh4sx4VRLAe31yD50oKdj5UlRYW0c/"", ""Сводка!A:AA""), 11, FALSE)"),"978-601-352-980-6")</f>
        <v>978-601-352-980-6</v>
      </c>
      <c r="E1283" s="11" t="s">
        <v>5271</v>
      </c>
      <c r="F1283" s="11" t="s">
        <v>5272</v>
      </c>
      <c r="G1283" s="12">
        <f ca="1">IFERROR(__xludf.DUMMYFUNCTION(" VLOOKUP(A1280, IMPORTRANGE(""https://docs.google.com/spreadsheets/d/1fj_Bhi2XPL3siwIh4sx4VRLAe31yD50oKdj5UlRYW0c/"", ""Сводка!A:AA""), 5, FALSE)"),92)</f>
        <v>92</v>
      </c>
      <c r="H1283" s="12" t="s">
        <v>47</v>
      </c>
      <c r="I1283" s="10">
        <f ca="1">IFERROR(__xludf.DUMMYFUNCTION(" VLOOKUP(A1280, IMPORTRANGE(""https://docs.google.com/spreadsheets/d/1QNLbnkR_AongFt22vMfNzfpjZ0CjpI8QI-w0wBnYA1w/"", ""Инфа!A:AA""), 6, FALSE)"),2024)</f>
        <v>2024</v>
      </c>
      <c r="J1283" s="5">
        <f t="shared" ref="J1283:J1288" ca="1" si="40">ROUND((5000+G1283*30),-2)</f>
        <v>7800</v>
      </c>
      <c r="K1283" s="12" t="s">
        <v>5273</v>
      </c>
      <c r="L1283" s="15" t="s">
        <v>5274</v>
      </c>
    </row>
    <row r="1284" spans="1:12" ht="90">
      <c r="A1284" s="8" t="s">
        <v>5275</v>
      </c>
      <c r="B1284" s="12" t="s">
        <v>12</v>
      </c>
      <c r="C1284" s="12" t="s">
        <v>443</v>
      </c>
      <c r="D1284" s="10" t="str">
        <f ca="1">IFERROR(__xludf.DUMMYFUNCTION(" VLOOKUP(A1281, IMPORTRANGE(""https://docs.google.com/spreadsheets/d/1fj_Bhi2XPL3siwIh4sx4VRLAe31yD50oKdj5UlRYW0c/"", ""Сводка!A:AA""), 11, FALSE)"),"978-601-330-050-4")</f>
        <v>978-601-330-050-4</v>
      </c>
      <c r="E1284" s="11" t="s">
        <v>5276</v>
      </c>
      <c r="F1284" s="11" t="s">
        <v>5277</v>
      </c>
      <c r="G1284" s="12">
        <f ca="1">IFERROR(__xludf.DUMMYFUNCTION(" VLOOKUP(A1281, IMPORTRANGE(""https://docs.google.com/spreadsheets/d/1fj_Bhi2XPL3siwIh4sx4VRLAe31yD50oKdj5UlRYW0c/"", ""Сводка!A:AA""), 5, FALSE)"),256)</f>
        <v>256</v>
      </c>
      <c r="H1284" s="12" t="s">
        <v>538</v>
      </c>
      <c r="I1284" s="10">
        <f ca="1">IFERROR(__xludf.DUMMYFUNCTION(" VLOOKUP(A1281, IMPORTRANGE(""https://docs.google.com/spreadsheets/d/1QNLbnkR_AongFt22vMfNzfpjZ0CjpI8QI-w0wBnYA1w/"", ""Инфа!A:AA""), 6, FALSE)"),2023)</f>
        <v>2023</v>
      </c>
      <c r="J1284" s="5">
        <f t="shared" ca="1" si="40"/>
        <v>12700</v>
      </c>
      <c r="K1284" s="12" t="s">
        <v>26</v>
      </c>
      <c r="L1284" s="15" t="s">
        <v>5278</v>
      </c>
    </row>
    <row r="1285" spans="1:12" ht="213.75">
      <c r="A1285" s="8" t="s">
        <v>5279</v>
      </c>
      <c r="B1285" s="12" t="s">
        <v>12</v>
      </c>
      <c r="C1285" s="12" t="s">
        <v>151</v>
      </c>
      <c r="D1285" s="10" t="s">
        <v>5280</v>
      </c>
      <c r="E1285" s="11" t="s">
        <v>5281</v>
      </c>
      <c r="F1285" s="11" t="s">
        <v>5282</v>
      </c>
      <c r="G1285" s="12">
        <f ca="1">IFERROR(__xludf.DUMMYFUNCTION(" VLOOKUP(A1282, IMPORTRANGE(""https://docs.google.com/spreadsheets/d/1fj_Bhi2XPL3siwIh4sx4VRLAe31yD50oKdj5UlRYW0c/"", ""Сводка!A:AA""), 5, FALSE)"),146)</f>
        <v>146</v>
      </c>
      <c r="H1285" s="12" t="s">
        <v>24</v>
      </c>
      <c r="I1285" s="10">
        <f ca="1">IFERROR(__xludf.DUMMYFUNCTION(" VLOOKUP(A1282, IMPORTRANGE(""https://docs.google.com/spreadsheets/d/1QNLbnkR_AongFt22vMfNzfpjZ0CjpI8QI-w0wBnYA1w/"", ""Инфа!A:AA""), 6, FALSE)"),2023)</f>
        <v>2023</v>
      </c>
      <c r="J1285" s="5">
        <f t="shared" ca="1" si="40"/>
        <v>9400</v>
      </c>
      <c r="K1285" s="12" t="s">
        <v>5283</v>
      </c>
      <c r="L1285" s="15" t="s">
        <v>5284</v>
      </c>
    </row>
    <row r="1286" spans="1:12" ht="112.5">
      <c r="A1286" s="8" t="s">
        <v>5285</v>
      </c>
      <c r="B1286" s="12" t="s">
        <v>12</v>
      </c>
      <c r="C1286" s="12" t="s">
        <v>443</v>
      </c>
      <c r="D1286" s="40" t="s">
        <v>5286</v>
      </c>
      <c r="E1286" s="11" t="s">
        <v>5287</v>
      </c>
      <c r="F1286" s="11" t="s">
        <v>2493</v>
      </c>
      <c r="G1286" s="12">
        <f ca="1">IFERROR(__xludf.DUMMYFUNCTION(" VLOOKUP(A1283, IMPORTRANGE(""https://docs.google.com/spreadsheets/d/1fj_Bhi2XPL3siwIh4sx4VRLAe31yD50oKdj5UlRYW0c/"", ""Сводка!A:AA""), 5, FALSE)"),136)</f>
        <v>136</v>
      </c>
      <c r="H1286" s="12" t="s">
        <v>5288</v>
      </c>
      <c r="I1286" s="10">
        <f ca="1">IFERROR(__xludf.DUMMYFUNCTION(" VLOOKUP(A1283, IMPORTRANGE(""https://docs.google.com/spreadsheets/d/1QNLbnkR_AongFt22vMfNzfpjZ0CjpI8QI-w0wBnYA1w/"", ""Инфа!A:AA""), 6, FALSE)"),2024)</f>
        <v>2024</v>
      </c>
      <c r="J1286" s="5">
        <f t="shared" ca="1" si="40"/>
        <v>9100</v>
      </c>
      <c r="K1286" s="12" t="s">
        <v>48</v>
      </c>
      <c r="L1286" s="15" t="s">
        <v>5289</v>
      </c>
    </row>
    <row r="1287" spans="1:12" ht="281.25">
      <c r="A1287" s="8" t="s">
        <v>5290</v>
      </c>
      <c r="B1287" s="12" t="s">
        <v>12</v>
      </c>
      <c r="C1287" s="12" t="s">
        <v>151</v>
      </c>
      <c r="D1287" s="10" t="str">
        <f ca="1">IFERROR(__xludf.DUMMYFUNCTION(" VLOOKUP(A1284, IMPORTRANGE(""https://docs.google.com/spreadsheets/d/1fj_Bhi2XPL3siwIh4sx4VRLAe31yD50oKdj5UlRYW0c/"", ""Сводка!A:AA""), 11, FALSE)"),"978-601-330-128-0")</f>
        <v>978-601-330-128-0</v>
      </c>
      <c r="E1287" s="11" t="s">
        <v>5291</v>
      </c>
      <c r="F1287" s="11" t="s">
        <v>5292</v>
      </c>
      <c r="G1287" s="12">
        <f ca="1">IFERROR(__xludf.DUMMYFUNCTION(" VLOOKUP(A1284, IMPORTRANGE(""https://docs.google.com/spreadsheets/d/1fj_Bhi2XPL3siwIh4sx4VRLAe31yD50oKdj5UlRYW0c/"", ""Сводка!A:AA""), 5, FALSE)"),172)</f>
        <v>172</v>
      </c>
      <c r="H1287" s="12" t="s">
        <v>24</v>
      </c>
      <c r="I1287" s="10">
        <f ca="1">IFERROR(__xludf.DUMMYFUNCTION(" VLOOKUP(A1284, IMPORTRANGE(""https://docs.google.com/spreadsheets/d/1QNLbnkR_AongFt22vMfNzfpjZ0CjpI8QI-w0wBnYA1w/"", ""Инфа!A:AA""), 6, FALSE)"),2024)</f>
        <v>2024</v>
      </c>
      <c r="J1287" s="5">
        <f t="shared" ca="1" si="40"/>
        <v>10200</v>
      </c>
      <c r="K1287" s="12" t="s">
        <v>277</v>
      </c>
      <c r="L1287" s="15" t="s">
        <v>5293</v>
      </c>
    </row>
    <row r="1288" spans="1:12" ht="101.25">
      <c r="A1288" s="8" t="s">
        <v>5294</v>
      </c>
      <c r="B1288" s="12" t="s">
        <v>12</v>
      </c>
      <c r="C1288" s="12" t="s">
        <v>151</v>
      </c>
      <c r="D1288" s="10" t="str">
        <f ca="1">IFERROR(__xludf.DUMMYFUNCTION(" VLOOKUP(A1285, IMPORTRANGE(""https://docs.google.com/spreadsheets/d/1fj_Bhi2XPL3siwIh4sx4VRLAe31yD50oKdj5UlRYW0c/"", ""Сводка!A:AA""), 11, FALSE)"),"")</f>
        <v/>
      </c>
      <c r="E1288" s="11" t="s">
        <v>5295</v>
      </c>
      <c r="F1288" s="11" t="s">
        <v>5296</v>
      </c>
      <c r="G1288" s="12">
        <f ca="1">IFERROR(__xludf.DUMMYFUNCTION(" VLOOKUP(A1285, IMPORTRANGE(""https://docs.google.com/spreadsheets/d/1fj_Bhi2XPL3siwIh4sx4VRLAe31yD50oKdj5UlRYW0c/"", ""Сводка!A:AA""), 5, FALSE)"),236)</f>
        <v>236</v>
      </c>
      <c r="H1288" s="12" t="s">
        <v>24</v>
      </c>
      <c r="I1288" s="10">
        <f ca="1">IFERROR(__xludf.DUMMYFUNCTION(" VLOOKUP(A1285, IMPORTRANGE(""https://docs.google.com/spreadsheets/d/1QNLbnkR_AongFt22vMfNzfpjZ0CjpI8QI-w0wBnYA1w/"", ""Инфа!A:AA""), 6, FALSE)"),2024)</f>
        <v>2024</v>
      </c>
      <c r="J1288" s="5">
        <f t="shared" ca="1" si="40"/>
        <v>12100</v>
      </c>
      <c r="K1288" s="12" t="s">
        <v>5297</v>
      </c>
      <c r="L1288" s="15" t="s">
        <v>5298</v>
      </c>
    </row>
    <row r="1289" spans="1:12" ht="270">
      <c r="A1289" s="8" t="s">
        <v>5299</v>
      </c>
      <c r="B1289" s="12" t="s">
        <v>2231</v>
      </c>
      <c r="C1289" s="12" t="s">
        <v>13</v>
      </c>
      <c r="D1289" s="10" t="str">
        <f ca="1">IFERROR(__xludf.DUMMYFUNCTION(" VLOOKUP(A1286, IMPORTRANGE(""https://docs.google.com/spreadsheets/d/1fj_Bhi2XPL3siwIh4sx4VRLAe31yD50oKdj5UlRYW0c/"", ""Сводка!A:AA""), 11, FALSE)"),"978-601-352-964-6")</f>
        <v>978-601-352-964-6</v>
      </c>
      <c r="E1289" s="45" t="s">
        <v>5300</v>
      </c>
      <c r="F1289" s="45" t="s">
        <v>5301</v>
      </c>
      <c r="G1289" s="12">
        <f ca="1">IFERROR(__xludf.DUMMYFUNCTION(" VLOOKUP(A1286, IMPORTRANGE(""https://docs.google.com/spreadsheets/d/1fj_Bhi2XPL3siwIh4sx4VRLAe31yD50oKdj5UlRYW0c/"", ""Сводка!A:AA""), 5, FALSE)"),128)</f>
        <v>128</v>
      </c>
      <c r="H1289" s="12" t="s">
        <v>5302</v>
      </c>
      <c r="I1289" s="10">
        <f ca="1">IFERROR(__xludf.DUMMYFUNCTION(" VLOOKUP(A1286, IMPORTRANGE(""https://docs.google.com/spreadsheets/d/1QNLbnkR_AongFt22vMfNzfpjZ0CjpI8QI-w0wBnYA1w/"", ""Инфа!A:AA""), 6, FALSE)"),2024)</f>
        <v>2024</v>
      </c>
      <c r="J1289" s="5">
        <f ca="1">ROUND((5000+G1289*60),-2)</f>
        <v>12700</v>
      </c>
      <c r="K1289" s="12" t="s">
        <v>5303</v>
      </c>
      <c r="L1289" s="41" t="s">
        <v>5304</v>
      </c>
    </row>
    <row r="1290" spans="1:12" ht="382.5">
      <c r="A1290" s="8" t="s">
        <v>5305</v>
      </c>
      <c r="B1290" s="9" t="s">
        <v>5306</v>
      </c>
      <c r="C1290" s="12" t="s">
        <v>151</v>
      </c>
      <c r="D1290" s="10" t="str">
        <f ca="1">IFERROR(__xludf.DUMMYFUNCTION(" VLOOKUP(A1287, IMPORTRANGE(""https://docs.google.com/spreadsheets/d/1fj_Bhi2XPL3siwIh4sx4VRLAe31yD50oKdj5UlRYW0c/"", ""Сводка!A:AA""), 11, FALSE)"),"978 - 601 - 7073 - 06 - 0")</f>
        <v>978 - 601 - 7073 - 06 - 0</v>
      </c>
      <c r="E1290" s="11" t="s">
        <v>5307</v>
      </c>
      <c r="F1290" s="11" t="s">
        <v>5308</v>
      </c>
      <c r="G1290" s="12">
        <f ca="1">IFERROR(__xludf.DUMMYFUNCTION(" VLOOKUP(A1287, IMPORTRANGE(""https://docs.google.com/spreadsheets/d/1fj_Bhi2XPL3siwIh4sx4VRLAe31yD50oKdj5UlRYW0c/"", ""Сводка!A:AA""), 5, FALSE)"),228)</f>
        <v>228</v>
      </c>
      <c r="H1290" s="12" t="s">
        <v>498</v>
      </c>
      <c r="I1290" s="10">
        <f ca="1">IFERROR(__xludf.DUMMYFUNCTION(" VLOOKUP(A1287, IMPORTRANGE(""https://docs.google.com/spreadsheets/d/1QNLbnkR_AongFt22vMfNzfpjZ0CjpI8QI-w0wBnYA1w/"", ""Инфа!A:AA""), 6, FALSE)"),2023)</f>
        <v>2023</v>
      </c>
      <c r="J1290" s="5">
        <f ca="1">ROUND((5000+G1290*30),-2)</f>
        <v>11800</v>
      </c>
      <c r="K1290" s="12" t="s">
        <v>5309</v>
      </c>
      <c r="L1290" s="21" t="s">
        <v>5310</v>
      </c>
    </row>
    <row r="1291" spans="1:12" ht="405">
      <c r="A1291" s="8" t="s">
        <v>5311</v>
      </c>
      <c r="B1291" s="9" t="s">
        <v>5306</v>
      </c>
      <c r="C1291" s="12" t="s">
        <v>151</v>
      </c>
      <c r="D1291" s="10" t="str">
        <f ca="1">IFERROR(__xludf.DUMMYFUNCTION(" VLOOKUP(A1288, IMPORTRANGE(""https://docs.google.com/spreadsheets/d/1fj_Bhi2XPL3siwIh4sx4VRLAe31yD50oKdj5UlRYW0c/"", ""Сводка!A:AA""), 11, FALSE)"),"978 - 601 - 7073 - 06 - 0")</f>
        <v>978 - 601 - 7073 - 06 - 0</v>
      </c>
      <c r="E1291" s="11" t="s">
        <v>5307</v>
      </c>
      <c r="F1291" s="11" t="s">
        <v>5312</v>
      </c>
      <c r="G1291" s="12">
        <f ca="1">IFERROR(__xludf.DUMMYFUNCTION(" VLOOKUP(A1288, IMPORTRANGE(""https://docs.google.com/spreadsheets/d/1fj_Bhi2XPL3siwIh4sx4VRLAe31yD50oKdj5UlRYW0c/"", ""Сводка!A:AA""), 5, FALSE)"),124)</f>
        <v>124</v>
      </c>
      <c r="H1291" s="12" t="s">
        <v>498</v>
      </c>
      <c r="I1291" s="10">
        <f ca="1">IFERROR(__xludf.DUMMYFUNCTION(" VLOOKUP(A1288, IMPORTRANGE(""https://docs.google.com/spreadsheets/d/1QNLbnkR_AongFt22vMfNzfpjZ0CjpI8QI-w0wBnYA1w/"", ""Инфа!A:AA""), 6, FALSE)"),2023)</f>
        <v>2023</v>
      </c>
      <c r="J1291" s="5">
        <f ca="1">ROUND((5000+G1291*30),-2)</f>
        <v>8700</v>
      </c>
      <c r="K1291" s="12" t="s">
        <v>5309</v>
      </c>
      <c r="L1291" s="21" t="s">
        <v>5313</v>
      </c>
    </row>
    <row r="1292" spans="1:12" ht="405">
      <c r="A1292" s="8" t="s">
        <v>5314</v>
      </c>
      <c r="B1292" s="9" t="s">
        <v>5306</v>
      </c>
      <c r="C1292" s="12" t="s">
        <v>151</v>
      </c>
      <c r="D1292" s="10" t="str">
        <f ca="1">IFERROR(__xludf.DUMMYFUNCTION(" VLOOKUP(A1289, IMPORTRANGE(""https://docs.google.com/spreadsheets/d/1fj_Bhi2XPL3siwIh4sx4VRLAe31yD50oKdj5UlRYW0c/"", ""Сводка!A:AA""), 11, FALSE)"),"978 - 601 - 7073 - 06 - 0")</f>
        <v>978 - 601 - 7073 - 06 - 0</v>
      </c>
      <c r="E1292" s="11" t="s">
        <v>5307</v>
      </c>
      <c r="F1292" s="11" t="s">
        <v>5315</v>
      </c>
      <c r="G1292" s="12">
        <f ca="1">IFERROR(__xludf.DUMMYFUNCTION(" VLOOKUP(A1289, IMPORTRANGE(""https://docs.google.com/spreadsheets/d/1fj_Bhi2XPL3siwIh4sx4VRLAe31yD50oKdj5UlRYW0c/"", ""Сводка!A:AA""), 5, FALSE)"),192)</f>
        <v>192</v>
      </c>
      <c r="H1292" s="12" t="s">
        <v>498</v>
      </c>
      <c r="I1292" s="10">
        <f ca="1">IFERROR(__xludf.DUMMYFUNCTION(" VLOOKUP(A1289, IMPORTRANGE(""https://docs.google.com/spreadsheets/d/1QNLbnkR_AongFt22vMfNzfpjZ0CjpI8QI-w0wBnYA1w/"", ""Инфа!A:AA""), 6, FALSE)"),2023)</f>
        <v>2023</v>
      </c>
      <c r="J1292" s="5">
        <f ca="1">ROUND((5000+G1292*30),-2)</f>
        <v>10800</v>
      </c>
      <c r="K1292" s="12" t="s">
        <v>5309</v>
      </c>
      <c r="L1292" s="21" t="s">
        <v>5313</v>
      </c>
    </row>
    <row r="1293" spans="1:12" ht="315">
      <c r="A1293" s="8" t="s">
        <v>5316</v>
      </c>
      <c r="B1293" s="9" t="s">
        <v>5306</v>
      </c>
      <c r="C1293" s="12" t="s">
        <v>151</v>
      </c>
      <c r="D1293" s="10" t="s">
        <v>5317</v>
      </c>
      <c r="E1293" s="11" t="s">
        <v>5307</v>
      </c>
      <c r="F1293" s="11" t="s">
        <v>5318</v>
      </c>
      <c r="G1293" s="12">
        <f ca="1">IFERROR(__xludf.DUMMYFUNCTION(" VLOOKUP(A1290, IMPORTRANGE(""https://docs.google.com/spreadsheets/d/1fj_Bhi2XPL3siwIh4sx4VRLAe31yD50oKdj5UlRYW0c/"", ""Сводка!A:AA""), 5, FALSE)"),280)</f>
        <v>280</v>
      </c>
      <c r="H1293" s="12" t="s">
        <v>498</v>
      </c>
      <c r="I1293" s="10">
        <f ca="1">IFERROR(__xludf.DUMMYFUNCTION(" VLOOKUP(A1290, IMPORTRANGE(""https://docs.google.com/spreadsheets/d/1QNLbnkR_AongFt22vMfNzfpjZ0CjpI8QI-w0wBnYA1w/"", ""Инфа!A:AA""), 6, FALSE)"),2024)</f>
        <v>2024</v>
      </c>
      <c r="J1293" s="5">
        <f ca="1">ROUND((5000+G1293*30),-2)</f>
        <v>13400</v>
      </c>
      <c r="K1293" s="12" t="s">
        <v>5319</v>
      </c>
      <c r="L1293" s="15" t="s">
        <v>5320</v>
      </c>
    </row>
    <row r="1294" spans="1:12" ht="236.25">
      <c r="A1294" s="8" t="s">
        <v>5321</v>
      </c>
      <c r="B1294" s="9" t="s">
        <v>5306</v>
      </c>
      <c r="C1294" s="12" t="s">
        <v>151</v>
      </c>
      <c r="D1294" s="10" t="s">
        <v>5322</v>
      </c>
      <c r="E1294" s="11" t="s">
        <v>5307</v>
      </c>
      <c r="F1294" s="11" t="s">
        <v>5323</v>
      </c>
      <c r="G1294" s="12">
        <f ca="1">IFERROR(__xludf.DUMMYFUNCTION(" VLOOKUP(A1291, IMPORTRANGE(""https://docs.google.com/spreadsheets/d/1fj_Bhi2XPL3siwIh4sx4VRLAe31yD50oKdj5UlRYW0c/"", ""Сводка!A:AA""), 5, FALSE)"),124)</f>
        <v>124</v>
      </c>
      <c r="H1294" s="12" t="s">
        <v>498</v>
      </c>
      <c r="I1294" s="10">
        <f ca="1">IFERROR(__xludf.DUMMYFUNCTION(" VLOOKUP(A1291, IMPORTRANGE(""https://docs.google.com/spreadsheets/d/1QNLbnkR_AongFt22vMfNzfpjZ0CjpI8QI-w0wBnYA1w/"", ""Инфа!A:AA""), 6, FALSE)"),2024)</f>
        <v>2024</v>
      </c>
      <c r="J1294" s="5">
        <f ca="1">ROUND((5000+G1294*30),-2)</f>
        <v>8700</v>
      </c>
      <c r="K1294" s="12" t="s">
        <v>5309</v>
      </c>
      <c r="L1294" s="15" t="s">
        <v>5324</v>
      </c>
    </row>
    <row r="1295" spans="1:12" ht="67.5">
      <c r="A1295" s="8" t="s">
        <v>5325</v>
      </c>
      <c r="B1295" s="12" t="s">
        <v>12</v>
      </c>
      <c r="C1295" s="12" t="s">
        <v>443</v>
      </c>
      <c r="D1295" s="10" t="str">
        <f ca="1">IFERROR(__xludf.DUMMYFUNCTION(" VLOOKUP(A1292, IMPORTRANGE(""https://docs.google.com/spreadsheets/d/1fj_Bhi2XPL3siwIh4sx4VRLAe31yD50oKdj5UlRYW0c/"", ""Сводка!A:AA""), 11, FALSE)"),"978-601-352-923-3")</f>
        <v>978-601-352-923-3</v>
      </c>
      <c r="E1295" s="11" t="s">
        <v>5326</v>
      </c>
      <c r="F1295" s="11" t="s">
        <v>5327</v>
      </c>
      <c r="G1295" s="12">
        <f ca="1">IFERROR(__xludf.DUMMYFUNCTION(" VLOOKUP(A1292, IMPORTRANGE(""https://docs.google.com/spreadsheets/d/1fj_Bhi2XPL3siwIh4sx4VRLAe31yD50oKdj5UlRYW0c/"", ""Сводка!A:AA""), 5, FALSE)"),244)</f>
        <v>244</v>
      </c>
      <c r="H1295" s="12" t="s">
        <v>511</v>
      </c>
      <c r="I1295" s="10">
        <f ca="1">IFERROR(__xludf.DUMMYFUNCTION(" VLOOKUP(A1292, IMPORTRANGE(""https://docs.google.com/spreadsheets/d/1QNLbnkR_AongFt22vMfNzfpjZ0CjpI8QI-w0wBnYA1w/"", ""Инфа!A:AA""), 6, FALSE)"),2024)</f>
        <v>2024</v>
      </c>
      <c r="J1295" s="5">
        <f ca="1">ROUND((5000+G1295*60),-2)</f>
        <v>19600</v>
      </c>
      <c r="K1295" s="12" t="s">
        <v>5328</v>
      </c>
      <c r="L1295" s="15" t="s">
        <v>5329</v>
      </c>
    </row>
    <row r="1296" spans="1:12" ht="213.75">
      <c r="A1296" s="8" t="s">
        <v>5330</v>
      </c>
      <c r="B1296" s="12" t="s">
        <v>12</v>
      </c>
      <c r="C1296" s="10" t="s">
        <v>151</v>
      </c>
      <c r="D1296" s="10" t="str">
        <f ca="1">IFERROR(__xludf.DUMMYFUNCTION(" VLOOKUP(A1293, IMPORTRANGE(""https://docs.google.com/spreadsheets/d/1fj_Bhi2XPL3siwIh4sx4VRLAe31yD50oKdj5UlRYW0c/"", ""Сводка!A:AA""), 11, FALSE)"),"978-601-352-974-5")</f>
        <v>978-601-352-974-5</v>
      </c>
      <c r="E1296" s="11" t="s">
        <v>5331</v>
      </c>
      <c r="F1296" s="11" t="s">
        <v>5332</v>
      </c>
      <c r="G1296" s="12">
        <f ca="1">IFERROR(__xludf.DUMMYFUNCTION(" VLOOKUP(A1293, IMPORTRANGE(""https://docs.google.com/spreadsheets/d/1fj_Bhi2XPL3siwIh4sx4VRLAe31yD50oKdj5UlRYW0c/"", ""Сводка!A:AA""), 5, FALSE)"),128)</f>
        <v>128</v>
      </c>
      <c r="H1296" s="12" t="s">
        <v>5333</v>
      </c>
      <c r="I1296" s="10">
        <f ca="1">IFERROR(__xludf.DUMMYFUNCTION(" VLOOKUP(A1293, IMPORTRANGE(""https://docs.google.com/spreadsheets/d/1QNLbnkR_AongFt22vMfNzfpjZ0CjpI8QI-w0wBnYA1w/"", ""Инфа!A:AA""), 6, FALSE)"),2023)</f>
        <v>2023</v>
      </c>
      <c r="J1296" s="5">
        <f ca="1">ROUND((5000+G1296*30),-2)</f>
        <v>8800</v>
      </c>
      <c r="K1296" s="12" t="s">
        <v>26</v>
      </c>
      <c r="L1296" s="15" t="s">
        <v>5334</v>
      </c>
    </row>
    <row r="1297" spans="1:12" ht="315">
      <c r="A1297" s="8" t="s">
        <v>5335</v>
      </c>
      <c r="B1297" s="12" t="s">
        <v>12</v>
      </c>
      <c r="C1297" s="10" t="s">
        <v>151</v>
      </c>
      <c r="D1297" s="10" t="str">
        <f ca="1">IFERROR(__xludf.DUMMYFUNCTION(" VLOOKUP(A1294, IMPORTRANGE(""https://docs.google.com/spreadsheets/d/1fj_Bhi2XPL3siwIh4sx4VRLAe31yD50oKdj5UlRYW0c/"", ""Сводка!A:AA""), 11, FALSE)"),"978-601-327-678-6")</f>
        <v>978-601-327-678-6</v>
      </c>
      <c r="E1297" s="11" t="s">
        <v>5336</v>
      </c>
      <c r="F1297" s="45" t="s">
        <v>5337</v>
      </c>
      <c r="G1297" s="12">
        <f ca="1">IFERROR(__xludf.DUMMYFUNCTION(" VLOOKUP(A1294, IMPORTRANGE(""https://docs.google.com/spreadsheets/d/1fj_Bhi2XPL3siwIh4sx4VRLAe31yD50oKdj5UlRYW0c/"", ""Сводка!A:AA""), 5, FALSE)"),272)</f>
        <v>272</v>
      </c>
      <c r="H1297" s="12" t="s">
        <v>165</v>
      </c>
      <c r="I1297" s="10">
        <f ca="1">IFERROR(__xludf.DUMMYFUNCTION(" VLOOKUP(A1294, IMPORTRANGE(""https://docs.google.com/spreadsheets/d/1QNLbnkR_AongFt22vMfNzfpjZ0CjpI8QI-w0wBnYA1w/"", ""Инфа!A:AA""), 6, FALSE)"),2023)</f>
        <v>2023</v>
      </c>
      <c r="J1297" s="5">
        <f ca="1">ROUND((5000+G1297*60),-2)</f>
        <v>21300</v>
      </c>
      <c r="K1297" s="12" t="s">
        <v>2249</v>
      </c>
      <c r="L1297" s="15" t="s">
        <v>5338</v>
      </c>
    </row>
    <row r="1298" spans="1:12" ht="292.5">
      <c r="A1298" s="8" t="s">
        <v>5339</v>
      </c>
      <c r="B1298" s="12" t="s">
        <v>12</v>
      </c>
      <c r="C1298" s="10" t="s">
        <v>443</v>
      </c>
      <c r="D1298" s="10" t="str">
        <f ca="1">IFERROR(__xludf.DUMMYFUNCTION(" VLOOKUP(A1295, IMPORTRANGE(""https://docs.google.com/spreadsheets/d/1fj_Bhi2XPL3siwIh4sx4VRLAe31yD50oKdj5UlRYW0c/"", ""Сводка!A:AA""), 11, FALSE)"),"978-601-330-284-3")</f>
        <v>978-601-330-284-3</v>
      </c>
      <c r="E1298" s="45" t="s">
        <v>5340</v>
      </c>
      <c r="F1298" s="45" t="s">
        <v>5341</v>
      </c>
      <c r="G1298" s="12">
        <f ca="1">IFERROR(__xludf.DUMMYFUNCTION(" VLOOKUP(A1295, IMPORTRANGE(""https://docs.google.com/spreadsheets/d/1fj_Bhi2XPL3siwIh4sx4VRLAe31yD50oKdj5UlRYW0c/"", ""Сводка!A:AA""), 5, FALSE)"),324)</f>
        <v>324</v>
      </c>
      <c r="H1298" s="12" t="s">
        <v>538</v>
      </c>
      <c r="I1298" s="10">
        <f ca="1">IFERROR(__xludf.DUMMYFUNCTION(" VLOOKUP(A1295, IMPORTRANGE(""https://docs.google.com/spreadsheets/d/1QNLbnkR_AongFt22vMfNzfpjZ0CjpI8QI-w0wBnYA1w/"", ""Инфа!A:AA""), 6, FALSE)"),2023)</f>
        <v>2023</v>
      </c>
      <c r="J1298" s="5">
        <f ca="1">ROUND((5000+G1298*30),-2)</f>
        <v>14700</v>
      </c>
      <c r="K1298" s="12" t="s">
        <v>2249</v>
      </c>
      <c r="L1298" s="15" t="s">
        <v>5342</v>
      </c>
    </row>
    <row r="1299" spans="1:12" ht="123.75">
      <c r="A1299" s="8" t="s">
        <v>5343</v>
      </c>
      <c r="B1299" s="12" t="s">
        <v>12</v>
      </c>
      <c r="C1299" s="10" t="s">
        <v>151</v>
      </c>
      <c r="D1299" s="10" t="s">
        <v>5344</v>
      </c>
      <c r="E1299" s="11" t="s">
        <v>5345</v>
      </c>
      <c r="F1299" s="11" t="s">
        <v>5346</v>
      </c>
      <c r="G1299" s="12">
        <f ca="1">IFERROR(__xludf.DUMMYFUNCTION(" VLOOKUP(A1296, IMPORTRANGE(""https://docs.google.com/spreadsheets/d/1fj_Bhi2XPL3siwIh4sx4VRLAe31yD50oKdj5UlRYW0c/"", ""Сводка!A:AA""), 5, FALSE)"),268)</f>
        <v>268</v>
      </c>
      <c r="H1299" s="12" t="s">
        <v>282</v>
      </c>
      <c r="I1299" s="10">
        <f ca="1">IFERROR(__xludf.DUMMYFUNCTION(" VLOOKUP(A1296, IMPORTRANGE(""https://docs.google.com/spreadsheets/d/1QNLbnkR_AongFt22vMfNzfpjZ0CjpI8QI-w0wBnYA1w/"", ""Инфа!A:AA""), 6, FALSE)"),2024)</f>
        <v>2024</v>
      </c>
      <c r="J1299" s="5">
        <f ca="1">ROUND((5000+G1299*30),-2)</f>
        <v>13000</v>
      </c>
      <c r="K1299" s="12" t="s">
        <v>26</v>
      </c>
      <c r="L1299" s="15" t="s">
        <v>5347</v>
      </c>
    </row>
    <row r="1300" spans="1:12" ht="168.75">
      <c r="A1300" s="8" t="s">
        <v>5348</v>
      </c>
      <c r="B1300" s="9" t="s">
        <v>12</v>
      </c>
      <c r="C1300" s="10" t="s">
        <v>151</v>
      </c>
      <c r="D1300" s="10" t="str">
        <f ca="1">IFERROR(__xludf.DUMMYFUNCTION(" VLOOKUP(A1297, IMPORTRANGE(""https://docs.google.com/spreadsheets/d/1fj_Bhi2XPL3siwIh4sx4VRLAe31yD50oKdj5UlRYW0c/"", ""Сводка!A:AA""), 11, FALSE)"),"978-601-342-133-9")</f>
        <v>978-601-342-133-9</v>
      </c>
      <c r="E1300" s="11" t="s">
        <v>5349</v>
      </c>
      <c r="F1300" s="11" t="s">
        <v>5350</v>
      </c>
      <c r="G1300" s="12">
        <f ca="1">IFERROR(__xludf.DUMMYFUNCTION(" VLOOKUP(A1297, IMPORTRANGE(""https://docs.google.com/spreadsheets/d/1fj_Bhi2XPL3siwIh4sx4VRLAe31yD50oKdj5UlRYW0c/"", ""Сводка!A:AA""), 5, FALSE)"),312)</f>
        <v>312</v>
      </c>
      <c r="H1300" s="12" t="s">
        <v>2216</v>
      </c>
      <c r="I1300" s="10">
        <f ca="1">IFERROR(__xludf.DUMMYFUNCTION(" VLOOKUP(A1297, IMPORTRANGE(""https://docs.google.com/spreadsheets/d/1QNLbnkR_AongFt22vMfNzfpjZ0CjpI8QI-w0wBnYA1w/"", ""Инфа!A:AA""), 6, FALSE)"),2024)</f>
        <v>2024</v>
      </c>
      <c r="J1300" s="5">
        <f ca="1">ROUND((5000+G1300*60),-2)</f>
        <v>23700</v>
      </c>
      <c r="K1300" s="12" t="s">
        <v>26</v>
      </c>
      <c r="L1300" s="15" t="s">
        <v>5351</v>
      </c>
    </row>
    <row r="1301" spans="1:12" ht="236.25">
      <c r="A1301" s="8" t="s">
        <v>5352</v>
      </c>
      <c r="B1301" s="12" t="s">
        <v>12</v>
      </c>
      <c r="C1301" s="10" t="s">
        <v>151</v>
      </c>
      <c r="D1301" s="40" t="s">
        <v>5353</v>
      </c>
      <c r="E1301" s="11" t="s">
        <v>5354</v>
      </c>
      <c r="F1301" s="11" t="s">
        <v>5355</v>
      </c>
      <c r="G1301" s="12">
        <f ca="1">IFERROR(__xludf.DUMMYFUNCTION(" VLOOKUP(A1298, IMPORTRANGE(""https://docs.google.com/spreadsheets/d/1fj_Bhi2XPL3siwIh4sx4VRLAe31yD50oKdj5UlRYW0c/"", ""Сводка!A:AA""), 5, FALSE)"),136)</f>
        <v>136</v>
      </c>
      <c r="H1301" s="12" t="s">
        <v>47</v>
      </c>
      <c r="I1301" s="10">
        <f ca="1">IFERROR(__xludf.DUMMYFUNCTION(" VLOOKUP(A1298, IMPORTRANGE(""https://docs.google.com/spreadsheets/d/1QNLbnkR_AongFt22vMfNzfpjZ0CjpI8QI-w0wBnYA1w/"", ""Инфа!A:AA""), 6, FALSE)"),2024)</f>
        <v>2024</v>
      </c>
      <c r="J1301" s="5">
        <f ca="1">ROUND((5000+G1301*30),-2)</f>
        <v>9100</v>
      </c>
      <c r="K1301" s="12" t="s">
        <v>5152</v>
      </c>
      <c r="L1301" s="15" t="s">
        <v>5356</v>
      </c>
    </row>
    <row r="1302" spans="1:12" ht="191.25">
      <c r="A1302" s="8" t="s">
        <v>5357</v>
      </c>
      <c r="B1302" s="12" t="s">
        <v>12</v>
      </c>
      <c r="C1302" s="10" t="s">
        <v>443</v>
      </c>
      <c r="D1302" s="10" t="str">
        <f ca="1">IFERROR(__xludf.DUMMYFUNCTION(" VLOOKUP(A1299, IMPORTRANGE(""https://docs.google.com/spreadsheets/d/1fj_Bhi2XPL3siwIh4sx4VRLAe31yD50oKdj5UlRYW0c/"", ""Сводка!A:AA""), 11, FALSE)"),"978-601-352-227-8")</f>
        <v>978-601-352-227-8</v>
      </c>
      <c r="E1302" s="11" t="s">
        <v>5358</v>
      </c>
      <c r="F1302" s="11" t="s">
        <v>5359</v>
      </c>
      <c r="G1302" s="12">
        <f ca="1">IFERROR(__xludf.DUMMYFUNCTION(" VLOOKUP(A1299, IMPORTRANGE(""https://docs.google.com/spreadsheets/d/1fj_Bhi2XPL3siwIh4sx4VRLAe31yD50oKdj5UlRYW0c/"", ""Сводка!A:AA""), 5, FALSE)"),104)</f>
        <v>104</v>
      </c>
      <c r="H1302" s="12" t="s">
        <v>538</v>
      </c>
      <c r="I1302" s="10">
        <f ca="1">IFERROR(__xludf.DUMMYFUNCTION(" VLOOKUP(A1299, IMPORTRANGE(""https://docs.google.com/spreadsheets/d/1QNLbnkR_AongFt22vMfNzfpjZ0CjpI8QI-w0wBnYA1w/"", ""Инфа!A:AA""), 6, FALSE)"),2024)</f>
        <v>2024</v>
      </c>
      <c r="J1302" s="5">
        <f ca="1">ROUND((5000+G1302*60),-2)</f>
        <v>11200</v>
      </c>
      <c r="K1302" s="12" t="s">
        <v>287</v>
      </c>
      <c r="L1302" s="15" t="s">
        <v>5360</v>
      </c>
    </row>
    <row r="1303" spans="1:12" ht="123.75">
      <c r="A1303" s="8" t="s">
        <v>5361</v>
      </c>
      <c r="B1303" s="12" t="s">
        <v>12</v>
      </c>
      <c r="C1303" s="10" t="s">
        <v>151</v>
      </c>
      <c r="D1303" s="10" t="s">
        <v>5362</v>
      </c>
      <c r="E1303" s="11" t="s">
        <v>5363</v>
      </c>
      <c r="F1303" s="11" t="s">
        <v>5364</v>
      </c>
      <c r="G1303" s="12">
        <f ca="1">IFERROR(__xludf.DUMMYFUNCTION(" VLOOKUP(A1300, IMPORTRANGE(""https://docs.google.com/spreadsheets/d/1fj_Bhi2XPL3siwIh4sx4VRLAe31yD50oKdj5UlRYW0c/"", ""Сводка!A:AA""), 5, FALSE)"),100)</f>
        <v>100</v>
      </c>
      <c r="H1303" s="12" t="s">
        <v>47</v>
      </c>
      <c r="I1303" s="10">
        <f ca="1">IFERROR(__xludf.DUMMYFUNCTION(" VLOOKUP(A1300, IMPORTRANGE(""https://docs.google.com/spreadsheets/d/1QNLbnkR_AongFt22vMfNzfpjZ0CjpI8QI-w0wBnYA1w/"", ""Инфа!A:AA""), 6, FALSE)"),2024)</f>
        <v>2024</v>
      </c>
      <c r="J1303" s="5">
        <f t="shared" ref="J1303:J1316" ca="1" si="41">ROUND((5000+G1303*30),-2)</f>
        <v>8000</v>
      </c>
      <c r="K1303" s="12" t="s">
        <v>919</v>
      </c>
      <c r="L1303" s="15" t="s">
        <v>5365</v>
      </c>
    </row>
    <row r="1304" spans="1:12" ht="123.75">
      <c r="A1304" s="8" t="s">
        <v>5366</v>
      </c>
      <c r="B1304" s="12" t="s">
        <v>12</v>
      </c>
      <c r="C1304" s="10" t="s">
        <v>151</v>
      </c>
      <c r="D1304" s="10" t="str">
        <f ca="1">IFERROR(__xludf.DUMMYFUNCTION(" VLOOKUP(A1301, IMPORTRANGE(""https://docs.google.com/spreadsheets/d/1fj_Bhi2XPL3siwIh4sx4VRLAe31yD50oKdj5UlRYW0c/"", ""Сводка!A:AA""), 11, FALSE)"),"978-601-327-488-1")</f>
        <v>978-601-327-488-1</v>
      </c>
      <c r="E1304" s="11" t="s">
        <v>4782</v>
      </c>
      <c r="F1304" s="11" t="s">
        <v>5367</v>
      </c>
      <c r="G1304" s="12">
        <f ca="1">IFERROR(__xludf.DUMMYFUNCTION(" VLOOKUP(A1301, IMPORTRANGE(""https://docs.google.com/spreadsheets/d/1fj_Bhi2XPL3siwIh4sx4VRLAe31yD50oKdj5UlRYW0c/"", ""Сводка!A:AA""), 5, FALSE)"),320)</f>
        <v>320</v>
      </c>
      <c r="H1304" s="12" t="s">
        <v>4784</v>
      </c>
      <c r="I1304" s="10">
        <f ca="1">IFERROR(__xludf.DUMMYFUNCTION(" VLOOKUP(A1301, IMPORTRANGE(""https://docs.google.com/spreadsheets/d/1QNLbnkR_AongFt22vMfNzfpjZ0CjpI8QI-w0wBnYA1w/"", ""Инфа!A:AA""), 6, FALSE)"),2024)</f>
        <v>2024</v>
      </c>
      <c r="J1304" s="5">
        <f t="shared" ca="1" si="41"/>
        <v>14600</v>
      </c>
      <c r="K1304" s="12" t="s">
        <v>26</v>
      </c>
      <c r="L1304" s="16" t="s">
        <v>5368</v>
      </c>
    </row>
    <row r="1305" spans="1:12" ht="146.25">
      <c r="A1305" s="8" t="s">
        <v>5369</v>
      </c>
      <c r="B1305" s="12" t="s">
        <v>12</v>
      </c>
      <c r="C1305" s="10" t="s">
        <v>151</v>
      </c>
      <c r="D1305" s="10" t="str">
        <f ca="1">IFERROR(__xludf.DUMMYFUNCTION(" VLOOKUP(A1302, IMPORTRANGE(""https://docs.google.com/spreadsheets/d/1fj_Bhi2XPL3siwIh4sx4VRLAe31yD50oKdj5UlRYW0c/"", ""Сводка!A:AA""), 11, FALSE)"),"978-601-327-488-1")</f>
        <v>978-601-327-488-1</v>
      </c>
      <c r="E1305" s="11" t="s">
        <v>4782</v>
      </c>
      <c r="F1305" s="11" t="s">
        <v>5370</v>
      </c>
      <c r="G1305" s="12">
        <f ca="1">IFERROR(__xludf.DUMMYFUNCTION(" VLOOKUP(A1302, IMPORTRANGE(""https://docs.google.com/spreadsheets/d/1fj_Bhi2XPL3siwIh4sx4VRLAe31yD50oKdj5UlRYW0c/"", ""Сводка!A:AA""), 5, FALSE)"),184)</f>
        <v>184</v>
      </c>
      <c r="H1305" s="12" t="s">
        <v>4784</v>
      </c>
      <c r="I1305" s="10">
        <f ca="1">IFERROR(__xludf.DUMMYFUNCTION(" VLOOKUP(A1302, IMPORTRANGE(""https://docs.google.com/spreadsheets/d/1QNLbnkR_AongFt22vMfNzfpjZ0CjpI8QI-w0wBnYA1w/"", ""Инфа!A:AA""), 6, FALSE)"),2024)</f>
        <v>2024</v>
      </c>
      <c r="J1305" s="5">
        <f t="shared" ca="1" si="41"/>
        <v>10500</v>
      </c>
      <c r="K1305" s="12" t="s">
        <v>26</v>
      </c>
      <c r="L1305" s="16" t="s">
        <v>5371</v>
      </c>
    </row>
    <row r="1306" spans="1:12" ht="213.75">
      <c r="A1306" s="8" t="s">
        <v>5372</v>
      </c>
      <c r="B1306" s="12" t="s">
        <v>12</v>
      </c>
      <c r="C1306" s="10" t="s">
        <v>443</v>
      </c>
      <c r="D1306" s="10" t="str">
        <f ca="1">IFERROR(__xludf.DUMMYFUNCTION(" VLOOKUP(A1303, IMPORTRANGE(""https://docs.google.com/spreadsheets/d/1fj_Bhi2XPL3siwIh4sx4VRLAe31yD50oKdj5UlRYW0c/"", ""Сводка!A:AA""), 11, FALSE)"),"978-601-330-143-3")</f>
        <v>978-601-330-143-3</v>
      </c>
      <c r="E1306" s="11" t="s">
        <v>5373</v>
      </c>
      <c r="F1306" s="11" t="s">
        <v>5374</v>
      </c>
      <c r="G1306" s="12">
        <f ca="1">IFERROR(__xludf.DUMMYFUNCTION(" VLOOKUP(A1303, IMPORTRANGE(""https://docs.google.com/spreadsheets/d/1fj_Bhi2XPL3siwIh4sx4VRLAe31yD50oKdj5UlRYW0c/"", ""Сводка!A:AA""), 5, FALSE)"),272)</f>
        <v>272</v>
      </c>
      <c r="H1306" s="12" t="s">
        <v>952</v>
      </c>
      <c r="I1306" s="10">
        <f ca="1">IFERROR(__xludf.DUMMYFUNCTION(" VLOOKUP(A1303, IMPORTRANGE(""https://docs.google.com/spreadsheets/d/1QNLbnkR_AongFt22vMfNzfpjZ0CjpI8QI-w0wBnYA1w/"", ""Инфа!A:AA""), 6, FALSE)"),2024)</f>
        <v>2024</v>
      </c>
      <c r="J1306" s="5">
        <f t="shared" ca="1" si="41"/>
        <v>13200</v>
      </c>
      <c r="K1306" s="12" t="s">
        <v>26</v>
      </c>
      <c r="L1306" s="15" t="s">
        <v>5375</v>
      </c>
    </row>
    <row r="1307" spans="1:12" ht="258.75">
      <c r="A1307" s="8" t="s">
        <v>5376</v>
      </c>
      <c r="B1307" s="12" t="s">
        <v>12</v>
      </c>
      <c r="C1307" s="10" t="s">
        <v>151</v>
      </c>
      <c r="D1307" s="10" t="s">
        <v>5377</v>
      </c>
      <c r="E1307" s="11" t="s">
        <v>5378</v>
      </c>
      <c r="F1307" s="11" t="s">
        <v>5379</v>
      </c>
      <c r="G1307" s="12">
        <f ca="1">IFERROR(__xludf.DUMMYFUNCTION(" VLOOKUP(A1304, IMPORTRANGE(""https://docs.google.com/spreadsheets/d/1fj_Bhi2XPL3siwIh4sx4VRLAe31yD50oKdj5UlRYW0c/"", ""Сводка!A:AA""), 5, FALSE)"),248)</f>
        <v>248</v>
      </c>
      <c r="H1307" s="12" t="s">
        <v>47</v>
      </c>
      <c r="I1307" s="10">
        <f ca="1">IFERROR(__xludf.DUMMYFUNCTION(" VLOOKUP(A1304, IMPORTRANGE(""https://docs.google.com/spreadsheets/d/1QNLbnkR_AongFt22vMfNzfpjZ0CjpI8QI-w0wBnYA1w/"", ""Инфа!A:AA""), 6, FALSE)"),2024)</f>
        <v>2024</v>
      </c>
      <c r="J1307" s="5">
        <f t="shared" ca="1" si="41"/>
        <v>12400</v>
      </c>
      <c r="K1307" s="12" t="s">
        <v>5380</v>
      </c>
      <c r="L1307" s="15" t="s">
        <v>5381</v>
      </c>
    </row>
    <row r="1308" spans="1:12" ht="123.75">
      <c r="A1308" s="8" t="s">
        <v>5382</v>
      </c>
      <c r="B1308" s="9" t="s">
        <v>12</v>
      </c>
      <c r="C1308" s="10" t="s">
        <v>151</v>
      </c>
      <c r="D1308" s="10" t="str">
        <f ca="1">IFERROR(__xludf.DUMMYFUNCTION(" VLOOKUP(A1305, IMPORTRANGE(""https://docs.google.com/spreadsheets/d/1fj_Bhi2XPL3siwIh4sx4VRLAe31yD50oKdj5UlRYW0c/"", ""Сводка!A:AA""), 11, FALSE)"),"978-601-327-870-4")</f>
        <v>978-601-327-870-4</v>
      </c>
      <c r="E1308" s="11" t="s">
        <v>5383</v>
      </c>
      <c r="F1308" s="11" t="s">
        <v>5384</v>
      </c>
      <c r="G1308" s="12">
        <f ca="1">IFERROR(__xludf.DUMMYFUNCTION(" VLOOKUP(A1305, IMPORTRANGE(""https://docs.google.com/spreadsheets/d/1fj_Bhi2XPL3siwIh4sx4VRLAe31yD50oKdj5UlRYW0c/"", ""Сводка!A:AA""), 5, FALSE)"),144)</f>
        <v>144</v>
      </c>
      <c r="H1308" s="12" t="s">
        <v>106</v>
      </c>
      <c r="I1308" s="10">
        <f ca="1">IFERROR(__xludf.DUMMYFUNCTION(" VLOOKUP(A1305, IMPORTRANGE(""https://docs.google.com/spreadsheets/d/1QNLbnkR_AongFt22vMfNzfpjZ0CjpI8QI-w0wBnYA1w/"", ""Инфа!A:AA""), 6, FALSE)"),2024)</f>
        <v>2024</v>
      </c>
      <c r="J1308" s="5">
        <f t="shared" ca="1" si="41"/>
        <v>9300</v>
      </c>
      <c r="K1308" s="12" t="s">
        <v>26</v>
      </c>
      <c r="L1308" s="15" t="s">
        <v>5385</v>
      </c>
    </row>
    <row r="1309" spans="1:12" ht="213.75">
      <c r="A1309" s="8" t="s">
        <v>5386</v>
      </c>
      <c r="B1309" s="12" t="s">
        <v>2231</v>
      </c>
      <c r="C1309" s="12" t="s">
        <v>151</v>
      </c>
      <c r="D1309" s="10" t="s">
        <v>5387</v>
      </c>
      <c r="E1309" s="11" t="s">
        <v>5388</v>
      </c>
      <c r="F1309" s="11" t="s">
        <v>5389</v>
      </c>
      <c r="G1309" s="12">
        <f ca="1">IFERROR(__xludf.DUMMYFUNCTION(" VLOOKUP(A1306, IMPORTRANGE(""https://docs.google.com/spreadsheets/d/1fj_Bhi2XPL3siwIh4sx4VRLAe31yD50oKdj5UlRYW0c/"", ""Сводка!A:AA""), 5, FALSE)"),176)</f>
        <v>176</v>
      </c>
      <c r="H1309" s="12" t="s">
        <v>47</v>
      </c>
      <c r="I1309" s="10">
        <f ca="1">IFERROR(__xludf.DUMMYFUNCTION(" VLOOKUP(A1306, IMPORTRANGE(""https://docs.google.com/spreadsheets/d/1QNLbnkR_AongFt22vMfNzfpjZ0CjpI8QI-w0wBnYA1w/"", ""Инфа!A:AA""), 6, FALSE)"),2024)</f>
        <v>2024</v>
      </c>
      <c r="J1309" s="5">
        <f t="shared" ca="1" si="41"/>
        <v>10300</v>
      </c>
      <c r="K1309" s="12" t="s">
        <v>2254</v>
      </c>
      <c r="L1309" s="16" t="s">
        <v>5390</v>
      </c>
    </row>
    <row r="1310" spans="1:12" ht="90">
      <c r="A1310" s="8" t="s">
        <v>5391</v>
      </c>
      <c r="B1310" s="12" t="s">
        <v>2231</v>
      </c>
      <c r="C1310" s="12" t="s">
        <v>151</v>
      </c>
      <c r="D1310" s="10" t="s">
        <v>5392</v>
      </c>
      <c r="E1310" s="11" t="s">
        <v>5388</v>
      </c>
      <c r="F1310" s="11" t="s">
        <v>5393</v>
      </c>
      <c r="G1310" s="12">
        <f ca="1">IFERROR(__xludf.DUMMYFUNCTION(" VLOOKUP(A1307, IMPORTRANGE(""https://docs.google.com/spreadsheets/d/1fj_Bhi2XPL3siwIh4sx4VRLAe31yD50oKdj5UlRYW0c/"", ""Сводка!A:AA""), 5, FALSE)"),192)</f>
        <v>192</v>
      </c>
      <c r="H1310" s="12" t="s">
        <v>47</v>
      </c>
      <c r="I1310" s="10">
        <f ca="1">IFERROR(__xludf.DUMMYFUNCTION(" VLOOKUP(A1307, IMPORTRANGE(""https://docs.google.com/spreadsheets/d/1QNLbnkR_AongFt22vMfNzfpjZ0CjpI8QI-w0wBnYA1w/"", ""Инфа!A:AA""), 6, FALSE)"),2024)</f>
        <v>2024</v>
      </c>
      <c r="J1310" s="5">
        <f t="shared" ca="1" si="41"/>
        <v>10800</v>
      </c>
      <c r="K1310" s="12" t="s">
        <v>2254</v>
      </c>
      <c r="L1310" s="15" t="s">
        <v>5394</v>
      </c>
    </row>
    <row r="1311" spans="1:12" ht="135">
      <c r="A1311" s="8" t="s">
        <v>5395</v>
      </c>
      <c r="B1311" s="12" t="s">
        <v>12</v>
      </c>
      <c r="C1311" s="10" t="s">
        <v>151</v>
      </c>
      <c r="D1311" s="10" t="s">
        <v>5396</v>
      </c>
      <c r="E1311" s="11" t="s">
        <v>5397</v>
      </c>
      <c r="F1311" s="11" t="s">
        <v>5398</v>
      </c>
      <c r="G1311" s="12">
        <f ca="1">IFERROR(__xludf.DUMMYFUNCTION(" VLOOKUP(A1308, IMPORTRANGE(""https://docs.google.com/spreadsheets/d/1fj_Bhi2XPL3siwIh4sx4VRLAe31yD50oKdj5UlRYW0c/"", ""Сводка!A:AA""), 5, FALSE)"),104)</f>
        <v>104</v>
      </c>
      <c r="H1311" s="12" t="s">
        <v>301</v>
      </c>
      <c r="I1311" s="10">
        <f ca="1">IFERROR(__xludf.DUMMYFUNCTION(" VLOOKUP(A1308, IMPORTRANGE(""https://docs.google.com/spreadsheets/d/1QNLbnkR_AongFt22vMfNzfpjZ0CjpI8QI-w0wBnYA1w/"", ""Инфа!A:AA""), 6, FALSE)"),2024)</f>
        <v>2024</v>
      </c>
      <c r="J1311" s="5">
        <f t="shared" ca="1" si="41"/>
        <v>8100</v>
      </c>
      <c r="K1311" s="12" t="s">
        <v>5399</v>
      </c>
      <c r="L1311" s="15" t="s">
        <v>5400</v>
      </c>
    </row>
    <row r="1312" spans="1:12" ht="213.75">
      <c r="A1312" s="8" t="s">
        <v>5401</v>
      </c>
      <c r="B1312" s="12" t="s">
        <v>12</v>
      </c>
      <c r="C1312" s="10" t="s">
        <v>21</v>
      </c>
      <c r="D1312" s="10" t="s">
        <v>5402</v>
      </c>
      <c r="E1312" s="11" t="s">
        <v>5403</v>
      </c>
      <c r="F1312" s="45" t="s">
        <v>5404</v>
      </c>
      <c r="G1312" s="12">
        <f ca="1">IFERROR(__xludf.DUMMYFUNCTION(" VLOOKUP(A1309, IMPORTRANGE(""https://docs.google.com/spreadsheets/d/1fj_Bhi2XPL3siwIh4sx4VRLAe31yD50oKdj5UlRYW0c/"", ""Сводка!A:AA""), 5, FALSE)"),108)</f>
        <v>108</v>
      </c>
      <c r="H1312" s="12" t="s">
        <v>5405</v>
      </c>
      <c r="I1312" s="10">
        <f ca="1">IFERROR(__xludf.DUMMYFUNCTION(" VLOOKUP(A1309, IMPORTRANGE(""https://docs.google.com/spreadsheets/d/1QNLbnkR_AongFt22vMfNzfpjZ0CjpI8QI-w0wBnYA1w/"", ""Инфа!A:AA""), 6, FALSE)"),2024)</f>
        <v>2024</v>
      </c>
      <c r="J1312" s="5">
        <f t="shared" ca="1" si="41"/>
        <v>8200</v>
      </c>
      <c r="K1312" s="12" t="s">
        <v>5406</v>
      </c>
      <c r="L1312" s="15" t="s">
        <v>5407</v>
      </c>
    </row>
    <row r="1313" spans="1:12" ht="168.75">
      <c r="A1313" s="8" t="s">
        <v>5408</v>
      </c>
      <c r="B1313" s="12" t="s">
        <v>12</v>
      </c>
      <c r="C1313" s="10" t="s">
        <v>443</v>
      </c>
      <c r="D1313" s="10" t="str">
        <f ca="1">IFERROR(__xludf.DUMMYFUNCTION(" VLOOKUP(A1310, IMPORTRANGE(""https://docs.google.com/spreadsheets/d/1fj_Bhi2XPL3siwIh4sx4VRLAe31yD50oKdj5UlRYW0c/"", ""Сводка!A:AA""), 11, FALSE)"),"978-601-337-054-5")</f>
        <v>978-601-337-054-5</v>
      </c>
      <c r="E1313" s="11" t="s">
        <v>5409</v>
      </c>
      <c r="F1313" s="11" t="s">
        <v>5410</v>
      </c>
      <c r="G1313" s="12">
        <f ca="1">IFERROR(__xludf.DUMMYFUNCTION(" VLOOKUP(A1310, IMPORTRANGE(""https://docs.google.com/spreadsheets/d/1fj_Bhi2XPL3siwIh4sx4VRLAe31yD50oKdj5UlRYW0c/"", ""Сводка!A:AA""), 5, FALSE)"),84)</f>
        <v>84</v>
      </c>
      <c r="H1313" s="12" t="s">
        <v>538</v>
      </c>
      <c r="I1313" s="10">
        <f ca="1">IFERROR(__xludf.DUMMYFUNCTION(" VLOOKUP(A1310, IMPORTRANGE(""https://docs.google.com/spreadsheets/d/1QNLbnkR_AongFt22vMfNzfpjZ0CjpI8QI-w0wBnYA1w/"", ""Инфа!A:AA""), 6, FALSE)"),2023)</f>
        <v>2023</v>
      </c>
      <c r="J1313" s="5">
        <f t="shared" ca="1" si="41"/>
        <v>7500</v>
      </c>
      <c r="K1313" s="12" t="s">
        <v>2185</v>
      </c>
      <c r="L1313" s="15" t="s">
        <v>5411</v>
      </c>
    </row>
    <row r="1314" spans="1:12" ht="168.75">
      <c r="A1314" s="8" t="s">
        <v>5412</v>
      </c>
      <c r="B1314" s="12" t="s">
        <v>12</v>
      </c>
      <c r="C1314" s="10" t="s">
        <v>151</v>
      </c>
      <c r="D1314" s="10" t="str">
        <f ca="1">IFERROR(__xludf.DUMMYFUNCTION(" VLOOKUP(A1311, IMPORTRANGE(""https://docs.google.com/spreadsheets/d/1fj_Bhi2XPL3siwIh4sx4VRLAe31yD50oKdj5UlRYW0c/"", ""Сводка!A:AA""), 11, FALSE)"),"978-601-337-054-5")</f>
        <v>978-601-337-054-5</v>
      </c>
      <c r="E1314" s="11" t="s">
        <v>5409</v>
      </c>
      <c r="F1314" s="11" t="s">
        <v>5413</v>
      </c>
      <c r="G1314" s="12">
        <f ca="1">IFERROR(__xludf.DUMMYFUNCTION(" VLOOKUP(A1311, IMPORTRANGE(""https://docs.google.com/spreadsheets/d/1fj_Bhi2XPL3siwIh4sx4VRLAe31yD50oKdj5UlRYW0c/"", ""Сводка!A:AA""), 5, FALSE)"),128)</f>
        <v>128</v>
      </c>
      <c r="H1314" s="12" t="s">
        <v>165</v>
      </c>
      <c r="I1314" s="10">
        <f ca="1">IFERROR(__xludf.DUMMYFUNCTION(" VLOOKUP(A1311, IMPORTRANGE(""https://docs.google.com/spreadsheets/d/1QNLbnkR_AongFt22vMfNzfpjZ0CjpI8QI-w0wBnYA1w/"", ""Инфа!A:AA""), 6, FALSE)"),2024)</f>
        <v>2024</v>
      </c>
      <c r="J1314" s="5">
        <f t="shared" ca="1" si="41"/>
        <v>8800</v>
      </c>
      <c r="K1314" s="12" t="s">
        <v>2185</v>
      </c>
      <c r="L1314" s="15" t="s">
        <v>5414</v>
      </c>
    </row>
    <row r="1315" spans="1:12" ht="180">
      <c r="A1315" s="8" t="s">
        <v>5415</v>
      </c>
      <c r="B1315" s="12" t="s">
        <v>12</v>
      </c>
      <c r="C1315" s="12" t="s">
        <v>151</v>
      </c>
      <c r="D1315" s="10" t="str">
        <f ca="1">IFERROR(__xludf.DUMMYFUNCTION(" VLOOKUP(A1312, IMPORTRANGE(""https://docs.google.com/spreadsheets/d/1fj_Bhi2XPL3siwIh4sx4VRLAe31yD50oKdj5UlRYW0c/"", ""Сводка!A:AA""), 11, FALSE)"),"978-9965-851-78-2")</f>
        <v>978-9965-851-78-2</v>
      </c>
      <c r="E1315" s="11" t="s">
        <v>5416</v>
      </c>
      <c r="F1315" s="11" t="s">
        <v>5417</v>
      </c>
      <c r="G1315" s="12">
        <f ca="1">IFERROR(__xludf.DUMMYFUNCTION(" VLOOKUP(A1312, IMPORTRANGE(""https://docs.google.com/spreadsheets/d/1fj_Bhi2XPL3siwIh4sx4VRLAe31yD50oKdj5UlRYW0c/"", ""Сводка!A:AA""), 5, FALSE)"),104)</f>
        <v>104</v>
      </c>
      <c r="H1315" s="12" t="s">
        <v>47</v>
      </c>
      <c r="I1315" s="10">
        <f ca="1">IFERROR(__xludf.DUMMYFUNCTION(" VLOOKUP(A1312, IMPORTRANGE(""https://docs.google.com/spreadsheets/d/1QNLbnkR_AongFt22vMfNzfpjZ0CjpI8QI-w0wBnYA1w/"", ""Инфа!A:AA""), 6, FALSE)"),2024)</f>
        <v>2024</v>
      </c>
      <c r="J1315" s="5">
        <f t="shared" ca="1" si="41"/>
        <v>8100</v>
      </c>
      <c r="K1315" s="12" t="s">
        <v>3029</v>
      </c>
      <c r="L1315" s="15" t="s">
        <v>5418</v>
      </c>
    </row>
    <row r="1316" spans="1:12" ht="146.25">
      <c r="A1316" s="8" t="s">
        <v>5419</v>
      </c>
      <c r="B1316" s="12" t="s">
        <v>12</v>
      </c>
      <c r="C1316" s="12" t="s">
        <v>151</v>
      </c>
      <c r="D1316" s="10" t="str">
        <f ca="1">IFERROR(__xludf.DUMMYFUNCTION(" VLOOKUP(A1313, IMPORTRANGE(""https://docs.google.com/spreadsheets/d/1fj_Bhi2XPL3siwIh4sx4VRLAe31yD50oKdj5UlRYW0c/"", ""Сводка!A:AA""), 11, FALSE)"),"978-9965-851-78-0")</f>
        <v>978-9965-851-78-0</v>
      </c>
      <c r="E1316" s="11" t="s">
        <v>5420</v>
      </c>
      <c r="F1316" s="11" t="s">
        <v>5421</v>
      </c>
      <c r="G1316" s="12">
        <f ca="1">IFERROR(__xludf.DUMMYFUNCTION(" VLOOKUP(A1313, IMPORTRANGE(""https://docs.google.com/spreadsheets/d/1fj_Bhi2XPL3siwIh4sx4VRLAe31yD50oKdj5UlRYW0c/"", ""Сводка!A:AA""), 5, FALSE)"),100)</f>
        <v>100</v>
      </c>
      <c r="H1316" s="12" t="s">
        <v>47</v>
      </c>
      <c r="I1316" s="10">
        <f ca="1">IFERROR(__xludf.DUMMYFUNCTION(" VLOOKUP(A1313, IMPORTRANGE(""https://docs.google.com/spreadsheets/d/1QNLbnkR_AongFt22vMfNzfpjZ0CjpI8QI-w0wBnYA1w/"", ""Инфа!A:AA""), 6, FALSE)"),2024)</f>
        <v>2024</v>
      </c>
      <c r="J1316" s="5">
        <f t="shared" ca="1" si="41"/>
        <v>8000</v>
      </c>
      <c r="K1316" s="12" t="s">
        <v>5422</v>
      </c>
      <c r="L1316" s="15" t="s">
        <v>5423</v>
      </c>
    </row>
    <row r="1317" spans="1:12" ht="157.5">
      <c r="A1317" s="8" t="s">
        <v>5424</v>
      </c>
      <c r="B1317" s="9" t="s">
        <v>12</v>
      </c>
      <c r="C1317" s="10" t="s">
        <v>443</v>
      </c>
      <c r="D1317" s="10" t="str">
        <f ca="1">IFERROR(__xludf.DUMMYFUNCTION(" VLOOKUP(A1314, IMPORTRANGE(""https://docs.google.com/spreadsheets/d/1fj_Bhi2XPL3siwIh4sx4VRLAe31yD50oKdj5UlRYW0c/"", ""Сводка!A:AA""), 11, FALSE)"),"978-601-240-763-1")</f>
        <v>978-601-240-763-1</v>
      </c>
      <c r="E1317" s="11" t="s">
        <v>5425</v>
      </c>
      <c r="F1317" s="11" t="s">
        <v>5426</v>
      </c>
      <c r="G1317" s="12">
        <f ca="1">IFERROR(__xludf.DUMMYFUNCTION(" VLOOKUP(A1314, IMPORTRANGE(""https://docs.google.com/spreadsheets/d/1fj_Bhi2XPL3siwIh4sx4VRLAe31yD50oKdj5UlRYW0c/"", ""Сводка!A:AA""), 5, FALSE)"),80)</f>
        <v>80</v>
      </c>
      <c r="H1317" s="12" t="s">
        <v>2664</v>
      </c>
      <c r="I1317" s="10">
        <f ca="1">IFERROR(__xludf.DUMMYFUNCTION(" VLOOKUP(A1314, IMPORTRANGE(""https://docs.google.com/spreadsheets/d/1QNLbnkR_AongFt22vMfNzfpjZ0CjpI8QI-w0wBnYA1w/"", ""Инфа!A:AA""), 6, FALSE)"),2024)</f>
        <v>2024</v>
      </c>
      <c r="J1317" s="5">
        <f ca="1">ROUND(((5000+G1317*30)*1.3),-2)</f>
        <v>9600</v>
      </c>
      <c r="K1317" s="12" t="s">
        <v>368</v>
      </c>
      <c r="L1317" s="15" t="s">
        <v>5427</v>
      </c>
    </row>
    <row r="1318" spans="1:12" ht="112.5">
      <c r="A1318" s="8" t="s">
        <v>5428</v>
      </c>
      <c r="B1318" s="12" t="s">
        <v>12</v>
      </c>
      <c r="C1318" s="12" t="s">
        <v>443</v>
      </c>
      <c r="D1318" s="10" t="str">
        <f ca="1">IFERROR(__xludf.DUMMYFUNCTION(" VLOOKUP(A1315, IMPORTRANGE(""https://docs.google.com/spreadsheets/d/1fj_Bhi2XPL3siwIh4sx4VRLAe31yD50oKdj5UlRYW0c/"", ""Сводка!A:AA""), 11, FALSE)"),"978-601-7440-02")</f>
        <v>978-601-7440-02</v>
      </c>
      <c r="E1318" s="11" t="s">
        <v>5429</v>
      </c>
      <c r="F1318" s="11" t="s">
        <v>5430</v>
      </c>
      <c r="G1318" s="12">
        <f ca="1">IFERROR(__xludf.DUMMYFUNCTION(" VLOOKUP(A1315, IMPORTRANGE(""https://docs.google.com/spreadsheets/d/1fj_Bhi2XPL3siwIh4sx4VRLAe31yD50oKdj5UlRYW0c/"", ""Сводка!A:AA""), 5, FALSE)"),156)</f>
        <v>156</v>
      </c>
      <c r="H1318" s="12" t="s">
        <v>511</v>
      </c>
      <c r="I1318" s="10">
        <f ca="1">IFERROR(__xludf.DUMMYFUNCTION(" VLOOKUP(A1315, IMPORTRANGE(""https://docs.google.com/spreadsheets/d/1QNLbnkR_AongFt22vMfNzfpjZ0CjpI8QI-w0wBnYA1w/"", ""Инфа!A:AA""), 6, FALSE)"),2024)</f>
        <v>2024</v>
      </c>
      <c r="J1318" s="5">
        <f t="shared" ref="J1318:J1324" ca="1" si="42">ROUND((5000+G1318*30),-2)</f>
        <v>9700</v>
      </c>
      <c r="K1318" s="12" t="s">
        <v>5431</v>
      </c>
      <c r="L1318" s="15" t="s">
        <v>5432</v>
      </c>
    </row>
    <row r="1319" spans="1:12" ht="135">
      <c r="A1319" s="8" t="s">
        <v>5433</v>
      </c>
      <c r="B1319" s="12" t="s">
        <v>12</v>
      </c>
      <c r="C1319" s="12" t="s">
        <v>443</v>
      </c>
      <c r="D1319" s="10" t="str">
        <f ca="1">IFERROR(__xludf.DUMMYFUNCTION(" VLOOKUP(A1316, IMPORTRANGE(""https://docs.google.com/spreadsheets/d/1fj_Bhi2XPL3siwIh4sx4VRLAe31yD50oKdj5UlRYW0c/"", ""Сводка!A:AA""), 11, FALSE)"),"978-601-330-214-0")</f>
        <v>978-601-330-214-0</v>
      </c>
      <c r="E1319" s="11" t="s">
        <v>5434</v>
      </c>
      <c r="F1319" s="11" t="s">
        <v>5435</v>
      </c>
      <c r="G1319" s="12">
        <f ca="1">IFERROR(__xludf.DUMMYFUNCTION(" VLOOKUP(A1316, IMPORTRANGE(""https://docs.google.com/spreadsheets/d/1fj_Bhi2XPL3siwIh4sx4VRLAe31yD50oKdj5UlRYW0c/"", ""Сводка!A:AA""), 5, FALSE)"),240)</f>
        <v>240</v>
      </c>
      <c r="H1319" s="12" t="s">
        <v>538</v>
      </c>
      <c r="I1319" s="10">
        <f ca="1">IFERROR(__xludf.DUMMYFUNCTION(" VLOOKUP(A1316, IMPORTRANGE(""https://docs.google.com/spreadsheets/d/1QNLbnkR_AongFt22vMfNzfpjZ0CjpI8QI-w0wBnYA1w/"", ""Инфа!A:AA""), 6, FALSE)"),2023)</f>
        <v>2023</v>
      </c>
      <c r="J1319" s="5">
        <f t="shared" ca="1" si="42"/>
        <v>12200</v>
      </c>
      <c r="K1319" s="12" t="s">
        <v>5436</v>
      </c>
      <c r="L1319" s="15" t="s">
        <v>5437</v>
      </c>
    </row>
    <row r="1320" spans="1:12" ht="157.5">
      <c r="A1320" s="8" t="s">
        <v>5438</v>
      </c>
      <c r="B1320" s="12" t="s">
        <v>12</v>
      </c>
      <c r="C1320" s="12" t="s">
        <v>443</v>
      </c>
      <c r="D1320" s="10" t="s">
        <v>5439</v>
      </c>
      <c r="E1320" s="11" t="s">
        <v>5440</v>
      </c>
      <c r="F1320" s="11" t="s">
        <v>5441</v>
      </c>
      <c r="G1320" s="12">
        <f ca="1">IFERROR(__xludf.DUMMYFUNCTION(" VLOOKUP(A1317, IMPORTRANGE(""https://docs.google.com/spreadsheets/d/1fj_Bhi2XPL3siwIh4sx4VRLAe31yD50oKdj5UlRYW0c/"", ""Сводка!A:AA""), 5, FALSE)"),292)</f>
        <v>292</v>
      </c>
      <c r="H1320" s="12" t="s">
        <v>538</v>
      </c>
      <c r="I1320" s="10">
        <f ca="1">IFERROR(__xludf.DUMMYFUNCTION(" VLOOKUP(A1317, IMPORTRANGE(""https://docs.google.com/spreadsheets/d/1QNLbnkR_AongFt22vMfNzfpjZ0CjpI8QI-w0wBnYA1w/"", ""Инфа!A:AA""), 6, FALSE)"),2024)</f>
        <v>2024</v>
      </c>
      <c r="J1320" s="5">
        <f t="shared" ca="1" si="42"/>
        <v>13800</v>
      </c>
      <c r="K1320" s="12" t="s">
        <v>3901</v>
      </c>
      <c r="L1320" s="15" t="s">
        <v>5442</v>
      </c>
    </row>
    <row r="1321" spans="1:12" ht="157.5">
      <c r="A1321" s="8" t="s">
        <v>5443</v>
      </c>
      <c r="B1321" s="12" t="s">
        <v>12</v>
      </c>
      <c r="C1321" s="12" t="s">
        <v>443</v>
      </c>
      <c r="D1321" s="10" t="s">
        <v>5444</v>
      </c>
      <c r="E1321" s="11" t="s">
        <v>5440</v>
      </c>
      <c r="F1321" s="11" t="s">
        <v>5445</v>
      </c>
      <c r="G1321" s="12">
        <f ca="1">IFERROR(__xludf.DUMMYFUNCTION(" VLOOKUP(A1318, IMPORTRANGE(""https://docs.google.com/spreadsheets/d/1fj_Bhi2XPL3siwIh4sx4VRLAe31yD50oKdj5UlRYW0c/"", ""Сводка!A:AA""), 5, FALSE)"),212)</f>
        <v>212</v>
      </c>
      <c r="H1321" s="12" t="s">
        <v>538</v>
      </c>
      <c r="I1321" s="10">
        <f ca="1">IFERROR(__xludf.DUMMYFUNCTION(" VLOOKUP(A1318, IMPORTRANGE(""https://docs.google.com/spreadsheets/d/1QNLbnkR_AongFt22vMfNzfpjZ0CjpI8QI-w0wBnYA1w/"", ""Инфа!A:AA""), 6, FALSE)"),2024)</f>
        <v>2024</v>
      </c>
      <c r="J1321" s="5">
        <f t="shared" ca="1" si="42"/>
        <v>11400</v>
      </c>
      <c r="K1321" s="12" t="s">
        <v>3901</v>
      </c>
      <c r="L1321" s="15" t="s">
        <v>5446</v>
      </c>
    </row>
    <row r="1322" spans="1:12" ht="112.5">
      <c r="A1322" s="8" t="s">
        <v>5447</v>
      </c>
      <c r="B1322" s="12" t="s">
        <v>12</v>
      </c>
      <c r="C1322" s="12" t="s">
        <v>151</v>
      </c>
      <c r="D1322" s="10" t="str">
        <f ca="1">IFERROR(__xludf.DUMMYFUNCTION(" VLOOKUP(A1319, IMPORTRANGE(""https://docs.google.com/spreadsheets/d/1fj_Bhi2XPL3siwIh4sx4VRLAe31yD50oKdj5UlRYW0c/"", ""Сводка!A:AA""), 11, FALSE)"),"978-601-330-155-6")</f>
        <v>978-601-330-155-6</v>
      </c>
      <c r="E1322" s="11" t="s">
        <v>5448</v>
      </c>
      <c r="F1322" s="11" t="s">
        <v>5449</v>
      </c>
      <c r="G1322" s="12">
        <f ca="1">IFERROR(__xludf.DUMMYFUNCTION(" VLOOKUP(A1319, IMPORTRANGE(""https://docs.google.com/spreadsheets/d/1fj_Bhi2XPL3siwIh4sx4VRLAe31yD50oKdj5UlRYW0c/"", ""Сводка!A:AA""), 5, FALSE)"),116)</f>
        <v>116</v>
      </c>
      <c r="H1322" s="12" t="s">
        <v>47</v>
      </c>
      <c r="I1322" s="10">
        <f ca="1">IFERROR(__xludf.DUMMYFUNCTION(" VLOOKUP(A1319, IMPORTRANGE(""https://docs.google.com/spreadsheets/d/1QNLbnkR_AongFt22vMfNzfpjZ0CjpI8QI-w0wBnYA1w/"", ""Инфа!A:AA""), 6, FALSE)"),2024)</f>
        <v>2024</v>
      </c>
      <c r="J1322" s="5">
        <f t="shared" ca="1" si="42"/>
        <v>8500</v>
      </c>
      <c r="K1322" s="12" t="s">
        <v>3208</v>
      </c>
      <c r="L1322" s="15" t="s">
        <v>5450</v>
      </c>
    </row>
    <row r="1323" spans="1:12" ht="191.25">
      <c r="A1323" s="8" t="s">
        <v>5451</v>
      </c>
      <c r="B1323" s="12" t="s">
        <v>12</v>
      </c>
      <c r="C1323" s="12" t="s">
        <v>151</v>
      </c>
      <c r="D1323" s="10" t="str">
        <f ca="1">IFERROR(__xludf.DUMMYFUNCTION(" VLOOKUP(A1320, IMPORTRANGE(""https://docs.google.com/spreadsheets/d/1fj_Bhi2XPL3siwIh4sx4VRLAe31yD50oKdj5UlRYW0c/"", ""Сводка!A:AA""), 11, FALSE)"),"978-9965-851-78-2")</f>
        <v>978-9965-851-78-2</v>
      </c>
      <c r="E1323" s="11" t="s">
        <v>5452</v>
      </c>
      <c r="F1323" s="11" t="s">
        <v>5453</v>
      </c>
      <c r="G1323" s="12">
        <f ca="1">IFERROR(__xludf.DUMMYFUNCTION(" VLOOKUP(A1320, IMPORTRANGE(""https://docs.google.com/spreadsheets/d/1fj_Bhi2XPL3siwIh4sx4VRLAe31yD50oKdj5UlRYW0c/"", ""Сводка!A:AA""), 5, FALSE)"),112)</f>
        <v>112</v>
      </c>
      <c r="H1323" s="12" t="s">
        <v>47</v>
      </c>
      <c r="I1323" s="10">
        <f ca="1">IFERROR(__xludf.DUMMYFUNCTION(" VLOOKUP(A1320, IMPORTRANGE(""https://docs.google.com/spreadsheets/d/1QNLbnkR_AongFt22vMfNzfpjZ0CjpI8QI-w0wBnYA1w/"", ""Инфа!A:AA""), 6, FALSE)"),2024)</f>
        <v>2024</v>
      </c>
      <c r="J1323" s="5">
        <f t="shared" ca="1" si="42"/>
        <v>8400</v>
      </c>
      <c r="K1323" s="12" t="s">
        <v>3208</v>
      </c>
      <c r="L1323" s="15" t="s">
        <v>5454</v>
      </c>
    </row>
    <row r="1324" spans="1:12" ht="123.75">
      <c r="A1324" s="8" t="s">
        <v>5455</v>
      </c>
      <c r="B1324" s="12" t="s">
        <v>12</v>
      </c>
      <c r="C1324" s="12" t="s">
        <v>443</v>
      </c>
      <c r="D1324" s="47" t="s">
        <v>5456</v>
      </c>
      <c r="E1324" s="11" t="s">
        <v>5457</v>
      </c>
      <c r="F1324" s="11" t="s">
        <v>5458</v>
      </c>
      <c r="G1324" s="12">
        <f ca="1">IFERROR(__xludf.DUMMYFUNCTION(" VLOOKUP(A1321, IMPORTRANGE(""https://docs.google.com/spreadsheets/d/1fj_Bhi2XPL3siwIh4sx4VRLAe31yD50oKdj5UlRYW0c/"", ""Сводка!A:AA""), 5, FALSE)"),300)</f>
        <v>300</v>
      </c>
      <c r="H1324" s="12" t="s">
        <v>538</v>
      </c>
      <c r="I1324" s="10">
        <f ca="1">IFERROR(__xludf.DUMMYFUNCTION(" VLOOKUP(A1321, IMPORTRANGE(""https://docs.google.com/spreadsheets/d/1QNLbnkR_AongFt22vMfNzfpjZ0CjpI8QI-w0wBnYA1w/"", ""Инфа!A:AA""), 6, FALSE)"),2023)</f>
        <v>2023</v>
      </c>
      <c r="J1324" s="5">
        <f t="shared" ca="1" si="42"/>
        <v>14000</v>
      </c>
      <c r="K1324" s="12" t="s">
        <v>277</v>
      </c>
      <c r="L1324" s="15" t="s">
        <v>5459</v>
      </c>
    </row>
    <row r="1325" spans="1:12" ht="146.25">
      <c r="A1325" s="8" t="s">
        <v>5460</v>
      </c>
      <c r="B1325" s="12" t="s">
        <v>12</v>
      </c>
      <c r="C1325" s="12" t="s">
        <v>443</v>
      </c>
      <c r="D1325" s="10" t="str">
        <f ca="1">IFERROR(__xludf.DUMMYFUNCTION(" VLOOKUP(A1322, IMPORTRANGE(""https://docs.google.com/spreadsheets/d/1fj_Bhi2XPL3siwIh4sx4VRLAe31yD50oKdj5UlRYW0c/"", ""Сводка!A:AA""), 11, FALSE)"),"978-601-330-023-8")</f>
        <v>978-601-330-023-8</v>
      </c>
      <c r="E1325" s="11" t="s">
        <v>5461</v>
      </c>
      <c r="F1325" s="11" t="s">
        <v>5462</v>
      </c>
      <c r="G1325" s="12">
        <f ca="1">IFERROR(__xludf.DUMMYFUNCTION(" VLOOKUP(A1322, IMPORTRANGE(""https://docs.google.com/spreadsheets/d/1fj_Bhi2XPL3siwIh4sx4VRLAe31yD50oKdj5UlRYW0c/"", ""Сводка!A:AA""), 5, FALSE)"),192)</f>
        <v>192</v>
      </c>
      <c r="H1325" s="12" t="s">
        <v>106</v>
      </c>
      <c r="I1325" s="10">
        <f ca="1">IFERROR(__xludf.DUMMYFUNCTION(" VLOOKUP(A1322, IMPORTRANGE(""https://docs.google.com/spreadsheets/d/1QNLbnkR_AongFt22vMfNzfpjZ0CjpI8QI-w0wBnYA1w/"", ""Инфа!A:AA""), 6, FALSE)"),2024)</f>
        <v>2024</v>
      </c>
      <c r="J1325" s="5">
        <f ca="1">ROUND((5000+G1325*60),-2)</f>
        <v>16500</v>
      </c>
      <c r="K1325" s="12" t="s">
        <v>160</v>
      </c>
      <c r="L1325" s="15" t="s">
        <v>5463</v>
      </c>
    </row>
    <row r="1326" spans="1:12" ht="168.75">
      <c r="A1326" s="8" t="s">
        <v>5464</v>
      </c>
      <c r="B1326" s="12" t="s">
        <v>12</v>
      </c>
      <c r="C1326" s="12" t="s">
        <v>151</v>
      </c>
      <c r="D1326" s="10" t="str">
        <f ca="1">IFERROR(__xludf.DUMMYFUNCTION(" VLOOKUP(A1323, IMPORTRANGE(""https://docs.google.com/spreadsheets/d/1fj_Bhi2XPL3siwIh4sx4VRLAe31yD50oKdj5UlRYW0c/"", ""Сводка!A:AA""), 11, FALSE)"),"978-601-330-027-5")</f>
        <v>978-601-330-027-5</v>
      </c>
      <c r="E1326" s="11" t="s">
        <v>5465</v>
      </c>
      <c r="F1326" s="11" t="s">
        <v>5466</v>
      </c>
      <c r="G1326" s="12">
        <f ca="1">IFERROR(__xludf.DUMMYFUNCTION(" VLOOKUP(A1323, IMPORTRANGE(""https://docs.google.com/spreadsheets/d/1fj_Bhi2XPL3siwIh4sx4VRLAe31yD50oKdj5UlRYW0c/"", ""Сводка!A:AA""), 5, FALSE)"),180)</f>
        <v>180</v>
      </c>
      <c r="H1326" s="12" t="s">
        <v>106</v>
      </c>
      <c r="I1326" s="10">
        <f ca="1">IFERROR(__xludf.DUMMYFUNCTION(" VLOOKUP(A1323, IMPORTRANGE(""https://docs.google.com/spreadsheets/d/1QNLbnkR_AongFt22vMfNzfpjZ0CjpI8QI-w0wBnYA1w/"", ""Инфа!A:AA""), 6, FALSE)"),2024)</f>
        <v>2024</v>
      </c>
      <c r="J1326" s="5">
        <f ca="1">ROUND((5000+G1326*30),-2)</f>
        <v>10400</v>
      </c>
      <c r="K1326" s="12" t="s">
        <v>160</v>
      </c>
      <c r="L1326" s="15" t="s">
        <v>5467</v>
      </c>
    </row>
    <row r="1327" spans="1:12" ht="112.5">
      <c r="A1327" s="8" t="s">
        <v>5468</v>
      </c>
      <c r="B1327" s="9" t="s">
        <v>12</v>
      </c>
      <c r="C1327" s="10" t="s">
        <v>443</v>
      </c>
      <c r="D1327" s="10" t="str">
        <f ca="1">IFERROR(__xludf.DUMMYFUNCTION(" VLOOKUP(A1324, IMPORTRANGE(""https://docs.google.com/spreadsheets/d/1fj_Bhi2XPL3siwIh4sx4VRLAe31yD50oKdj5UlRYW0c/"", ""Сводка!A:AA""), 11, FALSE)"),"978-601-342-575-7")</f>
        <v>978-601-342-575-7</v>
      </c>
      <c r="E1327" s="11" t="s">
        <v>5469</v>
      </c>
      <c r="F1327" s="11" t="s">
        <v>5470</v>
      </c>
      <c r="G1327" s="12">
        <f ca="1">IFERROR(__xludf.DUMMYFUNCTION(" VLOOKUP(A1324, IMPORTRANGE(""https://docs.google.com/spreadsheets/d/1fj_Bhi2XPL3siwIh4sx4VRLAe31yD50oKdj5UlRYW0c/"", ""Сводка!A:AA""), 5, FALSE)"),152)</f>
        <v>152</v>
      </c>
      <c r="H1327" s="12" t="s">
        <v>538</v>
      </c>
      <c r="I1327" s="10">
        <f ca="1">IFERROR(__xludf.DUMMYFUNCTION(" VLOOKUP(A1324, IMPORTRANGE(""https://docs.google.com/spreadsheets/d/1QNLbnkR_AongFt22vMfNzfpjZ0CjpI8QI-w0wBnYA1w/"", ""Инфа!A:AA""), 6, FALSE)"),2024)</f>
        <v>2024</v>
      </c>
      <c r="J1327" s="5">
        <f ca="1">ROUND((5000+G1327*60),-2)</f>
        <v>14100</v>
      </c>
      <c r="K1327" s="12" t="s">
        <v>160</v>
      </c>
      <c r="L1327" s="15" t="s">
        <v>5471</v>
      </c>
    </row>
    <row r="1328" spans="1:12" ht="213.75">
      <c r="A1328" s="8" t="s">
        <v>5472</v>
      </c>
      <c r="B1328" s="12" t="s">
        <v>12</v>
      </c>
      <c r="C1328" s="12" t="s">
        <v>151</v>
      </c>
      <c r="D1328" s="10" t="str">
        <f ca="1">IFERROR(__xludf.DUMMYFUNCTION(" VLOOKUP(A1325, IMPORTRANGE(""https://docs.google.com/spreadsheets/d/1fj_Bhi2XPL3siwIh4sx4VRLAe31yD50oKdj5UlRYW0c/"", ""Сводка!A:AA""), 11, FALSE)"),"978-601-330-064-1")</f>
        <v>978-601-330-064-1</v>
      </c>
      <c r="E1328" s="11" t="s">
        <v>5473</v>
      </c>
      <c r="F1328" s="11" t="s">
        <v>5474</v>
      </c>
      <c r="G1328" s="12">
        <f ca="1">IFERROR(__xludf.DUMMYFUNCTION(" VLOOKUP(A1325, IMPORTRANGE(""https://docs.google.com/spreadsheets/d/1fj_Bhi2XPL3siwIh4sx4VRLAe31yD50oKdj5UlRYW0c/"", ""Сводка!A:AA""), 5, FALSE)"),264)</f>
        <v>264</v>
      </c>
      <c r="H1328" s="12" t="s">
        <v>498</v>
      </c>
      <c r="I1328" s="10">
        <f ca="1">IFERROR(__xludf.DUMMYFUNCTION(" VLOOKUP(A1325, IMPORTRANGE(""https://docs.google.com/spreadsheets/d/1QNLbnkR_AongFt22vMfNzfpjZ0CjpI8QI-w0wBnYA1w/"", ""Инфа!A:AA""), 6, FALSE)"),2024)</f>
        <v>2024</v>
      </c>
      <c r="J1328" s="5">
        <f t="shared" ref="J1328:J1335" ca="1" si="43">ROUND((5000+G1328*30),-2)</f>
        <v>12900</v>
      </c>
      <c r="K1328" s="12" t="s">
        <v>287</v>
      </c>
      <c r="L1328" s="15" t="s">
        <v>5475</v>
      </c>
    </row>
    <row r="1329" spans="1:12" ht="213.75">
      <c r="A1329" s="8" t="s">
        <v>5476</v>
      </c>
      <c r="B1329" s="12" t="s">
        <v>12</v>
      </c>
      <c r="C1329" s="12" t="s">
        <v>151</v>
      </c>
      <c r="D1329" s="10" t="str">
        <f ca="1">IFERROR(__xludf.DUMMYFUNCTION(" VLOOKUP(A1326, IMPORTRANGE(""https://docs.google.com/spreadsheets/d/1fj_Bhi2XPL3siwIh4sx4VRLAe31yD50oKdj5UlRYW0c/"", ""Сводка!A:AA""), 11, FALSE)"),"978-601-330-064-1")</f>
        <v>978-601-330-064-1</v>
      </c>
      <c r="E1329" s="11" t="s">
        <v>5473</v>
      </c>
      <c r="F1329" s="11" t="s">
        <v>5477</v>
      </c>
      <c r="G1329" s="12">
        <f ca="1">IFERROR(__xludf.DUMMYFUNCTION(" VLOOKUP(A1326, IMPORTRANGE(""https://docs.google.com/spreadsheets/d/1fj_Bhi2XPL3siwIh4sx4VRLAe31yD50oKdj5UlRYW0c/"", ""Сводка!A:AA""), 5, FALSE)"),236)</f>
        <v>236</v>
      </c>
      <c r="H1329" s="12" t="s">
        <v>498</v>
      </c>
      <c r="I1329" s="10">
        <f ca="1">IFERROR(__xludf.DUMMYFUNCTION(" VLOOKUP(A1326, IMPORTRANGE(""https://docs.google.com/spreadsheets/d/1QNLbnkR_AongFt22vMfNzfpjZ0CjpI8QI-w0wBnYA1w/"", ""Инфа!A:AA""), 6, FALSE)"),2024)</f>
        <v>2024</v>
      </c>
      <c r="J1329" s="5">
        <f t="shared" ca="1" si="43"/>
        <v>12100</v>
      </c>
      <c r="K1329" s="12" t="s">
        <v>287</v>
      </c>
      <c r="L1329" s="15" t="s">
        <v>5475</v>
      </c>
    </row>
    <row r="1330" spans="1:12" ht="168.75">
      <c r="A1330" s="8" t="s">
        <v>5478</v>
      </c>
      <c r="B1330" s="12" t="s">
        <v>12</v>
      </c>
      <c r="C1330" s="12" t="s">
        <v>443</v>
      </c>
      <c r="D1330" s="10" t="str">
        <f ca="1">IFERROR(__xludf.DUMMYFUNCTION(" VLOOKUP(A1327, IMPORTRANGE(""https://docs.google.com/spreadsheets/d/1fj_Bhi2XPL3siwIh4sx4VRLAe31yD50oKdj5UlRYW0c/"", ""Сводка!A:AA""), 11, FALSE)"),"978-601-330-266-9")</f>
        <v>978-601-330-266-9</v>
      </c>
      <c r="E1330" s="11" t="s">
        <v>5479</v>
      </c>
      <c r="F1330" s="11" t="s">
        <v>5480</v>
      </c>
      <c r="G1330" s="12">
        <f ca="1">IFERROR(__xludf.DUMMYFUNCTION(" VLOOKUP(A1327, IMPORTRANGE(""https://docs.google.com/spreadsheets/d/1fj_Bhi2XPL3siwIh4sx4VRLAe31yD50oKdj5UlRYW0c/"", ""Сводка!A:AA""), 5, FALSE)"),256)</f>
        <v>256</v>
      </c>
      <c r="H1330" s="12" t="s">
        <v>538</v>
      </c>
      <c r="I1330" s="10">
        <f ca="1">IFERROR(__xludf.DUMMYFUNCTION(" VLOOKUP(A1327, IMPORTRANGE(""https://docs.google.com/spreadsheets/d/1QNLbnkR_AongFt22vMfNzfpjZ0CjpI8QI-w0wBnYA1w/"", ""Инфа!A:AA""), 6, FALSE)"),2023)</f>
        <v>2023</v>
      </c>
      <c r="J1330" s="5">
        <f t="shared" ca="1" si="43"/>
        <v>12700</v>
      </c>
      <c r="K1330" s="12" t="s">
        <v>139</v>
      </c>
      <c r="L1330" s="15" t="s">
        <v>5481</v>
      </c>
    </row>
    <row r="1331" spans="1:12" ht="146.25">
      <c r="A1331" s="8" t="s">
        <v>5482</v>
      </c>
      <c r="B1331" s="12" t="s">
        <v>12</v>
      </c>
      <c r="C1331" s="12" t="s">
        <v>443</v>
      </c>
      <c r="D1331" s="10" t="str">
        <f ca="1">IFERROR(__xludf.DUMMYFUNCTION(" VLOOKUP(A1328, IMPORTRANGE(""https://docs.google.com/spreadsheets/d/1fj_Bhi2XPL3siwIh4sx4VRLAe31yD50oKdj5UlRYW0c/"", ""Сводка!A:AA""), 11, FALSE)"),"978-601-330-267-6")</f>
        <v>978-601-330-267-6</v>
      </c>
      <c r="E1331" s="11" t="s">
        <v>5479</v>
      </c>
      <c r="F1331" s="11" t="s">
        <v>5483</v>
      </c>
      <c r="G1331" s="12">
        <f ca="1">IFERROR(__xludf.DUMMYFUNCTION(" VLOOKUP(A1328, IMPORTRANGE(""https://docs.google.com/spreadsheets/d/1fj_Bhi2XPL3siwIh4sx4VRLAe31yD50oKdj5UlRYW0c/"", ""Сводка!A:AA""), 5, FALSE)"),264)</f>
        <v>264</v>
      </c>
      <c r="H1331" s="12" t="s">
        <v>538</v>
      </c>
      <c r="I1331" s="10">
        <f ca="1">IFERROR(__xludf.DUMMYFUNCTION(" VLOOKUP(A1328, IMPORTRANGE(""https://docs.google.com/spreadsheets/d/1QNLbnkR_AongFt22vMfNzfpjZ0CjpI8QI-w0wBnYA1w/"", ""Инфа!A:AA""), 6, FALSE)"),2023)</f>
        <v>2023</v>
      </c>
      <c r="J1331" s="5">
        <f t="shared" ca="1" si="43"/>
        <v>12900</v>
      </c>
      <c r="K1331" s="12" t="s">
        <v>139</v>
      </c>
      <c r="L1331" s="15" t="s">
        <v>4892</v>
      </c>
    </row>
    <row r="1332" spans="1:12" ht="303.75">
      <c r="A1332" s="8" t="s">
        <v>5484</v>
      </c>
      <c r="B1332" s="12" t="s">
        <v>12</v>
      </c>
      <c r="C1332" s="12" t="s">
        <v>151</v>
      </c>
      <c r="D1332" s="10" t="s">
        <v>5485</v>
      </c>
      <c r="E1332" s="11" t="s">
        <v>5486</v>
      </c>
      <c r="F1332" s="11" t="s">
        <v>5487</v>
      </c>
      <c r="G1332" s="12">
        <f ca="1">IFERROR(__xludf.DUMMYFUNCTION(" VLOOKUP(A1329, IMPORTRANGE(""https://docs.google.com/spreadsheets/d/1fj_Bhi2XPL3siwIh4sx4VRLAe31yD50oKdj5UlRYW0c/"", ""Сводка!A:AA""), 5, FALSE)"),68)</f>
        <v>68</v>
      </c>
      <c r="H1332" s="12" t="s">
        <v>3419</v>
      </c>
      <c r="I1332" s="10">
        <f ca="1">IFERROR(__xludf.DUMMYFUNCTION(" VLOOKUP(A1329, IMPORTRANGE(""https://docs.google.com/spreadsheets/d/1QNLbnkR_AongFt22vMfNzfpjZ0CjpI8QI-w0wBnYA1w/"", ""Инфа!A:AA""), 6, FALSE)"),2024)</f>
        <v>2024</v>
      </c>
      <c r="J1332" s="5">
        <f t="shared" ca="1" si="43"/>
        <v>7000</v>
      </c>
      <c r="K1332" s="12" t="s">
        <v>5488</v>
      </c>
      <c r="L1332" s="15" t="s">
        <v>5489</v>
      </c>
    </row>
    <row r="1333" spans="1:12" ht="157.5">
      <c r="A1333" s="8" t="s">
        <v>5490</v>
      </c>
      <c r="B1333" s="12" t="s">
        <v>12</v>
      </c>
      <c r="C1333" s="12" t="s">
        <v>443</v>
      </c>
      <c r="D1333" s="10" t="str">
        <f ca="1">IFERROR(__xludf.DUMMYFUNCTION(" VLOOKUP(A1330, IMPORTRANGE(""https://docs.google.com/spreadsheets/d/1fj_Bhi2XPL3siwIh4sx4VRLAe31yD50oKdj5UlRYW0c/"", ""Сводка!A:AA""), 11, FALSE)"),"978-601-330-254-6")</f>
        <v>978-601-330-254-6</v>
      </c>
      <c r="E1333" s="11" t="s">
        <v>5491</v>
      </c>
      <c r="F1333" s="11" t="s">
        <v>5492</v>
      </c>
      <c r="G1333" s="12">
        <f ca="1">IFERROR(__xludf.DUMMYFUNCTION(" VLOOKUP(A1330, IMPORTRANGE(""https://docs.google.com/spreadsheets/d/1fj_Bhi2XPL3siwIh4sx4VRLAe31yD50oKdj5UlRYW0c/"", ""Сводка!A:AA""), 5, FALSE)"),140)</f>
        <v>140</v>
      </c>
      <c r="H1333" s="12" t="s">
        <v>538</v>
      </c>
      <c r="I1333" s="10">
        <f ca="1">IFERROR(__xludf.DUMMYFUNCTION(" VLOOKUP(A1330, IMPORTRANGE(""https://docs.google.com/spreadsheets/d/1QNLbnkR_AongFt22vMfNzfpjZ0CjpI8QI-w0wBnYA1w/"", ""Инфа!A:AA""), 6, FALSE)"),2023)</f>
        <v>2023</v>
      </c>
      <c r="J1333" s="5">
        <f t="shared" ca="1" si="43"/>
        <v>9200</v>
      </c>
      <c r="K1333" s="12" t="s">
        <v>26</v>
      </c>
      <c r="L1333" s="15" t="s">
        <v>5493</v>
      </c>
    </row>
    <row r="1334" spans="1:12" ht="135">
      <c r="A1334" s="8" t="s">
        <v>5494</v>
      </c>
      <c r="B1334" s="12" t="s">
        <v>12</v>
      </c>
      <c r="C1334" s="12" t="s">
        <v>443</v>
      </c>
      <c r="D1334" s="10" t="str">
        <f ca="1">IFERROR(__xludf.DUMMYFUNCTION(" VLOOKUP(A1331, IMPORTRANGE(""https://docs.google.com/spreadsheets/d/1fj_Bhi2XPL3siwIh4sx4VRLAe31yD50oKdj5UlRYW0c/"", ""Сводка!A:AA""), 11, FALSE)"),"978-601-330-608-7")</f>
        <v>978-601-330-608-7</v>
      </c>
      <c r="E1334" s="11" t="s">
        <v>5495</v>
      </c>
      <c r="F1334" s="11" t="s">
        <v>5496</v>
      </c>
      <c r="G1334" s="12">
        <f ca="1">IFERROR(__xludf.DUMMYFUNCTION(" VLOOKUP(A1331, IMPORTRANGE(""https://docs.google.com/spreadsheets/d/1fj_Bhi2XPL3siwIh4sx4VRLAe31yD50oKdj5UlRYW0c/"", ""Сводка!A:AA""), 5, FALSE)"),144)</f>
        <v>144</v>
      </c>
      <c r="H1334" s="12" t="s">
        <v>106</v>
      </c>
      <c r="I1334" s="10">
        <f ca="1">IFERROR(__xludf.DUMMYFUNCTION(" VLOOKUP(A1331, IMPORTRANGE(""https://docs.google.com/spreadsheets/d/1QNLbnkR_AongFt22vMfNzfpjZ0CjpI8QI-w0wBnYA1w/"", ""Инфа!A:AA""), 6, FALSE)"),2024)</f>
        <v>2024</v>
      </c>
      <c r="J1334" s="5">
        <f t="shared" ca="1" si="43"/>
        <v>9300</v>
      </c>
      <c r="K1334" s="12" t="s">
        <v>197</v>
      </c>
      <c r="L1334" s="15" t="s">
        <v>5497</v>
      </c>
    </row>
    <row r="1335" spans="1:12" ht="281.25">
      <c r="A1335" s="8" t="s">
        <v>5498</v>
      </c>
      <c r="B1335" s="12" t="s">
        <v>12</v>
      </c>
      <c r="C1335" s="12" t="s">
        <v>443</v>
      </c>
      <c r="D1335" s="10" t="s">
        <v>5499</v>
      </c>
      <c r="E1335" s="11" t="s">
        <v>5500</v>
      </c>
      <c r="F1335" s="11" t="s">
        <v>5501</v>
      </c>
      <c r="G1335" s="12">
        <f ca="1">IFERROR(__xludf.DUMMYFUNCTION(" VLOOKUP(A1332, IMPORTRANGE(""https://docs.google.com/spreadsheets/d/1fj_Bhi2XPL3siwIh4sx4VRLAe31yD50oKdj5UlRYW0c/"", ""Сводка!A:AA""), 5, FALSE)"),248)</f>
        <v>248</v>
      </c>
      <c r="H1335" s="12" t="s">
        <v>511</v>
      </c>
      <c r="I1335" s="10">
        <f ca="1">IFERROR(__xludf.DUMMYFUNCTION(" VLOOKUP(A1332, IMPORTRANGE(""https://docs.google.com/spreadsheets/d/1QNLbnkR_AongFt22vMfNzfpjZ0CjpI8QI-w0wBnYA1w/"", ""Инфа!A:AA""), 6, FALSE)"),2023)</f>
        <v>2023</v>
      </c>
      <c r="J1335" s="5">
        <f t="shared" ca="1" si="43"/>
        <v>12400</v>
      </c>
      <c r="K1335" s="12" t="s">
        <v>5502</v>
      </c>
      <c r="L1335" s="15" t="s">
        <v>5503</v>
      </c>
    </row>
    <row r="1336" spans="1:12" ht="112.5">
      <c r="A1336" s="8" t="s">
        <v>5504</v>
      </c>
      <c r="B1336" s="9" t="s">
        <v>12</v>
      </c>
      <c r="C1336" s="10" t="s">
        <v>443</v>
      </c>
      <c r="D1336" s="10" t="str">
        <f ca="1">IFERROR(__xludf.DUMMYFUNCTION(" VLOOKUP(A1333, IMPORTRANGE(""https://docs.google.com/spreadsheets/d/1fj_Bhi2XPL3siwIh4sx4VRLAe31yD50oKdj5UlRYW0c/"", ""Сводка!A:AA""), 11, FALSE)"),"978-601-342-564-1")</f>
        <v>978-601-342-564-1</v>
      </c>
      <c r="E1336" s="11" t="s">
        <v>5505</v>
      </c>
      <c r="F1336" s="11" t="s">
        <v>5506</v>
      </c>
      <c r="G1336" s="12">
        <f ca="1">IFERROR(__xludf.DUMMYFUNCTION(" VLOOKUP(A1333, IMPORTRANGE(""https://docs.google.com/spreadsheets/d/1fj_Bhi2XPL3siwIh4sx4VRLAe31yD50oKdj5UlRYW0c/"", ""Сводка!A:AA""), 5, FALSE)"),296)</f>
        <v>296</v>
      </c>
      <c r="H1336" s="12" t="s">
        <v>538</v>
      </c>
      <c r="I1336" s="10">
        <f ca="1">IFERROR(__xludf.DUMMYFUNCTION(" VLOOKUP(A1333, IMPORTRANGE(""https://docs.google.com/spreadsheets/d/1QNLbnkR_AongFt22vMfNzfpjZ0CjpI8QI-w0wBnYA1w/"", ""Инфа!A:AA""), 6, FALSE)"),2024)</f>
        <v>2024</v>
      </c>
      <c r="J1336" s="5">
        <f ca="1">ROUND((5000+G1336*60),-2)</f>
        <v>22800</v>
      </c>
      <c r="K1336" s="12" t="s">
        <v>160</v>
      </c>
      <c r="L1336" s="15" t="s">
        <v>5507</v>
      </c>
    </row>
    <row r="1337" spans="1:12" ht="168.75">
      <c r="A1337" s="8" t="s">
        <v>5508</v>
      </c>
      <c r="B1337" s="12" t="s">
        <v>12</v>
      </c>
      <c r="C1337" s="12" t="s">
        <v>443</v>
      </c>
      <c r="D1337" s="10" t="str">
        <f ca="1">IFERROR(__xludf.DUMMYFUNCTION(" VLOOKUP(A1334, IMPORTRANGE(""https://docs.google.com/spreadsheets/d/1fj_Bhi2XPL3siwIh4sx4VRLAe31yD50oKdj5UlRYW0c/"", ""Сводка!A:AA""), 11, FALSE)"),"978-601-352-778-9")</f>
        <v>978-601-352-778-9</v>
      </c>
      <c r="E1337" s="11" t="s">
        <v>5509</v>
      </c>
      <c r="F1337" s="11" t="s">
        <v>5510</v>
      </c>
      <c r="G1337" s="12">
        <f ca="1">IFERROR(__xludf.DUMMYFUNCTION(" VLOOKUP(A1334, IMPORTRANGE(""https://docs.google.com/spreadsheets/d/1fj_Bhi2XPL3siwIh4sx4VRLAe31yD50oKdj5UlRYW0c/"", ""Сводка!A:AA""), 5, FALSE)"),140)</f>
        <v>140</v>
      </c>
      <c r="H1337" s="12" t="s">
        <v>538</v>
      </c>
      <c r="I1337" s="10">
        <f ca="1">IFERROR(__xludf.DUMMYFUNCTION(" VLOOKUP(A1334, IMPORTRANGE(""https://docs.google.com/spreadsheets/d/1QNLbnkR_AongFt22vMfNzfpjZ0CjpI8QI-w0wBnYA1w/"", ""Инфа!A:AA""), 6, FALSE)"),2024)</f>
        <v>2024</v>
      </c>
      <c r="J1337" s="5">
        <f ca="1">ROUND((5000+G1337*30),-2)</f>
        <v>9200</v>
      </c>
      <c r="K1337" s="12" t="s">
        <v>57</v>
      </c>
      <c r="L1337" s="15" t="s">
        <v>5511</v>
      </c>
    </row>
    <row r="1338" spans="1:12" ht="146.25">
      <c r="A1338" s="8" t="s">
        <v>5512</v>
      </c>
      <c r="B1338" s="12" t="s">
        <v>12</v>
      </c>
      <c r="C1338" s="12" t="s">
        <v>443</v>
      </c>
      <c r="D1338" s="10" t="str">
        <f ca="1">IFERROR(__xludf.DUMMYFUNCTION(" VLOOKUP(A1335, IMPORTRANGE(""https://docs.google.com/spreadsheets/d/1fj_Bhi2XPL3siwIh4sx4VRLAe31yD50oKdj5UlRYW0c/"", ""Сводка!A:AA""), 11, FALSE)"),"978-601-330-088-7")</f>
        <v>978-601-330-088-7</v>
      </c>
      <c r="E1338" s="11" t="s">
        <v>5513</v>
      </c>
      <c r="F1338" s="11" t="s">
        <v>5514</v>
      </c>
      <c r="G1338" s="12">
        <f ca="1">IFERROR(__xludf.DUMMYFUNCTION(" VLOOKUP(A1335, IMPORTRANGE(""https://docs.google.com/spreadsheets/d/1fj_Bhi2XPL3siwIh4sx4VRLAe31yD50oKdj5UlRYW0c/"", ""Сводка!A:AA""), 5, FALSE)"),248)</f>
        <v>248</v>
      </c>
      <c r="H1338" s="12" t="s">
        <v>511</v>
      </c>
      <c r="I1338" s="10">
        <f ca="1">IFERROR(__xludf.DUMMYFUNCTION(" VLOOKUP(A1335, IMPORTRANGE(""https://docs.google.com/spreadsheets/d/1QNLbnkR_AongFt22vMfNzfpjZ0CjpI8QI-w0wBnYA1w/"", ""Инфа!A:AA""), 6, FALSE)"),2024)</f>
        <v>2024</v>
      </c>
      <c r="J1338" s="5">
        <f ca="1">ROUND((5000+G1338*30),-2)</f>
        <v>12400</v>
      </c>
      <c r="K1338" s="12" t="s">
        <v>5515</v>
      </c>
      <c r="L1338" s="15" t="s">
        <v>5516</v>
      </c>
    </row>
    <row r="1339" spans="1:12" ht="112.5">
      <c r="A1339" s="8" t="s">
        <v>5517</v>
      </c>
      <c r="B1339" s="12" t="s">
        <v>12</v>
      </c>
      <c r="C1339" s="12" t="s">
        <v>443</v>
      </c>
      <c r="D1339" s="10" t="str">
        <f ca="1">IFERROR(__xludf.DUMMYFUNCTION(" VLOOKUP(A1336, IMPORTRANGE(""https://docs.google.com/spreadsheets/d/1fj_Bhi2XPL3siwIh4sx4VRLAe31yD50oKdj5UlRYW0c/"", ""Сводка!A:AA""), 11, FALSE)"),"978-601-330-158-7")</f>
        <v>978-601-330-158-7</v>
      </c>
      <c r="E1339" s="11" t="s">
        <v>5518</v>
      </c>
      <c r="F1339" s="11" t="s">
        <v>5519</v>
      </c>
      <c r="G1339" s="12">
        <f ca="1">IFERROR(__xludf.DUMMYFUNCTION(" VLOOKUP(A1336, IMPORTRANGE(""https://docs.google.com/spreadsheets/d/1fj_Bhi2XPL3siwIh4sx4VRLAe31yD50oKdj5UlRYW0c/"", ""Сводка!A:AA""), 5, FALSE)"),104)</f>
        <v>104</v>
      </c>
      <c r="H1339" s="12" t="s">
        <v>538</v>
      </c>
      <c r="I1339" s="10">
        <f ca="1">IFERROR(__xludf.DUMMYFUNCTION(" VLOOKUP(A1336, IMPORTRANGE(""https://docs.google.com/spreadsheets/d/1QNLbnkR_AongFt22vMfNzfpjZ0CjpI8QI-w0wBnYA1w/"", ""Инфа!A:AA""), 6, FALSE)"),2024)</f>
        <v>2024</v>
      </c>
      <c r="J1339" s="5">
        <f ca="1">ROUND((5000+G1339*30),-2)</f>
        <v>8100</v>
      </c>
      <c r="K1339" s="12" t="s">
        <v>5520</v>
      </c>
      <c r="L1339" s="15" t="s">
        <v>5521</v>
      </c>
    </row>
    <row r="1340" spans="1:12" ht="146.25">
      <c r="A1340" s="8" t="s">
        <v>5522</v>
      </c>
      <c r="B1340" s="12" t="s">
        <v>12</v>
      </c>
      <c r="C1340" s="12" t="s">
        <v>443</v>
      </c>
      <c r="D1340" s="10" t="str">
        <f ca="1">IFERROR(__xludf.DUMMYFUNCTION(" VLOOKUP(A1337, IMPORTRANGE(""https://docs.google.com/spreadsheets/d/1fj_Bhi2XPL3siwIh4sx4VRLAe31yD50oKdj5UlRYW0c/"", ""Сводка!A:AA""), 11, FALSE)"),"978-601-330-202-7")</f>
        <v>978-601-330-202-7</v>
      </c>
      <c r="E1340" s="11" t="s">
        <v>5523</v>
      </c>
      <c r="F1340" s="11" t="s">
        <v>5524</v>
      </c>
      <c r="G1340" s="12">
        <f ca="1">IFERROR(__xludf.DUMMYFUNCTION(" VLOOKUP(A1337, IMPORTRANGE(""https://docs.google.com/spreadsheets/d/1fj_Bhi2XPL3siwIh4sx4VRLAe31yD50oKdj5UlRYW0c/"", ""Сводка!A:AA""), 5, FALSE)"),64)</f>
        <v>64</v>
      </c>
      <c r="H1340" s="12" t="s">
        <v>538</v>
      </c>
      <c r="I1340" s="10">
        <f ca="1">IFERROR(__xludf.DUMMYFUNCTION(" VLOOKUP(A1337, IMPORTRANGE(""https://docs.google.com/spreadsheets/d/1QNLbnkR_AongFt22vMfNzfpjZ0CjpI8QI-w0wBnYA1w/"", ""Инфа!A:AA""), 6, FALSE)"),2023)</f>
        <v>2023</v>
      </c>
      <c r="J1340" s="5">
        <f ca="1">ROUND((5000+G1340*60),-2)</f>
        <v>8800</v>
      </c>
      <c r="K1340" s="12" t="s">
        <v>26</v>
      </c>
      <c r="L1340" s="15" t="s">
        <v>5525</v>
      </c>
    </row>
    <row r="1341" spans="1:12" ht="90">
      <c r="A1341" s="8" t="s">
        <v>5526</v>
      </c>
      <c r="B1341" s="12" t="s">
        <v>12</v>
      </c>
      <c r="C1341" s="12" t="s">
        <v>443</v>
      </c>
      <c r="D1341" s="10" t="s">
        <v>5527</v>
      </c>
      <c r="E1341" s="11" t="s">
        <v>5528</v>
      </c>
      <c r="F1341" s="11" t="s">
        <v>5529</v>
      </c>
      <c r="G1341" s="12">
        <f ca="1">IFERROR(__xludf.DUMMYFUNCTION(" VLOOKUP(A1338, IMPORTRANGE(""https://docs.google.com/spreadsheets/d/1fj_Bhi2XPL3siwIh4sx4VRLAe31yD50oKdj5UlRYW0c/"", ""Сводка!A:AA""), 5, FALSE)"),180)</f>
        <v>180</v>
      </c>
      <c r="H1341" s="12" t="s">
        <v>538</v>
      </c>
      <c r="I1341" s="10">
        <f ca="1">IFERROR(__xludf.DUMMYFUNCTION(" VLOOKUP(A1338, IMPORTRANGE(""https://docs.google.com/spreadsheets/d/1QNLbnkR_AongFt22vMfNzfpjZ0CjpI8QI-w0wBnYA1w/"", ""Инфа!A:AA""), 6, FALSE)"),2023)</f>
        <v>2023</v>
      </c>
      <c r="J1341" s="5">
        <f ca="1">ROUND((5000+G1341*30),-2)</f>
        <v>10400</v>
      </c>
      <c r="K1341" s="12" t="s">
        <v>5530</v>
      </c>
      <c r="L1341" s="15" t="s">
        <v>5531</v>
      </c>
    </row>
    <row r="1342" spans="1:12" ht="51">
      <c r="A1342" s="8" t="s">
        <v>5532</v>
      </c>
      <c r="B1342" s="12" t="s">
        <v>12</v>
      </c>
      <c r="C1342" s="12" t="s">
        <v>443</v>
      </c>
      <c r="D1342" s="40" t="s">
        <v>5533</v>
      </c>
      <c r="E1342" s="11" t="s">
        <v>5534</v>
      </c>
      <c r="F1342" s="11" t="s">
        <v>5535</v>
      </c>
      <c r="G1342" s="12">
        <f ca="1">IFERROR(__xludf.DUMMYFUNCTION(" VLOOKUP(A1339, IMPORTRANGE(""https://docs.google.com/spreadsheets/d/1fj_Bhi2XPL3siwIh4sx4VRLAe31yD50oKdj5UlRYW0c/"", ""Сводка!A:AA""), 5, FALSE)"),152)</f>
        <v>152</v>
      </c>
      <c r="H1342" s="12" t="s">
        <v>106</v>
      </c>
      <c r="I1342" s="10">
        <f ca="1">IFERROR(__xludf.DUMMYFUNCTION(" VLOOKUP(A1339, IMPORTRANGE(""https://docs.google.com/spreadsheets/d/1QNLbnkR_AongFt22vMfNzfpjZ0CjpI8QI-w0wBnYA1w/"", ""Инфа!A:AA""), 6, FALSE)"),2024)</f>
        <v>2024</v>
      </c>
      <c r="J1342" s="5">
        <f ca="1">ROUND((5000+G1342*30),-2)</f>
        <v>9600</v>
      </c>
      <c r="K1342" s="12" t="s">
        <v>5536</v>
      </c>
      <c r="L1342" s="15" t="s">
        <v>5537</v>
      </c>
    </row>
    <row r="1343" spans="1:12" ht="191.25">
      <c r="A1343" s="8" t="s">
        <v>5538</v>
      </c>
      <c r="B1343" s="12" t="s">
        <v>12</v>
      </c>
      <c r="C1343" s="12" t="s">
        <v>443</v>
      </c>
      <c r="D1343" s="10" t="s">
        <v>5539</v>
      </c>
      <c r="E1343" s="11" t="s">
        <v>5540</v>
      </c>
      <c r="F1343" s="11" t="s">
        <v>5541</v>
      </c>
      <c r="G1343" s="12">
        <f ca="1">IFERROR(__xludf.DUMMYFUNCTION(" VLOOKUP(A1340, IMPORTRANGE(""https://docs.google.com/spreadsheets/d/1fj_Bhi2XPL3siwIh4sx4VRLAe31yD50oKdj5UlRYW0c/"", ""Сводка!A:AA""), 5, FALSE)"),236)</f>
        <v>236</v>
      </c>
      <c r="H1343" s="12" t="s">
        <v>538</v>
      </c>
      <c r="I1343" s="10">
        <f ca="1">IFERROR(__xludf.DUMMYFUNCTION(" VLOOKUP(A1340, IMPORTRANGE(""https://docs.google.com/spreadsheets/d/1QNLbnkR_AongFt22vMfNzfpjZ0CjpI8QI-w0wBnYA1w/"", ""Инфа!A:AA""), 6, FALSE)"),2023)</f>
        <v>2023</v>
      </c>
      <c r="J1343" s="5">
        <f ca="1">ROUND((5000+G1343*60),-2)</f>
        <v>19200</v>
      </c>
      <c r="K1343" s="12" t="s">
        <v>257</v>
      </c>
      <c r="L1343" s="15" t="s">
        <v>5542</v>
      </c>
    </row>
    <row r="1344" spans="1:12" ht="157.5">
      <c r="A1344" s="8" t="s">
        <v>5543</v>
      </c>
      <c r="B1344" s="12" t="s">
        <v>12</v>
      </c>
      <c r="C1344" s="12" t="s">
        <v>151</v>
      </c>
      <c r="D1344" s="40" t="s">
        <v>5544</v>
      </c>
      <c r="E1344" s="11" t="s">
        <v>5545</v>
      </c>
      <c r="F1344" s="11" t="s">
        <v>5546</v>
      </c>
      <c r="G1344" s="12">
        <f ca="1">IFERROR(__xludf.DUMMYFUNCTION(" VLOOKUP(A1341, IMPORTRANGE(""https://docs.google.com/spreadsheets/d/1fj_Bhi2XPL3siwIh4sx4VRLAe31yD50oKdj5UlRYW0c/"", ""Сводка!A:AA""), 5, FALSE)"),144)</f>
        <v>144</v>
      </c>
      <c r="H1344" s="12" t="s">
        <v>47</v>
      </c>
      <c r="I1344" s="10">
        <f ca="1">IFERROR(__xludf.DUMMYFUNCTION(" VLOOKUP(A1341, IMPORTRANGE(""https://docs.google.com/spreadsheets/d/1QNLbnkR_AongFt22vMfNzfpjZ0CjpI8QI-w0wBnYA1w/"", ""Инфа!A:AA""), 6, FALSE)"),2024)</f>
        <v>2024</v>
      </c>
      <c r="J1344" s="5">
        <f ca="1">ROUND((5000+G1344*30),-2)</f>
        <v>9300</v>
      </c>
      <c r="K1344" s="12" t="s">
        <v>5547</v>
      </c>
      <c r="L1344" s="15" t="s">
        <v>5548</v>
      </c>
    </row>
    <row r="1345" spans="1:12" ht="247.5">
      <c r="A1345" s="8" t="s">
        <v>5549</v>
      </c>
      <c r="B1345" s="12" t="s">
        <v>12</v>
      </c>
      <c r="C1345" s="12" t="s">
        <v>151</v>
      </c>
      <c r="D1345" s="10" t="str">
        <f ca="1">IFERROR(__xludf.DUMMYFUNCTION(" VLOOKUP(A1342, IMPORTRANGE(""https://docs.google.com/spreadsheets/d/1fj_Bhi2XPL3siwIh4sx4VRLAe31yD50oKdj5UlRYW0c/"", ""Сводка!A:AA""), 11, FALSE)"),"978-601-330-021-4")</f>
        <v>978-601-330-021-4</v>
      </c>
      <c r="E1345" s="11" t="s">
        <v>5550</v>
      </c>
      <c r="F1345" s="11" t="s">
        <v>5551</v>
      </c>
      <c r="G1345" s="12">
        <f ca="1">IFERROR(__xludf.DUMMYFUNCTION(" VLOOKUP(A1342, IMPORTRANGE(""https://docs.google.com/spreadsheets/d/1fj_Bhi2XPL3siwIh4sx4VRLAe31yD50oKdj5UlRYW0c/"", ""Сводка!A:AA""), 5, FALSE)"),100)</f>
        <v>100</v>
      </c>
      <c r="H1345" s="12" t="s">
        <v>5552</v>
      </c>
      <c r="I1345" s="10">
        <f ca="1">IFERROR(__xludf.DUMMYFUNCTION(" VLOOKUP(A1342, IMPORTRANGE(""https://docs.google.com/spreadsheets/d/1QNLbnkR_AongFt22vMfNzfpjZ0CjpI8QI-w0wBnYA1w/"", ""Инфа!A:AA""), 6, FALSE)"),2024)</f>
        <v>2024</v>
      </c>
      <c r="J1345" s="5">
        <f ca="1">ROUND((5000+G1345*30),-2)</f>
        <v>8000</v>
      </c>
      <c r="K1345" s="12" t="s">
        <v>5553</v>
      </c>
      <c r="L1345" s="15" t="s">
        <v>5554</v>
      </c>
    </row>
    <row r="1346" spans="1:12" ht="168.75">
      <c r="A1346" s="8" t="s">
        <v>5555</v>
      </c>
      <c r="B1346" s="9" t="s">
        <v>12</v>
      </c>
      <c r="C1346" s="10" t="s">
        <v>443</v>
      </c>
      <c r="D1346" s="10" t="str">
        <f ca="1">IFERROR(__xludf.DUMMYFUNCTION(" VLOOKUP(A1343, IMPORTRANGE(""https://docs.google.com/spreadsheets/d/1fj_Bhi2XPL3siwIh4sx4VRLAe31yD50oKdj5UlRYW0c/"", ""Сводка!A:AA""), 11, FALSE)"),"978-601-342-557-3")</f>
        <v>978-601-342-557-3</v>
      </c>
      <c r="E1346" s="11" t="s">
        <v>5556</v>
      </c>
      <c r="F1346" s="11" t="s">
        <v>5557</v>
      </c>
      <c r="G1346" s="12">
        <f ca="1">IFERROR(__xludf.DUMMYFUNCTION(" VLOOKUP(A1343, IMPORTRANGE(""https://docs.google.com/spreadsheets/d/1fj_Bhi2XPL3siwIh4sx4VRLAe31yD50oKdj5UlRYW0c/"", ""Сводка!A:AA""), 5, FALSE)"),292)</f>
        <v>292</v>
      </c>
      <c r="H1346" s="12" t="s">
        <v>538</v>
      </c>
      <c r="I1346" s="10">
        <f ca="1">IFERROR(__xludf.DUMMYFUNCTION(" VLOOKUP(A1343, IMPORTRANGE(""https://docs.google.com/spreadsheets/d/1QNLbnkR_AongFt22vMfNzfpjZ0CjpI8QI-w0wBnYA1w/"", ""Инфа!A:AA""), 6, FALSE)"),2024)</f>
        <v>2024</v>
      </c>
      <c r="J1346" s="5">
        <f ca="1">ROUND((5000+G1346*60),-2)</f>
        <v>22500</v>
      </c>
      <c r="K1346" s="12" t="s">
        <v>160</v>
      </c>
      <c r="L1346" s="15" t="s">
        <v>5558</v>
      </c>
    </row>
    <row r="1347" spans="1:12" ht="135">
      <c r="A1347" s="8" t="s">
        <v>5559</v>
      </c>
      <c r="B1347" s="12" t="s">
        <v>12</v>
      </c>
      <c r="C1347" s="12" t="s">
        <v>443</v>
      </c>
      <c r="D1347" s="10" t="str">
        <f ca="1">IFERROR(__xludf.DUMMYFUNCTION(" VLOOKUP(A1344, IMPORTRANGE(""https://docs.google.com/spreadsheets/d/1fj_Bhi2XPL3siwIh4sx4VRLAe31yD50oKdj5UlRYW0c/"", ""Сводка!A:AA""), 11, FALSE)"),"978-601-330-026-9")</f>
        <v>978-601-330-026-9</v>
      </c>
      <c r="E1347" s="11" t="s">
        <v>5560</v>
      </c>
      <c r="F1347" s="11" t="s">
        <v>5561</v>
      </c>
      <c r="G1347" s="12">
        <f ca="1">IFERROR(__xludf.DUMMYFUNCTION(" VLOOKUP(A1344, IMPORTRANGE(""https://docs.google.com/spreadsheets/d/1fj_Bhi2XPL3siwIh4sx4VRLAe31yD50oKdj5UlRYW0c/"", ""Сводка!A:AA""), 5, FALSE)"),192)</f>
        <v>192</v>
      </c>
      <c r="H1347" s="12" t="s">
        <v>5562</v>
      </c>
      <c r="I1347" s="10">
        <f ca="1">IFERROR(__xludf.DUMMYFUNCTION(" VLOOKUP(A1344, IMPORTRANGE(""https://docs.google.com/spreadsheets/d/1QNLbnkR_AongFt22vMfNzfpjZ0CjpI8QI-w0wBnYA1w/"", ""Инфа!A:AA""), 6, FALSE)"),2024)</f>
        <v>2024</v>
      </c>
      <c r="J1347" s="5">
        <f t="shared" ref="J1347:J1354" ca="1" si="44">ROUND((5000+G1347*30),-2)</f>
        <v>10800</v>
      </c>
      <c r="K1347" s="12" t="s">
        <v>5563</v>
      </c>
      <c r="L1347" s="15" t="s">
        <v>5564</v>
      </c>
    </row>
    <row r="1348" spans="1:12" ht="112.5">
      <c r="A1348" s="8" t="s">
        <v>5565</v>
      </c>
      <c r="B1348" s="12" t="s">
        <v>12</v>
      </c>
      <c r="C1348" s="12" t="s">
        <v>151</v>
      </c>
      <c r="D1348" s="10" t="str">
        <f ca="1">IFERROR(__xludf.DUMMYFUNCTION(" VLOOKUP(A1345, IMPORTRANGE(""https://docs.google.com/spreadsheets/d/1fj_Bhi2XPL3siwIh4sx4VRLAe31yD50oKdj5UlRYW0c/"", ""Сводка!A:AA""), 11, FALSE)"),"978-601-330-132-7")</f>
        <v>978-601-330-132-7</v>
      </c>
      <c r="E1348" s="11" t="s">
        <v>5566</v>
      </c>
      <c r="F1348" s="11" t="s">
        <v>5567</v>
      </c>
      <c r="G1348" s="12">
        <f ca="1">IFERROR(__xludf.DUMMYFUNCTION(" VLOOKUP(A1345, IMPORTRANGE(""https://docs.google.com/spreadsheets/d/1fj_Bhi2XPL3siwIh4sx4VRLAe31yD50oKdj5UlRYW0c/"", ""Сводка!A:AA""), 5, FALSE)"),312)</f>
        <v>312</v>
      </c>
      <c r="H1348" s="12" t="s">
        <v>47</v>
      </c>
      <c r="I1348" s="10">
        <f ca="1">IFERROR(__xludf.DUMMYFUNCTION(" VLOOKUP(A1345, IMPORTRANGE(""https://docs.google.com/spreadsheets/d/1QNLbnkR_AongFt22vMfNzfpjZ0CjpI8QI-w0wBnYA1w/"", ""Инфа!A:AA""), 6, FALSE)"),2024)</f>
        <v>2024</v>
      </c>
      <c r="J1348" s="5">
        <f t="shared" ca="1" si="44"/>
        <v>14400</v>
      </c>
      <c r="K1348" s="12" t="s">
        <v>160</v>
      </c>
      <c r="L1348" s="16" t="s">
        <v>5568</v>
      </c>
    </row>
    <row r="1349" spans="1:12" ht="112.5">
      <c r="A1349" s="8" t="s">
        <v>5569</v>
      </c>
      <c r="B1349" s="12" t="s">
        <v>12</v>
      </c>
      <c r="C1349" s="12" t="s">
        <v>151</v>
      </c>
      <c r="D1349" s="10" t="str">
        <f ca="1">IFERROR(__xludf.DUMMYFUNCTION(" VLOOKUP(A1346, IMPORTRANGE(""https://docs.google.com/spreadsheets/d/1fj_Bhi2XPL3siwIh4sx4VRLAe31yD50oKdj5UlRYW0c/"", ""Сводка!A:AA""), 11, FALSE)"),"978-601-330-133-4")</f>
        <v>978-601-330-133-4</v>
      </c>
      <c r="E1349" s="11" t="s">
        <v>5570</v>
      </c>
      <c r="F1349" s="11" t="s">
        <v>5571</v>
      </c>
      <c r="G1349" s="12">
        <f ca="1">IFERROR(__xludf.DUMMYFUNCTION(" VLOOKUP(A1346, IMPORTRANGE(""https://docs.google.com/spreadsheets/d/1fj_Bhi2XPL3siwIh4sx4VRLAe31yD50oKdj5UlRYW0c/"", ""Сводка!A:AA""), 5, FALSE)"),168)</f>
        <v>168</v>
      </c>
      <c r="H1349" s="12" t="s">
        <v>47</v>
      </c>
      <c r="I1349" s="10">
        <f ca="1">IFERROR(__xludf.DUMMYFUNCTION(" VLOOKUP(A1346, IMPORTRANGE(""https://docs.google.com/spreadsheets/d/1QNLbnkR_AongFt22vMfNzfpjZ0CjpI8QI-w0wBnYA1w/"", ""Инфа!A:AA""), 6, FALSE)"),2024)</f>
        <v>2024</v>
      </c>
      <c r="J1349" s="5">
        <f t="shared" ca="1" si="44"/>
        <v>10000</v>
      </c>
      <c r="K1349" s="12" t="s">
        <v>160</v>
      </c>
      <c r="L1349" s="16" t="s">
        <v>5572</v>
      </c>
    </row>
    <row r="1350" spans="1:12" ht="56.25">
      <c r="A1350" s="8" t="s">
        <v>5573</v>
      </c>
      <c r="B1350" s="12" t="s">
        <v>12</v>
      </c>
      <c r="C1350" s="12" t="s">
        <v>151</v>
      </c>
      <c r="D1350" s="40" t="s">
        <v>5574</v>
      </c>
      <c r="E1350" s="11" t="s">
        <v>5570</v>
      </c>
      <c r="F1350" s="11" t="s">
        <v>5575</v>
      </c>
      <c r="G1350" s="12">
        <f ca="1">IFERROR(__xludf.DUMMYFUNCTION(" VLOOKUP(A1347, IMPORTRANGE(""https://docs.google.com/spreadsheets/d/1fj_Bhi2XPL3siwIh4sx4VRLAe31yD50oKdj5UlRYW0c/"", ""Сводка!A:AA""), 5, FALSE)"),148)</f>
        <v>148</v>
      </c>
      <c r="H1350" s="12" t="s">
        <v>5576</v>
      </c>
      <c r="I1350" s="10">
        <f ca="1">IFERROR(__xludf.DUMMYFUNCTION(" VLOOKUP(A1347, IMPORTRANGE(""https://docs.google.com/spreadsheets/d/1QNLbnkR_AongFt22vMfNzfpjZ0CjpI8QI-w0wBnYA1w/"", ""Инфа!A:AA""), 6, FALSE)"),2024)</f>
        <v>2024</v>
      </c>
      <c r="J1350" s="5">
        <f t="shared" ca="1" si="44"/>
        <v>9400</v>
      </c>
      <c r="K1350" s="12" t="s">
        <v>160</v>
      </c>
      <c r="L1350" s="15" t="s">
        <v>5577</v>
      </c>
    </row>
    <row r="1351" spans="1:12" ht="101.25">
      <c r="A1351" s="8" t="s">
        <v>5578</v>
      </c>
      <c r="B1351" s="12" t="s">
        <v>12</v>
      </c>
      <c r="C1351" s="12" t="s">
        <v>151</v>
      </c>
      <c r="D1351" s="10" t="str">
        <f ca="1">IFERROR(__xludf.DUMMYFUNCTION(" VLOOKUP(A1348, IMPORTRANGE(""https://docs.google.com/spreadsheets/d/1fj_Bhi2XPL3siwIh4sx4VRLAe31yD50oKdj5UlRYW0c/"", ""Сводка!A:AA""), 11, FALSE)"),"978-601-7985-04-2")</f>
        <v>978-601-7985-04-2</v>
      </c>
      <c r="E1351" s="11" t="s">
        <v>5570</v>
      </c>
      <c r="F1351" s="11" t="s">
        <v>5579</v>
      </c>
      <c r="G1351" s="12">
        <f ca="1">IFERROR(__xludf.DUMMYFUNCTION(" VLOOKUP(A1348, IMPORTRANGE(""https://docs.google.com/spreadsheets/d/1fj_Bhi2XPL3siwIh4sx4VRLAe31yD50oKdj5UlRYW0c/"", ""Сводка!A:AA""), 5, FALSE)"),184)</f>
        <v>184</v>
      </c>
      <c r="H1351" s="12" t="s">
        <v>47</v>
      </c>
      <c r="I1351" s="10">
        <f ca="1">IFERROR(__xludf.DUMMYFUNCTION(" VLOOKUP(A1348, IMPORTRANGE(""https://docs.google.com/spreadsheets/d/1QNLbnkR_AongFt22vMfNzfpjZ0CjpI8QI-w0wBnYA1w/"", ""Инфа!A:AA""), 6, FALSE)"),2023)</f>
        <v>2023</v>
      </c>
      <c r="J1351" s="5">
        <f t="shared" ca="1" si="44"/>
        <v>10500</v>
      </c>
      <c r="K1351" s="12" t="s">
        <v>160</v>
      </c>
      <c r="L1351" s="16" t="s">
        <v>5580</v>
      </c>
    </row>
    <row r="1352" spans="1:12" ht="135">
      <c r="A1352" s="8" t="s">
        <v>5581</v>
      </c>
      <c r="B1352" s="12" t="s">
        <v>12</v>
      </c>
      <c r="C1352" s="12" t="s">
        <v>151</v>
      </c>
      <c r="D1352" s="10" t="str">
        <f ca="1">IFERROR(__xludf.DUMMYFUNCTION(" VLOOKUP(A1349, IMPORTRANGE(""https://docs.google.com/spreadsheets/d/1fj_Bhi2XPL3siwIh4sx4VRLAe31yD50oKdj5UlRYW0c/"", ""Сводка!A:AA""), 11, FALSE)"),"978-601-330-075-7")</f>
        <v>978-601-330-075-7</v>
      </c>
      <c r="E1352" s="11" t="s">
        <v>5566</v>
      </c>
      <c r="F1352" s="11" t="s">
        <v>5582</v>
      </c>
      <c r="G1352" s="12">
        <f ca="1">IFERROR(__xludf.DUMMYFUNCTION(" VLOOKUP(A1349, IMPORTRANGE(""https://docs.google.com/spreadsheets/d/1fj_Bhi2XPL3siwIh4sx4VRLAe31yD50oKdj5UlRYW0c/"", ""Сводка!A:AA""), 5, FALSE)"),268)</f>
        <v>268</v>
      </c>
      <c r="H1352" s="12" t="s">
        <v>5583</v>
      </c>
      <c r="I1352" s="10">
        <f ca="1">IFERROR(__xludf.DUMMYFUNCTION(" VLOOKUP(A1349, IMPORTRANGE(""https://docs.google.com/spreadsheets/d/1QNLbnkR_AongFt22vMfNzfpjZ0CjpI8QI-w0wBnYA1w/"", ""Инфа!A:AA""), 6, FALSE)"),2024)</f>
        <v>2024</v>
      </c>
      <c r="J1352" s="5">
        <f t="shared" ca="1" si="44"/>
        <v>13000</v>
      </c>
      <c r="K1352" s="12" t="s">
        <v>160</v>
      </c>
      <c r="L1352" s="15" t="s">
        <v>5584</v>
      </c>
    </row>
    <row r="1353" spans="1:12" ht="146.25">
      <c r="A1353" s="8" t="s">
        <v>5585</v>
      </c>
      <c r="B1353" s="12" t="s">
        <v>12</v>
      </c>
      <c r="C1353" s="12" t="s">
        <v>151</v>
      </c>
      <c r="D1353" s="10" t="str">
        <f ca="1">IFERROR(__xludf.DUMMYFUNCTION(" VLOOKUP(A1350, IMPORTRANGE(""https://docs.google.com/spreadsheets/d/1fj_Bhi2XPL3siwIh4sx4VRLAe31yD50oKdj5UlRYW0c/"", ""Сводка!A:AA""), 11, FALSE)"),"978-601-330-078-8")</f>
        <v>978-601-330-078-8</v>
      </c>
      <c r="E1353" s="11" t="s">
        <v>5566</v>
      </c>
      <c r="F1353" s="11" t="s">
        <v>5586</v>
      </c>
      <c r="G1353" s="12">
        <f ca="1">IFERROR(__xludf.DUMMYFUNCTION(" VLOOKUP(A1350, IMPORTRANGE(""https://docs.google.com/spreadsheets/d/1fj_Bhi2XPL3siwIh4sx4VRLAe31yD50oKdj5UlRYW0c/"", ""Сводка!A:AA""), 5, FALSE)"),116)</f>
        <v>116</v>
      </c>
      <c r="H1353" s="12" t="s">
        <v>5583</v>
      </c>
      <c r="I1353" s="10">
        <f ca="1">IFERROR(__xludf.DUMMYFUNCTION(" VLOOKUP(A1350, IMPORTRANGE(""https://docs.google.com/spreadsheets/d/1QNLbnkR_AongFt22vMfNzfpjZ0CjpI8QI-w0wBnYA1w/"", ""Инфа!A:AA""), 6, FALSE)"),2024)</f>
        <v>2024</v>
      </c>
      <c r="J1353" s="5">
        <f t="shared" ca="1" si="44"/>
        <v>8500</v>
      </c>
      <c r="K1353" s="12" t="s">
        <v>160</v>
      </c>
      <c r="L1353" s="15" t="s">
        <v>5587</v>
      </c>
    </row>
    <row r="1354" spans="1:12" ht="292.5">
      <c r="A1354" s="8" t="s">
        <v>5588</v>
      </c>
      <c r="B1354" s="12" t="s">
        <v>12</v>
      </c>
      <c r="C1354" s="12" t="s">
        <v>151</v>
      </c>
      <c r="D1354" s="10" t="str">
        <f ca="1">IFERROR(__xludf.DUMMYFUNCTION(" VLOOKUP(A1351, IMPORTRANGE(""https://docs.google.com/spreadsheets/d/1fj_Bhi2XPL3siwIh4sx4VRLAe31yD50oKdj5UlRYW0c/"", ""Сводка!A:AA""), 11, FALSE)"),"978-601-80830-5-1")</f>
        <v>978-601-80830-5-1</v>
      </c>
      <c r="E1354" s="11" t="s">
        <v>5589</v>
      </c>
      <c r="F1354" s="11" t="s">
        <v>5590</v>
      </c>
      <c r="G1354" s="12">
        <f ca="1">IFERROR(__xludf.DUMMYFUNCTION(" VLOOKUP(A1351, IMPORTRANGE(""https://docs.google.com/spreadsheets/d/1fj_Bhi2XPL3siwIh4sx4VRLAe31yD50oKdj5UlRYW0c/"", ""Сводка!A:AA""), 5, FALSE)"),88)</f>
        <v>88</v>
      </c>
      <c r="H1354" s="12" t="s">
        <v>47</v>
      </c>
      <c r="I1354" s="10">
        <f ca="1">IFERROR(__xludf.DUMMYFUNCTION(" VLOOKUP(A1351, IMPORTRANGE(""https://docs.google.com/spreadsheets/d/1QNLbnkR_AongFt22vMfNzfpjZ0CjpI8QI-w0wBnYA1w/"", ""Инфа!A:AA""), 6, FALSE)"),2024)</f>
        <v>2024</v>
      </c>
      <c r="J1354" s="5">
        <f t="shared" ca="1" si="44"/>
        <v>7600</v>
      </c>
      <c r="K1354" s="12" t="s">
        <v>2520</v>
      </c>
      <c r="L1354" s="15" t="s">
        <v>5591</v>
      </c>
    </row>
    <row r="1355" spans="1:12" ht="112.5">
      <c r="A1355" s="8" t="s">
        <v>5592</v>
      </c>
      <c r="B1355" s="9" t="s">
        <v>12</v>
      </c>
      <c r="C1355" s="10" t="s">
        <v>443</v>
      </c>
      <c r="D1355" s="10" t="str">
        <f ca="1">IFERROR(__xludf.DUMMYFUNCTION(" VLOOKUP(A1352, IMPORTRANGE(""https://docs.google.com/spreadsheets/d/1fj_Bhi2XPL3siwIh4sx4VRLAe31yD50oKdj5UlRYW0c/"", ""Сводка!A:AA""), 11, FALSE)"),"ISBN 978-601-342-669-3")</f>
        <v>ISBN 978-601-342-669-3</v>
      </c>
      <c r="E1355" s="11" t="s">
        <v>5593</v>
      </c>
      <c r="F1355" s="11" t="s">
        <v>5594</v>
      </c>
      <c r="G1355" s="12">
        <f ca="1">IFERROR(__xludf.DUMMYFUNCTION(" VLOOKUP(A1352, IMPORTRANGE(""https://docs.google.com/spreadsheets/d/1fj_Bhi2XPL3siwIh4sx4VRLAe31yD50oKdj5UlRYW0c/"", ""Сводка!A:AA""), 5, FALSE)"),224)</f>
        <v>224</v>
      </c>
      <c r="H1355" s="12" t="s">
        <v>538</v>
      </c>
      <c r="I1355" s="10">
        <f ca="1">IFERROR(__xludf.DUMMYFUNCTION(" VLOOKUP(A1352, IMPORTRANGE(""https://docs.google.com/spreadsheets/d/1QNLbnkR_AongFt22vMfNzfpjZ0CjpI8QI-w0wBnYA1w/"", ""Инфа!A:AA""), 6, FALSE)"),2024)</f>
        <v>2024</v>
      </c>
      <c r="J1355" s="5">
        <f ca="1">ROUND(((5000+G1355*60)*1.3),-2)</f>
        <v>24000</v>
      </c>
      <c r="K1355" s="9" t="s">
        <v>619</v>
      </c>
      <c r="L1355" s="15" t="s">
        <v>5595</v>
      </c>
    </row>
    <row r="1356" spans="1:12" ht="225">
      <c r="A1356" s="8" t="s">
        <v>5596</v>
      </c>
      <c r="B1356" s="12" t="s">
        <v>12</v>
      </c>
      <c r="C1356" s="12" t="s">
        <v>151</v>
      </c>
      <c r="D1356" s="10" t="s">
        <v>5597</v>
      </c>
      <c r="E1356" s="11" t="s">
        <v>5589</v>
      </c>
      <c r="F1356" s="11" t="s">
        <v>5598</v>
      </c>
      <c r="G1356" s="12">
        <f ca="1">IFERROR(__xludf.DUMMYFUNCTION(" VLOOKUP(A1353, IMPORTRANGE(""https://docs.google.com/spreadsheets/d/1fj_Bhi2XPL3siwIh4sx4VRLAe31yD50oKdj5UlRYW0c/"", ""Сводка!A:AA""), 5, FALSE)"),104)</f>
        <v>104</v>
      </c>
      <c r="H1356" s="12" t="s">
        <v>47</v>
      </c>
      <c r="I1356" s="10">
        <f ca="1">IFERROR(__xludf.DUMMYFUNCTION(" VLOOKUP(A1353, IMPORTRANGE(""https://docs.google.com/spreadsheets/d/1QNLbnkR_AongFt22vMfNzfpjZ0CjpI8QI-w0wBnYA1w/"", ""Инфа!A:AA""), 6, FALSE)"),2024)</f>
        <v>2024</v>
      </c>
      <c r="J1356" s="5">
        <f t="shared" ref="J1356:J1386" ca="1" si="45">ROUND((5000+G1356*30),-2)</f>
        <v>8100</v>
      </c>
      <c r="K1356" s="12" t="s">
        <v>2520</v>
      </c>
      <c r="L1356" s="16" t="s">
        <v>5599</v>
      </c>
    </row>
    <row r="1357" spans="1:12" ht="135">
      <c r="A1357" s="8" t="s">
        <v>5600</v>
      </c>
      <c r="B1357" s="12" t="s">
        <v>12</v>
      </c>
      <c r="C1357" s="12" t="s">
        <v>151</v>
      </c>
      <c r="D1357" s="10" t="str">
        <f ca="1">IFERROR(__xludf.DUMMYFUNCTION(" VLOOKUP(A1354, IMPORTRANGE(""https://docs.google.com/spreadsheets/d/1fj_Bhi2XPL3siwIh4sx4VRLAe31yD50oKdj5UlRYW0c/"", ""Сводка!A:AA""), 11, FALSE)"),"978-601-330-018-4")</f>
        <v>978-601-330-018-4</v>
      </c>
      <c r="E1357" s="11" t="s">
        <v>5589</v>
      </c>
      <c r="F1357" s="11" t="s">
        <v>5601</v>
      </c>
      <c r="G1357" s="12">
        <f ca="1">IFERROR(__xludf.DUMMYFUNCTION(" VLOOKUP(A1354, IMPORTRANGE(""https://docs.google.com/spreadsheets/d/1fj_Bhi2XPL3siwIh4sx4VRLAe31yD50oKdj5UlRYW0c/"", ""Сводка!A:AA""), 5, FALSE)"),84)</f>
        <v>84</v>
      </c>
      <c r="H1357" s="12" t="s">
        <v>47</v>
      </c>
      <c r="I1357" s="10">
        <f ca="1">IFERROR(__xludf.DUMMYFUNCTION(" VLOOKUP(A1354, IMPORTRANGE(""https://docs.google.com/spreadsheets/d/1QNLbnkR_AongFt22vMfNzfpjZ0CjpI8QI-w0wBnYA1w/"", ""Инфа!A:AA""), 6, FALSE)"),2024)</f>
        <v>2024</v>
      </c>
      <c r="J1357" s="5">
        <f t="shared" ca="1" si="45"/>
        <v>7500</v>
      </c>
      <c r="K1357" s="12" t="s">
        <v>2520</v>
      </c>
      <c r="L1357" s="16" t="s">
        <v>5602</v>
      </c>
    </row>
    <row r="1358" spans="1:12" ht="33.75">
      <c r="A1358" s="8" t="s">
        <v>5603</v>
      </c>
      <c r="B1358" s="12" t="s">
        <v>12</v>
      </c>
      <c r="C1358" s="12" t="s">
        <v>443</v>
      </c>
      <c r="D1358" s="10" t="s">
        <v>5604</v>
      </c>
      <c r="E1358" s="11" t="s">
        <v>5605</v>
      </c>
      <c r="F1358" s="11" t="s">
        <v>5606</v>
      </c>
      <c r="G1358" s="12">
        <f ca="1">IFERROR(__xludf.DUMMYFUNCTION(" VLOOKUP(A1355, IMPORTRANGE(""https://docs.google.com/spreadsheets/d/1fj_Bhi2XPL3siwIh4sx4VRLAe31yD50oKdj5UlRYW0c/"", ""Сводка!A:AA""), 5, FALSE)"),124)</f>
        <v>124</v>
      </c>
      <c r="H1358" s="12" t="s">
        <v>671</v>
      </c>
      <c r="I1358" s="10">
        <f ca="1">IFERROR(__xludf.DUMMYFUNCTION(" VLOOKUP(A1355, IMPORTRANGE(""https://docs.google.com/spreadsheets/d/1QNLbnkR_AongFt22vMfNzfpjZ0CjpI8QI-w0wBnYA1w/"", ""Инфа!A:AA""), 6, FALSE)"),2024)</f>
        <v>2024</v>
      </c>
      <c r="J1358" s="5">
        <f t="shared" ca="1" si="45"/>
        <v>8700</v>
      </c>
      <c r="K1358" s="12" t="s">
        <v>2520</v>
      </c>
      <c r="L1358" s="15" t="s">
        <v>5607</v>
      </c>
    </row>
    <row r="1359" spans="1:12" ht="135">
      <c r="A1359" s="8" t="s">
        <v>5608</v>
      </c>
      <c r="B1359" s="12" t="s">
        <v>12</v>
      </c>
      <c r="C1359" s="12" t="s">
        <v>151</v>
      </c>
      <c r="D1359" s="10" t="str">
        <f ca="1">IFERROR(__xludf.DUMMYFUNCTION(" VLOOKUP(A1356, IMPORTRANGE(""https://docs.google.com/spreadsheets/d/1fj_Bhi2XPL3siwIh4sx4VRLAe31yD50oKdj5UlRYW0c/"", ""Сводка!A:AA""), 11, FALSE)"),"978-9965-851-94-0")</f>
        <v>978-9965-851-94-0</v>
      </c>
      <c r="E1359" s="11" t="s">
        <v>5609</v>
      </c>
      <c r="F1359" s="11" t="s">
        <v>5610</v>
      </c>
      <c r="G1359" s="12">
        <f ca="1">IFERROR(__xludf.DUMMYFUNCTION(" VLOOKUP(A1356, IMPORTRANGE(""https://docs.google.com/spreadsheets/d/1fj_Bhi2XPL3siwIh4sx4VRLAe31yD50oKdj5UlRYW0c/"", ""Сводка!A:AA""), 5, FALSE)"),144)</f>
        <v>144</v>
      </c>
      <c r="H1359" s="12" t="s">
        <v>106</v>
      </c>
      <c r="I1359" s="10">
        <f ca="1">IFERROR(__xludf.DUMMYFUNCTION(" VLOOKUP(A1356, IMPORTRANGE(""https://docs.google.com/spreadsheets/d/1QNLbnkR_AongFt22vMfNzfpjZ0CjpI8QI-w0wBnYA1w/"", ""Инфа!A:AA""), 6, FALSE)"),2024)</f>
        <v>2024</v>
      </c>
      <c r="J1359" s="5">
        <f t="shared" ca="1" si="45"/>
        <v>9300</v>
      </c>
      <c r="K1359" s="12" t="s">
        <v>2520</v>
      </c>
      <c r="L1359" s="15" t="s">
        <v>5611</v>
      </c>
    </row>
    <row r="1360" spans="1:12" ht="135">
      <c r="A1360" s="8" t="s">
        <v>5612</v>
      </c>
      <c r="B1360" s="12" t="s">
        <v>12</v>
      </c>
      <c r="C1360" s="12" t="s">
        <v>151</v>
      </c>
      <c r="D1360" s="10" t="str">
        <f ca="1">IFERROR(__xludf.DUMMYFUNCTION(" VLOOKUP(A1357, IMPORTRANGE(""https://docs.google.com/spreadsheets/d/1fj_Bhi2XPL3siwIh4sx4VRLAe31yD50oKdj5UlRYW0c/"", ""Сводка!A:AA""), 11, FALSE)"),"978-601-321-796-3")</f>
        <v>978-601-321-796-3</v>
      </c>
      <c r="E1360" s="11" t="s">
        <v>5613</v>
      </c>
      <c r="F1360" s="11" t="s">
        <v>5614</v>
      </c>
      <c r="G1360" s="12">
        <f ca="1">IFERROR(__xludf.DUMMYFUNCTION(" VLOOKUP(A1357, IMPORTRANGE(""https://docs.google.com/spreadsheets/d/1fj_Bhi2XPL3siwIh4sx4VRLAe31yD50oKdj5UlRYW0c/"", ""Сводка!A:AA""), 5, FALSE)"),168)</f>
        <v>168</v>
      </c>
      <c r="H1360" s="12" t="s">
        <v>106</v>
      </c>
      <c r="I1360" s="10">
        <f ca="1">IFERROR(__xludf.DUMMYFUNCTION(" VLOOKUP(A1357, IMPORTRANGE(""https://docs.google.com/spreadsheets/d/1QNLbnkR_AongFt22vMfNzfpjZ0CjpI8QI-w0wBnYA1w/"", ""Инфа!A:AA""), 6, FALSE)"),2024)</f>
        <v>2024</v>
      </c>
      <c r="J1360" s="5">
        <f t="shared" ca="1" si="45"/>
        <v>10000</v>
      </c>
      <c r="K1360" s="12" t="s">
        <v>2520</v>
      </c>
      <c r="L1360" s="16" t="s">
        <v>5615</v>
      </c>
    </row>
    <row r="1361" spans="1:12" ht="112.5">
      <c r="A1361" s="8" t="s">
        <v>5616</v>
      </c>
      <c r="B1361" s="12" t="s">
        <v>12</v>
      </c>
      <c r="C1361" s="12" t="s">
        <v>151</v>
      </c>
      <c r="D1361" s="10" t="str">
        <f ca="1">IFERROR(__xludf.DUMMYFUNCTION(" VLOOKUP(A1358, IMPORTRANGE(""https://docs.google.com/spreadsheets/d/1fj_Bhi2XPL3siwIh4sx4VRLAe31yD50oKdj5UlRYW0c/"", ""Сводка!A:AA""), 11, FALSE)"),"978-601-795-11-3")</f>
        <v>978-601-795-11-3</v>
      </c>
      <c r="E1361" s="11" t="s">
        <v>5617</v>
      </c>
      <c r="F1361" s="11" t="s">
        <v>5618</v>
      </c>
      <c r="G1361" s="12">
        <f ca="1">IFERROR(__xludf.DUMMYFUNCTION(" VLOOKUP(A1358, IMPORTRANGE(""https://docs.google.com/spreadsheets/d/1fj_Bhi2XPL3siwIh4sx4VRLAe31yD50oKdj5UlRYW0c/"", ""Сводка!A:AA""), 5, FALSE)"),90)</f>
        <v>90</v>
      </c>
      <c r="H1361" s="12" t="s">
        <v>47</v>
      </c>
      <c r="I1361" s="10">
        <f ca="1">IFERROR(__xludf.DUMMYFUNCTION(" VLOOKUP(A1358, IMPORTRANGE(""https://docs.google.com/spreadsheets/d/1QNLbnkR_AongFt22vMfNzfpjZ0CjpI8QI-w0wBnYA1w/"", ""Инфа!A:AA""), 6, FALSE)"),2023)</f>
        <v>2023</v>
      </c>
      <c r="J1361" s="5">
        <f t="shared" ca="1" si="45"/>
        <v>7700</v>
      </c>
      <c r="K1361" s="12" t="s">
        <v>160</v>
      </c>
      <c r="L1361" s="16" t="s">
        <v>5619</v>
      </c>
    </row>
    <row r="1362" spans="1:12" ht="315">
      <c r="A1362" s="8" t="s">
        <v>5620</v>
      </c>
      <c r="B1362" s="12" t="s">
        <v>12</v>
      </c>
      <c r="C1362" s="12" t="s">
        <v>151</v>
      </c>
      <c r="D1362" s="10" t="str">
        <f ca="1">IFERROR(__xludf.DUMMYFUNCTION(" VLOOKUP(A1359, IMPORTRANGE(""https://docs.google.com/spreadsheets/d/1fj_Bhi2XPL3siwIh4sx4VRLAe31yD50oKdj5UlRYW0c/"", ""Сводка!A:AA""), 11, FALSE)"),"978-601-7665-68-5")</f>
        <v>978-601-7665-68-5</v>
      </c>
      <c r="E1362" s="11" t="s">
        <v>2789</v>
      </c>
      <c r="F1362" s="11" t="s">
        <v>5621</v>
      </c>
      <c r="G1362" s="12">
        <f ca="1">IFERROR(__xludf.DUMMYFUNCTION(" VLOOKUP(A1359, IMPORTRANGE(""https://docs.google.com/spreadsheets/d/1fj_Bhi2XPL3siwIh4sx4VRLAe31yD50oKdj5UlRYW0c/"", ""Сводка!A:AA""), 5, FALSE)"),156)</f>
        <v>156</v>
      </c>
      <c r="H1362" s="12" t="s">
        <v>47</v>
      </c>
      <c r="I1362" s="10">
        <f ca="1">IFERROR(__xludf.DUMMYFUNCTION(" VLOOKUP(A1359, IMPORTRANGE(""https://docs.google.com/spreadsheets/d/1QNLbnkR_AongFt22vMfNzfpjZ0CjpI8QI-w0wBnYA1w/"", ""Инфа!A:AA""), 6, FALSE)"),2024)</f>
        <v>2024</v>
      </c>
      <c r="J1362" s="5">
        <f t="shared" ca="1" si="45"/>
        <v>9700</v>
      </c>
      <c r="K1362" s="12" t="s">
        <v>3029</v>
      </c>
      <c r="L1362" s="16" t="s">
        <v>5622</v>
      </c>
    </row>
    <row r="1363" spans="1:12" ht="303.75">
      <c r="A1363" s="8" t="s">
        <v>5623</v>
      </c>
      <c r="B1363" s="12" t="s">
        <v>12</v>
      </c>
      <c r="C1363" s="12" t="s">
        <v>151</v>
      </c>
      <c r="D1363" s="10" t="str">
        <f ca="1">IFERROR(__xludf.DUMMYFUNCTION(" VLOOKUP(A1360, IMPORTRANGE(""https://docs.google.com/spreadsheets/d/1fj_Bhi2XPL3siwIh4sx4VRLAe31yD50oKdj5UlRYW0c/"", ""Сводка!A:AA""), 11, FALSE)"),"978-601-330-786-2")</f>
        <v>978-601-330-786-2</v>
      </c>
      <c r="E1363" s="11" t="s">
        <v>5624</v>
      </c>
      <c r="F1363" s="11" t="s">
        <v>5625</v>
      </c>
      <c r="G1363" s="12">
        <f ca="1">IFERROR(__xludf.DUMMYFUNCTION(" VLOOKUP(A1360, IMPORTRANGE(""https://docs.google.com/spreadsheets/d/1fj_Bhi2XPL3siwIh4sx4VRLAe31yD50oKdj5UlRYW0c/"", ""Сводка!A:AA""), 5, FALSE)"),126)</f>
        <v>126</v>
      </c>
      <c r="H1363" s="12" t="s">
        <v>47</v>
      </c>
      <c r="I1363" s="10">
        <f ca="1">IFERROR(__xludf.DUMMYFUNCTION(" VLOOKUP(A1360, IMPORTRANGE(""https://docs.google.com/spreadsheets/d/1QNLbnkR_AongFt22vMfNzfpjZ0CjpI8QI-w0wBnYA1w/"", ""Инфа!A:AA""), 6, FALSE)"),2024)</f>
        <v>2024</v>
      </c>
      <c r="J1363" s="5">
        <f t="shared" ca="1" si="45"/>
        <v>8800</v>
      </c>
      <c r="K1363" s="12" t="s">
        <v>3029</v>
      </c>
      <c r="L1363" s="16" t="s">
        <v>5626</v>
      </c>
    </row>
    <row r="1364" spans="1:12" ht="202.5">
      <c r="A1364" s="8" t="s">
        <v>5627</v>
      </c>
      <c r="B1364" s="12" t="s">
        <v>12</v>
      </c>
      <c r="C1364" s="12" t="s">
        <v>151</v>
      </c>
      <c r="D1364" s="10" t="s">
        <v>5628</v>
      </c>
      <c r="E1364" s="11" t="s">
        <v>5629</v>
      </c>
      <c r="F1364" s="11" t="s">
        <v>5630</v>
      </c>
      <c r="G1364" s="12">
        <f ca="1">IFERROR(__xludf.DUMMYFUNCTION(" VLOOKUP(A1361, IMPORTRANGE(""https://docs.google.com/spreadsheets/d/1fj_Bhi2XPL3siwIh4sx4VRLAe31yD50oKdj5UlRYW0c/"", ""Сводка!A:AA""), 5, FALSE)"),156)</f>
        <v>156</v>
      </c>
      <c r="H1364" s="12" t="s">
        <v>106</v>
      </c>
      <c r="I1364" s="10">
        <f ca="1">IFERROR(__xludf.DUMMYFUNCTION(" VLOOKUP(A1361, IMPORTRANGE(""https://docs.google.com/spreadsheets/d/1QNLbnkR_AongFt22vMfNzfpjZ0CjpI8QI-w0wBnYA1w/"", ""Инфа!A:AA""), 6, FALSE)"),2024)</f>
        <v>2024</v>
      </c>
      <c r="J1364" s="5">
        <f t="shared" ca="1" si="45"/>
        <v>9700</v>
      </c>
      <c r="K1364" s="12" t="s">
        <v>5631</v>
      </c>
      <c r="L1364" s="15" t="s">
        <v>5632</v>
      </c>
    </row>
    <row r="1365" spans="1:12" ht="213.75">
      <c r="A1365" s="8" t="s">
        <v>5633</v>
      </c>
      <c r="B1365" s="12" t="s">
        <v>12</v>
      </c>
      <c r="C1365" s="12" t="s">
        <v>151</v>
      </c>
      <c r="D1365" s="10" t="s">
        <v>5634</v>
      </c>
      <c r="E1365" s="11" t="s">
        <v>5629</v>
      </c>
      <c r="F1365" s="11" t="s">
        <v>5635</v>
      </c>
      <c r="G1365" s="12">
        <f ca="1">IFERROR(__xludf.DUMMYFUNCTION(" VLOOKUP(A1362, IMPORTRANGE(""https://docs.google.com/spreadsheets/d/1fj_Bhi2XPL3siwIh4sx4VRLAe31yD50oKdj5UlRYW0c/"", ""Сводка!A:AA""), 5, FALSE)"),164)</f>
        <v>164</v>
      </c>
      <c r="H1365" s="12" t="s">
        <v>282</v>
      </c>
      <c r="I1365" s="10">
        <f ca="1">IFERROR(__xludf.DUMMYFUNCTION(" VLOOKUP(A1362, IMPORTRANGE(""https://docs.google.com/spreadsheets/d/1QNLbnkR_AongFt22vMfNzfpjZ0CjpI8QI-w0wBnYA1w/"", ""Инфа!A:AA""), 6, FALSE)"),2024)</f>
        <v>2024</v>
      </c>
      <c r="J1365" s="5">
        <f t="shared" ca="1" si="45"/>
        <v>9900</v>
      </c>
      <c r="K1365" s="12" t="s">
        <v>5631</v>
      </c>
      <c r="L1365" s="16" t="s">
        <v>5636</v>
      </c>
    </row>
    <row r="1366" spans="1:12" ht="112.5">
      <c r="A1366" s="8" t="s">
        <v>5637</v>
      </c>
      <c r="B1366" s="9" t="s">
        <v>12</v>
      </c>
      <c r="C1366" s="10" t="s">
        <v>443</v>
      </c>
      <c r="D1366" s="10" t="str">
        <f ca="1">IFERROR(__xludf.DUMMYFUNCTION(" VLOOKUP(A1363, IMPORTRANGE(""https://docs.google.com/spreadsheets/d/1fj_Bhi2XPL3siwIh4sx4VRLAe31yD50oKdj5UlRYW0c/"", ""Сводка!A:AA""), 11, FALSE)"),"978-601-310-926-8")</f>
        <v>978-601-310-926-8</v>
      </c>
      <c r="E1366" s="11" t="s">
        <v>5638</v>
      </c>
      <c r="F1366" s="11" t="s">
        <v>5639</v>
      </c>
      <c r="G1366" s="12">
        <f ca="1">IFERROR(__xludf.DUMMYFUNCTION(" VLOOKUP(A1363, IMPORTRANGE(""https://docs.google.com/spreadsheets/d/1fj_Bhi2XPL3siwIh4sx4VRLAe31yD50oKdj5UlRYW0c/"", ""Сводка!A:AA""), 5, FALSE)"),116)</f>
        <v>116</v>
      </c>
      <c r="H1366" s="12" t="s">
        <v>538</v>
      </c>
      <c r="I1366" s="10">
        <f ca="1">IFERROR(__xludf.DUMMYFUNCTION(" VLOOKUP(A1363, IMPORTRANGE(""https://docs.google.com/spreadsheets/d/1QNLbnkR_AongFt22vMfNzfpjZ0CjpI8QI-w0wBnYA1w/"", ""Инфа!A:AA""), 6, FALSE)"),2024)</f>
        <v>2024</v>
      </c>
      <c r="J1366" s="5">
        <f t="shared" ca="1" si="45"/>
        <v>8500</v>
      </c>
      <c r="K1366" s="9" t="s">
        <v>539</v>
      </c>
      <c r="L1366" s="15" t="s">
        <v>5640</v>
      </c>
    </row>
    <row r="1367" spans="1:12" ht="123.75">
      <c r="A1367" s="8" t="s">
        <v>5641</v>
      </c>
      <c r="B1367" s="12" t="s">
        <v>12</v>
      </c>
      <c r="C1367" s="12" t="s">
        <v>151</v>
      </c>
      <c r="D1367" s="10" t="s">
        <v>5642</v>
      </c>
      <c r="E1367" s="11" t="s">
        <v>5643</v>
      </c>
      <c r="F1367" s="11" t="s">
        <v>5644</v>
      </c>
      <c r="G1367" s="12">
        <f ca="1">IFERROR(__xludf.DUMMYFUNCTION(" VLOOKUP(A1364, IMPORTRANGE(""https://docs.google.com/spreadsheets/d/1fj_Bhi2XPL3siwIh4sx4VRLAe31yD50oKdj5UlRYW0c/"", ""Сводка!A:AA""), 5, FALSE)"),268)</f>
        <v>268</v>
      </c>
      <c r="H1367" s="12" t="s">
        <v>282</v>
      </c>
      <c r="I1367" s="10">
        <f ca="1">IFERROR(__xludf.DUMMYFUNCTION(" VLOOKUP(A1364, IMPORTRANGE(""https://docs.google.com/spreadsheets/d/1QNLbnkR_AongFt22vMfNzfpjZ0CjpI8QI-w0wBnYA1w/"", ""Инфа!A:AA""), 6, FALSE)"),2024)</f>
        <v>2024</v>
      </c>
      <c r="J1367" s="5">
        <f t="shared" ca="1" si="45"/>
        <v>13000</v>
      </c>
      <c r="K1367" s="12" t="s">
        <v>4043</v>
      </c>
      <c r="L1367" s="16" t="s">
        <v>5645</v>
      </c>
    </row>
    <row r="1368" spans="1:12" ht="123.75">
      <c r="A1368" s="8" t="s">
        <v>5646</v>
      </c>
      <c r="B1368" s="12" t="s">
        <v>12</v>
      </c>
      <c r="C1368" s="12" t="s">
        <v>151</v>
      </c>
      <c r="D1368" s="10" t="s">
        <v>5647</v>
      </c>
      <c r="E1368" s="11" t="s">
        <v>5643</v>
      </c>
      <c r="F1368" s="11" t="s">
        <v>5648</v>
      </c>
      <c r="G1368" s="12">
        <f ca="1">IFERROR(__xludf.DUMMYFUNCTION(" VLOOKUP(A1365, IMPORTRANGE(""https://docs.google.com/spreadsheets/d/1fj_Bhi2XPL3siwIh4sx4VRLAe31yD50oKdj5UlRYW0c/"", ""Сводка!A:AA""), 5, FALSE)"),176)</f>
        <v>176</v>
      </c>
      <c r="H1368" s="12" t="s">
        <v>282</v>
      </c>
      <c r="I1368" s="10">
        <f ca="1">IFERROR(__xludf.DUMMYFUNCTION(" VLOOKUP(A1365, IMPORTRANGE(""https://docs.google.com/spreadsheets/d/1QNLbnkR_AongFt22vMfNzfpjZ0CjpI8QI-w0wBnYA1w/"", ""Инфа!A:AA""), 6, FALSE)"),2024)</f>
        <v>2024</v>
      </c>
      <c r="J1368" s="5">
        <f t="shared" ca="1" si="45"/>
        <v>10300</v>
      </c>
      <c r="K1368" s="12" t="s">
        <v>4043</v>
      </c>
      <c r="L1368" s="16" t="s">
        <v>5649</v>
      </c>
    </row>
    <row r="1369" spans="1:12" ht="123.75">
      <c r="A1369" s="8" t="s">
        <v>5650</v>
      </c>
      <c r="B1369" s="12" t="s">
        <v>12</v>
      </c>
      <c r="C1369" s="12" t="s">
        <v>151</v>
      </c>
      <c r="D1369" s="10" t="str">
        <f ca="1">IFERROR(__xludf.DUMMYFUNCTION(" VLOOKUP(A1366, IMPORTRANGE(""https://docs.google.com/spreadsheets/d/1fj_Bhi2XPL3siwIh4sx4VRLAe31yD50oKdj5UlRYW0c/"", ""Сводка!A:AA""), 11, FALSE)"),"978-601-7665-72-2")</f>
        <v>978-601-7665-72-2</v>
      </c>
      <c r="E1369" s="11" t="s">
        <v>4041</v>
      </c>
      <c r="F1369" s="11" t="s">
        <v>5651</v>
      </c>
      <c r="G1369" s="12">
        <f ca="1">IFERROR(__xludf.DUMMYFUNCTION(" VLOOKUP(A1366, IMPORTRANGE(""https://docs.google.com/spreadsheets/d/1fj_Bhi2XPL3siwIh4sx4VRLAe31yD50oKdj5UlRYW0c/"", ""Сводка!A:AA""), 5, FALSE)"),232)</f>
        <v>232</v>
      </c>
      <c r="H1369" s="12" t="s">
        <v>282</v>
      </c>
      <c r="I1369" s="10">
        <f ca="1">IFERROR(__xludf.DUMMYFUNCTION(" VLOOKUP(A1366, IMPORTRANGE(""https://docs.google.com/spreadsheets/d/1QNLbnkR_AongFt22vMfNzfpjZ0CjpI8QI-w0wBnYA1w/"", ""Инфа!A:AA""), 6, FALSE)"),2024)</f>
        <v>2024</v>
      </c>
      <c r="J1369" s="5">
        <f t="shared" ca="1" si="45"/>
        <v>12000</v>
      </c>
      <c r="K1369" s="12" t="s">
        <v>4043</v>
      </c>
      <c r="L1369" s="16" t="s">
        <v>5652</v>
      </c>
    </row>
    <row r="1370" spans="1:12" ht="236.25">
      <c r="A1370" s="8" t="s">
        <v>5653</v>
      </c>
      <c r="B1370" s="12" t="s">
        <v>12</v>
      </c>
      <c r="C1370" s="12" t="s">
        <v>443</v>
      </c>
      <c r="D1370" s="10" t="s">
        <v>5654</v>
      </c>
      <c r="E1370" s="11" t="s">
        <v>5655</v>
      </c>
      <c r="F1370" s="11" t="s">
        <v>1716</v>
      </c>
      <c r="G1370" s="12">
        <f ca="1">IFERROR(__xludf.DUMMYFUNCTION(" VLOOKUP(A1367, IMPORTRANGE(""https://docs.google.com/spreadsheets/d/1fj_Bhi2XPL3siwIh4sx4VRLAe31yD50oKdj5UlRYW0c/"", ""Сводка!A:AA""), 5, FALSE)"),208)</f>
        <v>208</v>
      </c>
      <c r="H1370" s="12" t="s">
        <v>538</v>
      </c>
      <c r="I1370" s="10">
        <f ca="1">IFERROR(__xludf.DUMMYFUNCTION(" VLOOKUP(A1367, IMPORTRANGE(""https://docs.google.com/spreadsheets/d/1QNLbnkR_AongFt22vMfNzfpjZ0CjpI8QI-w0wBnYA1w/"", ""Инфа!A:AA""), 6, FALSE)"),2024)</f>
        <v>2024</v>
      </c>
      <c r="J1370" s="5">
        <f t="shared" ca="1" si="45"/>
        <v>11200</v>
      </c>
      <c r="K1370" s="12" t="s">
        <v>619</v>
      </c>
      <c r="L1370" s="16" t="s">
        <v>5656</v>
      </c>
    </row>
    <row r="1371" spans="1:12" ht="225">
      <c r="A1371" s="8" t="s">
        <v>5657</v>
      </c>
      <c r="B1371" s="12" t="s">
        <v>12</v>
      </c>
      <c r="C1371" s="12" t="s">
        <v>151</v>
      </c>
      <c r="D1371" s="10" t="s">
        <v>5658</v>
      </c>
      <c r="E1371" s="11" t="s">
        <v>5655</v>
      </c>
      <c r="F1371" s="45" t="s">
        <v>5659</v>
      </c>
      <c r="G1371" s="12">
        <f ca="1">IFERROR(__xludf.DUMMYFUNCTION(" VLOOKUP(A1368, IMPORTRANGE(""https://docs.google.com/spreadsheets/d/1fj_Bhi2XPL3siwIh4sx4VRLAe31yD50oKdj5UlRYW0c/"", ""Сводка!A:AA""), 5, FALSE)"),176)</f>
        <v>176</v>
      </c>
      <c r="H1371" s="12" t="s">
        <v>47</v>
      </c>
      <c r="I1371" s="10">
        <f ca="1">IFERROR(__xludf.DUMMYFUNCTION(" VLOOKUP(A1368, IMPORTRANGE(""https://docs.google.com/spreadsheets/d/1QNLbnkR_AongFt22vMfNzfpjZ0CjpI8QI-w0wBnYA1w/"", ""Инфа!A:AA""), 6, FALSE)"),2024)</f>
        <v>2024</v>
      </c>
      <c r="J1371" s="5">
        <f t="shared" ca="1" si="45"/>
        <v>10300</v>
      </c>
      <c r="K1371" s="12" t="s">
        <v>619</v>
      </c>
      <c r="L1371" s="16" t="s">
        <v>5660</v>
      </c>
    </row>
    <row r="1372" spans="1:12" ht="292.5">
      <c r="A1372" s="8" t="s">
        <v>5661</v>
      </c>
      <c r="B1372" s="12" t="s">
        <v>12</v>
      </c>
      <c r="C1372" s="12" t="s">
        <v>151</v>
      </c>
      <c r="D1372" s="10" t="s">
        <v>5662</v>
      </c>
      <c r="E1372" s="11" t="s">
        <v>5663</v>
      </c>
      <c r="F1372" s="11" t="s">
        <v>5664</v>
      </c>
      <c r="G1372" s="12">
        <f ca="1">IFERROR(__xludf.DUMMYFUNCTION(" VLOOKUP(A1369, IMPORTRANGE(""https://docs.google.com/spreadsheets/d/1fj_Bhi2XPL3siwIh4sx4VRLAe31yD50oKdj5UlRYW0c/"", ""Сводка!A:AA""), 5, FALSE)"),204)</f>
        <v>204</v>
      </c>
      <c r="H1372" s="12" t="s">
        <v>47</v>
      </c>
      <c r="I1372" s="10">
        <f ca="1">IFERROR(__xludf.DUMMYFUNCTION(" VLOOKUP(A1369, IMPORTRANGE(""https://docs.google.com/spreadsheets/d/1QNLbnkR_AongFt22vMfNzfpjZ0CjpI8QI-w0wBnYA1w/"", ""Инфа!A:AA""), 6, FALSE)"),2024)</f>
        <v>2024</v>
      </c>
      <c r="J1372" s="5">
        <f t="shared" ca="1" si="45"/>
        <v>11100</v>
      </c>
      <c r="K1372" s="12" t="s">
        <v>5665</v>
      </c>
      <c r="L1372" s="16" t="s">
        <v>5666</v>
      </c>
    </row>
    <row r="1373" spans="1:12" ht="180">
      <c r="A1373" s="8" t="s">
        <v>5667</v>
      </c>
      <c r="B1373" s="12" t="s">
        <v>12</v>
      </c>
      <c r="C1373" s="12" t="s">
        <v>151</v>
      </c>
      <c r="D1373" s="10" t="str">
        <f ca="1">IFERROR(__xludf.DUMMYFUNCTION(" VLOOKUP(A1370, IMPORTRANGE(""https://docs.google.com/spreadsheets/d/1fj_Bhi2XPL3siwIh4sx4VRLAe31yD50oKdj5UlRYW0c/"", ""Сводка!A:AA""), 11, FALSE)"),"978-601-330-120-4")</f>
        <v>978-601-330-120-4</v>
      </c>
      <c r="E1373" s="11" t="s">
        <v>5668</v>
      </c>
      <c r="F1373" s="11" t="s">
        <v>5669</v>
      </c>
      <c r="G1373" s="12">
        <f ca="1">IFERROR(__xludf.DUMMYFUNCTION(" VLOOKUP(A1370, IMPORTRANGE(""https://docs.google.com/spreadsheets/d/1fj_Bhi2XPL3siwIh4sx4VRLAe31yD50oKdj5UlRYW0c/"", ""Сводка!A:AA""), 5, FALSE)"),128)</f>
        <v>128</v>
      </c>
      <c r="H1373" s="12" t="s">
        <v>106</v>
      </c>
      <c r="I1373" s="10">
        <f ca="1">IFERROR(__xludf.DUMMYFUNCTION(" VLOOKUP(A1370, IMPORTRANGE(""https://docs.google.com/spreadsheets/d/1QNLbnkR_AongFt22vMfNzfpjZ0CjpI8QI-w0wBnYA1w/"", ""Инфа!A:AA""), 6, FALSE)"),2024)</f>
        <v>2024</v>
      </c>
      <c r="J1373" s="5">
        <f t="shared" ca="1" si="45"/>
        <v>8800</v>
      </c>
      <c r="K1373" s="12" t="s">
        <v>3591</v>
      </c>
      <c r="L1373" s="15" t="s">
        <v>5670</v>
      </c>
    </row>
    <row r="1374" spans="1:12" ht="202.5">
      <c r="A1374" s="8" t="s">
        <v>5671</v>
      </c>
      <c r="B1374" s="12" t="s">
        <v>12</v>
      </c>
      <c r="C1374" s="12" t="s">
        <v>443</v>
      </c>
      <c r="D1374" s="10" t="str">
        <f ca="1">IFERROR(__xludf.DUMMYFUNCTION(" VLOOKUP(A1371, IMPORTRANGE(""https://docs.google.com/spreadsheets/d/1fj_Bhi2XPL3siwIh4sx4VRLAe31yD50oKdj5UlRYW0c/"", ""Сводка!A:AA""), 11, FALSE)"),"978-601-330-278-2")</f>
        <v>978-601-330-278-2</v>
      </c>
      <c r="E1374" s="11" t="s">
        <v>5672</v>
      </c>
      <c r="F1374" s="11" t="s">
        <v>5673</v>
      </c>
      <c r="G1374" s="12">
        <f ca="1">IFERROR(__xludf.DUMMYFUNCTION(" VLOOKUP(A1371, IMPORTRANGE(""https://docs.google.com/spreadsheets/d/1fj_Bhi2XPL3siwIh4sx4VRLAe31yD50oKdj5UlRYW0c/"", ""Сводка!A:AA""), 5, FALSE)"),144)</f>
        <v>144</v>
      </c>
      <c r="H1374" s="12" t="s">
        <v>106</v>
      </c>
      <c r="I1374" s="10">
        <f ca="1">IFERROR(__xludf.DUMMYFUNCTION(" VLOOKUP(A1371, IMPORTRANGE(""https://docs.google.com/spreadsheets/d/1QNLbnkR_AongFt22vMfNzfpjZ0CjpI8QI-w0wBnYA1w/"", ""Инфа!A:AA""), 6, FALSE)"),2023)</f>
        <v>2023</v>
      </c>
      <c r="J1374" s="5">
        <f t="shared" ca="1" si="45"/>
        <v>9300</v>
      </c>
      <c r="K1374" s="12" t="s">
        <v>539</v>
      </c>
      <c r="L1374" s="16" t="s">
        <v>5674</v>
      </c>
    </row>
    <row r="1375" spans="1:12" ht="180">
      <c r="A1375" s="48" t="s">
        <v>5675</v>
      </c>
      <c r="B1375" s="9" t="s">
        <v>12</v>
      </c>
      <c r="C1375" s="9" t="s">
        <v>443</v>
      </c>
      <c r="D1375" s="10" t="str">
        <f ca="1">IFERROR(__xludf.DUMMYFUNCTION(" VLOOKUP(A1372, IMPORTRANGE(""https://docs.google.com/spreadsheets/d/1fj_Bhi2XPL3siwIh4sx4VRLAe31yD50oKdj5UlRYW0c/"", ""Сводка!A:AA""), 11, FALSE)"),"978-601-241-940-5")</f>
        <v>978-601-241-940-5</v>
      </c>
      <c r="E1375" s="38" t="s">
        <v>5676</v>
      </c>
      <c r="F1375" s="38" t="s">
        <v>5677</v>
      </c>
      <c r="G1375" s="12">
        <f ca="1">IFERROR(__xludf.DUMMYFUNCTION(" VLOOKUP(A1372, IMPORTRANGE(""https://docs.google.com/spreadsheets/d/1fj_Bhi2XPL3siwIh4sx4VRLAe31yD50oKdj5UlRYW0c/"", ""Сводка!A:AA""), 5, FALSE)"),340)</f>
        <v>340</v>
      </c>
      <c r="H1375" s="9" t="s">
        <v>106</v>
      </c>
      <c r="I1375" s="10">
        <f ca="1">IFERROR(__xludf.DUMMYFUNCTION(" VLOOKUP(A1372, IMPORTRANGE(""https://docs.google.com/spreadsheets/d/1QNLbnkR_AongFt22vMfNzfpjZ0CjpI8QI-w0wBnYA1w/"", ""Инфа!A:AA""), 6, FALSE)"),2024)</f>
        <v>2024</v>
      </c>
      <c r="J1375" s="5">
        <f t="shared" ca="1" si="45"/>
        <v>15200</v>
      </c>
      <c r="K1375" s="9" t="s">
        <v>5678</v>
      </c>
      <c r="L1375" s="41" t="s">
        <v>5679</v>
      </c>
    </row>
    <row r="1376" spans="1:12" ht="146.25">
      <c r="A1376" s="48" t="s">
        <v>5680</v>
      </c>
      <c r="B1376" s="12" t="s">
        <v>12</v>
      </c>
      <c r="C1376" s="12" t="s">
        <v>151</v>
      </c>
      <c r="D1376" s="10" t="str">
        <f ca="1">IFERROR(__xludf.DUMMYFUNCTION(" VLOOKUP(A1373, IMPORTRANGE(""https://docs.google.com/spreadsheets/d/1fj_Bhi2XPL3siwIh4sx4VRLAe31yD50oKdj5UlRYW0c/"", ""Сводка!A:AA""), 11, FALSE)"),"978-601-330-124-2")</f>
        <v>978-601-330-124-2</v>
      </c>
      <c r="E1376" s="11" t="s">
        <v>5681</v>
      </c>
      <c r="F1376" s="11" t="s">
        <v>5682</v>
      </c>
      <c r="G1376" s="12">
        <f ca="1">IFERROR(__xludf.DUMMYFUNCTION(" VLOOKUP(A1373, IMPORTRANGE(""https://docs.google.com/spreadsheets/d/1fj_Bhi2XPL3siwIh4sx4VRLAe31yD50oKdj5UlRYW0c/"", ""Сводка!A:AA""), 5, FALSE)"),140)</f>
        <v>140</v>
      </c>
      <c r="H1376" s="12" t="s">
        <v>106</v>
      </c>
      <c r="I1376" s="10">
        <f ca="1">IFERROR(__xludf.DUMMYFUNCTION(" VLOOKUP(A1373, IMPORTRANGE(""https://docs.google.com/spreadsheets/d/1QNLbnkR_AongFt22vMfNzfpjZ0CjpI8QI-w0wBnYA1w/"", ""Инфа!A:AA""), 6, FALSE)"),2024)</f>
        <v>2024</v>
      </c>
      <c r="J1376" s="5">
        <f t="shared" ca="1" si="45"/>
        <v>9200</v>
      </c>
      <c r="K1376" s="12" t="s">
        <v>3591</v>
      </c>
      <c r="L1376" s="15" t="s">
        <v>5683</v>
      </c>
    </row>
    <row r="1377" spans="1:12" ht="101.25">
      <c r="A1377" s="8" t="s">
        <v>5684</v>
      </c>
      <c r="B1377" s="9" t="s">
        <v>12</v>
      </c>
      <c r="C1377" s="10" t="s">
        <v>443</v>
      </c>
      <c r="D1377" s="10" t="str">
        <f ca="1">IFERROR(__xludf.DUMMYFUNCTION(" VLOOKUP(A1374, IMPORTRANGE(""https://docs.google.com/spreadsheets/d/1fj_Bhi2XPL3siwIh4sx4VRLAe31yD50oKdj5UlRYW0c/"", ""Сводка!A:AA""), 11, FALSE)"),"978-601-310-926-8")</f>
        <v>978-601-310-926-8</v>
      </c>
      <c r="E1377" s="11" t="s">
        <v>5638</v>
      </c>
      <c r="F1377" s="11" t="s">
        <v>5685</v>
      </c>
      <c r="G1377" s="12">
        <f ca="1">IFERROR(__xludf.DUMMYFUNCTION(" VLOOKUP(A1374, IMPORTRANGE(""https://docs.google.com/spreadsheets/d/1fj_Bhi2XPL3siwIh4sx4VRLAe31yD50oKdj5UlRYW0c/"", ""Сводка!A:AA""), 5, FALSE)"),108)</f>
        <v>108</v>
      </c>
      <c r="H1377" s="12" t="s">
        <v>556</v>
      </c>
      <c r="I1377" s="10">
        <f ca="1">IFERROR(__xludf.DUMMYFUNCTION(" VLOOKUP(A1374, IMPORTRANGE(""https://docs.google.com/spreadsheets/d/1QNLbnkR_AongFt22vMfNzfpjZ0CjpI8QI-w0wBnYA1w/"", ""Инфа!A:AA""), 6, FALSE)"),2024)</f>
        <v>2024</v>
      </c>
      <c r="J1377" s="5">
        <f t="shared" ca="1" si="45"/>
        <v>8200</v>
      </c>
      <c r="K1377" s="9" t="s">
        <v>539</v>
      </c>
      <c r="L1377" s="15" t="s">
        <v>5686</v>
      </c>
    </row>
    <row r="1378" spans="1:12" ht="191.25">
      <c r="A1378" s="48" t="s">
        <v>5687</v>
      </c>
      <c r="B1378" s="12" t="s">
        <v>12</v>
      </c>
      <c r="C1378" s="12" t="s">
        <v>151</v>
      </c>
      <c r="D1378" s="10" t="str">
        <f ca="1">IFERROR(__xludf.DUMMYFUNCTION(" VLOOKUP(A1375, IMPORTRANGE(""https://docs.google.com/spreadsheets/d/1fj_Bhi2XPL3siwIh4sx4VRLAe31yD50oKdj5UlRYW0c/"", ""Сводка!A:AA""), 11, FALSE)"),"978-601-330-121-1")</f>
        <v>978-601-330-121-1</v>
      </c>
      <c r="E1378" s="11" t="s">
        <v>5688</v>
      </c>
      <c r="F1378" s="11" t="s">
        <v>5689</v>
      </c>
      <c r="G1378" s="12">
        <f ca="1">IFERROR(__xludf.DUMMYFUNCTION(" VLOOKUP(A1375, IMPORTRANGE(""https://docs.google.com/spreadsheets/d/1fj_Bhi2XPL3siwIh4sx4VRLAe31yD50oKdj5UlRYW0c/"", ""Сводка!A:AA""), 5, FALSE)"),136)</f>
        <v>136</v>
      </c>
      <c r="H1378" s="12" t="s">
        <v>106</v>
      </c>
      <c r="I1378" s="10">
        <f ca="1">IFERROR(__xludf.DUMMYFUNCTION(" VLOOKUP(A1375, IMPORTRANGE(""https://docs.google.com/spreadsheets/d/1QNLbnkR_AongFt22vMfNzfpjZ0CjpI8QI-w0wBnYA1w/"", ""Инфа!A:AA""), 6, FALSE)"),2024)</f>
        <v>2024</v>
      </c>
      <c r="J1378" s="5">
        <f t="shared" ca="1" si="45"/>
        <v>9100</v>
      </c>
      <c r="K1378" s="12" t="s">
        <v>3591</v>
      </c>
      <c r="L1378" s="15" t="s">
        <v>5690</v>
      </c>
    </row>
    <row r="1379" spans="1:12" ht="292.5">
      <c r="A1379" s="48" t="s">
        <v>5691</v>
      </c>
      <c r="B1379" s="12" t="s">
        <v>12</v>
      </c>
      <c r="C1379" s="12" t="s">
        <v>443</v>
      </c>
      <c r="D1379" s="10" t="str">
        <f ca="1">IFERROR(__xludf.DUMMYFUNCTION(" VLOOKUP(A1376, IMPORTRANGE(""https://docs.google.com/spreadsheets/d/1fj_Bhi2XPL3siwIh4sx4VRLAe31yD50oKdj5UlRYW0c/"", ""Сводка!A:AA""), 11, FALSE)"),"978-601-330-117-4")</f>
        <v>978-601-330-117-4</v>
      </c>
      <c r="E1379" s="11" t="s">
        <v>5692</v>
      </c>
      <c r="F1379" s="11" t="s">
        <v>5693</v>
      </c>
      <c r="G1379" s="12">
        <f ca="1">IFERROR(__xludf.DUMMYFUNCTION(" VLOOKUP(A1376, IMPORTRANGE(""https://docs.google.com/spreadsheets/d/1fj_Bhi2XPL3siwIh4sx4VRLAe31yD50oKdj5UlRYW0c/"", ""Сводка!A:AA""), 5, FALSE)"),120)</f>
        <v>120</v>
      </c>
      <c r="H1379" s="12" t="s">
        <v>106</v>
      </c>
      <c r="I1379" s="10">
        <f ca="1">IFERROR(__xludf.DUMMYFUNCTION(" VLOOKUP(A1376, IMPORTRANGE(""https://docs.google.com/spreadsheets/d/1QNLbnkR_AongFt22vMfNzfpjZ0CjpI8QI-w0wBnYA1w/"", ""Инфа!A:AA""), 6, FALSE)"),2024)</f>
        <v>2024</v>
      </c>
      <c r="J1379" s="5">
        <f t="shared" ca="1" si="45"/>
        <v>8600</v>
      </c>
      <c r="K1379" s="12" t="s">
        <v>3591</v>
      </c>
      <c r="L1379" s="15" t="s">
        <v>5694</v>
      </c>
    </row>
    <row r="1380" spans="1:12" ht="180">
      <c r="A1380" s="48" t="s">
        <v>5695</v>
      </c>
      <c r="B1380" s="12" t="s">
        <v>12</v>
      </c>
      <c r="C1380" s="12" t="s">
        <v>443</v>
      </c>
      <c r="D1380" s="10" t="str">
        <f ca="1">IFERROR(__xludf.DUMMYFUNCTION(" VLOOKUP(A1377, IMPORTRANGE(""https://docs.google.com/spreadsheets/d/1fj_Bhi2XPL3siwIh4sx4VRLAe31yD50oKdj5UlRYW0c/"", ""Сводка!A:AA""), 11, FALSE)"),"978-601-330-013-3")</f>
        <v>978-601-330-013-3</v>
      </c>
      <c r="E1380" s="11" t="s">
        <v>5696</v>
      </c>
      <c r="F1380" s="11" t="s">
        <v>869</v>
      </c>
      <c r="G1380" s="12">
        <f ca="1">IFERROR(__xludf.DUMMYFUNCTION(" VLOOKUP(A1377, IMPORTRANGE(""https://docs.google.com/spreadsheets/d/1fj_Bhi2XPL3siwIh4sx4VRLAe31yD50oKdj5UlRYW0c/"", ""Сводка!A:AA""), 5, FALSE)"),100)</f>
        <v>100</v>
      </c>
      <c r="H1380" s="12" t="s">
        <v>538</v>
      </c>
      <c r="I1380" s="10">
        <f ca="1">IFERROR(__xludf.DUMMYFUNCTION(" VLOOKUP(A1377, IMPORTRANGE(""https://docs.google.com/spreadsheets/d/1QNLbnkR_AongFt22vMfNzfpjZ0CjpI8QI-w0wBnYA1w/"", ""Инфа!A:AA""), 6, FALSE)"),2024)</f>
        <v>2024</v>
      </c>
      <c r="J1380" s="5">
        <f t="shared" ca="1" si="45"/>
        <v>8000</v>
      </c>
      <c r="K1380" s="12" t="s">
        <v>3707</v>
      </c>
      <c r="L1380" s="15" t="s">
        <v>5697</v>
      </c>
    </row>
    <row r="1381" spans="1:12" ht="202.5">
      <c r="A1381" s="48" t="s">
        <v>5698</v>
      </c>
      <c r="B1381" s="12" t="s">
        <v>12</v>
      </c>
      <c r="C1381" s="12" t="s">
        <v>443</v>
      </c>
      <c r="D1381" s="10" t="str">
        <f ca="1">IFERROR(__xludf.DUMMYFUNCTION(" VLOOKUP(A1378, IMPORTRANGE(""https://docs.google.com/spreadsheets/d/1fj_Bhi2XPL3siwIh4sx4VRLAe31yD50oKdj5UlRYW0c/"", ""Сводка!A:AA""), 11, FALSE)"),"978-601-330-217-1")</f>
        <v>978-601-330-217-1</v>
      </c>
      <c r="E1381" s="11" t="s">
        <v>5699</v>
      </c>
      <c r="F1381" s="11" t="s">
        <v>5700</v>
      </c>
      <c r="G1381" s="12">
        <f ca="1">IFERROR(__xludf.DUMMYFUNCTION(" VLOOKUP(A1378, IMPORTRANGE(""https://docs.google.com/spreadsheets/d/1fj_Bhi2XPL3siwIh4sx4VRLAe31yD50oKdj5UlRYW0c/"", ""Сводка!A:AA""), 5, FALSE)"),196)</f>
        <v>196</v>
      </c>
      <c r="H1381" s="12" t="s">
        <v>106</v>
      </c>
      <c r="I1381" s="10">
        <f ca="1">IFERROR(__xludf.DUMMYFUNCTION(" VLOOKUP(A1378, IMPORTRANGE(""https://docs.google.com/spreadsheets/d/1QNLbnkR_AongFt22vMfNzfpjZ0CjpI8QI-w0wBnYA1w/"", ""Инфа!A:AA""), 6, FALSE)"),2023)</f>
        <v>2023</v>
      </c>
      <c r="J1381" s="5">
        <f t="shared" ca="1" si="45"/>
        <v>10900</v>
      </c>
      <c r="K1381" s="12" t="s">
        <v>575</v>
      </c>
      <c r="L1381" s="16" t="s">
        <v>5701</v>
      </c>
    </row>
    <row r="1382" spans="1:12" ht="213.75">
      <c r="A1382" s="48" t="s">
        <v>5702</v>
      </c>
      <c r="B1382" s="12" t="s">
        <v>12</v>
      </c>
      <c r="C1382" s="12" t="s">
        <v>443</v>
      </c>
      <c r="D1382" s="10" t="str">
        <f ca="1">IFERROR(__xludf.DUMMYFUNCTION(" VLOOKUP(A1379, IMPORTRANGE(""https://docs.google.com/spreadsheets/d/1fj_Bhi2XPL3siwIh4sx4VRLAe31yD50oKdj5UlRYW0c/"", ""Сводка!A:AA""), 11, FALSE)"),"978-601-330-216-4")</f>
        <v>978-601-330-216-4</v>
      </c>
      <c r="E1382" s="11" t="s">
        <v>5703</v>
      </c>
      <c r="F1382" s="11" t="s">
        <v>5704</v>
      </c>
      <c r="G1382" s="12">
        <f ca="1">IFERROR(__xludf.DUMMYFUNCTION(" VLOOKUP(A1379, IMPORTRANGE(""https://docs.google.com/spreadsheets/d/1fj_Bhi2XPL3siwIh4sx4VRLAe31yD50oKdj5UlRYW0c/"", ""Сводка!A:AA""), 5, FALSE)"),132)</f>
        <v>132</v>
      </c>
      <c r="H1382" s="12" t="s">
        <v>106</v>
      </c>
      <c r="I1382" s="10">
        <f ca="1">IFERROR(__xludf.DUMMYFUNCTION(" VLOOKUP(A1379, IMPORTRANGE(""https://docs.google.com/spreadsheets/d/1QNLbnkR_AongFt22vMfNzfpjZ0CjpI8QI-w0wBnYA1w/"", ""Инфа!A:AA""), 6, FALSE)"),2023)</f>
        <v>2023</v>
      </c>
      <c r="J1382" s="5">
        <f t="shared" ca="1" si="45"/>
        <v>9000</v>
      </c>
      <c r="K1382" s="12" t="s">
        <v>5705</v>
      </c>
      <c r="L1382" s="16" t="s">
        <v>5706</v>
      </c>
    </row>
    <row r="1383" spans="1:12" ht="180">
      <c r="A1383" s="48" t="s">
        <v>5707</v>
      </c>
      <c r="B1383" s="12" t="s">
        <v>12</v>
      </c>
      <c r="C1383" s="12" t="s">
        <v>443</v>
      </c>
      <c r="D1383" s="10" t="s">
        <v>5708</v>
      </c>
      <c r="E1383" s="45" t="s">
        <v>5709</v>
      </c>
      <c r="F1383" s="45" t="s">
        <v>5710</v>
      </c>
      <c r="G1383" s="12">
        <f ca="1">IFERROR(__xludf.DUMMYFUNCTION(" VLOOKUP(A1380, IMPORTRANGE(""https://docs.google.com/spreadsheets/d/1fj_Bhi2XPL3siwIh4sx4VRLAe31yD50oKdj5UlRYW0c/"", ""Сводка!A:AA""), 5, FALSE)"),192)</f>
        <v>192</v>
      </c>
      <c r="H1383" s="12" t="s">
        <v>106</v>
      </c>
      <c r="I1383" s="10">
        <f ca="1">IFERROR(__xludf.DUMMYFUNCTION(" VLOOKUP(A1380, IMPORTRANGE(""https://docs.google.com/spreadsheets/d/1QNLbnkR_AongFt22vMfNzfpjZ0CjpI8QI-w0wBnYA1w/"", ""Инфа!A:AA""), 6, FALSE)"),2024)</f>
        <v>2024</v>
      </c>
      <c r="J1383" s="5">
        <f t="shared" ca="1" si="45"/>
        <v>10800</v>
      </c>
      <c r="K1383" s="12" t="s">
        <v>575</v>
      </c>
      <c r="L1383" s="15" t="s">
        <v>5711</v>
      </c>
    </row>
    <row r="1384" spans="1:12" ht="180">
      <c r="A1384" s="48" t="s">
        <v>5712</v>
      </c>
      <c r="B1384" s="12" t="s">
        <v>12</v>
      </c>
      <c r="C1384" s="12" t="s">
        <v>443</v>
      </c>
      <c r="D1384" s="10" t="str">
        <f ca="1">IFERROR(__xludf.DUMMYFUNCTION(" VLOOKUP(A1381, IMPORTRANGE(""https://docs.google.com/spreadsheets/d/1fj_Bhi2XPL3siwIh4sx4VRLAe31yD50oKdj5UlRYW0c/"", ""Сводка!A:AA""), 11, FALSE)"),"978-601-330-184-6")</f>
        <v>978-601-330-184-6</v>
      </c>
      <c r="E1384" s="11" t="s">
        <v>5713</v>
      </c>
      <c r="F1384" s="11" t="s">
        <v>5714</v>
      </c>
      <c r="G1384" s="12">
        <f ca="1">IFERROR(__xludf.DUMMYFUNCTION(" VLOOKUP(A1381, IMPORTRANGE(""https://docs.google.com/spreadsheets/d/1fj_Bhi2XPL3siwIh4sx4VRLAe31yD50oKdj5UlRYW0c/"", ""Сводка!A:AA""), 5, FALSE)"),252)</f>
        <v>252</v>
      </c>
      <c r="H1384" s="12" t="s">
        <v>511</v>
      </c>
      <c r="I1384" s="10">
        <f ca="1">IFERROR(__xludf.DUMMYFUNCTION(" VLOOKUP(A1381, IMPORTRANGE(""https://docs.google.com/spreadsheets/d/1QNLbnkR_AongFt22vMfNzfpjZ0CjpI8QI-w0wBnYA1w/"", ""Инфа!A:AA""), 6, FALSE)"),2023)</f>
        <v>2023</v>
      </c>
      <c r="J1384" s="5">
        <f t="shared" ca="1" si="45"/>
        <v>12600</v>
      </c>
      <c r="K1384" s="12" t="s">
        <v>5715</v>
      </c>
      <c r="L1384" s="15" t="s">
        <v>5716</v>
      </c>
    </row>
    <row r="1385" spans="1:12" ht="157.5">
      <c r="A1385" s="48" t="s">
        <v>5717</v>
      </c>
      <c r="B1385" s="12" t="s">
        <v>12</v>
      </c>
      <c r="C1385" s="12" t="s">
        <v>151</v>
      </c>
      <c r="D1385" s="10" t="str">
        <f ca="1">IFERROR(__xludf.DUMMYFUNCTION(" VLOOKUP(A1382, IMPORTRANGE(""https://docs.google.com/spreadsheets/d/1fj_Bhi2XPL3siwIh4sx4VRLAe31yD50oKdj5UlRYW0c/"", ""Сводка!A:AA""), 11, FALSE)"),"978-601-330-213-3")</f>
        <v>978-601-330-213-3</v>
      </c>
      <c r="E1385" s="11" t="s">
        <v>5718</v>
      </c>
      <c r="F1385" s="11" t="s">
        <v>5719</v>
      </c>
      <c r="G1385" s="12">
        <f ca="1">IFERROR(__xludf.DUMMYFUNCTION(" VLOOKUP(A1382, IMPORTRANGE(""https://docs.google.com/spreadsheets/d/1fj_Bhi2XPL3siwIh4sx4VRLAe31yD50oKdj5UlRYW0c/"", ""Сводка!A:AA""), 5, FALSE)"),144)</f>
        <v>144</v>
      </c>
      <c r="H1385" s="12" t="s">
        <v>498</v>
      </c>
      <c r="I1385" s="10">
        <f ca="1">IFERROR(__xludf.DUMMYFUNCTION(" VLOOKUP(A1382, IMPORTRANGE(""https://docs.google.com/spreadsheets/d/1QNLbnkR_AongFt22vMfNzfpjZ0CjpI8QI-w0wBnYA1w/"", ""Инфа!A:AA""), 6, FALSE)"),2023)</f>
        <v>2023</v>
      </c>
      <c r="J1385" s="5">
        <f t="shared" ca="1" si="45"/>
        <v>9300</v>
      </c>
      <c r="K1385" s="12" t="s">
        <v>5715</v>
      </c>
      <c r="L1385" s="15" t="s">
        <v>5720</v>
      </c>
    </row>
    <row r="1386" spans="1:12" ht="168.75">
      <c r="A1386" s="48" t="s">
        <v>5721</v>
      </c>
      <c r="B1386" s="12" t="s">
        <v>12</v>
      </c>
      <c r="C1386" s="12" t="s">
        <v>5722</v>
      </c>
      <c r="D1386" s="10" t="str">
        <f ca="1">IFERROR(__xludf.DUMMYFUNCTION(" VLOOKUP(A1383, IMPORTRANGE(""https://docs.google.com/spreadsheets/d/1fj_Bhi2XPL3siwIh4sx4VRLAe31yD50oKdj5UlRYW0c/"", ""Сводка!A:AA""), 11, FALSE)"),"978-601-352-878-6 ")</f>
        <v xml:space="preserve">978-601-352-878-6 </v>
      </c>
      <c r="E1386" s="45" t="s">
        <v>5723</v>
      </c>
      <c r="F1386" s="11" t="s">
        <v>5724</v>
      </c>
      <c r="G1386" s="12">
        <f ca="1">IFERROR(__xludf.DUMMYFUNCTION(" VLOOKUP(A1383, IMPORTRANGE(""https://docs.google.com/spreadsheets/d/1fj_Bhi2XPL3siwIh4sx4VRLAe31yD50oKdj5UlRYW0c/"", ""Сводка!A:AA""), 5, FALSE)"),140)</f>
        <v>140</v>
      </c>
      <c r="H1386" s="12" t="s">
        <v>106</v>
      </c>
      <c r="I1386" s="10">
        <f ca="1">IFERROR(__xludf.DUMMYFUNCTION(" VLOOKUP(A1383, IMPORTRANGE(""https://docs.google.com/spreadsheets/d/1QNLbnkR_AongFt22vMfNzfpjZ0CjpI8QI-w0wBnYA1w/"", ""Инфа!A:AA""), 6, FALSE)"),2024)</f>
        <v>2024</v>
      </c>
      <c r="J1386" s="5">
        <f t="shared" ca="1" si="45"/>
        <v>9200</v>
      </c>
      <c r="K1386" s="12" t="s">
        <v>5725</v>
      </c>
      <c r="L1386" s="15" t="s">
        <v>5726</v>
      </c>
    </row>
    <row r="1387" spans="1:12" ht="112.5">
      <c r="A1387" s="49" t="s">
        <v>5727</v>
      </c>
      <c r="B1387" s="50" t="s">
        <v>5728</v>
      </c>
      <c r="C1387" s="50" t="s">
        <v>443</v>
      </c>
      <c r="D1387" s="51" t="s">
        <v>5729</v>
      </c>
      <c r="E1387" s="52" t="s">
        <v>5730</v>
      </c>
      <c r="F1387" s="52" t="s">
        <v>5731</v>
      </c>
      <c r="G1387" s="50">
        <v>380</v>
      </c>
      <c r="H1387" s="50" t="s">
        <v>446</v>
      </c>
      <c r="I1387" s="51">
        <v>2023</v>
      </c>
      <c r="J1387" s="53">
        <v>36100</v>
      </c>
      <c r="K1387" s="50" t="s">
        <v>5732</v>
      </c>
      <c r="L1387" s="54" t="s">
        <v>5733</v>
      </c>
    </row>
    <row r="1388" spans="1:12" ht="112.5">
      <c r="A1388" s="48" t="s">
        <v>5734</v>
      </c>
      <c r="B1388" s="12" t="s">
        <v>5728</v>
      </c>
      <c r="C1388" s="12" t="s">
        <v>443</v>
      </c>
      <c r="D1388" s="10" t="str">
        <f ca="1">IFERROR(__xludf.DUMMYFUNCTION(" VLOOKUP(A1385, IMPORTRANGE(""https://docs.google.com/spreadsheets/d/1fj_Bhi2XPL3siwIh4sx4VRLAe31yD50oKdj5UlRYW0c/"", ""Сводка!A:AA""), 11, FALSE)"),"ISBN 978-601-330-039-9")</f>
        <v>ISBN 978-601-330-039-9</v>
      </c>
      <c r="E1388" s="11" t="s">
        <v>5730</v>
      </c>
      <c r="F1388" s="11" t="s">
        <v>5735</v>
      </c>
      <c r="G1388" s="12">
        <f ca="1">IFERROR(__xludf.DUMMYFUNCTION(" VLOOKUP(A1385, IMPORTRANGE(""https://docs.google.com/spreadsheets/d/1fj_Bhi2XPL3siwIh4sx4VRLAe31yD50oKdj5UlRYW0c/"", ""Сводка!A:AA""), 5, FALSE)"),236)</f>
        <v>236</v>
      </c>
      <c r="H1388" s="12" t="s">
        <v>446</v>
      </c>
      <c r="I1388" s="10">
        <f ca="1">IFERROR(__xludf.DUMMYFUNCTION(" VLOOKUP(A1385, IMPORTRANGE(""https://docs.google.com/spreadsheets/d/1QNLbnkR_AongFt22vMfNzfpjZ0CjpI8QI-w0wBnYA1w/"", ""Инфа!A:AA""), 6, FALSE)"),2023)</f>
        <v>2023</v>
      </c>
      <c r="J1388" s="5">
        <f ca="1">ROUND(((5000+G1388*60)*1.3),-2)</f>
        <v>24900</v>
      </c>
      <c r="K1388" s="12" t="s">
        <v>5732</v>
      </c>
      <c r="L1388" s="15" t="s">
        <v>5733</v>
      </c>
    </row>
    <row r="1389" spans="1:12" ht="292.5">
      <c r="A1389" s="48" t="s">
        <v>5736</v>
      </c>
      <c r="B1389" s="12" t="s">
        <v>12</v>
      </c>
      <c r="C1389" s="12" t="s">
        <v>21</v>
      </c>
      <c r="D1389" s="10" t="str">
        <f ca="1">IFERROR(__xludf.DUMMYFUNCTION(" VLOOKUP(A1386, IMPORTRANGE(""https://docs.google.com/spreadsheets/d/1fj_Bhi2XPL3siwIh4sx4VRLAe31yD50oKdj5UlRYW0c/"", ""Сводка!A:AA""), 11, FALSE)"),"ISBN 978-601-330-223-2")</f>
        <v>ISBN 978-601-330-223-2</v>
      </c>
      <c r="E1389" s="45" t="s">
        <v>5737</v>
      </c>
      <c r="F1389" s="11" t="s">
        <v>5738</v>
      </c>
      <c r="G1389" s="12" t="e">
        <f>#REF!</f>
        <v>#REF!</v>
      </c>
      <c r="H1389" s="12" t="s">
        <v>5739</v>
      </c>
      <c r="I1389" s="10">
        <f ca="1">IFERROR(__xludf.DUMMYFUNCTION(" VLOOKUP(A1386, IMPORTRANGE(""https://docs.google.com/spreadsheets/d/1QNLbnkR_AongFt22vMfNzfpjZ0CjpI8QI-w0wBnYA1w/"", ""Инфа!A:AA""), 6, FALSE)"),2023)</f>
        <v>2023</v>
      </c>
      <c r="J1389" s="5" t="e">
        <f t="shared" ref="J1389:J1396" si="46">ROUND((5000+G1389*30),-2)</f>
        <v>#REF!</v>
      </c>
      <c r="K1389" s="12" t="s">
        <v>5740</v>
      </c>
      <c r="L1389" s="15" t="s">
        <v>5741</v>
      </c>
    </row>
    <row r="1390" spans="1:12" ht="101.25">
      <c r="A1390" s="48" t="s">
        <v>5742</v>
      </c>
      <c r="B1390" s="12" t="s">
        <v>12</v>
      </c>
      <c r="C1390" s="12" t="s">
        <v>443</v>
      </c>
      <c r="D1390" s="10" t="str">
        <f ca="1">IFERROR(__xludf.DUMMYFUNCTION(" VLOOKUP(A1387, IMPORTRANGE(""https://docs.google.com/spreadsheets/d/1fj_Bhi2XPL3siwIh4sx4VRLAe31yD50oKdj5UlRYW0c/"", ""Сводка!A:AA""), 11, FALSE)"),"ISBN 978-601-330-047-4")</f>
        <v>ISBN 978-601-330-047-4</v>
      </c>
      <c r="E1390" s="11" t="s">
        <v>5743</v>
      </c>
      <c r="F1390" s="11" t="s">
        <v>5744</v>
      </c>
      <c r="G1390" s="12">
        <f ca="1">IFERROR(__xludf.DUMMYFUNCTION(" VLOOKUP(A1387, IMPORTRANGE(""https://docs.google.com/spreadsheets/d/1fj_Bhi2XPL3siwIh4sx4VRLAe31yD50oKdj5UlRYW0c/"", ""Сводка!A:AA""), 5, FALSE)"),144)</f>
        <v>144</v>
      </c>
      <c r="H1390" s="12" t="s">
        <v>538</v>
      </c>
      <c r="I1390" s="10">
        <f ca="1">IFERROR(__xludf.DUMMYFUNCTION(" VLOOKUP(A1387, IMPORTRANGE(""https://docs.google.com/spreadsheets/d/1QNLbnkR_AongFt22vMfNzfpjZ0CjpI8QI-w0wBnYA1w/"", ""Инфа!A:AA""), 6, FALSE)"),2024)</f>
        <v>2024</v>
      </c>
      <c r="J1390" s="5">
        <f t="shared" ca="1" si="46"/>
        <v>9300</v>
      </c>
      <c r="K1390" s="12" t="s">
        <v>5745</v>
      </c>
      <c r="L1390" s="15" t="s">
        <v>5746</v>
      </c>
    </row>
    <row r="1391" spans="1:12" ht="135">
      <c r="A1391" s="48" t="s">
        <v>5747</v>
      </c>
      <c r="B1391" s="14" t="s">
        <v>12</v>
      </c>
      <c r="C1391" s="12" t="s">
        <v>443</v>
      </c>
      <c r="D1391" s="10" t="str">
        <f ca="1">IFERROR(__xludf.DUMMYFUNCTION(" VLOOKUP(A1388, IMPORTRANGE(""https://docs.google.com/spreadsheets/d/1fj_Bhi2XPL3siwIh4sx4VRLAe31yD50oKdj5UlRYW0c/"", ""Сводка!A:AA""), 11, FALSE)"),"ISBN 978-601-330-250-8")</f>
        <v>ISBN 978-601-330-250-8</v>
      </c>
      <c r="E1391" s="11" t="s">
        <v>5748</v>
      </c>
      <c r="F1391" s="11" t="s">
        <v>5749</v>
      </c>
      <c r="G1391" s="12">
        <f ca="1">IFERROR(__xludf.DUMMYFUNCTION(" VLOOKUP(A1388, IMPORTRANGE(""https://docs.google.com/spreadsheets/d/1fj_Bhi2XPL3siwIh4sx4VRLAe31yD50oKdj5UlRYW0c/"", ""Сводка!A:AA""), 5, FALSE)"),260)</f>
        <v>260</v>
      </c>
      <c r="H1391" s="12" t="s">
        <v>511</v>
      </c>
      <c r="I1391" s="10">
        <f ca="1">IFERROR(__xludf.DUMMYFUNCTION(" VLOOKUP(A1388, IMPORTRANGE(""https://docs.google.com/spreadsheets/d/1QNLbnkR_AongFt22vMfNzfpjZ0CjpI8QI-w0wBnYA1w/"", ""Инфа!A:AA""), 6, FALSE)"),2023)</f>
        <v>2023</v>
      </c>
      <c r="J1391" s="5">
        <f t="shared" ca="1" si="46"/>
        <v>12800</v>
      </c>
      <c r="K1391" s="12" t="s">
        <v>740</v>
      </c>
      <c r="L1391" s="15" t="s">
        <v>5750</v>
      </c>
    </row>
    <row r="1392" spans="1:12" ht="135">
      <c r="A1392" s="48" t="s">
        <v>5751</v>
      </c>
      <c r="B1392" s="14" t="s">
        <v>12</v>
      </c>
      <c r="C1392" s="12" t="s">
        <v>443</v>
      </c>
      <c r="D1392" s="10" t="str">
        <f ca="1">IFERROR(__xludf.DUMMYFUNCTION(" VLOOKUP(A1389, IMPORTRANGE(""https://docs.google.com/spreadsheets/d/1fj_Bhi2XPL3siwIh4sx4VRLAe31yD50oKdj5UlRYW0c/"", ""Сводка!A:AA""), 11, FALSE)"),"ISBN  978-601-330-123-5")</f>
        <v>ISBN  978-601-330-123-5</v>
      </c>
      <c r="E1392" s="11" t="s">
        <v>5748</v>
      </c>
      <c r="F1392" s="11" t="s">
        <v>5752</v>
      </c>
      <c r="G1392" s="12">
        <f ca="1">IFERROR(__xludf.DUMMYFUNCTION(" VLOOKUP(A1389, IMPORTRANGE(""https://docs.google.com/spreadsheets/d/1fj_Bhi2XPL3siwIh4sx4VRLAe31yD50oKdj5UlRYW0c/"", ""Сводка!A:AA""), 5, FALSE)"),276)</f>
        <v>276</v>
      </c>
      <c r="H1392" s="12" t="s">
        <v>511</v>
      </c>
      <c r="I1392" s="10">
        <f ca="1">IFERROR(__xludf.DUMMYFUNCTION(" VLOOKUP(A1389, IMPORTRANGE(""https://docs.google.com/spreadsheets/d/1QNLbnkR_AongFt22vMfNzfpjZ0CjpI8QI-w0wBnYA1w/"", ""Инфа!A:AA""), 6, FALSE)"),2023)</f>
        <v>2023</v>
      </c>
      <c r="J1392" s="5">
        <f t="shared" ca="1" si="46"/>
        <v>13300</v>
      </c>
      <c r="K1392" s="12" t="s">
        <v>740</v>
      </c>
      <c r="L1392" s="15" t="s">
        <v>5750</v>
      </c>
    </row>
    <row r="1393" spans="1:12" ht="258.75">
      <c r="A1393" s="48" t="s">
        <v>5753</v>
      </c>
      <c r="B1393" s="12" t="s">
        <v>12</v>
      </c>
      <c r="C1393" s="12" t="s">
        <v>151</v>
      </c>
      <c r="D1393" s="40" t="s">
        <v>5754</v>
      </c>
      <c r="E1393" s="11" t="s">
        <v>5755</v>
      </c>
      <c r="F1393" s="11" t="s">
        <v>5756</v>
      </c>
      <c r="G1393" s="12">
        <f ca="1">IFERROR(__xludf.DUMMYFUNCTION(" VLOOKUP(A1390, IMPORTRANGE(""https://docs.google.com/spreadsheets/d/1fj_Bhi2XPL3siwIh4sx4VRLAe31yD50oKdj5UlRYW0c/"", ""Сводка!A:AA""), 5, FALSE)"),300)</f>
        <v>300</v>
      </c>
      <c r="H1393" s="12" t="s">
        <v>47</v>
      </c>
      <c r="I1393" s="10">
        <f ca="1">IFERROR(__xludf.DUMMYFUNCTION(" VLOOKUP(A1390, IMPORTRANGE(""https://docs.google.com/spreadsheets/d/1QNLbnkR_AongFt22vMfNzfpjZ0CjpI8QI-w0wBnYA1w/"", ""Инфа!A:AA""), 6, FALSE)"),2024)</f>
        <v>2024</v>
      </c>
      <c r="J1393" s="5">
        <f t="shared" ca="1" si="46"/>
        <v>14000</v>
      </c>
      <c r="K1393" s="12" t="s">
        <v>2398</v>
      </c>
      <c r="L1393" s="15" t="s">
        <v>5757</v>
      </c>
    </row>
    <row r="1394" spans="1:12" ht="157.5">
      <c r="A1394" s="48" t="s">
        <v>5758</v>
      </c>
      <c r="B1394" s="12" t="s">
        <v>12</v>
      </c>
      <c r="C1394" s="12" t="s">
        <v>13</v>
      </c>
      <c r="D1394" s="10" t="str">
        <f ca="1">IFERROR(__xludf.DUMMYFUNCTION(" VLOOKUP(A1391, IMPORTRANGE(""https://docs.google.com/spreadsheets/d/1fj_Bhi2XPL3siwIh4sx4VRLAe31yD50oKdj5UlRYW0c/"", ""Сводка!A:AA""), 11, FALSE)"),"ISBN 978-601-330-118-1")</f>
        <v>ISBN 978-601-330-118-1</v>
      </c>
      <c r="E1394" s="11" t="s">
        <v>5759</v>
      </c>
      <c r="F1394" s="11" t="s">
        <v>5760</v>
      </c>
      <c r="G1394" s="12" t="e">
        <f>#REF!</f>
        <v>#REF!</v>
      </c>
      <c r="H1394" s="12" t="s">
        <v>223</v>
      </c>
      <c r="I1394" s="10">
        <f ca="1">IFERROR(__xludf.DUMMYFUNCTION(" VLOOKUP(A1391, IMPORTRANGE(""https://docs.google.com/spreadsheets/d/1QNLbnkR_AongFt22vMfNzfpjZ0CjpI8QI-w0wBnYA1w/"", ""Инфа!A:AA""), 6, FALSE)"),2024)</f>
        <v>2024</v>
      </c>
      <c r="J1394" s="5" t="e">
        <f t="shared" si="46"/>
        <v>#REF!</v>
      </c>
      <c r="K1394" s="12" t="s">
        <v>277</v>
      </c>
      <c r="L1394" s="15" t="s">
        <v>5761</v>
      </c>
    </row>
    <row r="1395" spans="1:12" ht="326.25">
      <c r="A1395" s="48" t="s">
        <v>5762</v>
      </c>
      <c r="B1395" s="12" t="s">
        <v>12</v>
      </c>
      <c r="C1395" s="12" t="s">
        <v>151</v>
      </c>
      <c r="D1395" s="40" t="s">
        <v>5763</v>
      </c>
      <c r="E1395" s="11" t="s">
        <v>5755</v>
      </c>
      <c r="F1395" s="11" t="s">
        <v>5764</v>
      </c>
      <c r="G1395" s="12">
        <f ca="1">IFERROR(__xludf.DUMMYFUNCTION(" VLOOKUP(A1392, IMPORTRANGE(""https://docs.google.com/spreadsheets/d/1fj_Bhi2XPL3siwIh4sx4VRLAe31yD50oKdj5UlRYW0c/"", ""Сводка!A:AA""), 5, FALSE)"),124)</f>
        <v>124</v>
      </c>
      <c r="H1395" s="12" t="s">
        <v>47</v>
      </c>
      <c r="I1395" s="10">
        <f ca="1">IFERROR(__xludf.DUMMYFUNCTION(" VLOOKUP(A1392, IMPORTRANGE(""https://docs.google.com/spreadsheets/d/1QNLbnkR_AongFt22vMfNzfpjZ0CjpI8QI-w0wBnYA1w/"", ""Инфа!A:AA""), 6, FALSE)"),2024)</f>
        <v>2024</v>
      </c>
      <c r="J1395" s="5">
        <f t="shared" ca="1" si="46"/>
        <v>8700</v>
      </c>
      <c r="K1395" s="12" t="s">
        <v>2398</v>
      </c>
      <c r="L1395" s="15" t="s">
        <v>5765</v>
      </c>
    </row>
    <row r="1396" spans="1:12" ht="315">
      <c r="A1396" s="48" t="s">
        <v>5766</v>
      </c>
      <c r="B1396" s="12" t="s">
        <v>12</v>
      </c>
      <c r="C1396" s="12" t="s">
        <v>151</v>
      </c>
      <c r="D1396" s="10" t="str">
        <f ca="1">IFERROR(__xludf.DUMMYFUNCTION(" VLOOKUP(A1393, IMPORTRANGE(""https://docs.google.com/spreadsheets/d/1fj_Bhi2XPL3siwIh4sx4VRLAe31yD50oKdj5UlRYW0c/"", ""Сводка!A:AA""), 11, FALSE)"),"")</f>
        <v/>
      </c>
      <c r="E1396" s="11" t="s">
        <v>5767</v>
      </c>
      <c r="F1396" s="11" t="s">
        <v>5768</v>
      </c>
      <c r="G1396" s="12">
        <f ca="1">IFERROR(__xludf.DUMMYFUNCTION(" VLOOKUP(A1393, IMPORTRANGE(""https://docs.google.com/spreadsheets/d/1fj_Bhi2XPL3siwIh4sx4VRLAe31yD50oKdj5UlRYW0c/"", ""Сводка!A:AA""), 5, FALSE)"),312)</f>
        <v>312</v>
      </c>
      <c r="H1396" s="12" t="s">
        <v>24</v>
      </c>
      <c r="I1396" s="10">
        <f ca="1">IFERROR(__xludf.DUMMYFUNCTION(" VLOOKUP(A1393, IMPORTRANGE(""https://docs.google.com/spreadsheets/d/1QNLbnkR_AongFt22vMfNzfpjZ0CjpI8QI-w0wBnYA1w/"", ""Инфа!A:AA""), 6, FALSE)"),2024)</f>
        <v>2024</v>
      </c>
      <c r="J1396" s="5">
        <f t="shared" ca="1" si="46"/>
        <v>14400</v>
      </c>
      <c r="K1396" s="12" t="s">
        <v>26</v>
      </c>
      <c r="L1396" s="15" t="s">
        <v>5769</v>
      </c>
    </row>
    <row r="1397" spans="1:12" ht="168.75">
      <c r="A1397" s="48" t="s">
        <v>5770</v>
      </c>
      <c r="B1397" s="12" t="s">
        <v>12</v>
      </c>
      <c r="C1397" s="12" t="s">
        <v>151</v>
      </c>
      <c r="D1397" s="40" t="s">
        <v>5771</v>
      </c>
      <c r="E1397" s="11" t="s">
        <v>5772</v>
      </c>
      <c r="F1397" s="11" t="s">
        <v>5773</v>
      </c>
      <c r="G1397" s="12" t="e">
        <f>#REF!</f>
        <v>#REF!</v>
      </c>
      <c r="H1397" s="12" t="s">
        <v>282</v>
      </c>
      <c r="I1397" s="10">
        <f ca="1">IFERROR(__xludf.DUMMYFUNCTION(" VLOOKUP(A1394, IMPORTRANGE(""https://docs.google.com/spreadsheets/d/1QNLbnkR_AongFt22vMfNzfpjZ0CjpI8QI-w0wBnYA1w/"", ""Инфа!A:AA""), 6, FALSE)"),2024)</f>
        <v>2024</v>
      </c>
      <c r="J1397" s="5" t="e">
        <f>ROUND((5000+G1397*60),-2)</f>
        <v>#REF!</v>
      </c>
      <c r="K1397" s="12" t="s">
        <v>248</v>
      </c>
      <c r="L1397" s="15" t="s">
        <v>5774</v>
      </c>
    </row>
    <row r="1398" spans="1:12" ht="56.25">
      <c r="A1398" s="48" t="s">
        <v>5775</v>
      </c>
      <c r="B1398" s="12" t="s">
        <v>12</v>
      </c>
      <c r="C1398" s="12" t="s">
        <v>443</v>
      </c>
      <c r="D1398" s="10" t="s">
        <v>5776</v>
      </c>
      <c r="E1398" s="11" t="s">
        <v>5164</v>
      </c>
      <c r="F1398" s="11" t="s">
        <v>561</v>
      </c>
      <c r="G1398" s="12">
        <f ca="1">IFERROR(__xludf.DUMMYFUNCTION(" VLOOKUP(A1395, IMPORTRANGE(""https://docs.google.com/spreadsheets/d/1fj_Bhi2XPL3siwIh4sx4VRLAe31yD50oKdj5UlRYW0c/"", ""Сводка!A:AA""), 5, FALSE)"),124)</f>
        <v>124</v>
      </c>
      <c r="H1398" s="12" t="s">
        <v>538</v>
      </c>
      <c r="I1398" s="10">
        <f ca="1">IFERROR(__xludf.DUMMYFUNCTION(" VLOOKUP(A1395, IMPORTRANGE(""https://docs.google.com/spreadsheets/d/1QNLbnkR_AongFt22vMfNzfpjZ0CjpI8QI-w0wBnYA1w/"", ""Инфа!A:AA""), 6, FALSE)"),2024)</f>
        <v>2024</v>
      </c>
      <c r="J1398" s="5">
        <f ca="1">ROUND((5000+G1398*30),-2)</f>
        <v>8700</v>
      </c>
      <c r="K1398" s="12" t="s">
        <v>5777</v>
      </c>
      <c r="L1398" s="15" t="s">
        <v>5778</v>
      </c>
    </row>
    <row r="1399" spans="1:12" ht="146.25">
      <c r="A1399" s="48" t="s">
        <v>5779</v>
      </c>
      <c r="B1399" s="12" t="s">
        <v>2231</v>
      </c>
      <c r="C1399" s="12" t="s">
        <v>443</v>
      </c>
      <c r="D1399" s="10" t="str">
        <f ca="1">IFERROR(__xludf.DUMMYFUNCTION(" VLOOKUP(A1396, IMPORTRANGE(""https://docs.google.com/spreadsheets/d/1fj_Bhi2XPL3siwIh4sx4VRLAe31yD50oKdj5UlRYW0c/"", ""Сводка!A:AA""), 11, FALSE)"),"ISBN 978-601-352-943-1")</f>
        <v>ISBN 978-601-352-943-1</v>
      </c>
      <c r="E1399" s="45" t="s">
        <v>5780</v>
      </c>
      <c r="F1399" s="45" t="s">
        <v>5781</v>
      </c>
      <c r="G1399" s="12" t="e">
        <f>#REF!</f>
        <v>#REF!</v>
      </c>
      <c r="H1399" s="12" t="s">
        <v>538</v>
      </c>
      <c r="I1399" s="10">
        <f ca="1">IFERROR(__xludf.DUMMYFUNCTION(" VLOOKUP(A1396, IMPORTRANGE(""https://docs.google.com/spreadsheets/d/1QNLbnkR_AongFt22vMfNzfpjZ0CjpI8QI-w0wBnYA1w/"", ""Инфа!A:AA""), 6, FALSE)"),2023)</f>
        <v>2023</v>
      </c>
      <c r="J1399" s="5" t="e">
        <f>ROUND((5000+G1399*60),-2)</f>
        <v>#REF!</v>
      </c>
      <c r="K1399" s="12"/>
      <c r="L1399" s="16" t="s">
        <v>5782</v>
      </c>
    </row>
    <row r="1400" spans="1:12" ht="292.5">
      <c r="A1400" s="48" t="s">
        <v>5783</v>
      </c>
      <c r="B1400" s="12" t="s">
        <v>2231</v>
      </c>
      <c r="C1400" s="12" t="s">
        <v>151</v>
      </c>
      <c r="D1400" s="10" t="s">
        <v>5784</v>
      </c>
      <c r="E1400" s="45" t="s">
        <v>5785</v>
      </c>
      <c r="F1400" s="45" t="s">
        <v>5786</v>
      </c>
      <c r="G1400" s="12">
        <f ca="1">IFERROR(__xludf.DUMMYFUNCTION(" VLOOKUP(A1397, IMPORTRANGE(""https://docs.google.com/spreadsheets/d/1fj_Bhi2XPL3siwIh4sx4VRLAe31yD50oKdj5UlRYW0c/"", ""Сводка!A:AA""), 5, FALSE)"),220)</f>
        <v>220</v>
      </c>
      <c r="H1400" s="12" t="s">
        <v>47</v>
      </c>
      <c r="I1400" s="10">
        <f ca="1">IFERROR(__xludf.DUMMYFUNCTION(" VLOOKUP(A1397, IMPORTRANGE(""https://docs.google.com/spreadsheets/d/1QNLbnkR_AongFt22vMfNzfpjZ0CjpI8QI-w0wBnYA1w/"", ""Инфа!A:AA""), 6, FALSE)"),2023)</f>
        <v>2023</v>
      </c>
      <c r="J1400" s="5">
        <f ca="1">ROUND((5000+G1400*30),-2)</f>
        <v>11600</v>
      </c>
      <c r="K1400" s="12"/>
      <c r="L1400" s="16" t="s">
        <v>5787</v>
      </c>
    </row>
    <row r="1401" spans="1:12" ht="146.25">
      <c r="A1401" s="48" t="s">
        <v>5788</v>
      </c>
      <c r="B1401" s="12" t="s">
        <v>12</v>
      </c>
      <c r="C1401" s="12" t="s">
        <v>151</v>
      </c>
      <c r="D1401" s="40" t="s">
        <v>5789</v>
      </c>
      <c r="E1401" s="45" t="s">
        <v>5790</v>
      </c>
      <c r="F1401" s="45" t="s">
        <v>5791</v>
      </c>
      <c r="G1401" s="12">
        <f ca="1">IFERROR(__xludf.DUMMYFUNCTION(" VLOOKUP(A1398, IMPORTRANGE(""https://docs.google.com/spreadsheets/d/1fj_Bhi2XPL3siwIh4sx4VRLAe31yD50oKdj5UlRYW0c/"", ""Сводка!A:AA""), 5, FALSE)"),128)</f>
        <v>128</v>
      </c>
      <c r="H1401" s="12" t="s">
        <v>165</v>
      </c>
      <c r="I1401" s="10">
        <f ca="1">IFERROR(__xludf.DUMMYFUNCTION(" VLOOKUP(A1398, IMPORTRANGE(""https://docs.google.com/spreadsheets/d/1QNLbnkR_AongFt22vMfNzfpjZ0CjpI8QI-w0wBnYA1w/"", ""Инфа!A:AA""), 6, FALSE)"),2024)</f>
        <v>2024</v>
      </c>
      <c r="J1401" s="5">
        <f ca="1">ROUND((5000+G1401*30),-2)</f>
        <v>8800</v>
      </c>
      <c r="K1401" s="12" t="s">
        <v>2901</v>
      </c>
      <c r="L1401" s="15" t="s">
        <v>5792</v>
      </c>
    </row>
    <row r="1402" spans="1:12" ht="135">
      <c r="A1402" s="48" t="s">
        <v>5793</v>
      </c>
      <c r="B1402" s="12" t="s">
        <v>12</v>
      </c>
      <c r="C1402" s="12" t="s">
        <v>443</v>
      </c>
      <c r="D1402" s="10" t="s">
        <v>5794</v>
      </c>
      <c r="E1402" s="45" t="s">
        <v>5795</v>
      </c>
      <c r="F1402" s="45" t="s">
        <v>5796</v>
      </c>
      <c r="G1402" s="12">
        <f ca="1">IFERROR(__xludf.DUMMYFUNCTION(" VLOOKUP(A1399, IMPORTRANGE(""https://docs.google.com/spreadsheets/d/1fj_Bhi2XPL3siwIh4sx4VRLAe31yD50oKdj5UlRYW0c/"", ""Сводка!A:AA""), 5, FALSE)"),272)</f>
        <v>272</v>
      </c>
      <c r="H1402" s="12" t="s">
        <v>538</v>
      </c>
      <c r="I1402" s="10">
        <f ca="1">IFERROR(__xludf.DUMMYFUNCTION(" VLOOKUP(A1399, IMPORTRANGE(""https://docs.google.com/spreadsheets/d/1QNLbnkR_AongFt22vMfNzfpjZ0CjpI8QI-w0wBnYA1w/"", ""Инфа!A:AA""), 6, FALSE)"),2024)</f>
        <v>2024</v>
      </c>
      <c r="J1402" s="5">
        <f ca="1">ROUND((5000+G1402*30),-2)</f>
        <v>13200</v>
      </c>
      <c r="K1402" s="12" t="s">
        <v>48</v>
      </c>
      <c r="L1402" s="15" t="s">
        <v>5797</v>
      </c>
    </row>
    <row r="1403" spans="1:12" ht="157.5">
      <c r="A1403" s="48" t="s">
        <v>5798</v>
      </c>
      <c r="B1403" s="12" t="s">
        <v>2231</v>
      </c>
      <c r="C1403" s="12" t="s">
        <v>443</v>
      </c>
      <c r="D1403" s="10" t="str">
        <f ca="1">IFERROR(__xludf.DUMMYFUNCTION(" VLOOKUP(A1400, IMPORTRANGE(""https://docs.google.com/spreadsheets/d/1fj_Bhi2XPL3siwIh4sx4VRLAe31yD50oKdj5UlRYW0c/"", ""Сводка!A:AA""), 11, FALSE)"),"ISBN 978-601-339-228-8")</f>
        <v>ISBN 978-601-339-228-8</v>
      </c>
      <c r="E1403" s="11" t="s">
        <v>5799</v>
      </c>
      <c r="F1403" s="11" t="s">
        <v>5800</v>
      </c>
      <c r="G1403" s="12">
        <f ca="1">IFERROR(__xludf.DUMMYFUNCTION(" VLOOKUP(A1400, IMPORTRANGE(""https://docs.google.com/spreadsheets/d/1fj_Bhi2XPL3siwIh4sx4VRLAe31yD50oKdj5UlRYW0c/"", ""Сводка!A:AA""), 5, FALSE)"),212)</f>
        <v>212</v>
      </c>
      <c r="H1403" s="12" t="s">
        <v>538</v>
      </c>
      <c r="I1403" s="10">
        <f ca="1">IFERROR(__xludf.DUMMYFUNCTION(" VLOOKUP(A1400, IMPORTRANGE(""https://docs.google.com/spreadsheets/d/1QNLbnkR_AongFt22vMfNzfpjZ0CjpI8QI-w0wBnYA1w/"", ""Инфа!A:AA""), 6, FALSE)"),2023)</f>
        <v>2023</v>
      </c>
      <c r="J1403" s="5">
        <f ca="1">ROUND((5000+G1403*30),-2)</f>
        <v>11400</v>
      </c>
      <c r="K1403" s="12" t="s">
        <v>5801</v>
      </c>
      <c r="L1403" s="15" t="s">
        <v>5802</v>
      </c>
    </row>
    <row r="1404" spans="1:12" ht="202.5">
      <c r="A1404" s="48" t="s">
        <v>5803</v>
      </c>
      <c r="B1404" s="12" t="s">
        <v>2231</v>
      </c>
      <c r="C1404" s="12" t="s">
        <v>151</v>
      </c>
      <c r="D1404" s="10" t="s">
        <v>5804</v>
      </c>
      <c r="E1404" s="11" t="s">
        <v>5805</v>
      </c>
      <c r="F1404" s="11" t="s">
        <v>5806</v>
      </c>
      <c r="G1404" s="12">
        <f ca="1">IFERROR(__xludf.DUMMYFUNCTION(" VLOOKUP(A1401, IMPORTRANGE(""https://docs.google.com/spreadsheets/d/1fj_Bhi2XPL3siwIh4sx4VRLAe31yD50oKdj5UlRYW0c/"", ""Сводка!A:AA""), 5, FALSE)"),172)</f>
        <v>172</v>
      </c>
      <c r="H1404" s="12" t="s">
        <v>47</v>
      </c>
      <c r="I1404" s="10">
        <f ca="1">IFERROR(__xludf.DUMMYFUNCTION(" VLOOKUP(A1401, IMPORTRANGE(""https://docs.google.com/spreadsheets/d/1QNLbnkR_AongFt22vMfNzfpjZ0CjpI8QI-w0wBnYA1w/"", ""Инфа!A:AA""), 6, FALSE)"),2023)</f>
        <v>2023</v>
      </c>
      <c r="J1404" s="5">
        <f ca="1">ROUND((5000+G1404*30),-2)</f>
        <v>10200</v>
      </c>
      <c r="K1404" s="12" t="s">
        <v>2514</v>
      </c>
      <c r="L1404" s="16" t="s">
        <v>5807</v>
      </c>
    </row>
    <row r="1405" spans="1:12" ht="157.5">
      <c r="A1405" s="48" t="s">
        <v>5808</v>
      </c>
      <c r="B1405" s="12" t="s">
        <v>12</v>
      </c>
      <c r="C1405" s="12" t="s">
        <v>443</v>
      </c>
      <c r="D1405" s="10" t="s">
        <v>5809</v>
      </c>
      <c r="E1405" s="11" t="s">
        <v>5810</v>
      </c>
      <c r="F1405" s="11" t="s">
        <v>5811</v>
      </c>
      <c r="G1405" s="12">
        <f ca="1">IFERROR(__xludf.DUMMYFUNCTION(" VLOOKUP(A1402, IMPORTRANGE(""https://docs.google.com/spreadsheets/d/1fj_Bhi2XPL3siwIh4sx4VRLAe31yD50oKdj5UlRYW0c/"", ""Сводка!A:AA""), 5, FALSE)"),240)</f>
        <v>240</v>
      </c>
      <c r="H1405" s="12" t="s">
        <v>511</v>
      </c>
      <c r="I1405" s="10">
        <f ca="1">IFERROR(__xludf.DUMMYFUNCTION(" VLOOKUP(A1402, IMPORTRANGE(""https://docs.google.com/spreadsheets/d/1QNLbnkR_AongFt22vMfNzfpjZ0CjpI8QI-w0wBnYA1w/"", ""Инфа!A:AA""), 6, FALSE)"),2024)</f>
        <v>2024</v>
      </c>
      <c r="J1405" s="5">
        <f ca="1">ROUND((5000+G1405*60),-2)</f>
        <v>19400</v>
      </c>
      <c r="K1405" s="12" t="s">
        <v>69</v>
      </c>
      <c r="L1405" s="16" t="s">
        <v>5812</v>
      </c>
    </row>
    <row r="1406" spans="1:12" ht="123.75">
      <c r="A1406" s="48" t="s">
        <v>5813</v>
      </c>
      <c r="B1406" s="12" t="s">
        <v>12</v>
      </c>
      <c r="C1406" s="12" t="s">
        <v>443</v>
      </c>
      <c r="D1406" s="10" t="str">
        <f ca="1">IFERROR(__xludf.DUMMYFUNCTION(" VLOOKUP(A1403, IMPORTRANGE(""https://docs.google.com/spreadsheets/d/1fj_Bhi2XPL3siwIh4sx4VRLAe31yD50oKdj5UlRYW0c/"", ""Сводка!A:AA""), 11, FALSE)"),"978-601-330-154-9")</f>
        <v>978-601-330-154-9</v>
      </c>
      <c r="E1406" s="11" t="s">
        <v>5814</v>
      </c>
      <c r="F1406" s="11" t="s">
        <v>5815</v>
      </c>
      <c r="G1406" s="12">
        <f ca="1">IFERROR(__xludf.DUMMYFUNCTION(" VLOOKUP(A1403, IMPORTRANGE(""https://docs.google.com/spreadsheets/d/1fj_Bhi2XPL3siwIh4sx4VRLAe31yD50oKdj5UlRYW0c/"", ""Сводка!A:AA""), 5, FALSE)"),200)</f>
        <v>200</v>
      </c>
      <c r="H1406" s="12" t="s">
        <v>538</v>
      </c>
      <c r="I1406" s="10">
        <f ca="1">IFERROR(__xludf.DUMMYFUNCTION(" VLOOKUP(A1403, IMPORTRANGE(""https://docs.google.com/spreadsheets/d/1QNLbnkR_AongFt22vMfNzfpjZ0CjpI8QI-w0wBnYA1w/"", ""Инфа!A:AA""), 6, FALSE)"),2024)</f>
        <v>2024</v>
      </c>
      <c r="J1406" s="5">
        <f t="shared" ref="J1406:J1414" ca="1" si="47">ROUND((5000+G1406*30),-2)</f>
        <v>11000</v>
      </c>
      <c r="K1406" s="12" t="s">
        <v>160</v>
      </c>
      <c r="L1406" s="16" t="s">
        <v>5816</v>
      </c>
    </row>
    <row r="1407" spans="1:12" ht="258.75">
      <c r="A1407" s="48" t="s">
        <v>5817</v>
      </c>
      <c r="B1407" s="12" t="s">
        <v>12</v>
      </c>
      <c r="C1407" s="12" t="s">
        <v>443</v>
      </c>
      <c r="D1407" s="10" t="str">
        <f ca="1">IFERROR(__xludf.DUMMYFUNCTION(" VLOOKUP(A1404, IMPORTRANGE(""https://docs.google.com/spreadsheets/d/1fj_Bhi2XPL3siwIh4sx4VRLAe31yD50oKdj5UlRYW0c/"", ""Сводка!A:AA""), 11, FALSE)"),"978-601-330-325-3")</f>
        <v>978-601-330-325-3</v>
      </c>
      <c r="E1407" s="11" t="s">
        <v>5818</v>
      </c>
      <c r="F1407" s="11" t="s">
        <v>5819</v>
      </c>
      <c r="G1407" s="12">
        <f ca="1">IFERROR(__xludf.DUMMYFUNCTION(" VLOOKUP(A1404, IMPORTRANGE(""https://docs.google.com/spreadsheets/d/1fj_Bhi2XPL3siwIh4sx4VRLAe31yD50oKdj5UlRYW0c/"", ""Сводка!A:AA""), 5, FALSE)"),172)</f>
        <v>172</v>
      </c>
      <c r="H1407" s="12" t="s">
        <v>511</v>
      </c>
      <c r="I1407" s="10">
        <f ca="1">IFERROR(__xludf.DUMMYFUNCTION(" VLOOKUP(A1404, IMPORTRANGE(""https://docs.google.com/spreadsheets/d/1QNLbnkR_AongFt22vMfNzfpjZ0CjpI8QI-w0wBnYA1w/"", ""Инфа!A:AA""), 6, FALSE)"),2024)</f>
        <v>2024</v>
      </c>
      <c r="J1407" s="5">
        <f t="shared" ca="1" si="47"/>
        <v>10200</v>
      </c>
      <c r="K1407" s="12" t="s">
        <v>5820</v>
      </c>
      <c r="L1407" s="16" t="s">
        <v>5821</v>
      </c>
    </row>
    <row r="1408" spans="1:12" ht="146.25">
      <c r="A1408" s="48" t="s">
        <v>5822</v>
      </c>
      <c r="B1408" s="12" t="s">
        <v>12</v>
      </c>
      <c r="C1408" s="12" t="s">
        <v>443</v>
      </c>
      <c r="D1408" s="10" t="s">
        <v>5823</v>
      </c>
      <c r="E1408" s="11" t="s">
        <v>5824</v>
      </c>
      <c r="F1408" s="11" t="s">
        <v>5825</v>
      </c>
      <c r="G1408" s="12">
        <f ca="1">IFERROR(__xludf.DUMMYFUNCTION(" VLOOKUP(A1405, IMPORTRANGE(""https://docs.google.com/spreadsheets/d/1fj_Bhi2XPL3siwIh4sx4VRLAe31yD50oKdj5UlRYW0c/"", ""Сводка!A:AA""), 5, FALSE)"),144)</f>
        <v>144</v>
      </c>
      <c r="H1408" s="12" t="s">
        <v>4928</v>
      </c>
      <c r="I1408" s="10">
        <f ca="1">IFERROR(__xludf.DUMMYFUNCTION(" VLOOKUP(A1405, IMPORTRANGE(""https://docs.google.com/spreadsheets/d/1QNLbnkR_AongFt22vMfNzfpjZ0CjpI8QI-w0wBnYA1w/"", ""Инфа!A:AA""), 6, FALSE)"),2024)</f>
        <v>2024</v>
      </c>
      <c r="J1408" s="5">
        <f t="shared" ca="1" si="47"/>
        <v>9300</v>
      </c>
      <c r="K1408" s="12" t="s">
        <v>26</v>
      </c>
      <c r="L1408" s="16" t="s">
        <v>5826</v>
      </c>
    </row>
    <row r="1409" spans="1:12" ht="292.5">
      <c r="A1409" s="48" t="s">
        <v>5827</v>
      </c>
      <c r="B1409" s="12" t="s">
        <v>12</v>
      </c>
      <c r="C1409" s="12" t="s">
        <v>443</v>
      </c>
      <c r="D1409" s="10" t="str">
        <f ca="1">IFERROR(__xludf.DUMMYFUNCTION(" VLOOKUP(A1406, IMPORTRANGE(""https://docs.google.com/spreadsheets/d/1fj_Bhi2XPL3siwIh4sx4VRLAe31yD50oKdj5UlRYW0c/"", ""Сводка!A:AA""), 11, FALSE)"),"")</f>
        <v/>
      </c>
      <c r="E1409" s="11" t="s">
        <v>5828</v>
      </c>
      <c r="F1409" s="11" t="s">
        <v>5829</v>
      </c>
      <c r="G1409" s="12">
        <f ca="1">IFERROR(__xludf.DUMMYFUNCTION(" VLOOKUP(A1406, IMPORTRANGE(""https://docs.google.com/spreadsheets/d/1fj_Bhi2XPL3siwIh4sx4VRLAe31yD50oKdj5UlRYW0c/"", ""Сводка!A:AA""), 5, FALSE)"),220)</f>
        <v>220</v>
      </c>
      <c r="H1409" s="12" t="s">
        <v>511</v>
      </c>
      <c r="I1409" s="10">
        <f ca="1">IFERROR(__xludf.DUMMYFUNCTION(" VLOOKUP(A1406, IMPORTRANGE(""https://docs.google.com/spreadsheets/d/1QNLbnkR_AongFt22vMfNzfpjZ0CjpI8QI-w0wBnYA1w/"", ""Инфа!A:AA""), 6, FALSE)"),2024)</f>
        <v>2024</v>
      </c>
      <c r="J1409" s="5">
        <f t="shared" ca="1" si="47"/>
        <v>11600</v>
      </c>
      <c r="K1409" s="12" t="s">
        <v>3726</v>
      </c>
      <c r="L1409" s="15" t="s">
        <v>5830</v>
      </c>
    </row>
    <row r="1410" spans="1:12" ht="292.5">
      <c r="A1410" s="48" t="s">
        <v>5831</v>
      </c>
      <c r="B1410" s="12" t="s">
        <v>12</v>
      </c>
      <c r="C1410" s="12" t="s">
        <v>443</v>
      </c>
      <c r="D1410" s="10" t="str">
        <f ca="1">IFERROR(__xludf.DUMMYFUNCTION(" VLOOKUP(A1407, IMPORTRANGE(""https://docs.google.com/spreadsheets/d/1fj_Bhi2XPL3siwIh4sx4VRLAe31yD50oKdj5UlRYW0c/"", ""Сводка!A:AA""), 11, FALSE)"),"")</f>
        <v/>
      </c>
      <c r="E1410" s="11" t="s">
        <v>5828</v>
      </c>
      <c r="F1410" s="11" t="s">
        <v>5832</v>
      </c>
      <c r="G1410" s="12">
        <f ca="1">IFERROR(__xludf.DUMMYFUNCTION(" VLOOKUP(A1407, IMPORTRANGE(""https://docs.google.com/spreadsheets/d/1fj_Bhi2XPL3siwIh4sx4VRLAe31yD50oKdj5UlRYW0c/"", ""Сводка!A:AA""), 5, FALSE)"),240)</f>
        <v>240</v>
      </c>
      <c r="H1410" s="12" t="s">
        <v>511</v>
      </c>
      <c r="I1410" s="10">
        <f ca="1">IFERROR(__xludf.DUMMYFUNCTION(" VLOOKUP(A1407, IMPORTRANGE(""https://docs.google.com/spreadsheets/d/1QNLbnkR_AongFt22vMfNzfpjZ0CjpI8QI-w0wBnYA1w/"", ""Инфа!A:AA""), 6, FALSE)"),2024)</f>
        <v>2024</v>
      </c>
      <c r="J1410" s="5">
        <f t="shared" ca="1" si="47"/>
        <v>12200</v>
      </c>
      <c r="K1410" s="12" t="s">
        <v>3726</v>
      </c>
      <c r="L1410" s="15" t="s">
        <v>5830</v>
      </c>
    </row>
    <row r="1411" spans="1:12" ht="315">
      <c r="A1411" s="48" t="s">
        <v>5833</v>
      </c>
      <c r="B1411" s="12" t="s">
        <v>12</v>
      </c>
      <c r="C1411" s="12" t="s">
        <v>21</v>
      </c>
      <c r="D1411" s="10" t="str">
        <f ca="1">IFERROR(__xludf.DUMMYFUNCTION(" VLOOKUP(A1408, IMPORTRANGE(""https://docs.google.com/spreadsheets/d/1fj_Bhi2XPL3siwIh4sx4VRLAe31yD50oKdj5UlRYW0c/"", ""Сводка!A:AA""), 11, FALSE)"),"")</f>
        <v/>
      </c>
      <c r="E1411" s="11" t="s">
        <v>5834</v>
      </c>
      <c r="F1411" s="11" t="s">
        <v>5835</v>
      </c>
      <c r="G1411" s="12">
        <f ca="1">IFERROR(__xludf.DUMMYFUNCTION(" VLOOKUP(A1408, IMPORTRANGE(""https://docs.google.com/spreadsheets/d/1fj_Bhi2XPL3siwIh4sx4VRLAe31yD50oKdj5UlRYW0c/"", ""Сводка!A:AA""), 5, FALSE)"),196)</f>
        <v>196</v>
      </c>
      <c r="H1411" s="12" t="s">
        <v>132</v>
      </c>
      <c r="I1411" s="10">
        <f ca="1">IFERROR(__xludf.DUMMYFUNCTION(" VLOOKUP(A1408, IMPORTRANGE(""https://docs.google.com/spreadsheets/d/1QNLbnkR_AongFt22vMfNzfpjZ0CjpI8QI-w0wBnYA1w/"", ""Инфа!A:AA""), 6, FALSE)"),2024)</f>
        <v>2024</v>
      </c>
      <c r="J1411" s="5">
        <f t="shared" ca="1" si="47"/>
        <v>10900</v>
      </c>
      <c r="K1411" s="12" t="s">
        <v>213</v>
      </c>
      <c r="L1411" s="15" t="s">
        <v>5836</v>
      </c>
    </row>
    <row r="1412" spans="1:12" ht="168.75">
      <c r="A1412" s="48" t="s">
        <v>5837</v>
      </c>
      <c r="B1412" s="12" t="s">
        <v>12</v>
      </c>
      <c r="C1412" s="12" t="s">
        <v>443</v>
      </c>
      <c r="D1412" s="10" t="s">
        <v>5838</v>
      </c>
      <c r="E1412" s="11" t="s">
        <v>5839</v>
      </c>
      <c r="F1412" s="11" t="s">
        <v>5840</v>
      </c>
      <c r="G1412" s="12">
        <f ca="1">IFERROR(__xludf.DUMMYFUNCTION(" VLOOKUP(A1409, IMPORTRANGE(""https://docs.google.com/spreadsheets/d/1fj_Bhi2XPL3siwIh4sx4VRLAe31yD50oKdj5UlRYW0c/"", ""Сводка!A:AA""), 5, FALSE)"),212)</f>
        <v>212</v>
      </c>
      <c r="H1412" s="12" t="s">
        <v>538</v>
      </c>
      <c r="I1412" s="10">
        <f ca="1">IFERROR(__xludf.DUMMYFUNCTION(" VLOOKUP(A1409, IMPORTRANGE(""https://docs.google.com/spreadsheets/d/1QNLbnkR_AongFt22vMfNzfpjZ0CjpI8QI-w0wBnYA1w/"", ""Инфа!A:AA""), 6, FALSE)"),2024)</f>
        <v>2024</v>
      </c>
      <c r="J1412" s="5">
        <f t="shared" ca="1" si="47"/>
        <v>11400</v>
      </c>
      <c r="K1412" s="12" t="s">
        <v>2813</v>
      </c>
      <c r="L1412" s="15" t="s">
        <v>5841</v>
      </c>
    </row>
    <row r="1413" spans="1:12" ht="236.25">
      <c r="A1413" s="48" t="s">
        <v>5842</v>
      </c>
      <c r="B1413" s="12" t="s">
        <v>12</v>
      </c>
      <c r="C1413" s="12" t="s">
        <v>443</v>
      </c>
      <c r="D1413" s="10" t="str">
        <f ca="1">IFERROR(__xludf.DUMMYFUNCTION(" VLOOKUP(A1410, IMPORTRANGE(""https://docs.google.com/spreadsheets/d/1fj_Bhi2XPL3siwIh4sx4VRLAe31yD50oKdj5UlRYW0c/"", ""Сводка!A:AA""), 11, FALSE)"),"978-601-330-971-1")</f>
        <v>978-601-330-971-1</v>
      </c>
      <c r="E1413" s="11" t="s">
        <v>5843</v>
      </c>
      <c r="F1413" s="11" t="s">
        <v>5844</v>
      </c>
      <c r="G1413" s="12">
        <f ca="1">IFERROR(__xludf.DUMMYFUNCTION(" VLOOKUP(A1410, IMPORTRANGE(""https://docs.google.com/spreadsheets/d/1fj_Bhi2XPL3siwIh4sx4VRLAe31yD50oKdj5UlRYW0c/"", ""Сводка!A:AA""), 5, FALSE)"),312)</f>
        <v>312</v>
      </c>
      <c r="H1413" s="12" t="s">
        <v>511</v>
      </c>
      <c r="I1413" s="10">
        <f ca="1">IFERROR(__xludf.DUMMYFUNCTION(" VLOOKUP(A1410, IMPORTRANGE(""https://docs.google.com/spreadsheets/d/1QNLbnkR_AongFt22vMfNzfpjZ0CjpI8QI-w0wBnYA1w/"", ""Инфа!A:AA""), 6, FALSE)"),2024)</f>
        <v>2024</v>
      </c>
      <c r="J1413" s="5">
        <f t="shared" ca="1" si="47"/>
        <v>14400</v>
      </c>
      <c r="K1413" s="12" t="s">
        <v>5845</v>
      </c>
      <c r="L1413" s="15" t="s">
        <v>5846</v>
      </c>
    </row>
    <row r="1414" spans="1:12" ht="168.75">
      <c r="A1414" s="48" t="s">
        <v>5847</v>
      </c>
      <c r="B1414" s="12" t="s">
        <v>12</v>
      </c>
      <c r="C1414" s="12" t="s">
        <v>443</v>
      </c>
      <c r="D1414" s="10" t="s">
        <v>5848</v>
      </c>
      <c r="E1414" s="11" t="s">
        <v>5849</v>
      </c>
      <c r="F1414" s="11" t="s">
        <v>5850</v>
      </c>
      <c r="G1414" s="12">
        <f ca="1">IFERROR(__xludf.DUMMYFUNCTION(" VLOOKUP(A1411, IMPORTRANGE(""https://docs.google.com/spreadsheets/d/1fj_Bhi2XPL3siwIh4sx4VRLAe31yD50oKdj5UlRYW0c/"", ""Сводка!A:AA""), 5, FALSE)"),196)</f>
        <v>196</v>
      </c>
      <c r="H1414" s="12" t="s">
        <v>538</v>
      </c>
      <c r="I1414" s="10">
        <f ca="1">IFERROR(__xludf.DUMMYFUNCTION(" VLOOKUP(A1411, IMPORTRANGE(""https://docs.google.com/spreadsheets/d/1QNLbnkR_AongFt22vMfNzfpjZ0CjpI8QI-w0wBnYA1w/"", ""Инфа!A:AA""), 6, FALSE)"),2024)</f>
        <v>2024</v>
      </c>
      <c r="J1414" s="5">
        <f t="shared" ca="1" si="47"/>
        <v>10900</v>
      </c>
      <c r="K1414" s="12" t="s">
        <v>5380</v>
      </c>
      <c r="L1414" s="15" t="s">
        <v>5851</v>
      </c>
    </row>
    <row r="1415" spans="1:12" ht="281.25">
      <c r="A1415" s="48" t="s">
        <v>5852</v>
      </c>
      <c r="B1415" s="12" t="s">
        <v>12</v>
      </c>
      <c r="C1415" s="12" t="s">
        <v>151</v>
      </c>
      <c r="D1415" s="10" t="str">
        <f ca="1">IFERROR(__xludf.DUMMYFUNCTION(" VLOOKUP(A1412, IMPORTRANGE(""https://docs.google.com/spreadsheets/d/1fj_Bhi2XPL3siwIh4sx4VRLAe31yD50oKdj5UlRYW0c/"", ""Сводка!A:AA""), 11, FALSE)"),"978-601-330-131-0")</f>
        <v>978-601-330-131-0</v>
      </c>
      <c r="E1415" s="11" t="s">
        <v>5853</v>
      </c>
      <c r="F1415" s="11" t="s">
        <v>5854</v>
      </c>
      <c r="G1415" s="12">
        <f ca="1">IFERROR(__xludf.DUMMYFUNCTION(" VLOOKUP(A1412, IMPORTRANGE(""https://docs.google.com/spreadsheets/d/1fj_Bhi2XPL3siwIh4sx4VRLAe31yD50oKdj5UlRYW0c/"", ""Сводка!A:AA""), 5, FALSE)"),128)</f>
        <v>128</v>
      </c>
      <c r="H1415" s="12" t="s">
        <v>47</v>
      </c>
      <c r="I1415" s="10">
        <f ca="1">IFERROR(__xludf.DUMMYFUNCTION(" VLOOKUP(A1412, IMPORTRANGE(""https://docs.google.com/spreadsheets/d/1QNLbnkR_AongFt22vMfNzfpjZ0CjpI8QI-w0wBnYA1w/"", ""Инфа!A:AA""), 6, FALSE)"),2024)</f>
        <v>2024</v>
      </c>
      <c r="J1415" s="5">
        <f ca="1">ROUND((5000+G1415*60),-2)</f>
        <v>12700</v>
      </c>
      <c r="K1415" s="12" t="s">
        <v>5855</v>
      </c>
      <c r="L1415" s="15" t="s">
        <v>5856</v>
      </c>
    </row>
    <row r="1416" spans="1:12" ht="123.75">
      <c r="A1416" s="48" t="s">
        <v>5857</v>
      </c>
      <c r="B1416" s="12" t="s">
        <v>12</v>
      </c>
      <c r="C1416" s="12" t="s">
        <v>443</v>
      </c>
      <c r="D1416" s="10" t="s">
        <v>5858</v>
      </c>
      <c r="E1416" s="11" t="s">
        <v>5859</v>
      </c>
      <c r="F1416" s="11" t="s">
        <v>5860</v>
      </c>
      <c r="G1416" s="12">
        <f ca="1">IFERROR(__xludf.DUMMYFUNCTION(" VLOOKUP(A1413, IMPORTRANGE(""https://docs.google.com/spreadsheets/d/1fj_Bhi2XPL3siwIh4sx4VRLAe31yD50oKdj5UlRYW0c/"", ""Сводка!A:AA""), 5, FALSE)"),96)</f>
        <v>96</v>
      </c>
      <c r="H1416" s="12" t="s">
        <v>538</v>
      </c>
      <c r="I1416" s="10">
        <f ca="1">IFERROR(__xludf.DUMMYFUNCTION(" VLOOKUP(A1413, IMPORTRANGE(""https://docs.google.com/spreadsheets/d/1QNLbnkR_AongFt22vMfNzfpjZ0CjpI8QI-w0wBnYA1w/"", ""Инфа!A:AA""), 6, FALSE)"),2024)</f>
        <v>2024</v>
      </c>
      <c r="J1416" s="5">
        <f t="shared" ref="J1416:J1430" ca="1" si="48">ROUND((5000+G1416*30),-2)</f>
        <v>7900</v>
      </c>
      <c r="K1416" s="12" t="s">
        <v>3326</v>
      </c>
      <c r="L1416" s="15" t="s">
        <v>5861</v>
      </c>
    </row>
    <row r="1417" spans="1:12" ht="112.5">
      <c r="A1417" s="48" t="s">
        <v>5862</v>
      </c>
      <c r="B1417" s="12" t="s">
        <v>12</v>
      </c>
      <c r="C1417" s="12" t="s">
        <v>443</v>
      </c>
      <c r="D1417" s="10" t="str">
        <f ca="1">IFERROR(__xludf.DUMMYFUNCTION(" VLOOKUP(A1414, IMPORTRANGE(""https://docs.google.com/spreadsheets/d/1fj_Bhi2XPL3siwIh4sx4VRLAe31yD50oKdj5UlRYW0c/"", ""Сводка!A:AA""), 11, FALSE)"),"978-601-330-127-3")</f>
        <v>978-601-330-127-3</v>
      </c>
      <c r="E1417" s="11" t="s">
        <v>5863</v>
      </c>
      <c r="F1417" s="11" t="s">
        <v>5639</v>
      </c>
      <c r="G1417" s="12">
        <f ca="1">IFERROR(__xludf.DUMMYFUNCTION(" VLOOKUP(A1414, IMPORTRANGE(""https://docs.google.com/spreadsheets/d/1fj_Bhi2XPL3siwIh4sx4VRLAe31yD50oKdj5UlRYW0c/"", ""Сводка!A:AA""), 5, FALSE)"),148)</f>
        <v>148</v>
      </c>
      <c r="H1417" s="12" t="s">
        <v>538</v>
      </c>
      <c r="I1417" s="10">
        <f ca="1">IFERROR(__xludf.DUMMYFUNCTION(" VLOOKUP(A1414, IMPORTRANGE(""https://docs.google.com/spreadsheets/d/1QNLbnkR_AongFt22vMfNzfpjZ0CjpI8QI-w0wBnYA1w/"", ""Инфа!A:AA""), 6, FALSE)"),2024)</f>
        <v>2024</v>
      </c>
      <c r="J1417" s="5">
        <f t="shared" ca="1" si="48"/>
        <v>9400</v>
      </c>
      <c r="K1417" s="12" t="s">
        <v>539</v>
      </c>
      <c r="L1417" s="15" t="s">
        <v>5864</v>
      </c>
    </row>
    <row r="1418" spans="1:12" ht="236.25">
      <c r="A1418" s="48" t="s">
        <v>5865</v>
      </c>
      <c r="B1418" s="9" t="s">
        <v>5306</v>
      </c>
      <c r="C1418" s="12" t="s">
        <v>151</v>
      </c>
      <c r="D1418" s="10" t="str">
        <f ca="1">IFERROR(__xludf.DUMMYFUNCTION(" VLOOKUP(A1415, IMPORTRANGE(""https://docs.google.com/spreadsheets/d/1fj_Bhi2XPL3siwIh4sx4VRLAe31yD50oKdj5UlRYW0c/"", ""Сводка!A:AA""), 11, FALSE)"),"978-601-330-651-3")</f>
        <v>978-601-330-651-3</v>
      </c>
      <c r="E1418" s="11" t="s">
        <v>5866</v>
      </c>
      <c r="F1418" s="11" t="s">
        <v>5867</v>
      </c>
      <c r="G1418" s="12">
        <f ca="1">IFERROR(__xludf.DUMMYFUNCTION(" VLOOKUP(A1415, IMPORTRANGE(""https://docs.google.com/spreadsheets/d/1fj_Bhi2XPL3siwIh4sx4VRLAe31yD50oKdj5UlRYW0c/"", ""Сводка!A:AA""), 5, FALSE)"),340)</f>
        <v>340</v>
      </c>
      <c r="H1418" s="12" t="s">
        <v>106</v>
      </c>
      <c r="I1418" s="10">
        <f ca="1">IFERROR(__xludf.DUMMYFUNCTION(" VLOOKUP(A1415, IMPORTRANGE(""https://docs.google.com/spreadsheets/d/1QNLbnkR_AongFt22vMfNzfpjZ0CjpI8QI-w0wBnYA1w/"", ""Инфа!A:AA""), 6, FALSE)"),2024)</f>
        <v>2024</v>
      </c>
      <c r="J1418" s="5">
        <f t="shared" ca="1" si="48"/>
        <v>15200</v>
      </c>
      <c r="K1418" s="12" t="s">
        <v>5868</v>
      </c>
      <c r="L1418" s="15" t="s">
        <v>5869</v>
      </c>
    </row>
    <row r="1419" spans="1:12" ht="123.75">
      <c r="A1419" s="48" t="s">
        <v>5870</v>
      </c>
      <c r="B1419" s="12" t="s">
        <v>12</v>
      </c>
      <c r="C1419" s="12" t="s">
        <v>443</v>
      </c>
      <c r="D1419" s="10" t="s">
        <v>5871</v>
      </c>
      <c r="E1419" s="45" t="s">
        <v>5872</v>
      </c>
      <c r="F1419" s="45" t="s">
        <v>4492</v>
      </c>
      <c r="G1419" s="12">
        <f ca="1">IFERROR(__xludf.DUMMYFUNCTION(" VLOOKUP(A1416, IMPORTRANGE(""https://docs.google.com/spreadsheets/d/1fj_Bhi2XPL3siwIh4sx4VRLAe31yD50oKdj5UlRYW0c/"", ""Сводка!A:AA""), 5, FALSE)"),216)</f>
        <v>216</v>
      </c>
      <c r="H1419" s="12" t="s">
        <v>511</v>
      </c>
      <c r="I1419" s="10">
        <f ca="1">IFERROR(__xludf.DUMMYFUNCTION(" VLOOKUP(A1416, IMPORTRANGE(""https://docs.google.com/spreadsheets/d/1QNLbnkR_AongFt22vMfNzfpjZ0CjpI8QI-w0wBnYA1w/"", ""Инфа!A:AA""), 6, FALSE)"),2024)</f>
        <v>2024</v>
      </c>
      <c r="J1419" s="5">
        <f t="shared" ca="1" si="48"/>
        <v>11500</v>
      </c>
      <c r="K1419" s="12" t="s">
        <v>758</v>
      </c>
      <c r="L1419" s="16" t="s">
        <v>5873</v>
      </c>
    </row>
    <row r="1420" spans="1:12" ht="270">
      <c r="A1420" s="48" t="s">
        <v>5874</v>
      </c>
      <c r="B1420" s="12" t="s">
        <v>12</v>
      </c>
      <c r="C1420" s="12" t="s">
        <v>443</v>
      </c>
      <c r="D1420" s="10" t="s">
        <v>5875</v>
      </c>
      <c r="E1420" s="45" t="s">
        <v>5876</v>
      </c>
      <c r="F1420" s="45" t="s">
        <v>5877</v>
      </c>
      <c r="G1420" s="12">
        <f ca="1">IFERROR(__xludf.DUMMYFUNCTION(" VLOOKUP(A1417, IMPORTRANGE(""https://docs.google.com/spreadsheets/d/1fj_Bhi2XPL3siwIh4sx4VRLAe31yD50oKdj5UlRYW0c/"", ""Сводка!A:AA""), 5, FALSE)"),136)</f>
        <v>136</v>
      </c>
      <c r="H1420" s="12" t="s">
        <v>106</v>
      </c>
      <c r="I1420" s="10">
        <f ca="1">IFERROR(__xludf.DUMMYFUNCTION(" VLOOKUP(A1417, IMPORTRANGE(""https://docs.google.com/spreadsheets/d/1QNLbnkR_AongFt22vMfNzfpjZ0CjpI8QI-w0wBnYA1w/"", ""Инфа!A:AA""), 6, FALSE)"),2024)</f>
        <v>2024</v>
      </c>
      <c r="J1420" s="5">
        <f t="shared" ca="1" si="48"/>
        <v>9100</v>
      </c>
      <c r="K1420" s="12" t="s">
        <v>5380</v>
      </c>
      <c r="L1420" s="15" t="s">
        <v>5878</v>
      </c>
    </row>
    <row r="1421" spans="1:12" ht="123.75">
      <c r="A1421" s="48" t="s">
        <v>5879</v>
      </c>
      <c r="B1421" s="12" t="s">
        <v>12</v>
      </c>
      <c r="C1421" s="12" t="s">
        <v>443</v>
      </c>
      <c r="D1421" s="10" t="s">
        <v>5880</v>
      </c>
      <c r="E1421" s="11" t="s">
        <v>5881</v>
      </c>
      <c r="F1421" s="11" t="s">
        <v>5882</v>
      </c>
      <c r="G1421" s="12">
        <f ca="1">IFERROR(__xludf.DUMMYFUNCTION(" VLOOKUP(A1418, IMPORTRANGE(""https://docs.google.com/spreadsheets/d/1fj_Bhi2XPL3siwIh4sx4VRLAe31yD50oKdj5UlRYW0c/"", ""Сводка!A:AA""), 5, FALSE)"),156)</f>
        <v>156</v>
      </c>
      <c r="H1421" s="12" t="s">
        <v>538</v>
      </c>
      <c r="I1421" s="10">
        <f ca="1">IFERROR(__xludf.DUMMYFUNCTION(" VLOOKUP(A1418, IMPORTRANGE(""https://docs.google.com/spreadsheets/d/1QNLbnkR_AongFt22vMfNzfpjZ0CjpI8QI-w0wBnYA1w/"", ""Инфа!A:AA""), 6, FALSE)"),2024)</f>
        <v>2024</v>
      </c>
      <c r="J1421" s="5">
        <f t="shared" ca="1" si="48"/>
        <v>9700</v>
      </c>
      <c r="K1421" s="12" t="s">
        <v>5883</v>
      </c>
      <c r="L1421" s="15" t="s">
        <v>5884</v>
      </c>
    </row>
    <row r="1422" spans="1:12" ht="112.5">
      <c r="A1422" s="48" t="s">
        <v>5885</v>
      </c>
      <c r="B1422" s="12" t="s">
        <v>12</v>
      </c>
      <c r="C1422" s="12" t="s">
        <v>443</v>
      </c>
      <c r="D1422" s="10" t="s">
        <v>5886</v>
      </c>
      <c r="E1422" s="11" t="s">
        <v>5881</v>
      </c>
      <c r="F1422" s="45" t="s">
        <v>5887</v>
      </c>
      <c r="G1422" s="12">
        <f ca="1">IFERROR(__xludf.DUMMYFUNCTION(" VLOOKUP(A1419, IMPORTRANGE(""https://docs.google.com/spreadsheets/d/1fj_Bhi2XPL3siwIh4sx4VRLAe31yD50oKdj5UlRYW0c/"", ""Сводка!A:AA""), 5, FALSE)"),156)</f>
        <v>156</v>
      </c>
      <c r="H1422" s="12" t="s">
        <v>538</v>
      </c>
      <c r="I1422" s="10">
        <f ca="1">IFERROR(__xludf.DUMMYFUNCTION(" VLOOKUP(A1419, IMPORTRANGE(""https://docs.google.com/spreadsheets/d/1QNLbnkR_AongFt22vMfNzfpjZ0CjpI8QI-w0wBnYA1w/"", ""Инфа!A:AA""), 6, FALSE)"),2024)</f>
        <v>2024</v>
      </c>
      <c r="J1422" s="5">
        <f t="shared" ca="1" si="48"/>
        <v>9700</v>
      </c>
      <c r="K1422" s="12" t="s">
        <v>5883</v>
      </c>
      <c r="L1422" s="16" t="s">
        <v>5888</v>
      </c>
    </row>
    <row r="1423" spans="1:12" ht="225">
      <c r="A1423" s="48" t="s">
        <v>5889</v>
      </c>
      <c r="B1423" s="12" t="s">
        <v>12</v>
      </c>
      <c r="C1423" s="12" t="s">
        <v>443</v>
      </c>
      <c r="D1423" s="10" t="s">
        <v>5890</v>
      </c>
      <c r="E1423" s="11" t="s">
        <v>5891</v>
      </c>
      <c r="F1423" s="11" t="s">
        <v>5892</v>
      </c>
      <c r="G1423" s="12">
        <f ca="1">IFERROR(__xludf.DUMMYFUNCTION(" VLOOKUP(A1420, IMPORTRANGE(""https://docs.google.com/spreadsheets/d/1fj_Bhi2XPL3siwIh4sx4VRLAe31yD50oKdj5UlRYW0c/"", ""Сводка!A:AA""), 5, FALSE)"),256)</f>
        <v>256</v>
      </c>
      <c r="H1423" s="12" t="s">
        <v>511</v>
      </c>
      <c r="I1423" s="10">
        <f ca="1">IFERROR(__xludf.DUMMYFUNCTION(" VLOOKUP(A1420, IMPORTRANGE(""https://docs.google.com/spreadsheets/d/1QNLbnkR_AongFt22vMfNzfpjZ0CjpI8QI-w0wBnYA1w/"", ""Инфа!A:AA""), 6, FALSE)"),2024)</f>
        <v>2024</v>
      </c>
      <c r="J1423" s="5">
        <f t="shared" ca="1" si="48"/>
        <v>12700</v>
      </c>
      <c r="K1423" s="12" t="s">
        <v>5893</v>
      </c>
      <c r="L1423" s="15" t="s">
        <v>5894</v>
      </c>
    </row>
    <row r="1424" spans="1:12" ht="225">
      <c r="A1424" s="48" t="s">
        <v>5895</v>
      </c>
      <c r="B1424" s="12" t="s">
        <v>12</v>
      </c>
      <c r="C1424" s="12" t="s">
        <v>443</v>
      </c>
      <c r="D1424" s="10" t="s">
        <v>5890</v>
      </c>
      <c r="E1424" s="11" t="s">
        <v>5891</v>
      </c>
      <c r="F1424" s="11" t="s">
        <v>5896</v>
      </c>
      <c r="G1424" s="12">
        <f ca="1">IFERROR(__xludf.DUMMYFUNCTION(" VLOOKUP(A1421, IMPORTRANGE(""https://docs.google.com/spreadsheets/d/1fj_Bhi2XPL3siwIh4sx4VRLAe31yD50oKdj5UlRYW0c/"", ""Сводка!A:AA""), 5, FALSE)"),240)</f>
        <v>240</v>
      </c>
      <c r="H1424" s="12" t="s">
        <v>511</v>
      </c>
      <c r="I1424" s="10">
        <f ca="1">IFERROR(__xludf.DUMMYFUNCTION(" VLOOKUP(A1421, IMPORTRANGE(""https://docs.google.com/spreadsheets/d/1QNLbnkR_AongFt22vMfNzfpjZ0CjpI8QI-w0wBnYA1w/"", ""Инфа!A:AA""), 6, FALSE)"),2024)</f>
        <v>2024</v>
      </c>
      <c r="J1424" s="5">
        <f t="shared" ca="1" si="48"/>
        <v>12200</v>
      </c>
      <c r="K1424" s="12" t="s">
        <v>5893</v>
      </c>
      <c r="L1424" s="15" t="s">
        <v>5894</v>
      </c>
    </row>
    <row r="1425" spans="1:12" ht="258.75">
      <c r="A1425" s="48" t="s">
        <v>5897</v>
      </c>
      <c r="B1425" s="12" t="s">
        <v>12</v>
      </c>
      <c r="C1425" s="12" t="s">
        <v>443</v>
      </c>
      <c r="D1425" s="10" t="s">
        <v>5898</v>
      </c>
      <c r="E1425" s="11" t="s">
        <v>5899</v>
      </c>
      <c r="F1425" s="11" t="s">
        <v>5900</v>
      </c>
      <c r="G1425" s="12">
        <f ca="1">IFERROR(__xludf.DUMMYFUNCTION(" VLOOKUP(A1422, IMPORTRANGE(""https://docs.google.com/spreadsheets/d/1fj_Bhi2XPL3siwIh4sx4VRLAe31yD50oKdj5UlRYW0c/"", ""Сводка!A:AA""), 5, FALSE)"),240)</f>
        <v>240</v>
      </c>
      <c r="H1425" s="12" t="s">
        <v>538</v>
      </c>
      <c r="I1425" s="10">
        <f ca="1">IFERROR(__xludf.DUMMYFUNCTION(" VLOOKUP(A1422, IMPORTRANGE(""https://docs.google.com/spreadsheets/d/1QNLbnkR_AongFt22vMfNzfpjZ0CjpI8QI-w0wBnYA1w/"", ""Инфа!A:AA""), 6, FALSE)"),2024)</f>
        <v>2024</v>
      </c>
      <c r="J1425" s="5">
        <f t="shared" ca="1" si="48"/>
        <v>12200</v>
      </c>
      <c r="K1425" s="12" t="s">
        <v>5901</v>
      </c>
      <c r="L1425" s="15" t="s">
        <v>5902</v>
      </c>
    </row>
    <row r="1426" spans="1:12" ht="247.5">
      <c r="A1426" s="48" t="s">
        <v>5903</v>
      </c>
      <c r="B1426" s="12" t="s">
        <v>12</v>
      </c>
      <c r="C1426" s="12" t="s">
        <v>443</v>
      </c>
      <c r="D1426" s="10" t="s">
        <v>5904</v>
      </c>
      <c r="E1426" s="11" t="s">
        <v>5899</v>
      </c>
      <c r="F1426" s="11" t="s">
        <v>5905</v>
      </c>
      <c r="G1426" s="12">
        <f ca="1">IFERROR(__xludf.DUMMYFUNCTION(" VLOOKUP(A1423, IMPORTRANGE(""https://docs.google.com/spreadsheets/d/1fj_Bhi2XPL3siwIh4sx4VRLAe31yD50oKdj5UlRYW0c/"", ""Сводка!A:AA""), 5, FALSE)"),264)</f>
        <v>264</v>
      </c>
      <c r="H1426" s="12" t="s">
        <v>538</v>
      </c>
      <c r="I1426" s="10">
        <f ca="1">IFERROR(__xludf.DUMMYFUNCTION(" VLOOKUP(A1423, IMPORTRANGE(""https://docs.google.com/spreadsheets/d/1QNLbnkR_AongFt22vMfNzfpjZ0CjpI8QI-w0wBnYA1w/"", ""Инфа!A:AA""), 6, FALSE)"),2024)</f>
        <v>2024</v>
      </c>
      <c r="J1426" s="5">
        <f t="shared" ca="1" si="48"/>
        <v>12900</v>
      </c>
      <c r="K1426" s="12" t="s">
        <v>5901</v>
      </c>
      <c r="L1426" s="15" t="s">
        <v>5906</v>
      </c>
    </row>
    <row r="1427" spans="1:12" ht="180">
      <c r="A1427" s="48" t="s">
        <v>5907</v>
      </c>
      <c r="B1427" s="12" t="s">
        <v>12</v>
      </c>
      <c r="C1427" s="12" t="s">
        <v>443</v>
      </c>
      <c r="D1427" s="10" t="str">
        <f ca="1">IFERROR(__xludf.DUMMYFUNCTION(" VLOOKUP(A1424, IMPORTRANGE(""https://docs.google.com/spreadsheets/d/1fj_Bhi2XPL3siwIh4sx4VRLAe31yD50oKdj5UlRYW0c/"", ""Сводка!A:AA""), 11, FALSE)"),"978-601-330-312-3")</f>
        <v>978-601-330-312-3</v>
      </c>
      <c r="E1427" s="11" t="s">
        <v>5908</v>
      </c>
      <c r="F1427" s="11" t="s">
        <v>5909</v>
      </c>
      <c r="G1427" s="12">
        <f ca="1">IFERROR(__xludf.DUMMYFUNCTION(" VLOOKUP(A1424, IMPORTRANGE(""https://docs.google.com/spreadsheets/d/1fj_Bhi2XPL3siwIh4sx4VRLAe31yD50oKdj5UlRYW0c/"", ""Сводка!A:AA""), 5, FALSE)"),88)</f>
        <v>88</v>
      </c>
      <c r="H1427" s="12" t="s">
        <v>538</v>
      </c>
      <c r="I1427" s="10">
        <f ca="1">IFERROR(__xludf.DUMMYFUNCTION(" VLOOKUP(A1424, IMPORTRANGE(""https://docs.google.com/spreadsheets/d/1QNLbnkR_AongFt22vMfNzfpjZ0CjpI8QI-w0wBnYA1w/"", ""Инфа!A:AA""), 6, FALSE)"),2024)</f>
        <v>2024</v>
      </c>
      <c r="J1427" s="5">
        <f t="shared" ca="1" si="48"/>
        <v>7600</v>
      </c>
      <c r="K1427" s="12" t="s">
        <v>5910</v>
      </c>
      <c r="L1427" s="15" t="s">
        <v>5911</v>
      </c>
    </row>
    <row r="1428" spans="1:12" ht="168.75">
      <c r="A1428" s="48" t="s">
        <v>5912</v>
      </c>
      <c r="B1428" s="12" t="s">
        <v>12</v>
      </c>
      <c r="C1428" s="12" t="s">
        <v>151</v>
      </c>
      <c r="D1428" s="10" t="s">
        <v>5913</v>
      </c>
      <c r="E1428" s="11" t="s">
        <v>5914</v>
      </c>
      <c r="F1428" s="11" t="s">
        <v>5915</v>
      </c>
      <c r="G1428" s="12">
        <f ca="1">IFERROR(__xludf.DUMMYFUNCTION(" VLOOKUP(A1425, IMPORTRANGE(""https://docs.google.com/spreadsheets/d/1fj_Bhi2XPL3siwIh4sx4VRLAe31yD50oKdj5UlRYW0c/"", ""Сводка!A:AA""), 5, FALSE)"),188)</f>
        <v>188</v>
      </c>
      <c r="H1428" s="12" t="s">
        <v>165</v>
      </c>
      <c r="I1428" s="10">
        <f ca="1">IFERROR(__xludf.DUMMYFUNCTION(" VLOOKUP(A1425, IMPORTRANGE(""https://docs.google.com/spreadsheets/d/1QNLbnkR_AongFt22vMfNzfpjZ0CjpI8QI-w0wBnYA1w/"", ""Инфа!A:AA""), 6, FALSE)"),2024)</f>
        <v>2024</v>
      </c>
      <c r="J1428" s="5">
        <f t="shared" ca="1" si="48"/>
        <v>10600</v>
      </c>
      <c r="K1428" s="12" t="s">
        <v>5916</v>
      </c>
      <c r="L1428" s="15" t="s">
        <v>5917</v>
      </c>
    </row>
    <row r="1429" spans="1:12" ht="135">
      <c r="A1429" s="48" t="s">
        <v>5918</v>
      </c>
      <c r="B1429" s="12" t="s">
        <v>12</v>
      </c>
      <c r="C1429" s="12" t="s">
        <v>151</v>
      </c>
      <c r="D1429" s="10" t="str">
        <f ca="1">IFERROR(__xludf.DUMMYFUNCTION(" VLOOKUP(A1426, IMPORTRANGE(""https://docs.google.com/spreadsheets/d/1fj_Bhi2XPL3siwIh4sx4VRLAe31yD50oKdj5UlRYW0c/"", ""Сводка!A:AA""), 11, FALSE)"),"")</f>
        <v/>
      </c>
      <c r="E1429" s="11" t="s">
        <v>5919</v>
      </c>
      <c r="F1429" s="11" t="s">
        <v>5920</v>
      </c>
      <c r="G1429" s="12">
        <f ca="1">IFERROR(__xludf.DUMMYFUNCTION(" VLOOKUP(A1426, IMPORTRANGE(""https://docs.google.com/spreadsheets/d/1fj_Bhi2XPL3siwIh4sx4VRLAe31yD50oKdj5UlRYW0c/"", ""Сводка!A:AA""), 5, FALSE)"),188)</f>
        <v>188</v>
      </c>
      <c r="H1429" s="12" t="s">
        <v>106</v>
      </c>
      <c r="I1429" s="10">
        <f ca="1">IFERROR(__xludf.DUMMYFUNCTION(" VLOOKUP(A1426, IMPORTRANGE(""https://docs.google.com/spreadsheets/d/1QNLbnkR_AongFt22vMfNzfpjZ0CjpI8QI-w0wBnYA1w/"", ""Инфа!A:AA""), 6, FALSE)"),2024)</f>
        <v>2024</v>
      </c>
      <c r="J1429" s="5">
        <f t="shared" ca="1" si="48"/>
        <v>10600</v>
      </c>
      <c r="K1429" s="12" t="s">
        <v>57</v>
      </c>
      <c r="L1429" s="16" t="s">
        <v>5921</v>
      </c>
    </row>
    <row r="1430" spans="1:12" ht="191.25">
      <c r="A1430" s="48" t="s">
        <v>5922</v>
      </c>
      <c r="B1430" s="12" t="s">
        <v>12</v>
      </c>
      <c r="C1430" s="12" t="s">
        <v>151</v>
      </c>
      <c r="D1430" s="10" t="str">
        <f ca="1">IFERROR(__xludf.DUMMYFUNCTION(" VLOOKUP(A1427, IMPORTRANGE(""https://docs.google.com/spreadsheets/d/1fj_Bhi2XPL3siwIh4sx4VRLAe31yD50oKdj5UlRYW0c/"", ""Сводка!A:AA""), 11, FALSE)"),"978-601-330-303-1")</f>
        <v>978-601-330-303-1</v>
      </c>
      <c r="E1430" s="11" t="s">
        <v>5923</v>
      </c>
      <c r="F1430" s="11" t="s">
        <v>5924</v>
      </c>
      <c r="G1430" s="12">
        <f ca="1">IFERROR(__xludf.DUMMYFUNCTION(" VLOOKUP(A1427, IMPORTRANGE(""https://docs.google.com/spreadsheets/d/1fj_Bhi2XPL3siwIh4sx4VRLAe31yD50oKdj5UlRYW0c/"", ""Сводка!A:AA""), 5, FALSE)"),132)</f>
        <v>132</v>
      </c>
      <c r="H1430" s="12" t="s">
        <v>165</v>
      </c>
      <c r="I1430" s="10">
        <f ca="1">IFERROR(__xludf.DUMMYFUNCTION(" VLOOKUP(A1427, IMPORTRANGE(""https://docs.google.com/spreadsheets/d/1QNLbnkR_AongFt22vMfNzfpjZ0CjpI8QI-w0wBnYA1w/"", ""Инфа!A:AA""), 6, FALSE)"),2024)</f>
        <v>2024</v>
      </c>
      <c r="J1430" s="5">
        <f t="shared" ca="1" si="48"/>
        <v>9000</v>
      </c>
      <c r="K1430" s="12" t="s">
        <v>160</v>
      </c>
      <c r="L1430" s="15" t="s">
        <v>5925</v>
      </c>
    </row>
    <row r="1431" spans="1:12" ht="51">
      <c r="A1431" s="48" t="s">
        <v>5926</v>
      </c>
      <c r="B1431" s="12" t="s">
        <v>12</v>
      </c>
      <c r="C1431" s="12" t="s">
        <v>443</v>
      </c>
      <c r="D1431" s="40" t="s">
        <v>5927</v>
      </c>
      <c r="E1431" s="11" t="s">
        <v>5928</v>
      </c>
      <c r="F1431" s="11" t="s">
        <v>5929</v>
      </c>
      <c r="G1431" s="12">
        <f ca="1">IFERROR(__xludf.DUMMYFUNCTION(" VLOOKUP(A1428, IMPORTRANGE(""https://docs.google.com/spreadsheets/d/1fj_Bhi2XPL3siwIh4sx4VRLAe31yD50oKdj5UlRYW0c/"", ""Сводка!A:AA""), 5, FALSE)"),332)</f>
        <v>332</v>
      </c>
      <c r="H1431" s="12" t="s">
        <v>1271</v>
      </c>
      <c r="I1431" s="10">
        <f ca="1">IFERROR(__xludf.DUMMYFUNCTION(" VLOOKUP(A1428, IMPORTRANGE(""https://docs.google.com/spreadsheets/d/1QNLbnkR_AongFt22vMfNzfpjZ0CjpI8QI-w0wBnYA1w/"", ""Инфа!A:AA""), 6, FALSE)"),2024)</f>
        <v>2024</v>
      </c>
      <c r="J1431" s="5">
        <f ca="1">ROUND((5000+G1431*60),-2)</f>
        <v>24900</v>
      </c>
      <c r="K1431" s="12" t="s">
        <v>139</v>
      </c>
      <c r="L1431" s="15" t="s">
        <v>5930</v>
      </c>
    </row>
    <row r="1432" spans="1:12" ht="51">
      <c r="A1432" s="48" t="s">
        <v>5931</v>
      </c>
      <c r="B1432" s="12" t="s">
        <v>12</v>
      </c>
      <c r="C1432" s="12" t="s">
        <v>443</v>
      </c>
      <c r="D1432" s="10" t="s">
        <v>5932</v>
      </c>
      <c r="E1432" s="11" t="s">
        <v>5933</v>
      </c>
      <c r="F1432" s="11" t="s">
        <v>5934</v>
      </c>
      <c r="G1432" s="12">
        <f ca="1">IFERROR(__xludf.DUMMYFUNCTION(" VLOOKUP(A1429, IMPORTRANGE(""https://docs.google.com/spreadsheets/d/1fj_Bhi2XPL3siwIh4sx4VRLAe31yD50oKdj5UlRYW0c/"", ""Сводка!A:AA""), 5, FALSE)"),192)</f>
        <v>192</v>
      </c>
      <c r="H1432" s="12" t="s">
        <v>1271</v>
      </c>
      <c r="I1432" s="10">
        <f ca="1">IFERROR(__xludf.DUMMYFUNCTION(" VLOOKUP(A1429, IMPORTRANGE(""https://docs.google.com/spreadsheets/d/1QNLbnkR_AongFt22vMfNzfpjZ0CjpI8QI-w0wBnYA1w/"", ""Инфа!A:AA""), 6, FALSE)"),2024)</f>
        <v>2024</v>
      </c>
      <c r="J1432" s="5">
        <f ca="1">ROUND((5000+G1432*30),-2)</f>
        <v>10800</v>
      </c>
      <c r="K1432" s="12" t="s">
        <v>271</v>
      </c>
      <c r="L1432" s="15" t="s">
        <v>5935</v>
      </c>
    </row>
    <row r="1433" spans="1:12" ht="292.5">
      <c r="A1433" s="48" t="s">
        <v>5936</v>
      </c>
      <c r="B1433" s="12" t="s">
        <v>12</v>
      </c>
      <c r="C1433" s="12" t="s">
        <v>151</v>
      </c>
      <c r="D1433" s="10" t="s">
        <v>5937</v>
      </c>
      <c r="E1433" s="11" t="s">
        <v>5938</v>
      </c>
      <c r="F1433" s="11" t="s">
        <v>5939</v>
      </c>
      <c r="G1433" s="12">
        <f ca="1">IFERROR(__xludf.DUMMYFUNCTION(" VLOOKUP(A1430, IMPORTRANGE(""https://docs.google.com/spreadsheets/d/1fj_Bhi2XPL3siwIh4sx4VRLAe31yD50oKdj5UlRYW0c/"", ""Сводка!A:AA""), 5, FALSE)"),196)</f>
        <v>196</v>
      </c>
      <c r="H1433" s="12" t="s">
        <v>106</v>
      </c>
      <c r="I1433" s="10">
        <f ca="1">IFERROR(__xludf.DUMMYFUNCTION(" VLOOKUP(A1430, IMPORTRANGE(""https://docs.google.com/spreadsheets/d/1QNLbnkR_AongFt22vMfNzfpjZ0CjpI8QI-w0wBnYA1w/"", ""Инфа!A:AA""), 6, FALSE)"),2024)</f>
        <v>2024</v>
      </c>
      <c r="J1433" s="5">
        <f ca="1">ROUND((5000+G1433*30),-2)</f>
        <v>10900</v>
      </c>
      <c r="K1433" s="12" t="s">
        <v>1387</v>
      </c>
      <c r="L1433" s="15" t="s">
        <v>5940</v>
      </c>
    </row>
    <row r="1434" spans="1:12" ht="303.75">
      <c r="A1434" s="55" t="s">
        <v>5941</v>
      </c>
      <c r="B1434" s="12" t="s">
        <v>12</v>
      </c>
      <c r="C1434" s="12" t="s">
        <v>443</v>
      </c>
      <c r="D1434" s="10" t="s">
        <v>5942</v>
      </c>
      <c r="E1434" s="11" t="s">
        <v>5943</v>
      </c>
      <c r="F1434" s="11" t="s">
        <v>5944</v>
      </c>
      <c r="G1434" s="12">
        <f ca="1">IFERROR(__xludf.DUMMYFUNCTION(" VLOOKUP(A1431, IMPORTRANGE(""https://docs.google.com/spreadsheets/d/1fj_Bhi2XPL3siwIh4sx4VRLAe31yD50oKdj5UlRYW0c/"", ""Сводка!A:AA""), 5, FALSE)"),280)</f>
        <v>280</v>
      </c>
      <c r="H1434" s="12" t="s">
        <v>538</v>
      </c>
      <c r="I1434" s="10">
        <f ca="1">IFERROR(__xludf.DUMMYFUNCTION(" VLOOKUP(A1431, IMPORTRANGE(""https://docs.google.com/spreadsheets/d/1QNLbnkR_AongFt22vMfNzfpjZ0CjpI8QI-w0wBnYA1w/"", ""Инфа!A:AA""), 6, FALSE)"),2024)</f>
        <v>2024</v>
      </c>
      <c r="J1434" s="5">
        <f t="shared" ref="J1434:J1442" ca="1" si="49">ROUND((5000+G1434*60),-2)</f>
        <v>21800</v>
      </c>
      <c r="K1434" s="12" t="s">
        <v>5945</v>
      </c>
      <c r="L1434" s="16" t="s">
        <v>5946</v>
      </c>
    </row>
    <row r="1435" spans="1:12" ht="168.75">
      <c r="A1435" s="48" t="s">
        <v>5947</v>
      </c>
      <c r="B1435" s="12" t="s">
        <v>12</v>
      </c>
      <c r="C1435" s="12" t="s">
        <v>443</v>
      </c>
      <c r="D1435" s="10" t="s">
        <v>5948</v>
      </c>
      <c r="E1435" s="11" t="s">
        <v>5949</v>
      </c>
      <c r="F1435" s="11" t="s">
        <v>5950</v>
      </c>
      <c r="G1435" s="12">
        <f ca="1">IFERROR(__xludf.DUMMYFUNCTION(" VLOOKUP(A1432, IMPORTRANGE(""https://docs.google.com/spreadsheets/d/1fj_Bhi2XPL3siwIh4sx4VRLAe31yD50oKdj5UlRYW0c/"", ""Сводка!A:AA""), 5, FALSE)"),128)</f>
        <v>128</v>
      </c>
      <c r="H1435" s="12" t="s">
        <v>106</v>
      </c>
      <c r="I1435" s="10">
        <f ca="1">IFERROR(__xludf.DUMMYFUNCTION(" VLOOKUP(A1432, IMPORTRANGE(""https://docs.google.com/spreadsheets/d/1QNLbnkR_AongFt22vMfNzfpjZ0CjpI8QI-w0wBnYA1w/"", ""Инфа!A:AA""), 6, FALSE)"),2024)</f>
        <v>2024</v>
      </c>
      <c r="J1435" s="5">
        <f t="shared" ca="1" si="49"/>
        <v>12700</v>
      </c>
      <c r="K1435" s="12" t="s">
        <v>5547</v>
      </c>
      <c r="L1435" s="15" t="s">
        <v>5951</v>
      </c>
    </row>
    <row r="1436" spans="1:12" ht="90">
      <c r="A1436" s="48" t="s">
        <v>5952</v>
      </c>
      <c r="B1436" s="12" t="s">
        <v>12</v>
      </c>
      <c r="C1436" s="12" t="s">
        <v>443</v>
      </c>
      <c r="D1436" s="10" t="s">
        <v>5953</v>
      </c>
      <c r="E1436" s="11" t="s">
        <v>5954</v>
      </c>
      <c r="F1436" s="11" t="s">
        <v>5955</v>
      </c>
      <c r="G1436" s="12">
        <f ca="1">IFERROR(__xludf.DUMMYFUNCTION(" VLOOKUP(A1433, IMPORTRANGE(""https://docs.google.com/spreadsheets/d/1fj_Bhi2XPL3siwIh4sx4VRLAe31yD50oKdj5UlRYW0c/"", ""Сводка!A:AA""), 5, FALSE)"),116)</f>
        <v>116</v>
      </c>
      <c r="H1436" s="12" t="s">
        <v>446</v>
      </c>
      <c r="I1436" s="10">
        <f ca="1">IFERROR(__xludf.DUMMYFUNCTION(" VLOOKUP(A1433, IMPORTRANGE(""https://docs.google.com/spreadsheets/d/1QNLbnkR_AongFt22vMfNzfpjZ0CjpI8QI-w0wBnYA1w/"", ""Инфа!A:AA""), 6, FALSE)"),2024)</f>
        <v>2024</v>
      </c>
      <c r="J1436" s="5">
        <f t="shared" ca="1" si="49"/>
        <v>12000</v>
      </c>
      <c r="K1436" s="12" t="s">
        <v>5745</v>
      </c>
      <c r="L1436" s="15" t="s">
        <v>5956</v>
      </c>
    </row>
    <row r="1437" spans="1:12" ht="135">
      <c r="A1437" s="48" t="s">
        <v>5957</v>
      </c>
      <c r="B1437" s="12" t="s">
        <v>12</v>
      </c>
      <c r="C1437" s="12" t="s">
        <v>443</v>
      </c>
      <c r="D1437" s="10" t="s">
        <v>5958</v>
      </c>
      <c r="E1437" s="11" t="s">
        <v>5954</v>
      </c>
      <c r="F1437" s="11" t="s">
        <v>5959</v>
      </c>
      <c r="G1437" s="12">
        <f ca="1">IFERROR(__xludf.DUMMYFUNCTION(" VLOOKUP(A1434, IMPORTRANGE(""https://docs.google.com/spreadsheets/d/1fj_Bhi2XPL3siwIh4sx4VRLAe31yD50oKdj5UlRYW0c/"", ""Сводка!A:AA""), 5, FALSE)"),116)</f>
        <v>116</v>
      </c>
      <c r="H1437" s="12" t="s">
        <v>446</v>
      </c>
      <c r="I1437" s="10">
        <f ca="1">IFERROR(__xludf.DUMMYFUNCTION(" VLOOKUP(A1434, IMPORTRANGE(""https://docs.google.com/spreadsheets/d/1QNLbnkR_AongFt22vMfNzfpjZ0CjpI8QI-w0wBnYA1w/"", ""Инфа!A:AA""), 6, FALSE)"),2024)</f>
        <v>2024</v>
      </c>
      <c r="J1437" s="5">
        <f t="shared" ca="1" si="49"/>
        <v>12000</v>
      </c>
      <c r="K1437" s="12" t="s">
        <v>5745</v>
      </c>
      <c r="L1437" s="15" t="s">
        <v>5960</v>
      </c>
    </row>
    <row r="1438" spans="1:12" ht="112.5">
      <c r="A1438" s="48" t="s">
        <v>5961</v>
      </c>
      <c r="B1438" s="12" t="s">
        <v>12</v>
      </c>
      <c r="C1438" s="12" t="s">
        <v>151</v>
      </c>
      <c r="D1438" s="40" t="s">
        <v>5962</v>
      </c>
      <c r="E1438" s="11" t="s">
        <v>5963</v>
      </c>
      <c r="F1438" s="11" t="s">
        <v>5964</v>
      </c>
      <c r="G1438" s="12">
        <f ca="1">IFERROR(__xludf.DUMMYFUNCTION(" VLOOKUP(A1435, IMPORTRANGE(""https://docs.google.com/spreadsheets/d/1fj_Bhi2XPL3siwIh4sx4VRLAe31yD50oKdj5UlRYW0c/"", ""Сводка!A:AA""), 5, FALSE)"),292)</f>
        <v>292</v>
      </c>
      <c r="H1438" s="12" t="s">
        <v>47</v>
      </c>
      <c r="I1438" s="10">
        <f ca="1">IFERROR(__xludf.DUMMYFUNCTION(" VLOOKUP(A1435, IMPORTRANGE(""https://docs.google.com/spreadsheets/d/1QNLbnkR_AongFt22vMfNzfpjZ0CjpI8QI-w0wBnYA1w/"", ""Инфа!A:AA""), 6, FALSE)"),2024)</f>
        <v>2024</v>
      </c>
      <c r="J1438" s="5">
        <f t="shared" ca="1" si="49"/>
        <v>22500</v>
      </c>
      <c r="K1438" s="12" t="s">
        <v>2351</v>
      </c>
      <c r="L1438" s="15" t="s">
        <v>5965</v>
      </c>
    </row>
    <row r="1439" spans="1:12" ht="236.25">
      <c r="A1439" s="48" t="s">
        <v>5966</v>
      </c>
      <c r="B1439" s="12" t="s">
        <v>12</v>
      </c>
      <c r="C1439" s="12" t="s">
        <v>151</v>
      </c>
      <c r="D1439" s="40" t="s">
        <v>5967</v>
      </c>
      <c r="E1439" s="11" t="s">
        <v>5968</v>
      </c>
      <c r="F1439" s="11" t="s">
        <v>5969</v>
      </c>
      <c r="G1439" s="12">
        <f ca="1">IFERROR(__xludf.DUMMYFUNCTION(" VLOOKUP(A1436, IMPORTRANGE(""https://docs.google.com/spreadsheets/d/1fj_Bhi2XPL3siwIh4sx4VRLAe31yD50oKdj5UlRYW0c/"", ""Сводка!A:AA""), 5, FALSE)"),232)</f>
        <v>232</v>
      </c>
      <c r="H1439" s="12" t="s">
        <v>498</v>
      </c>
      <c r="I1439" s="10">
        <f ca="1">IFERROR(__xludf.DUMMYFUNCTION(" VLOOKUP(A1436, IMPORTRANGE(""https://docs.google.com/spreadsheets/d/1QNLbnkR_AongFt22vMfNzfpjZ0CjpI8QI-w0wBnYA1w/"", ""Инфа!A:AA""), 6, FALSE)"),2024)</f>
        <v>2024</v>
      </c>
      <c r="J1439" s="5">
        <f t="shared" ca="1" si="49"/>
        <v>18900</v>
      </c>
      <c r="K1439" s="12" t="s">
        <v>2351</v>
      </c>
      <c r="L1439" s="15" t="s">
        <v>5970</v>
      </c>
    </row>
    <row r="1440" spans="1:12" ht="202.5">
      <c r="A1440" s="48" t="s">
        <v>5971</v>
      </c>
      <c r="B1440" s="12" t="s">
        <v>12</v>
      </c>
      <c r="C1440" s="12" t="s">
        <v>151</v>
      </c>
      <c r="D1440" s="10" t="str">
        <f ca="1">IFERROR(__xludf.DUMMYFUNCTION(" VLOOKUP(A1437, IMPORTRANGE(""https://docs.google.com/spreadsheets/d/1fj_Bhi2XPL3siwIh4sx4VRLAe31yD50oKdj5UlRYW0c/"", ""Сводка!A:AA""), 11, FALSE)"),"")</f>
        <v/>
      </c>
      <c r="E1440" s="11" t="s">
        <v>5972</v>
      </c>
      <c r="F1440" s="11" t="s">
        <v>5973</v>
      </c>
      <c r="G1440" s="12">
        <f ca="1">IFERROR(__xludf.DUMMYFUNCTION(" VLOOKUP(A1437, IMPORTRANGE(""https://docs.google.com/spreadsheets/d/1fj_Bhi2XPL3siwIh4sx4VRLAe31yD50oKdj5UlRYW0c/"", ""Сводка!A:AA""), 5, FALSE)"),328)</f>
        <v>328</v>
      </c>
      <c r="H1440" s="12" t="s">
        <v>498</v>
      </c>
      <c r="I1440" s="10">
        <f ca="1">IFERROR(__xludf.DUMMYFUNCTION(" VLOOKUP(A1437, IMPORTRANGE(""https://docs.google.com/spreadsheets/d/1QNLbnkR_AongFt22vMfNzfpjZ0CjpI8QI-w0wBnYA1w/"", ""Инфа!A:AA""), 6, FALSE)"),2024)</f>
        <v>2024</v>
      </c>
      <c r="J1440" s="5">
        <f t="shared" ca="1" si="49"/>
        <v>24700</v>
      </c>
      <c r="K1440" s="12" t="s">
        <v>2351</v>
      </c>
      <c r="L1440" s="15" t="s">
        <v>5974</v>
      </c>
    </row>
    <row r="1441" spans="1:12" ht="168.75">
      <c r="A1441" s="48" t="s">
        <v>5975</v>
      </c>
      <c r="B1441" s="12" t="s">
        <v>12</v>
      </c>
      <c r="C1441" s="12" t="s">
        <v>151</v>
      </c>
      <c r="D1441" s="40" t="s">
        <v>5976</v>
      </c>
      <c r="E1441" s="11" t="s">
        <v>5977</v>
      </c>
      <c r="F1441" s="11" t="s">
        <v>5978</v>
      </c>
      <c r="G1441" s="12">
        <f ca="1">IFERROR(__xludf.DUMMYFUNCTION(" VLOOKUP(A1438, IMPORTRANGE(""https://docs.google.com/spreadsheets/d/1fj_Bhi2XPL3siwIh4sx4VRLAe31yD50oKdj5UlRYW0c/"", ""Сводка!A:AA""), 5, FALSE)"),264)</f>
        <v>264</v>
      </c>
      <c r="H1441" s="12" t="s">
        <v>498</v>
      </c>
      <c r="I1441" s="10">
        <f ca="1">IFERROR(__xludf.DUMMYFUNCTION(" VLOOKUP(A1438, IMPORTRANGE(""https://docs.google.com/spreadsheets/d/1QNLbnkR_AongFt22vMfNzfpjZ0CjpI8QI-w0wBnYA1w/"", ""Инфа!A:AA""), 6, FALSE)"),2024)</f>
        <v>2024</v>
      </c>
      <c r="J1441" s="5">
        <f t="shared" ca="1" si="49"/>
        <v>20800</v>
      </c>
      <c r="K1441" s="12" t="s">
        <v>2351</v>
      </c>
      <c r="L1441" s="16" t="s">
        <v>5979</v>
      </c>
    </row>
    <row r="1442" spans="1:12" ht="168.75">
      <c r="A1442" s="48" t="s">
        <v>5980</v>
      </c>
      <c r="B1442" s="12" t="s">
        <v>12</v>
      </c>
      <c r="C1442" s="12" t="s">
        <v>151</v>
      </c>
      <c r="D1442" s="10" t="str">
        <f ca="1">IFERROR(__xludf.DUMMYFUNCTION(" VLOOKUP(A1439, IMPORTRANGE(""https://docs.google.com/spreadsheets/d/1fj_Bhi2XPL3siwIh4sx4VRLAe31yD50oKdj5UlRYW0c/"", ""Сводка!A:AA""), 11, FALSE)"),"")</f>
        <v/>
      </c>
      <c r="E1442" s="11" t="s">
        <v>5977</v>
      </c>
      <c r="F1442" s="11" t="s">
        <v>5981</v>
      </c>
      <c r="G1442" s="12">
        <f ca="1">IFERROR(__xludf.DUMMYFUNCTION(" VLOOKUP(A1439, IMPORTRANGE(""https://docs.google.com/spreadsheets/d/1fj_Bhi2XPL3siwIh4sx4VRLAe31yD50oKdj5UlRYW0c/"", ""Сводка!A:AA""), 5, FALSE)"),216)</f>
        <v>216</v>
      </c>
      <c r="H1442" s="12" t="s">
        <v>498</v>
      </c>
      <c r="I1442" s="10">
        <f ca="1">IFERROR(__xludf.DUMMYFUNCTION(" VLOOKUP(A1439, IMPORTRANGE(""https://docs.google.com/spreadsheets/d/1QNLbnkR_AongFt22vMfNzfpjZ0CjpI8QI-w0wBnYA1w/"", ""Инфа!A:AA""), 6, FALSE)"),2024)</f>
        <v>2024</v>
      </c>
      <c r="J1442" s="5">
        <f t="shared" ca="1" si="49"/>
        <v>18000</v>
      </c>
      <c r="K1442" s="12" t="s">
        <v>2351</v>
      </c>
      <c r="L1442" s="16" t="s">
        <v>5979</v>
      </c>
    </row>
    <row r="1443" spans="1:12" ht="202.5">
      <c r="A1443" s="48" t="s">
        <v>5982</v>
      </c>
      <c r="B1443" s="12" t="s">
        <v>12</v>
      </c>
      <c r="C1443" s="12" t="s">
        <v>443</v>
      </c>
      <c r="D1443" s="10" t="s">
        <v>5983</v>
      </c>
      <c r="E1443" s="56" t="s">
        <v>5984</v>
      </c>
      <c r="F1443" s="56" t="s">
        <v>5985</v>
      </c>
      <c r="G1443" s="12">
        <f ca="1">IFERROR(__xludf.DUMMYFUNCTION(" VLOOKUP(A1440, IMPORTRANGE(""https://docs.google.com/spreadsheets/d/1fj_Bhi2XPL3siwIh4sx4VRLAe31yD50oKdj5UlRYW0c/"", ""Сводка!A:AA""), 5, FALSE)"),276)</f>
        <v>276</v>
      </c>
      <c r="H1443" s="57" t="s">
        <v>511</v>
      </c>
      <c r="I1443" s="10">
        <f ca="1">IFERROR(__xludf.DUMMYFUNCTION(" VLOOKUP(A1440, IMPORTRANGE(""https://docs.google.com/spreadsheets/d/1QNLbnkR_AongFt22vMfNzfpjZ0CjpI8QI-w0wBnYA1w/"", ""Инфа!A:AA""), 6, FALSE)"),2024)</f>
        <v>2024</v>
      </c>
      <c r="J1443" s="5">
        <f ca="1">ROUND((5000+G1443*30),-2)</f>
        <v>13300</v>
      </c>
      <c r="K1443" s="12" t="s">
        <v>139</v>
      </c>
      <c r="L1443" s="58" t="s">
        <v>5986</v>
      </c>
    </row>
    <row r="1444" spans="1:12" ht="202.5">
      <c r="A1444" s="48" t="s">
        <v>5987</v>
      </c>
      <c r="B1444" s="12" t="s">
        <v>12</v>
      </c>
      <c r="C1444" s="12" t="s">
        <v>443</v>
      </c>
      <c r="D1444" s="10" t="s">
        <v>5988</v>
      </c>
      <c r="E1444" s="56" t="s">
        <v>5984</v>
      </c>
      <c r="F1444" s="56" t="s">
        <v>5989</v>
      </c>
      <c r="G1444" s="12">
        <f ca="1">IFERROR(__xludf.DUMMYFUNCTION(" VLOOKUP(A1441, IMPORTRANGE(""https://docs.google.com/spreadsheets/d/1fj_Bhi2XPL3siwIh4sx4VRLAe31yD50oKdj5UlRYW0c/"", ""Сводка!A:AA""), 5, FALSE)"),288)</f>
        <v>288</v>
      </c>
      <c r="H1444" s="57" t="s">
        <v>511</v>
      </c>
      <c r="I1444" s="10">
        <f ca="1">IFERROR(__xludf.DUMMYFUNCTION(" VLOOKUP(A1441, IMPORTRANGE(""https://docs.google.com/spreadsheets/d/1QNLbnkR_AongFt22vMfNzfpjZ0CjpI8QI-w0wBnYA1w/"", ""Инфа!A:AA""), 6, FALSE)"),2024)</f>
        <v>2024</v>
      </c>
      <c r="J1444" s="5">
        <f ca="1">ROUND((5000+G1444*30),-2)</f>
        <v>13600</v>
      </c>
      <c r="K1444" s="12" t="s">
        <v>139</v>
      </c>
      <c r="L1444" s="58" t="s">
        <v>5986</v>
      </c>
    </row>
    <row r="1445" spans="1:12" ht="168.75">
      <c r="A1445" s="48" t="s">
        <v>5990</v>
      </c>
      <c r="B1445" s="12" t="s">
        <v>12</v>
      </c>
      <c r="C1445" s="12" t="s">
        <v>443</v>
      </c>
      <c r="D1445" s="10" t="s">
        <v>5991</v>
      </c>
      <c r="E1445" s="11" t="s">
        <v>5479</v>
      </c>
      <c r="F1445" s="11" t="s">
        <v>5992</v>
      </c>
      <c r="G1445" s="12" t="e">
        <f>#REF!</f>
        <v>#REF!</v>
      </c>
      <c r="H1445" s="12" t="s">
        <v>446</v>
      </c>
      <c r="I1445" s="10">
        <f ca="1">IFERROR(__xludf.DUMMYFUNCTION(" VLOOKUP(A1442, IMPORTRANGE(""https://docs.google.com/spreadsheets/d/1QNLbnkR_AongFt22vMfNzfpjZ0CjpI8QI-w0wBnYA1w/"", ""Инфа!A:AA""), 6, FALSE)"),2024)</f>
        <v>2024</v>
      </c>
      <c r="J1445" s="5" t="e">
        <f>ROUND((5000+G1445*30),-2)</f>
        <v>#REF!</v>
      </c>
      <c r="K1445" s="12" t="s">
        <v>139</v>
      </c>
      <c r="L1445" s="15" t="s">
        <v>5993</v>
      </c>
    </row>
    <row r="1446" spans="1:12" ht="38.25">
      <c r="A1446" s="48" t="s">
        <v>5994</v>
      </c>
      <c r="B1446" s="12" t="s">
        <v>12</v>
      </c>
      <c r="C1446" s="12" t="s">
        <v>443</v>
      </c>
      <c r="D1446" s="10" t="s">
        <v>5995</v>
      </c>
      <c r="E1446" s="11" t="s">
        <v>5996</v>
      </c>
      <c r="F1446" s="11" t="s">
        <v>5997</v>
      </c>
      <c r="G1446" s="12">
        <f ca="1">IFERROR(__xludf.DUMMYFUNCTION(" VLOOKUP(A1443, IMPORTRANGE(""https://docs.google.com/spreadsheets/d/1fj_Bhi2XPL3siwIh4sx4VRLAe31yD50oKdj5UlRYW0c/"", ""Сводка!A:AA""), 5, FALSE)"),300)</f>
        <v>300</v>
      </c>
      <c r="H1446" s="12" t="s">
        <v>777</v>
      </c>
      <c r="I1446" s="10">
        <f ca="1">IFERROR(__xludf.DUMMYFUNCTION(" VLOOKUP(A1443, IMPORTRANGE(""https://docs.google.com/spreadsheets/d/1QNLbnkR_AongFt22vMfNzfpjZ0CjpI8QI-w0wBnYA1w/"", ""Инфа!A:AA""), 6, FALSE)"),2024)</f>
        <v>2024</v>
      </c>
      <c r="J1446" s="5">
        <f ca="1">ROUND((5000+G1446*60),-2)</f>
        <v>23000</v>
      </c>
      <c r="K1446" s="12" t="s">
        <v>4375</v>
      </c>
      <c r="L1446" s="15" t="s">
        <v>5998</v>
      </c>
    </row>
    <row r="1447" spans="1:12" ht="38.25">
      <c r="A1447" s="48" t="s">
        <v>5999</v>
      </c>
      <c r="B1447" s="12" t="s">
        <v>12</v>
      </c>
      <c r="C1447" s="12" t="s">
        <v>443</v>
      </c>
      <c r="D1447" s="10" t="str">
        <f ca="1">IFERROR(__xludf.DUMMYFUNCTION(" VLOOKUP(A1444, IMPORTRANGE(""https://docs.google.com/spreadsheets/d/1fj_Bhi2XPL3siwIh4sx4VRLAe31yD50oKdj5UlRYW0c/"", ""Сводка!A:AA""), 11, FALSE)"),"978-601-330-421-2")</f>
        <v>978-601-330-421-2</v>
      </c>
      <c r="E1447" s="11" t="s">
        <v>5996</v>
      </c>
      <c r="F1447" s="11" t="s">
        <v>6000</v>
      </c>
      <c r="G1447" s="12">
        <f ca="1">IFERROR(__xludf.DUMMYFUNCTION(" VLOOKUP(A1444, IMPORTRANGE(""https://docs.google.com/spreadsheets/d/1fj_Bhi2XPL3siwIh4sx4VRLAe31yD50oKdj5UlRYW0c/"", ""Сводка!A:AA""), 5, FALSE)"),224)</f>
        <v>224</v>
      </c>
      <c r="H1447" s="12" t="s">
        <v>777</v>
      </c>
      <c r="I1447" s="10">
        <f ca="1">IFERROR(__xludf.DUMMYFUNCTION(" VLOOKUP(A1444, IMPORTRANGE(""https://docs.google.com/spreadsheets/d/1QNLbnkR_AongFt22vMfNzfpjZ0CjpI8QI-w0wBnYA1w/"", ""Инфа!A:AA""), 6, FALSE)"),2024)</f>
        <v>2024</v>
      </c>
      <c r="J1447" s="5">
        <f ca="1">ROUND((5000+G1447*60),-2)</f>
        <v>18400</v>
      </c>
      <c r="K1447" s="12" t="s">
        <v>4375</v>
      </c>
      <c r="L1447" s="15" t="s">
        <v>5998</v>
      </c>
    </row>
    <row r="1448" spans="1:12" ht="38.25">
      <c r="A1448" s="48" t="s">
        <v>6001</v>
      </c>
      <c r="B1448" s="12" t="s">
        <v>12</v>
      </c>
      <c r="C1448" s="12" t="s">
        <v>443</v>
      </c>
      <c r="D1448" s="10" t="str">
        <f ca="1">IFERROR(__xludf.DUMMYFUNCTION(" VLOOKUP(A1445, IMPORTRANGE(""https://docs.google.com/spreadsheets/d/1fj_Bhi2XPL3siwIh4sx4VRLAe31yD50oKdj5UlRYW0c/"", ""Сводка!A:AA""), 11, FALSE)"),"978-601-330-421-2")</f>
        <v>978-601-330-421-2</v>
      </c>
      <c r="E1448" s="11" t="s">
        <v>5996</v>
      </c>
      <c r="F1448" s="11" t="s">
        <v>6002</v>
      </c>
      <c r="G1448" s="12">
        <f ca="1">IFERROR(__xludf.DUMMYFUNCTION(" VLOOKUP(A1445, IMPORTRANGE(""https://docs.google.com/spreadsheets/d/1fj_Bhi2XPL3siwIh4sx4VRLAe31yD50oKdj5UlRYW0c/"", ""Сводка!A:AA""), 5, FALSE)"),224)</f>
        <v>224</v>
      </c>
      <c r="H1448" s="12" t="s">
        <v>777</v>
      </c>
      <c r="I1448" s="10">
        <f ca="1">IFERROR(__xludf.DUMMYFUNCTION(" VLOOKUP(A1445, IMPORTRANGE(""https://docs.google.com/spreadsheets/d/1QNLbnkR_AongFt22vMfNzfpjZ0CjpI8QI-w0wBnYA1w/"", ""Инфа!A:AA""), 6, FALSE)"),2024)</f>
        <v>2024</v>
      </c>
      <c r="J1448" s="5">
        <f ca="1">ROUND((5000+G1448*60),-2)</f>
        <v>18400</v>
      </c>
      <c r="K1448" s="12" t="s">
        <v>4375</v>
      </c>
      <c r="L1448" s="15" t="s">
        <v>5998</v>
      </c>
    </row>
    <row r="1449" spans="1:12" ht="25.5">
      <c r="A1449" s="8" t="s">
        <v>6003</v>
      </c>
      <c r="B1449" s="9" t="s">
        <v>12</v>
      </c>
      <c r="C1449" s="10" t="s">
        <v>443</v>
      </c>
      <c r="D1449" s="10" t="str">
        <f ca="1">IFERROR(__xludf.DUMMYFUNCTION(" VLOOKUP(A1446, IMPORTRANGE(""https://docs.google.com/spreadsheets/d/1fj_Bhi2XPL3siwIh4sx4VRLAe31yD50oKdj5UlRYW0c/"", ""Сводка!A:AA""), 11, FALSE)"),"978-601-310-317-4")</f>
        <v>978-601-310-317-4</v>
      </c>
      <c r="E1449" s="11" t="s">
        <v>6004</v>
      </c>
      <c r="F1449" s="11" t="s">
        <v>6005</v>
      </c>
      <c r="G1449" s="12">
        <f ca="1">IFERROR(__xludf.DUMMYFUNCTION(" VLOOKUP(A1446, IMPORTRANGE(""https://docs.google.com/spreadsheets/d/1fj_Bhi2XPL3siwIh4sx4VRLAe31yD50oKdj5UlRYW0c/"", ""Сводка!A:AA""), 5, FALSE)"),184)</f>
        <v>184</v>
      </c>
      <c r="H1449" s="12" t="s">
        <v>538</v>
      </c>
      <c r="I1449" s="10">
        <f ca="1">IFERROR(__xludf.DUMMYFUNCTION(" VLOOKUP(A1446, IMPORTRANGE(""https://docs.google.com/spreadsheets/d/1QNLbnkR_AongFt22vMfNzfpjZ0CjpI8QI-w0wBnYA1w/"", ""Инфа!A:AA""), 6, FALSE)"),2024)</f>
        <v>2024</v>
      </c>
      <c r="J1449" s="5">
        <f ca="1">ROUND((5000+G1449*30),-2)</f>
        <v>10500</v>
      </c>
      <c r="K1449" s="9" t="s">
        <v>5309</v>
      </c>
      <c r="L1449" s="15"/>
    </row>
    <row r="1450" spans="1:12" ht="157.5">
      <c r="A1450" s="48" t="s">
        <v>6006</v>
      </c>
      <c r="B1450" s="12" t="s">
        <v>12</v>
      </c>
      <c r="C1450" s="12" t="s">
        <v>443</v>
      </c>
      <c r="D1450" s="40" t="s">
        <v>6007</v>
      </c>
      <c r="E1450" s="11" t="s">
        <v>6008</v>
      </c>
      <c r="F1450" s="11" t="s">
        <v>6009</v>
      </c>
      <c r="G1450" s="12">
        <f ca="1">IFERROR(__xludf.DUMMYFUNCTION(" VLOOKUP(A1447, IMPORTRANGE(""https://docs.google.com/spreadsheets/d/1fj_Bhi2XPL3siwIh4sx4VRLAe31yD50oKdj5UlRYW0c/"", ""Сводка!A:AA""), 5, FALSE)"),192)</f>
        <v>192</v>
      </c>
      <c r="H1450" s="12" t="s">
        <v>511</v>
      </c>
      <c r="I1450" s="10">
        <f ca="1">IFERROR(__xludf.DUMMYFUNCTION(" VLOOKUP(A1447, IMPORTRANGE(""https://docs.google.com/spreadsheets/d/1QNLbnkR_AongFt22vMfNzfpjZ0CjpI8QI-w0wBnYA1w/"", ""Инфа!A:AA""), 6, FALSE)"),2024)</f>
        <v>2024</v>
      </c>
      <c r="J1450" s="5">
        <f t="shared" ref="J1450:J1463" ca="1" si="50">ROUND((5000+G1450*60),-2)</f>
        <v>16500</v>
      </c>
      <c r="K1450" s="12" t="s">
        <v>160</v>
      </c>
      <c r="L1450" s="15" t="s">
        <v>6010</v>
      </c>
    </row>
    <row r="1451" spans="1:12" ht="112.5">
      <c r="A1451" s="48" t="s">
        <v>6011</v>
      </c>
      <c r="B1451" s="12" t="s">
        <v>12</v>
      </c>
      <c r="C1451" s="10" t="s">
        <v>151</v>
      </c>
      <c r="D1451" s="10" t="str">
        <f ca="1">IFERROR(__xludf.DUMMYFUNCTION(" VLOOKUP(A1448, IMPORTRANGE(""https://docs.google.com/spreadsheets/d/1fj_Bhi2XPL3siwIh4sx4VRLAe31yD50oKdj5UlRYW0c/"", ""Сводка!A:AA""), 11, FALSE)"),"")</f>
        <v/>
      </c>
      <c r="E1451" s="11" t="s">
        <v>4782</v>
      </c>
      <c r="F1451" s="11" t="s">
        <v>6012</v>
      </c>
      <c r="G1451" s="12">
        <f ca="1">IFERROR(__xludf.DUMMYFUNCTION(" VLOOKUP(A1448, IMPORTRANGE(""https://docs.google.com/spreadsheets/d/1fj_Bhi2XPL3siwIh4sx4VRLAe31yD50oKdj5UlRYW0c/"", ""Сводка!A:AA""), 5, FALSE)"),292)</f>
        <v>292</v>
      </c>
      <c r="H1451" s="12" t="s">
        <v>498</v>
      </c>
      <c r="I1451" s="10">
        <f ca="1">IFERROR(__xludf.DUMMYFUNCTION(" VLOOKUP(A1448, IMPORTRANGE(""https://docs.google.com/spreadsheets/d/1QNLbnkR_AongFt22vMfNzfpjZ0CjpI8QI-w0wBnYA1w/"", ""Инфа!A:AA""), 6, FALSE)"),2024)</f>
        <v>2024</v>
      </c>
      <c r="J1451" s="5">
        <f t="shared" ca="1" si="50"/>
        <v>22500</v>
      </c>
      <c r="K1451" s="12" t="s">
        <v>26</v>
      </c>
      <c r="L1451" s="15" t="s">
        <v>6013</v>
      </c>
    </row>
    <row r="1452" spans="1:12" ht="112.5">
      <c r="A1452" s="48" t="s">
        <v>6014</v>
      </c>
      <c r="B1452" s="12" t="s">
        <v>12</v>
      </c>
      <c r="C1452" s="10" t="s">
        <v>151</v>
      </c>
      <c r="D1452" s="10" t="str">
        <f ca="1">IFERROR(__xludf.DUMMYFUNCTION(" VLOOKUP(A1449, IMPORTRANGE(""https://docs.google.com/spreadsheets/d/1fj_Bhi2XPL3siwIh4sx4VRLAe31yD50oKdj5UlRYW0c/"", ""Сводка!A:AA""), 11, FALSE)"),"")</f>
        <v/>
      </c>
      <c r="E1452" s="11" t="s">
        <v>4782</v>
      </c>
      <c r="F1452" s="11" t="s">
        <v>6015</v>
      </c>
      <c r="G1452" s="12">
        <f ca="1">IFERROR(__xludf.DUMMYFUNCTION(" VLOOKUP(A1449, IMPORTRANGE(""https://docs.google.com/spreadsheets/d/1fj_Bhi2XPL3siwIh4sx4VRLAe31yD50oKdj5UlRYW0c/"", ""Сводка!A:AA""), 5, FALSE)"),348)</f>
        <v>348</v>
      </c>
      <c r="H1452" s="12" t="s">
        <v>498</v>
      </c>
      <c r="I1452" s="10">
        <f ca="1">IFERROR(__xludf.DUMMYFUNCTION(" VLOOKUP(A1449, IMPORTRANGE(""https://docs.google.com/spreadsheets/d/1QNLbnkR_AongFt22vMfNzfpjZ0CjpI8QI-w0wBnYA1w/"", ""Инфа!A:AA""), 6, FALSE)"),2024)</f>
        <v>2024</v>
      </c>
      <c r="J1452" s="5">
        <f t="shared" ca="1" si="50"/>
        <v>25900</v>
      </c>
      <c r="K1452" s="12" t="s">
        <v>26</v>
      </c>
      <c r="L1452" s="15" t="s">
        <v>6013</v>
      </c>
    </row>
    <row r="1453" spans="1:12" ht="123.75">
      <c r="A1453" s="48" t="s">
        <v>6016</v>
      </c>
      <c r="B1453" s="12" t="s">
        <v>12</v>
      </c>
      <c r="C1453" s="10" t="s">
        <v>151</v>
      </c>
      <c r="D1453" s="10" t="str">
        <f ca="1">IFERROR(__xludf.DUMMYFUNCTION(" VLOOKUP(A1450, IMPORTRANGE(""https://docs.google.com/spreadsheets/d/1fj_Bhi2XPL3siwIh4sx4VRLAe31yD50oKdj5UlRYW0c/"", ""Сводка!A:AA""), 11, FALSE)"),"")</f>
        <v/>
      </c>
      <c r="E1453" s="11" t="s">
        <v>4782</v>
      </c>
      <c r="F1453" s="11" t="s">
        <v>6017</v>
      </c>
      <c r="G1453" s="12">
        <f ca="1">IFERROR(__xludf.DUMMYFUNCTION(" VLOOKUP(A1450, IMPORTRANGE(""https://docs.google.com/spreadsheets/d/1fj_Bhi2XPL3siwIh4sx4VRLAe31yD50oKdj5UlRYW0c/"", ""Сводка!A:AA""), 5, FALSE)"),304)</f>
        <v>304</v>
      </c>
      <c r="H1453" s="12" t="s">
        <v>498</v>
      </c>
      <c r="I1453" s="10">
        <f ca="1">IFERROR(__xludf.DUMMYFUNCTION(" VLOOKUP(A1450, IMPORTRANGE(""https://docs.google.com/spreadsheets/d/1QNLbnkR_AongFt22vMfNzfpjZ0CjpI8QI-w0wBnYA1w/"", ""Инфа!A:AA""), 6, FALSE)"),2024)</f>
        <v>2024</v>
      </c>
      <c r="J1453" s="5">
        <f t="shared" ca="1" si="50"/>
        <v>23200</v>
      </c>
      <c r="K1453" s="12" t="s">
        <v>26</v>
      </c>
      <c r="L1453" s="15" t="s">
        <v>6018</v>
      </c>
    </row>
    <row r="1454" spans="1:12" ht="123.75">
      <c r="A1454" s="48" t="s">
        <v>6019</v>
      </c>
      <c r="B1454" s="12" t="s">
        <v>12</v>
      </c>
      <c r="C1454" s="10" t="s">
        <v>151</v>
      </c>
      <c r="D1454" s="10" t="str">
        <f ca="1">IFERROR(__xludf.DUMMYFUNCTION(" VLOOKUP(A1451, IMPORTRANGE(""https://docs.google.com/spreadsheets/d/1fj_Bhi2XPL3siwIh4sx4VRLAe31yD50oKdj5UlRYW0c/"", ""Сводка!A:AA""), 11, FALSE)"),"")</f>
        <v/>
      </c>
      <c r="E1454" s="11" t="s">
        <v>4782</v>
      </c>
      <c r="F1454" s="11" t="s">
        <v>6020</v>
      </c>
      <c r="G1454" s="12">
        <f ca="1">IFERROR(__xludf.DUMMYFUNCTION(" VLOOKUP(A1451, IMPORTRANGE(""https://docs.google.com/spreadsheets/d/1fj_Bhi2XPL3siwIh4sx4VRLAe31yD50oKdj5UlRYW0c/"", ""Сводка!A:AA""), 5, FALSE)"),244)</f>
        <v>244</v>
      </c>
      <c r="H1454" s="12" t="s">
        <v>498</v>
      </c>
      <c r="I1454" s="10">
        <f ca="1">IFERROR(__xludf.DUMMYFUNCTION(" VLOOKUP(A1451, IMPORTRANGE(""https://docs.google.com/spreadsheets/d/1QNLbnkR_AongFt22vMfNzfpjZ0CjpI8QI-w0wBnYA1w/"", ""Инфа!A:AA""), 6, FALSE)"),2024)</f>
        <v>2024</v>
      </c>
      <c r="J1454" s="5">
        <f t="shared" ca="1" si="50"/>
        <v>19600</v>
      </c>
      <c r="K1454" s="12" t="s">
        <v>26</v>
      </c>
      <c r="L1454" s="15" t="s">
        <v>6021</v>
      </c>
    </row>
    <row r="1455" spans="1:12" ht="135">
      <c r="A1455" s="48" t="s">
        <v>6022</v>
      </c>
      <c r="B1455" s="12" t="s">
        <v>12</v>
      </c>
      <c r="C1455" s="10" t="s">
        <v>151</v>
      </c>
      <c r="D1455" s="10" t="str">
        <f ca="1">IFERROR(__xludf.DUMMYFUNCTION(" VLOOKUP(A1452, IMPORTRANGE(""https://docs.google.com/spreadsheets/d/1fj_Bhi2XPL3siwIh4sx4VRLAe31yD50oKdj5UlRYW0c/"", ""Сводка!A:AA""), 11, FALSE)"),"")</f>
        <v/>
      </c>
      <c r="E1455" s="11" t="s">
        <v>4782</v>
      </c>
      <c r="F1455" s="11" t="s">
        <v>6023</v>
      </c>
      <c r="G1455" s="12">
        <f ca="1">IFERROR(__xludf.DUMMYFUNCTION(" VLOOKUP(A1452, IMPORTRANGE(""https://docs.google.com/spreadsheets/d/1fj_Bhi2XPL3siwIh4sx4VRLAe31yD50oKdj5UlRYW0c/"", ""Сводка!A:AA""), 5, FALSE)"),328)</f>
        <v>328</v>
      </c>
      <c r="H1455" s="12" t="s">
        <v>498</v>
      </c>
      <c r="I1455" s="10">
        <f ca="1">IFERROR(__xludf.DUMMYFUNCTION(" VLOOKUP(A1452, IMPORTRANGE(""https://docs.google.com/spreadsheets/d/1QNLbnkR_AongFt22vMfNzfpjZ0CjpI8QI-w0wBnYA1w/"", ""Инфа!A:AA""), 6, FALSE)"),2024)</f>
        <v>2024</v>
      </c>
      <c r="J1455" s="5">
        <f t="shared" ca="1" si="50"/>
        <v>24700</v>
      </c>
      <c r="K1455" s="12" t="s">
        <v>26</v>
      </c>
      <c r="L1455" s="15" t="s">
        <v>6024</v>
      </c>
    </row>
    <row r="1456" spans="1:12" ht="112.5">
      <c r="A1456" s="48" t="s">
        <v>6025</v>
      </c>
      <c r="B1456" s="12" t="s">
        <v>12</v>
      </c>
      <c r="C1456" s="10" t="s">
        <v>151</v>
      </c>
      <c r="D1456" s="10" t="str">
        <f ca="1">IFERROR(__xludf.DUMMYFUNCTION(" VLOOKUP(A1453, IMPORTRANGE(""https://docs.google.com/spreadsheets/d/1fj_Bhi2XPL3siwIh4sx4VRLAe31yD50oKdj5UlRYW0c/"", ""Сводка!A:AA""), 11, FALSE)"),"")</f>
        <v/>
      </c>
      <c r="E1456" s="11" t="s">
        <v>4782</v>
      </c>
      <c r="F1456" s="11" t="s">
        <v>6026</v>
      </c>
      <c r="G1456" s="12">
        <f ca="1">IFERROR(__xludf.DUMMYFUNCTION(" VLOOKUP(A1453, IMPORTRANGE(""https://docs.google.com/spreadsheets/d/1fj_Bhi2XPL3siwIh4sx4VRLAe31yD50oKdj5UlRYW0c/"", ""Сводка!A:AA""), 5, FALSE)"),232)</f>
        <v>232</v>
      </c>
      <c r="H1456" s="12" t="s">
        <v>498</v>
      </c>
      <c r="I1456" s="10">
        <f ca="1">IFERROR(__xludf.DUMMYFUNCTION(" VLOOKUP(A1453, IMPORTRANGE(""https://docs.google.com/spreadsheets/d/1QNLbnkR_AongFt22vMfNzfpjZ0CjpI8QI-w0wBnYA1w/"", ""Инфа!A:AA""), 6, FALSE)"),2024)</f>
        <v>2024</v>
      </c>
      <c r="J1456" s="5">
        <f t="shared" ca="1" si="50"/>
        <v>18900</v>
      </c>
      <c r="K1456" s="12" t="s">
        <v>26</v>
      </c>
      <c r="L1456" s="15" t="s">
        <v>6027</v>
      </c>
    </row>
    <row r="1457" spans="1:12" ht="101.25">
      <c r="A1457" s="48" t="s">
        <v>6028</v>
      </c>
      <c r="B1457" s="12" t="s">
        <v>12</v>
      </c>
      <c r="C1457" s="10" t="s">
        <v>151</v>
      </c>
      <c r="D1457" s="10" t="str">
        <f ca="1">IFERROR(__xludf.DUMMYFUNCTION(" VLOOKUP(A1454, IMPORTRANGE(""https://docs.google.com/spreadsheets/d/1fj_Bhi2XPL3siwIh4sx4VRLAe31yD50oKdj5UlRYW0c/"", ""Сводка!A:AA""), 11, FALSE)"),"")</f>
        <v/>
      </c>
      <c r="E1457" s="11" t="s">
        <v>4782</v>
      </c>
      <c r="F1457" s="11" t="s">
        <v>6029</v>
      </c>
      <c r="G1457" s="12">
        <f ca="1">IFERROR(__xludf.DUMMYFUNCTION(" VLOOKUP(A1454, IMPORTRANGE(""https://docs.google.com/spreadsheets/d/1fj_Bhi2XPL3siwIh4sx4VRLAe31yD50oKdj5UlRYW0c/"", ""Сводка!A:AA""), 5, FALSE)"),308)</f>
        <v>308</v>
      </c>
      <c r="H1457" s="12" t="s">
        <v>498</v>
      </c>
      <c r="I1457" s="10">
        <f ca="1">IFERROR(__xludf.DUMMYFUNCTION(" VLOOKUP(A1454, IMPORTRANGE(""https://docs.google.com/spreadsheets/d/1QNLbnkR_AongFt22vMfNzfpjZ0CjpI8QI-w0wBnYA1w/"", ""Инфа!A:AA""), 6, FALSE)"),2024)</f>
        <v>2024</v>
      </c>
      <c r="J1457" s="5">
        <f t="shared" ca="1" si="50"/>
        <v>23500</v>
      </c>
      <c r="K1457" s="12" t="s">
        <v>26</v>
      </c>
      <c r="L1457" s="15" t="s">
        <v>6030</v>
      </c>
    </row>
    <row r="1458" spans="1:12" ht="146.25">
      <c r="A1458" s="48" t="s">
        <v>6031</v>
      </c>
      <c r="B1458" s="12" t="s">
        <v>12</v>
      </c>
      <c r="C1458" s="10" t="s">
        <v>151</v>
      </c>
      <c r="D1458" s="10" t="str">
        <f ca="1">IFERROR(__xludf.DUMMYFUNCTION(" VLOOKUP(A1455, IMPORTRANGE(""https://docs.google.com/spreadsheets/d/1fj_Bhi2XPL3siwIh4sx4VRLAe31yD50oKdj5UlRYW0c/"", ""Сводка!A:AA""), 11, FALSE)"),"")</f>
        <v/>
      </c>
      <c r="E1458" s="11" t="s">
        <v>4782</v>
      </c>
      <c r="F1458" s="11" t="s">
        <v>6032</v>
      </c>
      <c r="G1458" s="12">
        <f ca="1">IFERROR(__xludf.DUMMYFUNCTION(" VLOOKUP(A1455, IMPORTRANGE(""https://docs.google.com/spreadsheets/d/1fj_Bhi2XPL3siwIh4sx4VRLAe31yD50oKdj5UlRYW0c/"", ""Сводка!A:AA""), 5, FALSE)"),200)</f>
        <v>200</v>
      </c>
      <c r="H1458" s="12" t="s">
        <v>498</v>
      </c>
      <c r="I1458" s="10">
        <f ca="1">IFERROR(__xludf.DUMMYFUNCTION(" VLOOKUP(A1455, IMPORTRANGE(""https://docs.google.com/spreadsheets/d/1QNLbnkR_AongFt22vMfNzfpjZ0CjpI8QI-w0wBnYA1w/"", ""Инфа!A:AA""), 6, FALSE)"),2024)</f>
        <v>2024</v>
      </c>
      <c r="J1458" s="5">
        <f t="shared" ca="1" si="50"/>
        <v>17000</v>
      </c>
      <c r="K1458" s="12" t="s">
        <v>26</v>
      </c>
      <c r="L1458" s="15" t="s">
        <v>6033</v>
      </c>
    </row>
    <row r="1459" spans="1:12" ht="146.25">
      <c r="A1459" s="48" t="s">
        <v>6034</v>
      </c>
      <c r="B1459" s="12" t="s">
        <v>12</v>
      </c>
      <c r="C1459" s="10" t="s">
        <v>151</v>
      </c>
      <c r="D1459" s="10" t="str">
        <f ca="1">IFERROR(__xludf.DUMMYFUNCTION(" VLOOKUP(A1456, IMPORTRANGE(""https://docs.google.com/spreadsheets/d/1fj_Bhi2XPL3siwIh4sx4VRLAe31yD50oKdj5UlRYW0c/"", ""Сводка!A:AA""), 11, FALSE)"),"")</f>
        <v/>
      </c>
      <c r="E1459" s="11" t="s">
        <v>4782</v>
      </c>
      <c r="F1459" s="11" t="s">
        <v>6035</v>
      </c>
      <c r="G1459" s="12">
        <f ca="1">IFERROR(__xludf.DUMMYFUNCTION(" VLOOKUP(A1456, IMPORTRANGE(""https://docs.google.com/spreadsheets/d/1fj_Bhi2XPL3siwIh4sx4VRLAe31yD50oKdj5UlRYW0c/"", ""Сводка!A:AA""), 5, FALSE)"),248)</f>
        <v>248</v>
      </c>
      <c r="H1459" s="12" t="s">
        <v>498</v>
      </c>
      <c r="I1459" s="10">
        <f ca="1">IFERROR(__xludf.DUMMYFUNCTION(" VLOOKUP(A1456, IMPORTRANGE(""https://docs.google.com/spreadsheets/d/1QNLbnkR_AongFt22vMfNzfpjZ0CjpI8QI-w0wBnYA1w/"", ""Инфа!A:AA""), 6, FALSE)"),2024)</f>
        <v>2024</v>
      </c>
      <c r="J1459" s="5">
        <f t="shared" ca="1" si="50"/>
        <v>19900</v>
      </c>
      <c r="K1459" s="12" t="s">
        <v>26</v>
      </c>
      <c r="L1459" s="15" t="s">
        <v>6036</v>
      </c>
    </row>
    <row r="1460" spans="1:12" ht="202.5">
      <c r="A1460" s="48" t="s">
        <v>6037</v>
      </c>
      <c r="B1460" s="12" t="s">
        <v>2231</v>
      </c>
      <c r="C1460" s="12" t="s">
        <v>443</v>
      </c>
      <c r="D1460" s="10" t="s">
        <v>6038</v>
      </c>
      <c r="E1460" s="11" t="s">
        <v>6039</v>
      </c>
      <c r="F1460" s="11" t="s">
        <v>6040</v>
      </c>
      <c r="G1460" s="12">
        <f ca="1">IFERROR(__xludf.DUMMYFUNCTION(" VLOOKUP(A1457, IMPORTRANGE(""https://docs.google.com/spreadsheets/d/1fj_Bhi2XPL3siwIh4sx4VRLAe31yD50oKdj5UlRYW0c/"", ""Сводка!A:AA""), 5, FALSE)"),224)</f>
        <v>224</v>
      </c>
      <c r="H1460" s="12" t="s">
        <v>1266</v>
      </c>
      <c r="I1460" s="10">
        <f ca="1">IFERROR(__xludf.DUMMYFUNCTION(" VLOOKUP(A1457, IMPORTRANGE(""https://docs.google.com/spreadsheets/d/1QNLbnkR_AongFt22vMfNzfpjZ0CjpI8QI-w0wBnYA1w/"", ""Инфа!A:AA""), 6, FALSE)"),2024)</f>
        <v>2024</v>
      </c>
      <c r="J1460" s="5">
        <f t="shared" ca="1" si="50"/>
        <v>18400</v>
      </c>
      <c r="K1460" s="12" t="s">
        <v>2437</v>
      </c>
      <c r="L1460" s="15" t="s">
        <v>6041</v>
      </c>
    </row>
    <row r="1461" spans="1:12" ht="270">
      <c r="A1461" s="48" t="s">
        <v>6042</v>
      </c>
      <c r="B1461" s="12" t="s">
        <v>2231</v>
      </c>
      <c r="C1461" s="12" t="s">
        <v>443</v>
      </c>
      <c r="D1461" s="10" t="str">
        <f ca="1">IFERROR(__xludf.DUMMYFUNCTION(" VLOOKUP(A1458, IMPORTRANGE(""https://docs.google.com/spreadsheets/d/1fj_Bhi2XPL3siwIh4sx4VRLAe31yD50oKdj5UlRYW0c/"", ""Сводка!A:AA""), 11, FALSE)"),"978-601-246-048-3")</f>
        <v>978-601-246-048-3</v>
      </c>
      <c r="E1461" s="11" t="s">
        <v>6043</v>
      </c>
      <c r="F1461" s="11" t="s">
        <v>6044</v>
      </c>
      <c r="G1461" s="12">
        <f ca="1">IFERROR(__xludf.DUMMYFUNCTION(" VLOOKUP(A1458, IMPORTRANGE(""https://docs.google.com/spreadsheets/d/1fj_Bhi2XPL3siwIh4sx4VRLAe31yD50oKdj5UlRYW0c/"", ""Сводка!A:AA""), 5, FALSE)"),240)</f>
        <v>240</v>
      </c>
      <c r="H1461" s="12" t="s">
        <v>1266</v>
      </c>
      <c r="I1461" s="10">
        <f ca="1">IFERROR(__xludf.DUMMYFUNCTION(" VLOOKUP(A1458, IMPORTRANGE(""https://docs.google.com/spreadsheets/d/1QNLbnkR_AongFt22vMfNzfpjZ0CjpI8QI-w0wBnYA1w/"", ""Инфа!A:AA""), 6, FALSE)"),2024)</f>
        <v>2024</v>
      </c>
      <c r="J1461" s="5">
        <f t="shared" ca="1" si="50"/>
        <v>19400</v>
      </c>
      <c r="K1461" s="12" t="s">
        <v>6045</v>
      </c>
      <c r="L1461" s="15" t="s">
        <v>6046</v>
      </c>
    </row>
    <row r="1462" spans="1:12" ht="168.75">
      <c r="A1462" s="48" t="s">
        <v>6047</v>
      </c>
      <c r="B1462" s="12" t="s">
        <v>12</v>
      </c>
      <c r="C1462" s="10" t="s">
        <v>151</v>
      </c>
      <c r="D1462" s="10" t="str">
        <f ca="1">IFERROR(__xludf.DUMMYFUNCTION(" VLOOKUP(A1459, IMPORTRANGE(""https://docs.google.com/spreadsheets/d/1fj_Bhi2XPL3siwIh4sx4VRLAe31yD50oKdj5UlRYW0c/"", ""Сводка!A:AA""), 11, FALSE)"),"")</f>
        <v/>
      </c>
      <c r="E1462" s="11" t="s">
        <v>4782</v>
      </c>
      <c r="F1462" s="11" t="s">
        <v>6048</v>
      </c>
      <c r="G1462" s="12">
        <f ca="1">IFERROR(__xludf.DUMMYFUNCTION(" VLOOKUP(A1459, IMPORTRANGE(""https://docs.google.com/spreadsheets/d/1fj_Bhi2XPL3siwIh4sx4VRLAe31yD50oKdj5UlRYW0c/"", ""Сводка!A:AA""), 5, FALSE)"),232)</f>
        <v>232</v>
      </c>
      <c r="H1462" s="12" t="s">
        <v>498</v>
      </c>
      <c r="I1462" s="10">
        <f ca="1">IFERROR(__xludf.DUMMYFUNCTION(" VLOOKUP(A1459, IMPORTRANGE(""https://docs.google.com/spreadsheets/d/1QNLbnkR_AongFt22vMfNzfpjZ0CjpI8QI-w0wBnYA1w/"", ""Инфа!A:AA""), 6, FALSE)"),2024)</f>
        <v>2024</v>
      </c>
      <c r="J1462" s="5">
        <f t="shared" ca="1" si="50"/>
        <v>18900</v>
      </c>
      <c r="K1462" s="12" t="s">
        <v>26</v>
      </c>
      <c r="L1462" s="15" t="s">
        <v>6049</v>
      </c>
    </row>
    <row r="1463" spans="1:12" ht="90">
      <c r="A1463" s="48" t="s">
        <v>6050</v>
      </c>
      <c r="B1463" s="12" t="s">
        <v>12</v>
      </c>
      <c r="C1463" s="10" t="s">
        <v>151</v>
      </c>
      <c r="D1463" s="10" t="str">
        <f ca="1">IFERROR(__xludf.DUMMYFUNCTION(" VLOOKUP(A1460, IMPORTRANGE(""https://docs.google.com/spreadsheets/d/1fj_Bhi2XPL3siwIh4sx4VRLAe31yD50oKdj5UlRYW0c/"", ""Сводка!A:AA""), 11, FALSE)"),"")</f>
        <v/>
      </c>
      <c r="E1463" s="11" t="s">
        <v>4782</v>
      </c>
      <c r="F1463" s="11" t="s">
        <v>6051</v>
      </c>
      <c r="G1463" s="12">
        <f ca="1">IFERROR(__xludf.DUMMYFUNCTION(" VLOOKUP(A1460, IMPORTRANGE(""https://docs.google.com/spreadsheets/d/1fj_Bhi2XPL3siwIh4sx4VRLAe31yD50oKdj5UlRYW0c/"", ""Сводка!A:AA""), 5, FALSE)"),216)</f>
        <v>216</v>
      </c>
      <c r="H1463" s="12" t="s">
        <v>498</v>
      </c>
      <c r="I1463" s="10">
        <f ca="1">IFERROR(__xludf.DUMMYFUNCTION(" VLOOKUP(A1460, IMPORTRANGE(""https://docs.google.com/spreadsheets/d/1QNLbnkR_AongFt22vMfNzfpjZ0CjpI8QI-w0wBnYA1w/"", ""Инфа!A:AA""), 6, FALSE)"),2024)</f>
        <v>2024</v>
      </c>
      <c r="J1463" s="5">
        <f t="shared" ca="1" si="50"/>
        <v>18000</v>
      </c>
      <c r="K1463" s="12" t="s">
        <v>26</v>
      </c>
      <c r="L1463" s="15" t="s">
        <v>6052</v>
      </c>
    </row>
    <row r="1464" spans="1:12" ht="236.25">
      <c r="A1464" s="48" t="s">
        <v>6053</v>
      </c>
      <c r="B1464" s="12" t="s">
        <v>2231</v>
      </c>
      <c r="C1464" s="10" t="s">
        <v>151</v>
      </c>
      <c r="D1464" s="10" t="s">
        <v>6054</v>
      </c>
      <c r="E1464" s="11" t="s">
        <v>6055</v>
      </c>
      <c r="F1464" s="11" t="s">
        <v>6056</v>
      </c>
      <c r="G1464" s="12">
        <f ca="1">IFERROR(__xludf.DUMMYFUNCTION(" VLOOKUP(A1461, IMPORTRANGE(""https://docs.google.com/spreadsheets/d/1fj_Bhi2XPL3siwIh4sx4VRLAe31yD50oKdj5UlRYW0c/"", ""Сводка!A:AA""), 5, FALSE)"),171)</f>
        <v>171</v>
      </c>
      <c r="H1464" s="12" t="s">
        <v>498</v>
      </c>
      <c r="I1464" s="10">
        <f ca="1">IFERROR(__xludf.DUMMYFUNCTION(" VLOOKUP(A1461, IMPORTRANGE(""https://docs.google.com/spreadsheets/d/1QNLbnkR_AongFt22vMfNzfpjZ0CjpI8QI-w0wBnYA1w/"", ""Инфа!A:AA""), 6, FALSE)"),2024)</f>
        <v>2024</v>
      </c>
      <c r="J1464" s="5">
        <f ca="1">ROUND((5000+G1464*30),-2)</f>
        <v>10100</v>
      </c>
      <c r="K1464" s="12" t="s">
        <v>6057</v>
      </c>
      <c r="L1464" s="15" t="s">
        <v>6058</v>
      </c>
    </row>
    <row r="1465" spans="1:12" ht="112.5">
      <c r="A1465" s="48" t="s">
        <v>6059</v>
      </c>
      <c r="B1465" s="12" t="s">
        <v>2231</v>
      </c>
      <c r="C1465" s="12" t="s">
        <v>443</v>
      </c>
      <c r="D1465" s="10" t="s">
        <v>6060</v>
      </c>
      <c r="E1465" s="11" t="s">
        <v>6061</v>
      </c>
      <c r="F1465" s="11" t="s">
        <v>6062</v>
      </c>
      <c r="G1465" s="12">
        <f ca="1">IFERROR(__xludf.DUMMYFUNCTION(" VLOOKUP(A1462, IMPORTRANGE(""https://docs.google.com/spreadsheets/d/1fj_Bhi2XPL3siwIh4sx4VRLAe31yD50oKdj5UlRYW0c/"", ""Сводка!A:AA""), 5, FALSE)"),112)</f>
        <v>112</v>
      </c>
      <c r="H1465" s="12" t="s">
        <v>538</v>
      </c>
      <c r="I1465" s="10">
        <f ca="1">IFERROR(__xludf.DUMMYFUNCTION(" VLOOKUP(A1462, IMPORTRANGE(""https://docs.google.com/spreadsheets/d/1QNLbnkR_AongFt22vMfNzfpjZ0CjpI8QI-w0wBnYA1w/"", ""Инфа!A:AA""), 6, FALSE)"),2024)</f>
        <v>2024</v>
      </c>
      <c r="J1465" s="5">
        <f ca="1">ROUND((5000+G1465*30),-2)</f>
        <v>8400</v>
      </c>
      <c r="K1465" s="12" t="s">
        <v>6045</v>
      </c>
      <c r="L1465" s="15" t="s">
        <v>6063</v>
      </c>
    </row>
    <row r="1466" spans="1:12" ht="225">
      <c r="A1466" s="8" t="s">
        <v>6064</v>
      </c>
      <c r="B1466" s="9" t="s">
        <v>12</v>
      </c>
      <c r="C1466" s="10" t="s">
        <v>443</v>
      </c>
      <c r="D1466" s="10" t="str">
        <f ca="1">IFERROR(__xludf.DUMMYFUNCTION(" VLOOKUP(A1463, IMPORTRANGE(""https://docs.google.com/spreadsheets/d/1fj_Bhi2XPL3siwIh4sx4VRLAe31yD50oKdj5UlRYW0c/"", ""Сводка!A:AA""), 11, FALSE)"),"978-601-310-317-4")</f>
        <v>978-601-310-317-4</v>
      </c>
      <c r="E1466" s="11" t="s">
        <v>6065</v>
      </c>
      <c r="F1466" s="11" t="s">
        <v>6066</v>
      </c>
      <c r="G1466" s="12">
        <f ca="1">IFERROR(__xludf.DUMMYFUNCTION(" VLOOKUP(A1463, IMPORTRANGE(""https://docs.google.com/spreadsheets/d/1fj_Bhi2XPL3siwIh4sx4VRLAe31yD50oKdj5UlRYW0c/"", ""Сводка!A:AA""), 5, FALSE)"),144)</f>
        <v>144</v>
      </c>
      <c r="H1466" s="12" t="s">
        <v>538</v>
      </c>
      <c r="I1466" s="10">
        <f ca="1">IFERROR(__xludf.DUMMYFUNCTION(" VLOOKUP(A1463, IMPORTRANGE(""https://docs.google.com/spreadsheets/d/1QNLbnkR_AongFt22vMfNzfpjZ0CjpI8QI-w0wBnYA1w/"", ""Инфа!A:AA""), 6, FALSE)"),2024)</f>
        <v>2024</v>
      </c>
      <c r="J1466" s="5">
        <f ca="1">ROUND((5000+G1466*30),-2)</f>
        <v>9300</v>
      </c>
      <c r="K1466" s="12" t="s">
        <v>4043</v>
      </c>
      <c r="L1466" s="15" t="s">
        <v>6068</v>
      </c>
    </row>
    <row r="1467" spans="1:12" ht="123.75">
      <c r="A1467" s="48" t="s">
        <v>6069</v>
      </c>
      <c r="B1467" s="12" t="s">
        <v>2231</v>
      </c>
      <c r="C1467" s="12" t="s">
        <v>443</v>
      </c>
      <c r="D1467" s="10" t="s">
        <v>6070</v>
      </c>
      <c r="E1467" s="11" t="s">
        <v>6071</v>
      </c>
      <c r="F1467" s="11" t="s">
        <v>6072</v>
      </c>
      <c r="G1467" s="12">
        <f ca="1">IFERROR(__xludf.DUMMYFUNCTION(" VLOOKUP(A1464, IMPORTRANGE(""https://docs.google.com/spreadsheets/d/1fj_Bhi2XPL3siwIh4sx4VRLAe31yD50oKdj5UlRYW0c/"", ""Сводка!A:AA""), 5, FALSE)"),172)</f>
        <v>172</v>
      </c>
      <c r="H1467" s="12" t="s">
        <v>1266</v>
      </c>
      <c r="I1467" s="10">
        <f ca="1">IFERROR(__xludf.DUMMYFUNCTION(" VLOOKUP(A1464, IMPORTRANGE(""https://docs.google.com/spreadsheets/d/1QNLbnkR_AongFt22vMfNzfpjZ0CjpI8QI-w0wBnYA1w/"", ""Инфа!A:AA""), 6, FALSE)"),2024)</f>
        <v>2024</v>
      </c>
      <c r="J1467" s="5">
        <f ca="1">ROUND((5000+G1467*60),-2)</f>
        <v>15300</v>
      </c>
      <c r="K1467" s="12" t="s">
        <v>6045</v>
      </c>
      <c r="L1467" s="15" t="s">
        <v>6073</v>
      </c>
    </row>
    <row r="1468" spans="1:12" ht="225">
      <c r="A1468" s="48" t="s">
        <v>6074</v>
      </c>
      <c r="B1468" s="12" t="s">
        <v>12</v>
      </c>
      <c r="C1468" s="12" t="s">
        <v>443</v>
      </c>
      <c r="D1468" s="10" t="str">
        <f ca="1">IFERROR(__xludf.DUMMYFUNCTION(" VLOOKUP(A1465, IMPORTRANGE(""https://docs.google.com/spreadsheets/d/1fj_Bhi2XPL3siwIh4sx4VRLAe31yD50oKdj5UlRYW0c/"", ""Сводка!A:AA""), 11, FALSE)"),"")</f>
        <v/>
      </c>
      <c r="E1468" s="11" t="s">
        <v>6075</v>
      </c>
      <c r="F1468" s="11" t="s">
        <v>6076</v>
      </c>
      <c r="G1468" s="12">
        <f ca="1">IFERROR(__xludf.DUMMYFUNCTION(" VLOOKUP(A1465, IMPORTRANGE(""https://docs.google.com/spreadsheets/d/1fj_Bhi2XPL3siwIh4sx4VRLAe31yD50oKdj5UlRYW0c/"", ""Сводка!A:AA""), 5, FALSE)"),124)</f>
        <v>124</v>
      </c>
      <c r="H1468" s="12" t="s">
        <v>538</v>
      </c>
      <c r="I1468" s="10">
        <f ca="1">IFERROR(__xludf.DUMMYFUNCTION(" VLOOKUP(A1465, IMPORTRANGE(""https://docs.google.com/spreadsheets/d/1QNLbnkR_AongFt22vMfNzfpjZ0CjpI8QI-w0wBnYA1w/"", ""Инфа!A:AA""), 6, FALSE)"),2024)</f>
        <v>2024</v>
      </c>
      <c r="J1468" s="5">
        <f ca="1">ROUND((5000+G1468*30),-2)</f>
        <v>8700</v>
      </c>
      <c r="K1468" s="12" t="s">
        <v>26</v>
      </c>
      <c r="L1468" s="15" t="s">
        <v>6077</v>
      </c>
    </row>
    <row r="1469" spans="1:12" ht="135">
      <c r="A1469" s="48" t="s">
        <v>6078</v>
      </c>
      <c r="B1469" s="12" t="s">
        <v>12</v>
      </c>
      <c r="C1469" s="12" t="s">
        <v>443</v>
      </c>
      <c r="D1469" s="10" t="s">
        <v>6079</v>
      </c>
      <c r="E1469" s="45" t="s">
        <v>6080</v>
      </c>
      <c r="F1469" s="45" t="s">
        <v>6081</v>
      </c>
      <c r="G1469" s="12">
        <f ca="1">IFERROR(__xludf.DUMMYFUNCTION(" VLOOKUP(A1466, IMPORTRANGE(""https://docs.google.com/spreadsheets/d/1fj_Bhi2XPL3siwIh4sx4VRLAe31yD50oKdj5UlRYW0c/"", ""Сводка!A:AA""), 5, FALSE)"),108)</f>
        <v>108</v>
      </c>
      <c r="H1469" s="12" t="s">
        <v>777</v>
      </c>
      <c r="I1469" s="10">
        <f ca="1">IFERROR(__xludf.DUMMYFUNCTION(" VLOOKUP(A1466, IMPORTRANGE(""https://docs.google.com/spreadsheets/d/1QNLbnkR_AongFt22vMfNzfpjZ0CjpI8QI-w0wBnYA1w/"", ""Инфа!A:AA""), 6, FALSE)"),2024)</f>
        <v>2024</v>
      </c>
      <c r="J1469" s="5">
        <f ca="1">ROUND((5000+G1469*30),-2)</f>
        <v>8200</v>
      </c>
      <c r="K1469" s="12" t="s">
        <v>6082</v>
      </c>
      <c r="L1469" s="16" t="s">
        <v>6083</v>
      </c>
    </row>
    <row r="1470" spans="1:12" ht="135">
      <c r="A1470" s="48" t="s">
        <v>6084</v>
      </c>
      <c r="B1470" s="12" t="s">
        <v>2231</v>
      </c>
      <c r="C1470" s="12" t="s">
        <v>443</v>
      </c>
      <c r="D1470" s="10" t="str">
        <f ca="1">IFERROR(__xludf.DUMMYFUNCTION(" VLOOKUP(A1467, IMPORTRANGE(""https://docs.google.com/spreadsheets/d/1fj_Bhi2XPL3siwIh4sx4VRLAe31yD50oKdj5UlRYW0c/"", ""Сводка!A:AA""), 11, FALSE)"),"978-601-7938-09-3")</f>
        <v>978-601-7938-09-3</v>
      </c>
      <c r="E1470" s="11" t="s">
        <v>6085</v>
      </c>
      <c r="F1470" s="11" t="s">
        <v>6086</v>
      </c>
      <c r="G1470" s="12">
        <f ca="1">IFERROR(__xludf.DUMMYFUNCTION(" VLOOKUP(A1467, IMPORTRANGE(""https://docs.google.com/spreadsheets/d/1fj_Bhi2XPL3siwIh4sx4VRLAe31yD50oKdj5UlRYW0c/"", ""Сводка!A:AA""), 5, FALSE)"),272)</f>
        <v>272</v>
      </c>
      <c r="H1470" s="12" t="s">
        <v>511</v>
      </c>
      <c r="I1470" s="10">
        <f ca="1">IFERROR(__xludf.DUMMYFUNCTION(" VLOOKUP(A1467, IMPORTRANGE(""https://docs.google.com/spreadsheets/d/1QNLbnkR_AongFt22vMfNzfpjZ0CjpI8QI-w0wBnYA1w/"", ""Инфа!A:AA""), 6, FALSE)"),2024)</f>
        <v>2024</v>
      </c>
      <c r="J1470" s="5">
        <f ca="1">ROUND((5000+G1470*30),-2)</f>
        <v>13200</v>
      </c>
      <c r="K1470" s="12" t="s">
        <v>3294</v>
      </c>
      <c r="L1470" s="15" t="s">
        <v>6087</v>
      </c>
    </row>
    <row r="1471" spans="1:12" ht="135">
      <c r="A1471" s="48" t="s">
        <v>6088</v>
      </c>
      <c r="B1471" s="12" t="s">
        <v>2231</v>
      </c>
      <c r="C1471" s="12" t="s">
        <v>443</v>
      </c>
      <c r="D1471" s="10" t="s">
        <v>6089</v>
      </c>
      <c r="E1471" s="11" t="s">
        <v>6090</v>
      </c>
      <c r="F1471" s="11" t="s">
        <v>6091</v>
      </c>
      <c r="G1471" s="12">
        <f ca="1">IFERROR(__xludf.DUMMYFUNCTION(" VLOOKUP(A1468, IMPORTRANGE(""https://docs.google.com/spreadsheets/d/1fj_Bhi2XPL3siwIh4sx4VRLAe31yD50oKdj5UlRYW0c/"", ""Сводка!A:AA""), 5, FALSE)"),252)</f>
        <v>252</v>
      </c>
      <c r="H1471" s="12" t="s">
        <v>538</v>
      </c>
      <c r="I1471" s="10">
        <f ca="1">IFERROR(__xludf.DUMMYFUNCTION(" VLOOKUP(A1468, IMPORTRANGE(""https://docs.google.com/spreadsheets/d/1QNLbnkR_AongFt22vMfNzfpjZ0CjpI8QI-w0wBnYA1w/"", ""Инфа!A:AA""), 6, FALSE)"),2024)</f>
        <v>2024</v>
      </c>
      <c r="J1471" s="5">
        <f ca="1">ROUND((5000+G1471*30),-2)</f>
        <v>12600</v>
      </c>
      <c r="K1471" s="12" t="s">
        <v>6092</v>
      </c>
      <c r="L1471" s="15" t="s">
        <v>6093</v>
      </c>
    </row>
    <row r="1472" spans="1:12" ht="135">
      <c r="A1472" s="48" t="s">
        <v>6094</v>
      </c>
      <c r="B1472" s="12" t="s">
        <v>2231</v>
      </c>
      <c r="C1472" s="12" t="s">
        <v>443</v>
      </c>
      <c r="D1472" s="10" t="s">
        <v>6095</v>
      </c>
      <c r="E1472" s="11" t="s">
        <v>6090</v>
      </c>
      <c r="F1472" s="11" t="s">
        <v>6096</v>
      </c>
      <c r="G1472" s="12">
        <f ca="1">IFERROR(__xludf.DUMMYFUNCTION(" VLOOKUP(A1469, IMPORTRANGE(""https://docs.google.com/spreadsheets/d/1fj_Bhi2XPL3siwIh4sx4VRLAe31yD50oKdj5UlRYW0c/"", ""Сводка!A:AA""), 5, FALSE)"),252)</f>
        <v>252</v>
      </c>
      <c r="H1472" s="12" t="s">
        <v>538</v>
      </c>
      <c r="I1472" s="10">
        <f ca="1">IFERROR(__xludf.DUMMYFUNCTION(" VLOOKUP(A1469, IMPORTRANGE(""https://docs.google.com/spreadsheets/d/1QNLbnkR_AongFt22vMfNzfpjZ0CjpI8QI-w0wBnYA1w/"", ""Инфа!A:AA""), 6, FALSE)"),2024)</f>
        <v>2024</v>
      </c>
      <c r="J1472" s="5">
        <f ca="1">ROUND((5000+G1472*30),-2)</f>
        <v>12600</v>
      </c>
      <c r="K1472" s="12" t="s">
        <v>6092</v>
      </c>
      <c r="L1472" s="15" t="s">
        <v>6093</v>
      </c>
    </row>
    <row r="1473" spans="1:12" ht="157.5">
      <c r="A1473" s="48" t="s">
        <v>6097</v>
      </c>
      <c r="B1473" s="12" t="s">
        <v>12</v>
      </c>
      <c r="C1473" s="12" t="s">
        <v>443</v>
      </c>
      <c r="D1473" s="40" t="s">
        <v>6098</v>
      </c>
      <c r="E1473" s="11" t="s">
        <v>6099</v>
      </c>
      <c r="F1473" s="11" t="s">
        <v>6100</v>
      </c>
      <c r="G1473" s="12">
        <f ca="1">IFERROR(__xludf.DUMMYFUNCTION(" VLOOKUP(A1470, IMPORTRANGE(""https://docs.google.com/spreadsheets/d/1fj_Bhi2XPL3siwIh4sx4VRLAe31yD50oKdj5UlRYW0c/"", ""Сводка!A:AA""), 5, FALSE)"),140)</f>
        <v>140</v>
      </c>
      <c r="H1473" s="12" t="s">
        <v>777</v>
      </c>
      <c r="I1473" s="10">
        <f ca="1">IFERROR(__xludf.DUMMYFUNCTION(" VLOOKUP(A1470, IMPORTRANGE(""https://docs.google.com/spreadsheets/d/1QNLbnkR_AongFt22vMfNzfpjZ0CjpI8QI-w0wBnYA1w/"", ""Инфа!A:AA""), 6, FALSE)"),2024)</f>
        <v>2024</v>
      </c>
      <c r="J1473" s="5">
        <f ca="1">ROUND((5000+G1473*60),-2)</f>
        <v>13400</v>
      </c>
      <c r="K1473" s="12" t="s">
        <v>4314</v>
      </c>
      <c r="L1473" s="15" t="s">
        <v>6101</v>
      </c>
    </row>
    <row r="1474" spans="1:12" ht="247.5">
      <c r="A1474" s="48" t="s">
        <v>6102</v>
      </c>
      <c r="B1474" s="12" t="s">
        <v>2231</v>
      </c>
      <c r="C1474" s="12" t="s">
        <v>151</v>
      </c>
      <c r="D1474" s="10" t="s">
        <v>6103</v>
      </c>
      <c r="E1474" s="11" t="s">
        <v>6104</v>
      </c>
      <c r="F1474" s="11" t="s">
        <v>6105</v>
      </c>
      <c r="G1474" s="12">
        <f ca="1">IFERROR(__xludf.DUMMYFUNCTION(" VLOOKUP(A1471, IMPORTRANGE(""https://docs.google.com/spreadsheets/d/1fj_Bhi2XPL3siwIh4sx4VRLAe31yD50oKdj5UlRYW0c/"", ""Сводка!A:AA""), 5, FALSE)"),92)</f>
        <v>92</v>
      </c>
      <c r="H1474" s="12" t="s">
        <v>47</v>
      </c>
      <c r="I1474" s="10">
        <f ca="1">IFERROR(__xludf.DUMMYFUNCTION(" VLOOKUP(A1471, IMPORTRANGE(""https://docs.google.com/spreadsheets/d/1QNLbnkR_AongFt22vMfNzfpjZ0CjpI8QI-w0wBnYA1w/"", ""Инфа!A:AA""), 6, FALSE)"),2024)</f>
        <v>2024</v>
      </c>
      <c r="J1474" s="5">
        <f ca="1">ROUND((5000+G1474*60),-2)</f>
        <v>10500</v>
      </c>
      <c r="K1474" s="12" t="s">
        <v>4803</v>
      </c>
      <c r="L1474" s="15" t="s">
        <v>6106</v>
      </c>
    </row>
    <row r="1475" spans="1:12" ht="213.75">
      <c r="A1475" s="48" t="s">
        <v>6107</v>
      </c>
      <c r="B1475" s="12" t="s">
        <v>2231</v>
      </c>
      <c r="C1475" s="12" t="s">
        <v>443</v>
      </c>
      <c r="D1475" s="10" t="s">
        <v>6108</v>
      </c>
      <c r="E1475" s="11" t="s">
        <v>6109</v>
      </c>
      <c r="F1475" s="11" t="s">
        <v>6110</v>
      </c>
      <c r="G1475" s="12">
        <f ca="1">IFERROR(__xludf.DUMMYFUNCTION(" VLOOKUP(A1472, IMPORTRANGE(""https://docs.google.com/spreadsheets/d/1fj_Bhi2XPL3siwIh4sx4VRLAe31yD50oKdj5UlRYW0c/"", ""Сводка!A:AA""), 5, FALSE)"),100)</f>
        <v>100</v>
      </c>
      <c r="H1475" s="12" t="s">
        <v>446</v>
      </c>
      <c r="I1475" s="10">
        <f ca="1">IFERROR(__xludf.DUMMYFUNCTION(" VLOOKUP(A1472, IMPORTRANGE(""https://docs.google.com/spreadsheets/d/1QNLbnkR_AongFt22vMfNzfpjZ0CjpI8QI-w0wBnYA1w/"", ""Инфа!A:AA""), 6, FALSE)"),2024)</f>
        <v>2024</v>
      </c>
      <c r="J1475" s="5">
        <f ca="1">ROUND((5000+G1475*60),-2)</f>
        <v>11000</v>
      </c>
      <c r="K1475" s="12" t="s">
        <v>4803</v>
      </c>
      <c r="L1475" s="15" t="s">
        <v>6111</v>
      </c>
    </row>
    <row r="1476" spans="1:12" ht="191.25">
      <c r="A1476" s="48" t="s">
        <v>6112</v>
      </c>
      <c r="B1476" s="12" t="s">
        <v>2231</v>
      </c>
      <c r="C1476" s="12" t="s">
        <v>13</v>
      </c>
      <c r="D1476" s="10" t="str">
        <f ca="1">IFERROR(__xludf.DUMMYFUNCTION(" VLOOKUP(A1473, IMPORTRANGE(""https://docs.google.com/spreadsheets/d/1fj_Bhi2XPL3siwIh4sx4VRLAe31yD50oKdj5UlRYW0c/"", ""Сводка!A:AA""), 11, FALSE)"),"978-601-244-426-1")</f>
        <v>978-601-244-426-1</v>
      </c>
      <c r="E1476" s="11" t="s">
        <v>6113</v>
      </c>
      <c r="F1476" s="11" t="s">
        <v>6114</v>
      </c>
      <c r="G1476" s="12">
        <f ca="1">IFERROR(__xludf.DUMMYFUNCTION(" VLOOKUP(A1473, IMPORTRANGE(""https://docs.google.com/spreadsheets/d/1fj_Bhi2XPL3siwIh4sx4VRLAe31yD50oKdj5UlRYW0c/"", ""Сводка!A:AA""), 5, FALSE)"),88)</f>
        <v>88</v>
      </c>
      <c r="H1476" s="12" t="s">
        <v>176</v>
      </c>
      <c r="I1476" s="10">
        <f ca="1">IFERROR(__xludf.DUMMYFUNCTION(" VLOOKUP(A1473, IMPORTRANGE(""https://docs.google.com/spreadsheets/d/1QNLbnkR_AongFt22vMfNzfpjZ0CjpI8QI-w0wBnYA1w/"", ""Инфа!A:AA""), 6, FALSE)"),2024)</f>
        <v>2024</v>
      </c>
      <c r="J1476" s="5">
        <f ca="1">ROUND((5000+G1476*60),-2)</f>
        <v>10300</v>
      </c>
      <c r="K1476" s="12" t="s">
        <v>4803</v>
      </c>
      <c r="L1476" s="15" t="s">
        <v>6115</v>
      </c>
    </row>
    <row r="1477" spans="1:12" ht="25.5">
      <c r="A1477" s="8" t="s">
        <v>6116</v>
      </c>
      <c r="B1477" s="9" t="s">
        <v>12</v>
      </c>
      <c r="C1477" s="10" t="s">
        <v>443</v>
      </c>
      <c r="D1477" s="10" t="str">
        <f ca="1">IFERROR(__xludf.DUMMYFUNCTION(" VLOOKUP(A1474, IMPORTRANGE(""https://docs.google.com/spreadsheets/d/1fj_Bhi2XPL3siwIh4sx4VRLAe31yD50oKdj5UlRYW0c/"", ""Сводка!A:AA""), 11, FALSE)"),"978-601-240-157-8")</f>
        <v>978-601-240-157-8</v>
      </c>
      <c r="E1477" s="11" t="s">
        <v>6117</v>
      </c>
      <c r="F1477" s="11" t="s">
        <v>6118</v>
      </c>
      <c r="G1477" s="12">
        <f ca="1">IFERROR(__xludf.DUMMYFUNCTION(" VLOOKUP(A1474, IMPORTRANGE(""https://docs.google.com/spreadsheets/d/1fj_Bhi2XPL3siwIh4sx4VRLAe31yD50oKdj5UlRYW0c/"", ""Сводка!A:AA""), 5, FALSE)"),196)</f>
        <v>196</v>
      </c>
      <c r="H1477" s="12" t="s">
        <v>538</v>
      </c>
      <c r="I1477" s="10">
        <f ca="1">IFERROR(__xludf.DUMMYFUNCTION(" VLOOKUP(A1474, IMPORTRANGE(""https://docs.google.com/spreadsheets/d/1QNLbnkR_AongFt22vMfNzfpjZ0CjpI8QI-w0wBnYA1w/"", ""Инфа!A:AA""), 6, FALSE)"),2024)</f>
        <v>2024</v>
      </c>
      <c r="J1477" s="5">
        <f ca="1">ROUND((5000+G1477*30),-2)</f>
        <v>10900</v>
      </c>
      <c r="K1477" s="12" t="s">
        <v>302</v>
      </c>
      <c r="L1477" s="15"/>
    </row>
    <row r="1478" spans="1:12" ht="236.25">
      <c r="A1478" s="48" t="s">
        <v>6119</v>
      </c>
      <c r="B1478" s="12" t="s">
        <v>12</v>
      </c>
      <c r="C1478" s="12" t="s">
        <v>151</v>
      </c>
      <c r="D1478" s="10" t="s">
        <v>6120</v>
      </c>
      <c r="E1478" s="11" t="s">
        <v>6121</v>
      </c>
      <c r="F1478" s="11" t="s">
        <v>6122</v>
      </c>
      <c r="G1478" s="12">
        <f ca="1">IFERROR(__xludf.DUMMYFUNCTION(" VLOOKUP(A1475, IMPORTRANGE(""https://docs.google.com/spreadsheets/d/1fj_Bhi2XPL3siwIh4sx4VRLAe31yD50oKdj5UlRYW0c/"", ""Сводка!A:AA""), 5, FALSE)"),176)</f>
        <v>176</v>
      </c>
      <c r="H1478" s="12" t="s">
        <v>47</v>
      </c>
      <c r="I1478" s="10">
        <f ca="1">IFERROR(__xludf.DUMMYFUNCTION(" VLOOKUP(A1475, IMPORTRANGE(""https://docs.google.com/spreadsheets/d/1QNLbnkR_AongFt22vMfNzfpjZ0CjpI8QI-w0wBnYA1w/"", ""Инфа!A:AA""), 6, FALSE)"),2024)</f>
        <v>2024</v>
      </c>
      <c r="J1478" s="5">
        <f ca="1">ROUND((5000+G1478*30),-2)</f>
        <v>10300</v>
      </c>
      <c r="K1478" s="12" t="s">
        <v>5126</v>
      </c>
      <c r="L1478" s="15" t="s">
        <v>6123</v>
      </c>
    </row>
    <row r="1479" spans="1:12" ht="202.5">
      <c r="A1479" s="48" t="s">
        <v>6124</v>
      </c>
      <c r="B1479" s="12" t="s">
        <v>12</v>
      </c>
      <c r="C1479" s="12" t="s">
        <v>151</v>
      </c>
      <c r="D1479" s="10" t="s">
        <v>6125</v>
      </c>
      <c r="E1479" s="11" t="s">
        <v>6121</v>
      </c>
      <c r="F1479" s="11" t="s">
        <v>4492</v>
      </c>
      <c r="G1479" s="12">
        <f ca="1">IFERROR(__xludf.DUMMYFUNCTION(" VLOOKUP(A1476, IMPORTRANGE(""https://docs.google.com/spreadsheets/d/1fj_Bhi2XPL3siwIh4sx4VRLAe31yD50oKdj5UlRYW0c/"", ""Сводка!A:AA""), 5, FALSE)"),200)</f>
        <v>200</v>
      </c>
      <c r="H1479" s="12" t="s">
        <v>47</v>
      </c>
      <c r="I1479" s="10">
        <f ca="1">IFERROR(__xludf.DUMMYFUNCTION(" VLOOKUP(A1476, IMPORTRANGE(""https://docs.google.com/spreadsheets/d/1QNLbnkR_AongFt22vMfNzfpjZ0CjpI8QI-w0wBnYA1w/"", ""Инфа!A:AA""), 6, FALSE)"),2024)</f>
        <v>2024</v>
      </c>
      <c r="J1479" s="5">
        <f ca="1">ROUND((5000+G1479*30),-2)</f>
        <v>11000</v>
      </c>
      <c r="K1479" s="12" t="s">
        <v>6126</v>
      </c>
      <c r="L1479" s="15" t="s">
        <v>6127</v>
      </c>
    </row>
    <row r="1480" spans="1:12" ht="123.75">
      <c r="A1480" s="48" t="s">
        <v>6128</v>
      </c>
      <c r="B1480" s="12" t="s">
        <v>12</v>
      </c>
      <c r="C1480" s="12" t="s">
        <v>443</v>
      </c>
      <c r="D1480" s="10" t="str">
        <f ca="1">IFERROR(__xludf.DUMMYFUNCTION(" VLOOKUP(A1477, IMPORTRANGE(""https://docs.google.com/spreadsheets/d/1fj_Bhi2XPL3siwIh4sx4VRLAe31yD50oKdj5UlRYW0c/"", ""Сводка!A:AA""), 11, FALSE)"),"")</f>
        <v/>
      </c>
      <c r="E1480" s="11" t="s">
        <v>6129</v>
      </c>
      <c r="F1480" s="11" t="s">
        <v>6130</v>
      </c>
      <c r="G1480" s="12">
        <f ca="1">IFERROR(__xludf.DUMMYFUNCTION(" VLOOKUP(A1477, IMPORTRANGE(""https://docs.google.com/spreadsheets/d/1fj_Bhi2XPL3siwIh4sx4VRLAe31yD50oKdj5UlRYW0c/"", ""Сводка!A:AA""), 5, FALSE)"),116)</f>
        <v>116</v>
      </c>
      <c r="H1480" s="12" t="s">
        <v>6131</v>
      </c>
      <c r="I1480" s="10">
        <f ca="1">IFERROR(__xludf.DUMMYFUNCTION(" VLOOKUP(A1477, IMPORTRANGE(""https://docs.google.com/spreadsheets/d/1QNLbnkR_AongFt22vMfNzfpjZ0CjpI8QI-w0wBnYA1w/"", ""Инфа!A:AA""), 6, FALSE)"),2024)</f>
        <v>2024</v>
      </c>
      <c r="J1480" s="5">
        <f ca="1">ROUND((5000+G1480*30),-2)</f>
        <v>8500</v>
      </c>
      <c r="K1480" s="12" t="s">
        <v>6132</v>
      </c>
      <c r="L1480" s="15" t="s">
        <v>6133</v>
      </c>
    </row>
    <row r="1481" spans="1:12" ht="78.75">
      <c r="A1481" s="48" t="s">
        <v>6134</v>
      </c>
      <c r="B1481" s="12" t="s">
        <v>12</v>
      </c>
      <c r="C1481" s="12" t="s">
        <v>443</v>
      </c>
      <c r="D1481" s="10" t="s">
        <v>6135</v>
      </c>
      <c r="E1481" s="11" t="s">
        <v>6136</v>
      </c>
      <c r="F1481" s="11" t="s">
        <v>6137</v>
      </c>
      <c r="G1481" s="12">
        <f ca="1">IFERROR(__xludf.DUMMYFUNCTION(" VLOOKUP(A1478, IMPORTRANGE(""https://docs.google.com/spreadsheets/d/1fj_Bhi2XPL3siwIh4sx4VRLAe31yD50oKdj5UlRYW0c/"", ""Сводка!A:AA""), 5, FALSE)"),120)</f>
        <v>120</v>
      </c>
      <c r="H1481" s="12" t="s">
        <v>6138</v>
      </c>
      <c r="I1481" s="10">
        <f ca="1">IFERROR(__xludf.DUMMYFUNCTION(" VLOOKUP(A1478, IMPORTRANGE(""https://docs.google.com/spreadsheets/d/1QNLbnkR_AongFt22vMfNzfpjZ0CjpI8QI-w0wBnYA1w/"", ""Инфа!A:AA""), 6, FALSE)"),2024)</f>
        <v>2024</v>
      </c>
      <c r="J1481" s="5">
        <f ca="1">ROUND((5000+G1481*30),-2)</f>
        <v>8600</v>
      </c>
      <c r="K1481" s="12" t="s">
        <v>865</v>
      </c>
      <c r="L1481" s="15" t="s">
        <v>6139</v>
      </c>
    </row>
    <row r="1482" spans="1:12" ht="90">
      <c r="A1482" s="48" t="s">
        <v>6140</v>
      </c>
      <c r="B1482" s="12" t="s">
        <v>12</v>
      </c>
      <c r="C1482" s="12" t="s">
        <v>443</v>
      </c>
      <c r="D1482" s="10" t="str">
        <f ca="1">IFERROR(__xludf.DUMMYFUNCTION(" VLOOKUP(A1479, IMPORTRANGE(""https://docs.google.com/spreadsheets/d/1fj_Bhi2XPL3siwIh4sx4VRLAe31yD50oKdj5UlRYW0c/"", ""Сводка!A:AA""), 11, FALSE)"),"")</f>
        <v/>
      </c>
      <c r="E1482" s="11" t="s">
        <v>6141</v>
      </c>
      <c r="F1482" s="11" t="s">
        <v>6142</v>
      </c>
      <c r="G1482" s="12">
        <f ca="1">IFERROR(__xludf.DUMMYFUNCTION(" VLOOKUP(A1479, IMPORTRANGE(""https://docs.google.com/spreadsheets/d/1fj_Bhi2XPL3siwIh4sx4VRLAe31yD50oKdj5UlRYW0c/"", ""Сводка!A:AA""), 5, FALSE)"),316)</f>
        <v>316</v>
      </c>
      <c r="H1482" s="12" t="s">
        <v>446</v>
      </c>
      <c r="I1482" s="10">
        <f ca="1">IFERROR(__xludf.DUMMYFUNCTION(" VLOOKUP(A1479, IMPORTRANGE(""https://docs.google.com/spreadsheets/d/1QNLbnkR_AongFt22vMfNzfpjZ0CjpI8QI-w0wBnYA1w/"", ""Инфа!A:AA""), 6, FALSE)"),2024)</f>
        <v>2024</v>
      </c>
      <c r="J1482" s="5">
        <f ca="1">ROUND((5000+G1482*60),-2)</f>
        <v>24000</v>
      </c>
      <c r="K1482" s="12" t="s">
        <v>171</v>
      </c>
      <c r="L1482" s="15" t="s">
        <v>6143</v>
      </c>
    </row>
    <row r="1483" spans="1:12" ht="236.25">
      <c r="A1483" s="48" t="s">
        <v>6144</v>
      </c>
      <c r="B1483" s="12" t="s">
        <v>2231</v>
      </c>
      <c r="C1483" s="12" t="s">
        <v>151</v>
      </c>
      <c r="D1483" s="40" t="s">
        <v>6145</v>
      </c>
      <c r="E1483" s="11" t="s">
        <v>4478</v>
      </c>
      <c r="F1483" s="11" t="s">
        <v>6146</v>
      </c>
      <c r="G1483" s="12">
        <f ca="1">IFERROR(__xludf.DUMMYFUNCTION(" VLOOKUP(A1480, IMPORTRANGE(""https://docs.google.com/spreadsheets/d/1fj_Bhi2XPL3siwIh4sx4VRLAe31yD50oKdj5UlRYW0c/"", ""Сводка!A:AA""), 5, FALSE)"),280)</f>
        <v>280</v>
      </c>
      <c r="H1483" s="12" t="s">
        <v>47</v>
      </c>
      <c r="I1483" s="10">
        <f ca="1">IFERROR(__xludf.DUMMYFUNCTION(" VLOOKUP(A1480, IMPORTRANGE(""https://docs.google.com/spreadsheets/d/1QNLbnkR_AongFt22vMfNzfpjZ0CjpI8QI-w0wBnYA1w/"", ""Инфа!A:AA""), 6, FALSE)"),2024)</f>
        <v>2024</v>
      </c>
      <c r="J1483" s="5">
        <f ca="1">ROUND((5000+G1483*60),-2)</f>
        <v>21800</v>
      </c>
      <c r="K1483" s="12" t="s">
        <v>6092</v>
      </c>
      <c r="L1483" s="15" t="s">
        <v>6147</v>
      </c>
    </row>
    <row r="1484" spans="1:12" ht="101.25">
      <c r="A1484" s="48" t="s">
        <v>6148</v>
      </c>
      <c r="B1484" s="9" t="s">
        <v>6149</v>
      </c>
      <c r="C1484" s="12" t="s">
        <v>443</v>
      </c>
      <c r="D1484" s="40" t="s">
        <v>6150</v>
      </c>
      <c r="E1484" s="11" t="s">
        <v>6151</v>
      </c>
      <c r="F1484" s="11" t="s">
        <v>6152</v>
      </c>
      <c r="G1484" s="12" t="e">
        <f>#REF!</f>
        <v>#REF!</v>
      </c>
      <c r="H1484" s="12" t="s">
        <v>538</v>
      </c>
      <c r="I1484" s="10">
        <f ca="1">IFERROR(__xludf.DUMMYFUNCTION(" VLOOKUP(A1481, IMPORTRANGE(""https://docs.google.com/spreadsheets/d/1QNLbnkR_AongFt22vMfNzfpjZ0CjpI8QI-w0wBnYA1w/"", ""Инфа!A:AA""), 6, FALSE)"),2024)</f>
        <v>2024</v>
      </c>
      <c r="J1484" s="5" t="e">
        <f>ROUND((5000+G1484*30),-2)</f>
        <v>#REF!</v>
      </c>
      <c r="K1484" s="12" t="s">
        <v>213</v>
      </c>
      <c r="L1484" s="15" t="s">
        <v>6153</v>
      </c>
    </row>
    <row r="1485" spans="1:12" ht="191.25">
      <c r="A1485" s="48" t="s">
        <v>6154</v>
      </c>
      <c r="B1485" s="9" t="s">
        <v>6149</v>
      </c>
      <c r="C1485" s="12" t="s">
        <v>443</v>
      </c>
      <c r="D1485" s="40" t="s">
        <v>6155</v>
      </c>
      <c r="E1485" s="11" t="s">
        <v>6156</v>
      </c>
      <c r="F1485" s="11" t="s">
        <v>6157</v>
      </c>
      <c r="G1485" s="12" t="e">
        <f>#REF!</f>
        <v>#REF!</v>
      </c>
      <c r="H1485" s="12" t="s">
        <v>106</v>
      </c>
      <c r="I1485" s="10">
        <f ca="1">IFERROR(__xludf.DUMMYFUNCTION(" VLOOKUP(A1482, IMPORTRANGE(""https://docs.google.com/spreadsheets/d/1QNLbnkR_AongFt22vMfNzfpjZ0CjpI8QI-w0wBnYA1w/"", ""Инфа!A:AA""), 6, FALSE)"),2024)</f>
        <v>2024</v>
      </c>
      <c r="J1485" s="5" t="e">
        <f t="shared" ref="J1485:J1491" si="51">ROUND((5000+G1485*60),-2)</f>
        <v>#REF!</v>
      </c>
      <c r="K1485" s="12" t="s">
        <v>213</v>
      </c>
      <c r="L1485" s="15" t="s">
        <v>6158</v>
      </c>
    </row>
    <row r="1486" spans="1:12" ht="78.75">
      <c r="A1486" s="48" t="s">
        <v>6159</v>
      </c>
      <c r="B1486" s="12" t="s">
        <v>12</v>
      </c>
      <c r="C1486" s="10" t="s">
        <v>151</v>
      </c>
      <c r="D1486" s="10" t="s">
        <v>6160</v>
      </c>
      <c r="E1486" s="11" t="s">
        <v>3697</v>
      </c>
      <c r="F1486" s="11" t="s">
        <v>6161</v>
      </c>
      <c r="G1486" s="12">
        <f ca="1">IFERROR(__xludf.DUMMYFUNCTION(" VLOOKUP(A1483, IMPORTRANGE(""https://docs.google.com/spreadsheets/d/1fj_Bhi2XPL3siwIh4sx4VRLAe31yD50oKdj5UlRYW0c/"", ""Сводка!A:AA""), 5, FALSE)"),240)</f>
        <v>240</v>
      </c>
      <c r="H1486" s="12" t="s">
        <v>47</v>
      </c>
      <c r="I1486" s="10">
        <f ca="1">IFERROR(__xludf.DUMMYFUNCTION(" VLOOKUP(A1483, IMPORTRANGE(""https://docs.google.com/spreadsheets/d/1QNLbnkR_AongFt22vMfNzfpjZ0CjpI8QI-w0wBnYA1w/"", ""Инфа!A:AA""), 6, FALSE)"),2024)</f>
        <v>2024</v>
      </c>
      <c r="J1486" s="5">
        <f t="shared" ca="1" si="51"/>
        <v>19400</v>
      </c>
      <c r="K1486" s="12" t="s">
        <v>26</v>
      </c>
      <c r="L1486" s="15" t="s">
        <v>6162</v>
      </c>
    </row>
    <row r="1487" spans="1:12" ht="123.75">
      <c r="A1487" s="48" t="s">
        <v>6163</v>
      </c>
      <c r="B1487" s="12" t="s">
        <v>12</v>
      </c>
      <c r="C1487" s="10" t="s">
        <v>151</v>
      </c>
      <c r="D1487" s="10" t="str">
        <f ca="1">IFERROR(__xludf.DUMMYFUNCTION(" VLOOKUP(A1484, IMPORTRANGE(""https://docs.google.com/spreadsheets/d/1fj_Bhi2XPL3siwIh4sx4VRLAe31yD50oKdj5UlRYW0c/"", ""Сводка!A:AA""), 11, FALSE)"),"")</f>
        <v/>
      </c>
      <c r="E1487" s="11" t="s">
        <v>3697</v>
      </c>
      <c r="F1487" s="11" t="s">
        <v>6164</v>
      </c>
      <c r="G1487" s="12">
        <f ca="1">IFERROR(__xludf.DUMMYFUNCTION(" VLOOKUP(A1484, IMPORTRANGE(""https://docs.google.com/spreadsheets/d/1fj_Bhi2XPL3siwIh4sx4VRLAe31yD50oKdj5UlRYW0c/"", ""Сводка!A:AA""), 5, FALSE)"),244)</f>
        <v>244</v>
      </c>
      <c r="H1487" s="12" t="s">
        <v>47</v>
      </c>
      <c r="I1487" s="10">
        <f ca="1">IFERROR(__xludf.DUMMYFUNCTION(" VLOOKUP(A1484, IMPORTRANGE(""https://docs.google.com/spreadsheets/d/1QNLbnkR_AongFt22vMfNzfpjZ0CjpI8QI-w0wBnYA1w/"", ""Инфа!A:AA""), 6, FALSE)"),2024)</f>
        <v>2024</v>
      </c>
      <c r="J1487" s="5">
        <f t="shared" ca="1" si="51"/>
        <v>19600</v>
      </c>
      <c r="K1487" s="12" t="s">
        <v>26</v>
      </c>
      <c r="L1487" s="15" t="s">
        <v>6165</v>
      </c>
    </row>
    <row r="1488" spans="1:12" ht="247.5">
      <c r="A1488" s="48" t="s">
        <v>6166</v>
      </c>
      <c r="B1488" s="12" t="s">
        <v>12</v>
      </c>
      <c r="C1488" s="12" t="s">
        <v>443</v>
      </c>
      <c r="D1488" s="10" t="str">
        <f ca="1">IFERROR(__xludf.DUMMYFUNCTION(" VLOOKUP(A1485, IMPORTRANGE(""https://docs.google.com/spreadsheets/d/1fj_Bhi2XPL3siwIh4sx4VRLAe31yD50oKdj5UlRYW0c/"", ""Сводка!A:AA""), 11, FALSE)"),"")</f>
        <v/>
      </c>
      <c r="E1488" s="11" t="s">
        <v>6167</v>
      </c>
      <c r="F1488" s="11" t="s">
        <v>6168</v>
      </c>
      <c r="G1488" s="12">
        <f ca="1">IFERROR(__xludf.DUMMYFUNCTION(" VLOOKUP(A1485, IMPORTRANGE(""https://docs.google.com/spreadsheets/d/1fj_Bhi2XPL3siwIh4sx4VRLAe31yD50oKdj5UlRYW0c/"", ""Сводка!A:AA""), 5, FALSE)"),156)</f>
        <v>156</v>
      </c>
      <c r="H1488" s="12" t="s">
        <v>446</v>
      </c>
      <c r="I1488" s="10">
        <f ca="1">IFERROR(__xludf.DUMMYFUNCTION(" VLOOKUP(A1485, IMPORTRANGE(""https://docs.google.com/spreadsheets/d/1QNLbnkR_AongFt22vMfNzfpjZ0CjpI8QI-w0wBnYA1w/"", ""Инфа!A:AA""), 6, FALSE)"),2024)</f>
        <v>2024</v>
      </c>
      <c r="J1488" s="5">
        <f t="shared" ca="1" si="51"/>
        <v>14400</v>
      </c>
      <c r="K1488" s="12" t="s">
        <v>6169</v>
      </c>
      <c r="L1488" s="15" t="s">
        <v>6170</v>
      </c>
    </row>
    <row r="1489" spans="1:12" ht="247.5">
      <c r="A1489" s="48" t="s">
        <v>6171</v>
      </c>
      <c r="B1489" s="12" t="s">
        <v>12</v>
      </c>
      <c r="C1489" s="12" t="s">
        <v>151</v>
      </c>
      <c r="D1489" s="40" t="s">
        <v>6172</v>
      </c>
      <c r="E1489" s="56" t="s">
        <v>6173</v>
      </c>
      <c r="F1489" s="11" t="s">
        <v>6174</v>
      </c>
      <c r="G1489" s="12">
        <f ca="1">IFERROR(__xludf.DUMMYFUNCTION(" VLOOKUP(A1486, IMPORTRANGE(""https://docs.google.com/spreadsheets/d/1fj_Bhi2XPL3siwIh4sx4VRLAe31yD50oKdj5UlRYW0c/"", ""Сводка!A:AA""), 5, FALSE)"),132)</f>
        <v>132</v>
      </c>
      <c r="H1489" s="12" t="s">
        <v>24</v>
      </c>
      <c r="I1489" s="10">
        <f ca="1">IFERROR(__xludf.DUMMYFUNCTION(" VLOOKUP(A1486, IMPORTRANGE(""https://docs.google.com/spreadsheets/d/1QNLbnkR_AongFt22vMfNzfpjZ0CjpI8QI-w0wBnYA1w/"", ""Инфа!A:AA""), 6, FALSE)"),2024)</f>
        <v>2024</v>
      </c>
      <c r="J1489" s="5">
        <f t="shared" ca="1" si="51"/>
        <v>12900</v>
      </c>
      <c r="K1489" s="12" t="s">
        <v>6175</v>
      </c>
      <c r="L1489" s="16" t="s">
        <v>6176</v>
      </c>
    </row>
    <row r="1490" spans="1:12" ht="123.75">
      <c r="A1490" s="48" t="s">
        <v>6177</v>
      </c>
      <c r="B1490" s="12" t="s">
        <v>12</v>
      </c>
      <c r="C1490" s="12" t="s">
        <v>13</v>
      </c>
      <c r="D1490" s="10" t="str">
        <f ca="1">IFERROR(__xludf.DUMMYFUNCTION(" VLOOKUP(A1487, IMPORTRANGE(""https://docs.google.com/spreadsheets/d/1fj_Bhi2XPL3siwIh4sx4VRLAe31yD50oKdj5UlRYW0c/"", ""Сводка!A:AA""), 11, FALSE)"),"978-601-241-565-0")</f>
        <v>978-601-241-565-0</v>
      </c>
      <c r="E1490" s="11" t="s">
        <v>6178</v>
      </c>
      <c r="F1490" s="11" t="s">
        <v>6179</v>
      </c>
      <c r="G1490" s="12">
        <f ca="1">IFERROR(__xludf.DUMMYFUNCTION(" VLOOKUP(A1487, IMPORTRANGE(""https://docs.google.com/spreadsheets/d/1fj_Bhi2XPL3siwIh4sx4VRLAe31yD50oKdj5UlRYW0c/"", ""Сводка!A:AA""), 5, FALSE)"),212)</f>
        <v>212</v>
      </c>
      <c r="H1490" s="12" t="s">
        <v>42</v>
      </c>
      <c r="I1490" s="10">
        <f ca="1">IFERROR(__xludf.DUMMYFUNCTION(" VLOOKUP(A1487, IMPORTRANGE(""https://docs.google.com/spreadsheets/d/1QNLbnkR_AongFt22vMfNzfpjZ0CjpI8QI-w0wBnYA1w/"", ""Инфа!A:AA""), 6, FALSE)"),2024)</f>
        <v>2024</v>
      </c>
      <c r="J1490" s="5">
        <f t="shared" ca="1" si="51"/>
        <v>17700</v>
      </c>
      <c r="K1490" s="12" t="s">
        <v>2351</v>
      </c>
      <c r="L1490" s="15" t="s">
        <v>6180</v>
      </c>
    </row>
    <row r="1491" spans="1:12" ht="123.75">
      <c r="A1491" s="48" t="s">
        <v>6181</v>
      </c>
      <c r="B1491" s="12" t="s">
        <v>12</v>
      </c>
      <c r="C1491" s="12" t="s">
        <v>13</v>
      </c>
      <c r="D1491" s="10" t="str">
        <f ca="1">IFERROR(__xludf.DUMMYFUNCTION(" VLOOKUP(A1488, IMPORTRANGE(""https://docs.google.com/spreadsheets/d/1fj_Bhi2XPL3siwIh4sx4VRLAe31yD50oKdj5UlRYW0c/"", ""Сводка!A:AA""), 11, FALSE)"),"978-601-241-565-0")</f>
        <v>978-601-241-565-0</v>
      </c>
      <c r="E1491" s="11" t="s">
        <v>6178</v>
      </c>
      <c r="F1491" s="11" t="s">
        <v>6182</v>
      </c>
      <c r="G1491" s="12">
        <f ca="1">IFERROR(__xludf.DUMMYFUNCTION(" VLOOKUP(A1488, IMPORTRANGE(""https://docs.google.com/spreadsheets/d/1fj_Bhi2XPL3siwIh4sx4VRLAe31yD50oKdj5UlRYW0c/"", ""Сводка!A:AA""), 5, FALSE)"),212)</f>
        <v>212</v>
      </c>
      <c r="H1491" s="12" t="s">
        <v>42</v>
      </c>
      <c r="I1491" s="10">
        <f ca="1">IFERROR(__xludf.DUMMYFUNCTION(" VLOOKUP(A1488, IMPORTRANGE(""https://docs.google.com/spreadsheets/d/1QNLbnkR_AongFt22vMfNzfpjZ0CjpI8QI-w0wBnYA1w/"", ""Инфа!A:AA""), 6, FALSE)"),2024)</f>
        <v>2024</v>
      </c>
      <c r="J1491" s="5">
        <f t="shared" ca="1" si="51"/>
        <v>17700</v>
      </c>
      <c r="K1491" s="12" t="s">
        <v>2351</v>
      </c>
      <c r="L1491" s="15" t="s">
        <v>6180</v>
      </c>
    </row>
    <row r="1492" spans="1:12" ht="315">
      <c r="A1492" s="48" t="s">
        <v>6183</v>
      </c>
      <c r="B1492" s="9" t="s">
        <v>6149</v>
      </c>
      <c r="C1492" s="10" t="s">
        <v>21</v>
      </c>
      <c r="D1492" s="10" t="str">
        <f ca="1">IFERROR(__xludf.DUMMYFUNCTION(" VLOOKUP(A1489, IMPORTRANGE(""https://docs.google.com/spreadsheets/d/1fj_Bhi2XPL3siwIh4sx4VRLAe31yD50oKdj5UlRYW0c/"", ""Сводка!A:AA""), 11, FALSE)"),"")</f>
        <v/>
      </c>
      <c r="E1492" s="11" t="s">
        <v>6184</v>
      </c>
      <c r="F1492" s="11" t="s">
        <v>6185</v>
      </c>
      <c r="G1492" s="12">
        <f ca="1">IFERROR(__xludf.DUMMYFUNCTION(" VLOOKUP(A1489, IMPORTRANGE(""https://docs.google.com/spreadsheets/d/1fj_Bhi2XPL3siwIh4sx4VRLAe31yD50oKdj5UlRYW0c/"", ""Сводка!A:AA""), 5, FALSE)"),432)</f>
        <v>432</v>
      </c>
      <c r="H1492" s="12" t="s">
        <v>325</v>
      </c>
      <c r="I1492" s="10">
        <f ca="1">IFERROR(__xludf.DUMMYFUNCTION(" VLOOKUP(A1489, IMPORTRANGE(""https://docs.google.com/spreadsheets/d/1QNLbnkR_AongFt22vMfNzfpjZ0CjpI8QI-w0wBnYA1w/"", ""Инфа!A:AA""), 6, FALSE)"),2024)</f>
        <v>2024</v>
      </c>
      <c r="J1492" s="5">
        <f ca="1">ROUND(((5000+G1492*60)*1.3),-2)</f>
        <v>40200</v>
      </c>
      <c r="K1492" s="12" t="s">
        <v>6186</v>
      </c>
      <c r="L1492" s="15" t="s">
        <v>6187</v>
      </c>
    </row>
    <row r="1493" spans="1:12" ht="112.5">
      <c r="A1493" s="48" t="s">
        <v>6188</v>
      </c>
      <c r="B1493" s="12" t="s">
        <v>2231</v>
      </c>
      <c r="C1493" s="12" t="s">
        <v>13</v>
      </c>
      <c r="D1493" s="10" t="s">
        <v>6189</v>
      </c>
      <c r="E1493" s="11" t="s">
        <v>6190</v>
      </c>
      <c r="F1493" s="11" t="s">
        <v>6191</v>
      </c>
      <c r="G1493" s="12">
        <f ca="1">IFERROR(__xludf.DUMMYFUNCTION(" VLOOKUP(A1490, IMPORTRANGE(""https://docs.google.com/spreadsheets/d/1fj_Bhi2XPL3siwIh4sx4VRLAe31yD50oKdj5UlRYW0c/"", ""Сводка!A:AA""), 5, FALSE)"),112)</f>
        <v>112</v>
      </c>
      <c r="H1493" s="12" t="s">
        <v>6192</v>
      </c>
      <c r="I1493" s="10">
        <f ca="1">IFERROR(__xludf.DUMMYFUNCTION(" VLOOKUP(A1490, IMPORTRANGE(""https://docs.google.com/spreadsheets/d/1QNLbnkR_AongFt22vMfNzfpjZ0CjpI8QI-w0wBnYA1w/"", ""Инфа!A:AA""), 6, FALSE)"),2024)</f>
        <v>2024</v>
      </c>
      <c r="J1493" s="5">
        <f ca="1">ROUND((5000+G1493*60),-2)</f>
        <v>11700</v>
      </c>
      <c r="K1493" s="12"/>
      <c r="L1493" s="16" t="s">
        <v>6193</v>
      </c>
    </row>
    <row r="1494" spans="1:12" ht="157.5">
      <c r="A1494" s="48" t="s">
        <v>6194</v>
      </c>
      <c r="B1494" s="12" t="s">
        <v>12</v>
      </c>
      <c r="C1494" s="12" t="s">
        <v>443</v>
      </c>
      <c r="D1494" s="10" t="s">
        <v>6195</v>
      </c>
      <c r="E1494" s="11" t="s">
        <v>6196</v>
      </c>
      <c r="F1494" s="45" t="s">
        <v>6197</v>
      </c>
      <c r="G1494" s="12">
        <f ca="1">IFERROR(__xludf.DUMMYFUNCTION(" VLOOKUP(A1491, IMPORTRANGE(""https://docs.google.com/spreadsheets/d/1fj_Bhi2XPL3siwIh4sx4VRLAe31yD50oKdj5UlRYW0c/"", ""Сводка!A:AA""), 5, FALSE)"),244)</f>
        <v>244</v>
      </c>
      <c r="H1494" s="12" t="s">
        <v>511</v>
      </c>
      <c r="I1494" s="10">
        <f ca="1">IFERROR(__xludf.DUMMYFUNCTION(" VLOOKUP(A1491, IMPORTRANGE(""https://docs.google.com/spreadsheets/d/1QNLbnkR_AongFt22vMfNzfpjZ0CjpI8QI-w0wBnYA1w/"", ""Инфа!A:AA""), 6, FALSE)"),2024)</f>
        <v>2024</v>
      </c>
      <c r="J1494" s="5">
        <f ca="1">ROUND((5000+G1494*30),-2)</f>
        <v>12300</v>
      </c>
      <c r="K1494" s="12" t="s">
        <v>6198</v>
      </c>
      <c r="L1494" s="16" t="s">
        <v>6199</v>
      </c>
    </row>
    <row r="1495" spans="1:12" ht="225">
      <c r="A1495" s="48" t="s">
        <v>6200</v>
      </c>
      <c r="B1495" s="12" t="s">
        <v>12</v>
      </c>
      <c r="C1495" s="12" t="s">
        <v>443</v>
      </c>
      <c r="D1495" s="10" t="s">
        <v>6201</v>
      </c>
      <c r="E1495" s="11" t="s">
        <v>6202</v>
      </c>
      <c r="F1495" s="11" t="s">
        <v>3382</v>
      </c>
      <c r="G1495" s="12">
        <f ca="1">IFERROR(__xludf.DUMMYFUNCTION(" VLOOKUP(A1492, IMPORTRANGE(""https://docs.google.com/spreadsheets/d/1fj_Bhi2XPL3siwIh4sx4VRLAe31yD50oKdj5UlRYW0c/"", ""Сводка!A:AA""), 5, FALSE)"),148)</f>
        <v>148</v>
      </c>
      <c r="H1495" s="12" t="s">
        <v>538</v>
      </c>
      <c r="I1495" s="10">
        <f ca="1">IFERROR(__xludf.DUMMYFUNCTION(" VLOOKUP(A1492, IMPORTRANGE(""https://docs.google.com/spreadsheets/d/1QNLbnkR_AongFt22vMfNzfpjZ0CjpI8QI-w0wBnYA1w/"", ""Инфа!A:AA""), 6, FALSE)"),2024)</f>
        <v>2024</v>
      </c>
      <c r="J1495" s="5">
        <f ca="1">ROUND((5000+G1495*60),-2)</f>
        <v>13900</v>
      </c>
      <c r="K1495" s="12" t="s">
        <v>69</v>
      </c>
      <c r="L1495" s="16" t="s">
        <v>6203</v>
      </c>
    </row>
    <row r="1496" spans="1:12" ht="281.25">
      <c r="A1496" s="48" t="s">
        <v>6204</v>
      </c>
      <c r="B1496" s="12" t="s">
        <v>12</v>
      </c>
      <c r="C1496" s="12" t="s">
        <v>443</v>
      </c>
      <c r="D1496" s="10" t="s">
        <v>6205</v>
      </c>
      <c r="E1496" s="11" t="s">
        <v>6202</v>
      </c>
      <c r="F1496" s="11" t="s">
        <v>6206</v>
      </c>
      <c r="G1496" s="12">
        <f ca="1">IFERROR(__xludf.DUMMYFUNCTION(" VLOOKUP(A1493, IMPORTRANGE(""https://docs.google.com/spreadsheets/d/1fj_Bhi2XPL3siwIh4sx4VRLAe31yD50oKdj5UlRYW0c/"", ""Сводка!A:AA""), 5, FALSE)"),156)</f>
        <v>156</v>
      </c>
      <c r="H1496" s="12" t="s">
        <v>538</v>
      </c>
      <c r="I1496" s="10">
        <f ca="1">IFERROR(__xludf.DUMMYFUNCTION(" VLOOKUP(A1493, IMPORTRANGE(""https://docs.google.com/spreadsheets/d/1QNLbnkR_AongFt22vMfNzfpjZ0CjpI8QI-w0wBnYA1w/"", ""Инфа!A:AA""), 6, FALSE)"),2024)</f>
        <v>2024</v>
      </c>
      <c r="J1496" s="5">
        <f ca="1">ROUND((5000+G1496*60),-2)</f>
        <v>14400</v>
      </c>
      <c r="K1496" s="12" t="s">
        <v>69</v>
      </c>
      <c r="L1496" s="16" t="s">
        <v>6207</v>
      </c>
    </row>
    <row r="1497" spans="1:12" ht="270">
      <c r="A1497" s="48" t="s">
        <v>6208</v>
      </c>
      <c r="B1497" s="12" t="s">
        <v>12</v>
      </c>
      <c r="C1497" s="12" t="s">
        <v>443</v>
      </c>
      <c r="D1497" s="40" t="s">
        <v>6209</v>
      </c>
      <c r="E1497" s="11" t="s">
        <v>6202</v>
      </c>
      <c r="F1497" s="11" t="s">
        <v>6210</v>
      </c>
      <c r="G1497" s="12">
        <f ca="1">IFERROR(__xludf.DUMMYFUNCTION(" VLOOKUP(A1494, IMPORTRANGE(""https://docs.google.com/spreadsheets/d/1fj_Bhi2XPL3siwIh4sx4VRLAe31yD50oKdj5UlRYW0c/"", ""Сводка!A:AA""), 5, FALSE)"),204)</f>
        <v>204</v>
      </c>
      <c r="H1497" s="12" t="s">
        <v>538</v>
      </c>
      <c r="I1497" s="10">
        <f ca="1">IFERROR(__xludf.DUMMYFUNCTION(" VLOOKUP(A1494, IMPORTRANGE(""https://docs.google.com/spreadsheets/d/1QNLbnkR_AongFt22vMfNzfpjZ0CjpI8QI-w0wBnYA1w/"", ""Инфа!A:AA""), 6, FALSE)"),2024)</f>
        <v>2024</v>
      </c>
      <c r="J1497" s="5">
        <f ca="1">ROUND((5000+G1497*60),-2)</f>
        <v>17200</v>
      </c>
      <c r="K1497" s="12" t="s">
        <v>257</v>
      </c>
      <c r="L1497" s="16" t="s">
        <v>6211</v>
      </c>
    </row>
    <row r="1498" spans="1:12" ht="146.25">
      <c r="A1498" s="48" t="s">
        <v>6212</v>
      </c>
      <c r="B1498" s="12" t="s">
        <v>12</v>
      </c>
      <c r="C1498" s="10" t="s">
        <v>151</v>
      </c>
      <c r="D1498" s="10" t="s">
        <v>6213</v>
      </c>
      <c r="E1498" s="46" t="s">
        <v>6214</v>
      </c>
      <c r="F1498" s="46" t="s">
        <v>6215</v>
      </c>
      <c r="G1498" s="12">
        <f ca="1">IFERROR(__xludf.DUMMYFUNCTION(" VLOOKUP(A1495, IMPORTRANGE(""https://docs.google.com/spreadsheets/d/1fj_Bhi2XPL3siwIh4sx4VRLAe31yD50oKdj5UlRYW0c/"", ""Сводка!A:AA""), 5, FALSE)"),192)</f>
        <v>192</v>
      </c>
      <c r="H1498" s="10" t="s">
        <v>498</v>
      </c>
      <c r="I1498" s="10">
        <f ca="1">IFERROR(__xludf.DUMMYFUNCTION(" VLOOKUP(A1495, IMPORTRANGE(""https://docs.google.com/spreadsheets/d/1QNLbnkR_AongFt22vMfNzfpjZ0CjpI8QI-w0wBnYA1w/"", ""Инфа!A:AA""), 6, FALSE)"),2024)</f>
        <v>2024</v>
      </c>
      <c r="J1498" s="5">
        <f ca="1">ROUND((5000+G1498*60),-2)</f>
        <v>16500</v>
      </c>
      <c r="K1498" s="10" t="s">
        <v>6216</v>
      </c>
      <c r="L1498" s="59" t="s">
        <v>6217</v>
      </c>
    </row>
    <row r="1499" spans="1:12" ht="146.25">
      <c r="A1499" s="48" t="s">
        <v>6218</v>
      </c>
      <c r="B1499" s="12" t="s">
        <v>12</v>
      </c>
      <c r="C1499" s="10" t="s">
        <v>151</v>
      </c>
      <c r="D1499" s="10" t="s">
        <v>6219</v>
      </c>
      <c r="E1499" s="46" t="s">
        <v>6214</v>
      </c>
      <c r="F1499" s="46" t="s">
        <v>6220</v>
      </c>
      <c r="G1499" s="12">
        <f ca="1">IFERROR(__xludf.DUMMYFUNCTION(" VLOOKUP(A1496, IMPORTRANGE(""https://docs.google.com/spreadsheets/d/1fj_Bhi2XPL3siwIh4sx4VRLAe31yD50oKdj5UlRYW0c/"", ""Сводка!A:AA""), 5, FALSE)"),248)</f>
        <v>248</v>
      </c>
      <c r="H1499" s="10" t="s">
        <v>498</v>
      </c>
      <c r="I1499" s="10">
        <f ca="1">IFERROR(__xludf.DUMMYFUNCTION(" VLOOKUP(A1496, IMPORTRANGE(""https://docs.google.com/spreadsheets/d/1QNLbnkR_AongFt22vMfNzfpjZ0CjpI8QI-w0wBnYA1w/"", ""Инфа!A:AA""), 6, FALSE)"),2024)</f>
        <v>2024</v>
      </c>
      <c r="J1499" s="5">
        <f ca="1">ROUND((5000+G1499*60),-2)</f>
        <v>19900</v>
      </c>
      <c r="K1499" s="10" t="s">
        <v>6216</v>
      </c>
      <c r="L1499" s="59" t="s">
        <v>6217</v>
      </c>
    </row>
    <row r="1500" spans="1:12" ht="225">
      <c r="A1500" s="48" t="s">
        <v>6221</v>
      </c>
      <c r="B1500" s="12" t="s">
        <v>12</v>
      </c>
      <c r="C1500" s="10" t="s">
        <v>151</v>
      </c>
      <c r="D1500" s="10" t="str">
        <f ca="1">IFERROR(__xludf.DUMMYFUNCTION(" VLOOKUP(A1497, IMPORTRANGE(""https://docs.google.com/spreadsheets/d/1fj_Bhi2XPL3siwIh4sx4VRLAe31yD50oKdj5UlRYW0c/"", ""Сводка!A:AA""), 11, FALSE)"),"978-601-330-613-1")</f>
        <v>978-601-330-613-1</v>
      </c>
      <c r="E1500" s="22" t="s">
        <v>3098</v>
      </c>
      <c r="F1500" s="22" t="s">
        <v>6222</v>
      </c>
      <c r="G1500" s="12">
        <f ca="1">IFERROR(__xludf.DUMMYFUNCTION(" VLOOKUP(A1497, IMPORTRANGE(""https://docs.google.com/spreadsheets/d/1fj_Bhi2XPL3siwIh4sx4VRLAe31yD50oKdj5UlRYW0c/"", ""Сводка!A:AA""), 5, FALSE)"),228)</f>
        <v>228</v>
      </c>
      <c r="H1500" s="10" t="s">
        <v>106</v>
      </c>
      <c r="I1500" s="10">
        <f ca="1">IFERROR(__xludf.DUMMYFUNCTION(" VLOOKUP(A1497, IMPORTRANGE(""https://docs.google.com/spreadsheets/d/1QNLbnkR_AongFt22vMfNzfpjZ0CjpI8QI-w0wBnYA1w/"", ""Инфа!A:AA""), 6, FALSE)"),2024)</f>
        <v>2024</v>
      </c>
      <c r="J1500" s="5">
        <f ca="1">ROUND((5000+G1500*30),-2)</f>
        <v>11800</v>
      </c>
      <c r="K1500" s="10" t="s">
        <v>3100</v>
      </c>
      <c r="L1500" s="23" t="s">
        <v>6223</v>
      </c>
    </row>
    <row r="1501" spans="1:12" ht="236.25">
      <c r="A1501" s="48" t="s">
        <v>6224</v>
      </c>
      <c r="B1501" s="12" t="s">
        <v>12</v>
      </c>
      <c r="C1501" s="10" t="s">
        <v>151</v>
      </c>
      <c r="D1501" s="10" t="str">
        <f ca="1">IFERROR(__xludf.DUMMYFUNCTION(" VLOOKUP(A1498, IMPORTRANGE(""https://docs.google.com/spreadsheets/d/1fj_Bhi2XPL3siwIh4sx4VRLAe31yD50oKdj5UlRYW0c/"", ""Сводка!A:AA""), 11, FALSE)"),"978-601-352-457-8")</f>
        <v>978-601-352-457-8</v>
      </c>
      <c r="E1501" s="22" t="s">
        <v>3098</v>
      </c>
      <c r="F1501" s="22" t="s">
        <v>6225</v>
      </c>
      <c r="G1501" s="12">
        <f ca="1">IFERROR(__xludf.DUMMYFUNCTION(" VLOOKUP(A1498, IMPORTRANGE(""https://docs.google.com/spreadsheets/d/1fj_Bhi2XPL3siwIh4sx4VRLAe31yD50oKdj5UlRYW0c/"", ""Сводка!A:AA""), 5, FALSE)"),108)</f>
        <v>108</v>
      </c>
      <c r="H1501" s="10" t="s">
        <v>106</v>
      </c>
      <c r="I1501" s="10">
        <f ca="1">IFERROR(__xludf.DUMMYFUNCTION(" VLOOKUP(A1498, IMPORTRANGE(""https://docs.google.com/spreadsheets/d/1QNLbnkR_AongFt22vMfNzfpjZ0CjpI8QI-w0wBnYA1w/"", ""Инфа!A:AA""), 6, FALSE)"),2024)</f>
        <v>2024</v>
      </c>
      <c r="J1501" s="5">
        <f ca="1">ROUND((5000+G1501*30),-2)</f>
        <v>8200</v>
      </c>
      <c r="K1501" s="10" t="s">
        <v>3100</v>
      </c>
      <c r="L1501" s="23" t="s">
        <v>6226</v>
      </c>
    </row>
    <row r="1502" spans="1:12" ht="123.75">
      <c r="A1502" s="48" t="s">
        <v>6227</v>
      </c>
      <c r="B1502" s="12" t="s">
        <v>12</v>
      </c>
      <c r="C1502" s="10" t="s">
        <v>13</v>
      </c>
      <c r="D1502" s="10" t="s">
        <v>6228</v>
      </c>
      <c r="E1502" s="46" t="s">
        <v>6229</v>
      </c>
      <c r="F1502" s="46" t="s">
        <v>6230</v>
      </c>
      <c r="G1502" s="12">
        <f ca="1">IFERROR(__xludf.DUMMYFUNCTION(" VLOOKUP(A1499, IMPORTRANGE(""https://docs.google.com/spreadsheets/d/1fj_Bhi2XPL3siwIh4sx4VRLAe31yD50oKdj5UlRYW0c/"", ""Сводка!A:AA""), 5, FALSE)"),316)</f>
        <v>316</v>
      </c>
      <c r="H1502" s="10" t="s">
        <v>83</v>
      </c>
      <c r="I1502" s="10">
        <f ca="1">IFERROR(__xludf.DUMMYFUNCTION(" VLOOKUP(A1499, IMPORTRANGE(""https://docs.google.com/spreadsheets/d/1QNLbnkR_AongFt22vMfNzfpjZ0CjpI8QI-w0wBnYA1w/"", ""Инфа!A:AA""), 6, FALSE)"),2024)</f>
        <v>2024</v>
      </c>
      <c r="J1502" s="5">
        <f ca="1">ROUND((5000+G1502*60),-2)</f>
        <v>24000</v>
      </c>
      <c r="K1502" s="10" t="s">
        <v>171</v>
      </c>
      <c r="L1502" s="59" t="s">
        <v>6231</v>
      </c>
    </row>
    <row r="1503" spans="1:12" ht="90">
      <c r="A1503" s="48" t="s">
        <v>6232</v>
      </c>
      <c r="B1503" s="12" t="s">
        <v>12</v>
      </c>
      <c r="C1503" s="10" t="s">
        <v>443</v>
      </c>
      <c r="D1503" s="10" t="s">
        <v>6233</v>
      </c>
      <c r="E1503" s="46" t="s">
        <v>6234</v>
      </c>
      <c r="F1503" s="46" t="s">
        <v>6235</v>
      </c>
      <c r="G1503" s="12">
        <f ca="1">IFERROR(__xludf.DUMMYFUNCTION(" VLOOKUP(A1500, IMPORTRANGE(""https://docs.google.com/spreadsheets/d/1fj_Bhi2XPL3siwIh4sx4VRLAe31yD50oKdj5UlRYW0c/"", ""Сводка!A:AA""), 5, FALSE)"),300)</f>
        <v>300</v>
      </c>
      <c r="H1503" s="10" t="s">
        <v>538</v>
      </c>
      <c r="I1503" s="10">
        <f ca="1">IFERROR(__xludf.DUMMYFUNCTION(" VLOOKUP(A1500, IMPORTRANGE(""https://docs.google.com/spreadsheets/d/1QNLbnkR_AongFt22vMfNzfpjZ0CjpI8QI-w0wBnYA1w/"", ""Инфа!A:AA""), 6, FALSE)"),2024)</f>
        <v>2024</v>
      </c>
      <c r="J1503" s="5">
        <f ca="1">ROUND((5000+G1503*60),-2)</f>
        <v>23000</v>
      </c>
      <c r="K1503" s="10" t="s">
        <v>171</v>
      </c>
      <c r="L1503" s="59" t="s">
        <v>6236</v>
      </c>
    </row>
    <row r="1504" spans="1:12" ht="168.75">
      <c r="A1504" s="48" t="s">
        <v>6237</v>
      </c>
      <c r="B1504" s="12" t="s">
        <v>12</v>
      </c>
      <c r="C1504" s="10" t="s">
        <v>151</v>
      </c>
      <c r="D1504" s="10" t="s">
        <v>6238</v>
      </c>
      <c r="E1504" s="46" t="s">
        <v>6239</v>
      </c>
      <c r="F1504" s="46" t="s">
        <v>6240</v>
      </c>
      <c r="G1504" s="12">
        <f ca="1">IFERROR(__xludf.DUMMYFUNCTION(" VLOOKUP(A1501, IMPORTRANGE(""https://docs.google.com/spreadsheets/d/1fj_Bhi2XPL3siwIh4sx4VRLAe31yD50oKdj5UlRYW0c/"", ""Сводка!A:AA""), 5, FALSE)"),348)</f>
        <v>348</v>
      </c>
      <c r="H1504" s="10" t="s">
        <v>47</v>
      </c>
      <c r="I1504" s="10">
        <f ca="1">IFERROR(__xludf.DUMMYFUNCTION(" VLOOKUP(A1501, IMPORTRANGE(""https://docs.google.com/spreadsheets/d/1QNLbnkR_AongFt22vMfNzfpjZ0CjpI8QI-w0wBnYA1w/"", ""Инфа!A:AA""), 6, FALSE)"),2024)</f>
        <v>2024</v>
      </c>
      <c r="J1504" s="5">
        <f ca="1">ROUND((5000+G1504*60),-2)</f>
        <v>25900</v>
      </c>
      <c r="K1504" s="10" t="s">
        <v>6241</v>
      </c>
      <c r="L1504" s="59" t="s">
        <v>6242</v>
      </c>
    </row>
    <row r="1505" spans="1:12" ht="168.75">
      <c r="A1505" s="48" t="s">
        <v>6243</v>
      </c>
      <c r="B1505" s="12" t="s">
        <v>12</v>
      </c>
      <c r="C1505" s="10" t="s">
        <v>151</v>
      </c>
      <c r="D1505" s="10" t="s">
        <v>6244</v>
      </c>
      <c r="E1505" s="46" t="s">
        <v>6239</v>
      </c>
      <c r="F1505" s="46" t="s">
        <v>6245</v>
      </c>
      <c r="G1505" s="12">
        <f ca="1">IFERROR(__xludf.DUMMYFUNCTION(" VLOOKUP(A1502, IMPORTRANGE(""https://docs.google.com/spreadsheets/d/1fj_Bhi2XPL3siwIh4sx4VRLAe31yD50oKdj5UlRYW0c/"", ""Сводка!A:AA""), 5, FALSE)"),256)</f>
        <v>256</v>
      </c>
      <c r="H1505" s="10" t="s">
        <v>47</v>
      </c>
      <c r="I1505" s="10">
        <f ca="1">IFERROR(__xludf.DUMMYFUNCTION(" VLOOKUP(A1502, IMPORTRANGE(""https://docs.google.com/spreadsheets/d/1QNLbnkR_AongFt22vMfNzfpjZ0CjpI8QI-w0wBnYA1w/"", ""Инфа!A:AA""), 6, FALSE)"),2024)</f>
        <v>2024</v>
      </c>
      <c r="J1505" s="5">
        <f ca="1">ROUND((5000+G1505*60),-2)</f>
        <v>20400</v>
      </c>
      <c r="K1505" s="10" t="s">
        <v>6241</v>
      </c>
      <c r="L1505" s="59" t="s">
        <v>6242</v>
      </c>
    </row>
    <row r="1506" spans="1:12" ht="101.25">
      <c r="A1506" s="48" t="s">
        <v>6246</v>
      </c>
      <c r="B1506" s="12" t="s">
        <v>12</v>
      </c>
      <c r="C1506" s="10" t="s">
        <v>443</v>
      </c>
      <c r="D1506" s="10" t="s">
        <v>6247</v>
      </c>
      <c r="E1506" s="46" t="s">
        <v>6248</v>
      </c>
      <c r="F1506" s="46" t="s">
        <v>6249</v>
      </c>
      <c r="G1506" s="12">
        <f ca="1">IFERROR(__xludf.DUMMYFUNCTION(" VLOOKUP(A1503, IMPORTRANGE(""https://docs.google.com/spreadsheets/d/1fj_Bhi2XPL3siwIh4sx4VRLAe31yD50oKdj5UlRYW0c/"", ""Сводка!A:AA""), 5, FALSE)"),196)</f>
        <v>196</v>
      </c>
      <c r="H1506" s="10" t="s">
        <v>538</v>
      </c>
      <c r="I1506" s="10">
        <f ca="1">IFERROR(__xludf.DUMMYFUNCTION(" VLOOKUP(A1503, IMPORTRANGE(""https://docs.google.com/spreadsheets/d/1QNLbnkR_AongFt22vMfNzfpjZ0CjpI8QI-w0wBnYA1w/"", ""Инфа!A:AA""), 6, FALSE)"),2024)</f>
        <v>2024</v>
      </c>
      <c r="J1506" s="5">
        <f ca="1">ROUND((5000+G1506*30),-2)</f>
        <v>10900</v>
      </c>
      <c r="K1506" s="10" t="s">
        <v>6250</v>
      </c>
      <c r="L1506" s="59" t="s">
        <v>6251</v>
      </c>
    </row>
    <row r="1507" spans="1:12" ht="101.25">
      <c r="A1507" s="48" t="s">
        <v>6252</v>
      </c>
      <c r="B1507" s="12" t="s">
        <v>12</v>
      </c>
      <c r="C1507" s="10" t="s">
        <v>443</v>
      </c>
      <c r="D1507" s="10" t="s">
        <v>6253</v>
      </c>
      <c r="E1507" s="46" t="s">
        <v>6248</v>
      </c>
      <c r="F1507" s="46" t="s">
        <v>6254</v>
      </c>
      <c r="G1507" s="12">
        <f ca="1">IFERROR(__xludf.DUMMYFUNCTION(" VLOOKUP(A1504, IMPORTRANGE(""https://docs.google.com/spreadsheets/d/1fj_Bhi2XPL3siwIh4sx4VRLAe31yD50oKdj5UlRYW0c/"", ""Сводка!A:AA""), 5, FALSE)"),284)</f>
        <v>284</v>
      </c>
      <c r="H1507" s="10" t="s">
        <v>6255</v>
      </c>
      <c r="I1507" s="10">
        <f ca="1">IFERROR(__xludf.DUMMYFUNCTION(" VLOOKUP(A1504, IMPORTRANGE(""https://docs.google.com/spreadsheets/d/1QNLbnkR_AongFt22vMfNzfpjZ0CjpI8QI-w0wBnYA1w/"", ""Инфа!A:AA""), 6, FALSE)"),2024)</f>
        <v>2024</v>
      </c>
      <c r="J1507" s="5">
        <f ca="1">ROUND((5000+G1507*30),-2)</f>
        <v>13500</v>
      </c>
      <c r="K1507" s="10" t="s">
        <v>6256</v>
      </c>
      <c r="L1507" s="59" t="s">
        <v>6257</v>
      </c>
    </row>
    <row r="1508" spans="1:12" ht="157.5">
      <c r="A1508" s="48" t="s">
        <v>6258</v>
      </c>
      <c r="B1508" s="12" t="s">
        <v>12</v>
      </c>
      <c r="C1508" s="10" t="s">
        <v>443</v>
      </c>
      <c r="D1508" s="10" t="s">
        <v>6259</v>
      </c>
      <c r="E1508" s="46" t="s">
        <v>6248</v>
      </c>
      <c r="F1508" s="46" t="s">
        <v>6260</v>
      </c>
      <c r="G1508" s="12">
        <f ca="1">IFERROR(__xludf.DUMMYFUNCTION(" VLOOKUP(A1505, IMPORTRANGE(""https://docs.google.com/spreadsheets/d/1fj_Bhi2XPL3siwIh4sx4VRLAe31yD50oKdj5UlRYW0c/"", ""Сводка!A:AA""), 5, FALSE)"),220)</f>
        <v>220</v>
      </c>
      <c r="H1508" s="10" t="s">
        <v>106</v>
      </c>
      <c r="I1508" s="10">
        <f ca="1">IFERROR(__xludf.DUMMYFUNCTION(" VLOOKUP(A1505, IMPORTRANGE(""https://docs.google.com/spreadsheets/d/1QNLbnkR_AongFt22vMfNzfpjZ0CjpI8QI-w0wBnYA1w/"", ""Инфа!A:AA""), 6, FALSE)"),2024)</f>
        <v>2024</v>
      </c>
      <c r="J1508" s="5">
        <f ca="1">ROUND((5000+G1508*30),-2)</f>
        <v>11600</v>
      </c>
      <c r="K1508" s="10" t="s">
        <v>6250</v>
      </c>
      <c r="L1508" s="59" t="s">
        <v>6261</v>
      </c>
    </row>
    <row r="1509" spans="1:12" ht="123.75">
      <c r="A1509" s="48" t="s">
        <v>6262</v>
      </c>
      <c r="B1509" s="12" t="s">
        <v>12</v>
      </c>
      <c r="C1509" s="10" t="s">
        <v>443</v>
      </c>
      <c r="D1509" s="10" t="s">
        <v>6263</v>
      </c>
      <c r="E1509" s="46" t="s">
        <v>6248</v>
      </c>
      <c r="F1509" s="46" t="s">
        <v>6264</v>
      </c>
      <c r="G1509" s="12">
        <f ca="1">IFERROR(__xludf.DUMMYFUNCTION(" VLOOKUP(A1506, IMPORTRANGE(""https://docs.google.com/spreadsheets/d/1fj_Bhi2XPL3siwIh4sx4VRLAe31yD50oKdj5UlRYW0c/"", ""Сводка!A:AA""), 5, FALSE)"),312)</f>
        <v>312</v>
      </c>
      <c r="H1509" s="10" t="s">
        <v>6265</v>
      </c>
      <c r="I1509" s="10">
        <f ca="1">IFERROR(__xludf.DUMMYFUNCTION(" VLOOKUP(A1506, IMPORTRANGE(""https://docs.google.com/spreadsheets/d/1QNLbnkR_AongFt22vMfNzfpjZ0CjpI8QI-w0wBnYA1w/"", ""Инфа!A:AA""), 6, FALSE)"),2024)</f>
        <v>2024</v>
      </c>
      <c r="J1509" s="5">
        <f ca="1">ROUND((5000+G1509*30),-2)</f>
        <v>14400</v>
      </c>
      <c r="K1509" s="10" t="s">
        <v>6266</v>
      </c>
      <c r="L1509" s="59" t="s">
        <v>6267</v>
      </c>
    </row>
    <row r="1510" spans="1:12" ht="112.5">
      <c r="A1510" s="48" t="s">
        <v>6268</v>
      </c>
      <c r="B1510" s="12" t="s">
        <v>12</v>
      </c>
      <c r="C1510" s="10" t="s">
        <v>443</v>
      </c>
      <c r="D1510" s="10" t="s">
        <v>6269</v>
      </c>
      <c r="E1510" s="46" t="s">
        <v>6248</v>
      </c>
      <c r="F1510" s="46" t="s">
        <v>6270</v>
      </c>
      <c r="G1510" s="12">
        <f ca="1">IFERROR(__xludf.DUMMYFUNCTION(" VLOOKUP(A1507, IMPORTRANGE(""https://docs.google.com/spreadsheets/d/1fj_Bhi2XPL3siwIh4sx4VRLAe31yD50oKdj5UlRYW0c/"", ""Сводка!A:AA""), 5, FALSE)"),236)</f>
        <v>236</v>
      </c>
      <c r="H1510" s="10" t="s">
        <v>6255</v>
      </c>
      <c r="I1510" s="10">
        <f ca="1">IFERROR(__xludf.DUMMYFUNCTION(" VLOOKUP(A1507, IMPORTRANGE(""https://docs.google.com/spreadsheets/d/1QNLbnkR_AongFt22vMfNzfpjZ0CjpI8QI-w0wBnYA1w/"", ""Инфа!A:AA""), 6, FALSE)"),2024)</f>
        <v>2024</v>
      </c>
      <c r="J1510" s="5">
        <f ca="1">ROUND((5000+G1510*30),-2)</f>
        <v>12100</v>
      </c>
      <c r="K1510" s="10" t="s">
        <v>26</v>
      </c>
      <c r="L1510" s="59" t="s">
        <v>6271</v>
      </c>
    </row>
    <row r="1511" spans="1:12" ht="225">
      <c r="A1511" s="48" t="s">
        <v>6272</v>
      </c>
      <c r="B1511" s="9" t="s">
        <v>5306</v>
      </c>
      <c r="C1511" s="12" t="s">
        <v>443</v>
      </c>
      <c r="D1511" s="10" t="s">
        <v>6273</v>
      </c>
      <c r="E1511" s="11" t="s">
        <v>6274</v>
      </c>
      <c r="F1511" s="11" t="s">
        <v>6275</v>
      </c>
      <c r="G1511" s="12">
        <f ca="1">IFERROR(__xludf.DUMMYFUNCTION(" VLOOKUP(A1508, IMPORTRANGE(""https://docs.google.com/spreadsheets/d/1fj_Bhi2XPL3siwIh4sx4VRLAe31yD50oKdj5UlRYW0c/"", ""Сводка!A:AA""), 5, FALSE)"),168)</f>
        <v>168</v>
      </c>
      <c r="H1511" s="12" t="s">
        <v>538</v>
      </c>
      <c r="I1511" s="10">
        <f ca="1">IFERROR(__xludf.DUMMYFUNCTION(" VLOOKUP(A1508, IMPORTRANGE(""https://docs.google.com/spreadsheets/d/1QNLbnkR_AongFt22vMfNzfpjZ0CjpI8QI-w0wBnYA1w/"", ""Инфа!A:AA""), 6, FALSE)"),2024)</f>
        <v>2024</v>
      </c>
      <c r="J1511" s="5">
        <f ca="1">ROUND(((5000+G1511*30)*1.3),-2)</f>
        <v>13100</v>
      </c>
      <c r="K1511" s="12" t="s">
        <v>84</v>
      </c>
      <c r="L1511" s="15" t="s">
        <v>6276</v>
      </c>
    </row>
    <row r="1512" spans="1:12" ht="202.5">
      <c r="A1512" s="48" t="s">
        <v>6277</v>
      </c>
      <c r="B1512" s="9" t="s">
        <v>6149</v>
      </c>
      <c r="C1512" s="12" t="s">
        <v>151</v>
      </c>
      <c r="D1512" s="10" t="s">
        <v>6278</v>
      </c>
      <c r="E1512" s="11" t="s">
        <v>6274</v>
      </c>
      <c r="F1512" s="11" t="s">
        <v>6279</v>
      </c>
      <c r="G1512" s="12">
        <f ca="1">IFERROR(__xludf.DUMMYFUNCTION(" VLOOKUP(A1509, IMPORTRANGE(""https://docs.google.com/spreadsheets/d/1fj_Bhi2XPL3siwIh4sx4VRLAe31yD50oKdj5UlRYW0c/"", ""Сводка!A:AA""), 5, FALSE)"),236)</f>
        <v>236</v>
      </c>
      <c r="H1512" s="12" t="s">
        <v>47</v>
      </c>
      <c r="I1512" s="10">
        <f ca="1">IFERROR(__xludf.DUMMYFUNCTION(" VLOOKUP(A1509, IMPORTRANGE(""https://docs.google.com/spreadsheets/d/1QNLbnkR_AongFt22vMfNzfpjZ0CjpI8QI-w0wBnYA1w/"", ""Инфа!A:AA""), 6, FALSE)"),2024)</f>
        <v>2024</v>
      </c>
      <c r="J1512" s="5">
        <f ca="1">ROUND((5000+G1512*30),-2)</f>
        <v>12100</v>
      </c>
      <c r="K1512" s="12" t="s">
        <v>84</v>
      </c>
      <c r="L1512" s="15" t="s">
        <v>6280</v>
      </c>
    </row>
    <row r="1513" spans="1:12" ht="112.5">
      <c r="A1513" s="48" t="s">
        <v>6281</v>
      </c>
      <c r="B1513" s="9" t="s">
        <v>6149</v>
      </c>
      <c r="C1513" s="12" t="s">
        <v>443</v>
      </c>
      <c r="D1513" s="10" t="s">
        <v>6282</v>
      </c>
      <c r="E1513" s="11" t="s">
        <v>6274</v>
      </c>
      <c r="F1513" s="11" t="s">
        <v>6283</v>
      </c>
      <c r="G1513" s="12">
        <f ca="1">IFERROR(__xludf.DUMMYFUNCTION(" VLOOKUP(A1510, IMPORTRANGE(""https://docs.google.com/spreadsheets/d/1fj_Bhi2XPL3siwIh4sx4VRLAe31yD50oKdj5UlRYW0c/"", ""Сводка!A:AA""), 5, FALSE)"),236)</f>
        <v>236</v>
      </c>
      <c r="H1513" s="12" t="s">
        <v>511</v>
      </c>
      <c r="I1513" s="10">
        <f ca="1">IFERROR(__xludf.DUMMYFUNCTION(" VLOOKUP(A1510, IMPORTRANGE(""https://docs.google.com/spreadsheets/d/1QNLbnkR_AongFt22vMfNzfpjZ0CjpI8QI-w0wBnYA1w/"", ""Инфа!A:AA""), 6, FALSE)"),2024)</f>
        <v>2024</v>
      </c>
      <c r="J1513" s="5">
        <f ca="1">ROUND((5000+G1513*60),-2)</f>
        <v>19200</v>
      </c>
      <c r="K1513" s="12" t="s">
        <v>84</v>
      </c>
      <c r="L1513" s="15" t="s">
        <v>6284</v>
      </c>
    </row>
    <row r="1514" spans="1:12" ht="191.25">
      <c r="A1514" s="48" t="s">
        <v>6285</v>
      </c>
      <c r="B1514" s="9" t="s">
        <v>6149</v>
      </c>
      <c r="C1514" s="12" t="s">
        <v>443</v>
      </c>
      <c r="D1514" s="10" t="s">
        <v>6286</v>
      </c>
      <c r="E1514" s="11" t="s">
        <v>6287</v>
      </c>
      <c r="F1514" s="11" t="s">
        <v>6288</v>
      </c>
      <c r="G1514" s="12">
        <f ca="1">IFERROR(__xludf.DUMMYFUNCTION(" VLOOKUP(A1511, IMPORTRANGE(""https://docs.google.com/spreadsheets/d/1fj_Bhi2XPL3siwIh4sx4VRLAe31yD50oKdj5UlRYW0c/"", ""Сводка!A:AA""), 5, FALSE)"),120)</f>
        <v>120</v>
      </c>
      <c r="H1514" s="12" t="s">
        <v>511</v>
      </c>
      <c r="I1514" s="10">
        <f ca="1">IFERROR(__xludf.DUMMYFUNCTION(" VLOOKUP(A1511, IMPORTRANGE(""https://docs.google.com/spreadsheets/d/1QNLbnkR_AongFt22vMfNzfpjZ0CjpI8QI-w0wBnYA1w/"", ""Инфа!A:AA""), 6, FALSE)"),2024)</f>
        <v>2024</v>
      </c>
      <c r="J1514" s="5">
        <f ca="1">ROUND((5000+G1514*60),-2)</f>
        <v>12200</v>
      </c>
      <c r="K1514" s="12" t="s">
        <v>84</v>
      </c>
      <c r="L1514" s="15" t="s">
        <v>6289</v>
      </c>
    </row>
    <row r="1515" spans="1:12" ht="236.25">
      <c r="A1515" s="48" t="s">
        <v>6290</v>
      </c>
      <c r="B1515" s="12" t="s">
        <v>12</v>
      </c>
      <c r="C1515" s="12" t="s">
        <v>443</v>
      </c>
      <c r="D1515" s="10" t="s">
        <v>6291</v>
      </c>
      <c r="E1515" s="11" t="s">
        <v>6202</v>
      </c>
      <c r="F1515" s="11" t="s">
        <v>6292</v>
      </c>
      <c r="G1515" s="12">
        <f ca="1">IFERROR(__xludf.DUMMYFUNCTION(" VLOOKUP(A1512, IMPORTRANGE(""https://docs.google.com/spreadsheets/d/1fj_Bhi2XPL3siwIh4sx4VRLAe31yD50oKdj5UlRYW0c/"", ""Сводка!A:AA""), 5, FALSE)"),260)</f>
        <v>260</v>
      </c>
      <c r="H1515" s="12" t="s">
        <v>538</v>
      </c>
      <c r="I1515" s="10">
        <f ca="1">IFERROR(__xludf.DUMMYFUNCTION(" VLOOKUP(A1512, IMPORTRANGE(""https://docs.google.com/spreadsheets/d/1QNLbnkR_AongFt22vMfNzfpjZ0CjpI8QI-w0wBnYA1w/"", ""Инфа!A:AA""), 6, FALSE)"),2024)</f>
        <v>2024</v>
      </c>
      <c r="J1515" s="5">
        <f ca="1">ROUND((5000+G1515*60),-2)</f>
        <v>20600</v>
      </c>
      <c r="K1515" s="12" t="s">
        <v>69</v>
      </c>
      <c r="L1515" s="15" t="s">
        <v>6293</v>
      </c>
    </row>
    <row r="1516" spans="1:12" ht="90">
      <c r="A1516" s="48" t="s">
        <v>6294</v>
      </c>
      <c r="B1516" s="12" t="s">
        <v>12</v>
      </c>
      <c r="C1516" s="12" t="s">
        <v>443</v>
      </c>
      <c r="D1516" s="10" t="str">
        <f ca="1">IFERROR(__xludf.DUMMYFUNCTION(" VLOOKUP(A1513, IMPORTRANGE(""https://docs.google.com/spreadsheets/d/1fj_Bhi2XPL3siwIh4sx4VRLAe31yD50oKdj5UlRYW0c/"", ""Сводка!A:AA""), 11, FALSE)"),"")</f>
        <v/>
      </c>
      <c r="E1516" s="11" t="s">
        <v>6202</v>
      </c>
      <c r="F1516" s="11" t="s">
        <v>6295</v>
      </c>
      <c r="G1516" s="12">
        <f ca="1">IFERROR(__xludf.DUMMYFUNCTION(" VLOOKUP(A1513, IMPORTRANGE(""https://docs.google.com/spreadsheets/d/1fj_Bhi2XPL3siwIh4sx4VRLAe31yD50oKdj5UlRYW0c/"", ""Сводка!A:AA""), 5, FALSE)"),140)</f>
        <v>140</v>
      </c>
      <c r="H1516" s="12" t="s">
        <v>6296</v>
      </c>
      <c r="I1516" s="10">
        <f ca="1">IFERROR(__xludf.DUMMYFUNCTION(" VLOOKUP(A1513, IMPORTRANGE(""https://docs.google.com/spreadsheets/d/1QNLbnkR_AongFt22vMfNzfpjZ0CjpI8QI-w0wBnYA1w/"", ""Инфа!A:AA""), 6, FALSE)"),2024)</f>
        <v>2024</v>
      </c>
      <c r="J1516" s="5">
        <f ca="1">ROUND((5000+G1516*60),-2)</f>
        <v>13400</v>
      </c>
      <c r="K1516" s="12" t="s">
        <v>69</v>
      </c>
      <c r="L1516" s="15" t="s">
        <v>6297</v>
      </c>
    </row>
    <row r="1517" spans="1:12" ht="315">
      <c r="A1517" s="48" t="s">
        <v>6298</v>
      </c>
      <c r="B1517" s="12" t="s">
        <v>12</v>
      </c>
      <c r="C1517" s="12" t="s">
        <v>151</v>
      </c>
      <c r="D1517" s="10" t="str">
        <f ca="1">IFERROR(__xludf.DUMMYFUNCTION(" VLOOKUP(A1514, IMPORTRANGE(""https://docs.google.com/spreadsheets/d/1fj_Bhi2XPL3siwIh4sx4VRLAe31yD50oKdj5UlRYW0c/"", ""Сводка!A:AA""), 11, FALSE)"),"978-601-215-031-5")</f>
        <v>978-601-215-031-5</v>
      </c>
      <c r="E1517" s="45" t="s">
        <v>6299</v>
      </c>
      <c r="F1517" s="45" t="s">
        <v>6300</v>
      </c>
      <c r="G1517" s="12">
        <f ca="1">IFERROR(__xludf.DUMMYFUNCTION(" VLOOKUP(A1514, IMPORTRANGE(""https://docs.google.com/spreadsheets/d/1fj_Bhi2XPL3siwIh4sx4VRLAe31yD50oKdj5UlRYW0c/"", ""Сводка!A:AA""), 5, FALSE)"),188)</f>
        <v>188</v>
      </c>
      <c r="H1517" s="12" t="s">
        <v>498</v>
      </c>
      <c r="I1517" s="10">
        <f ca="1">IFERROR(__xludf.DUMMYFUNCTION(" VLOOKUP(A1514, IMPORTRANGE(""https://docs.google.com/spreadsheets/d/1QNLbnkR_AongFt22vMfNzfpjZ0CjpI8QI-w0wBnYA1w/"", ""Инфа!A:AA""), 6, FALSE)"),2024)</f>
        <v>2024</v>
      </c>
      <c r="J1517" s="5">
        <f ca="1">ROUND((5000+G1517*30),-2)</f>
        <v>10600</v>
      </c>
      <c r="K1517" s="12" t="s">
        <v>160</v>
      </c>
      <c r="L1517" s="16" t="s">
        <v>6301</v>
      </c>
    </row>
    <row r="1518" spans="1:12" ht="146.25">
      <c r="A1518" s="48" t="s">
        <v>6302</v>
      </c>
      <c r="B1518" s="12" t="s">
        <v>12</v>
      </c>
      <c r="C1518" s="12" t="s">
        <v>151</v>
      </c>
      <c r="D1518" s="10" t="str">
        <f ca="1">IFERROR(__xludf.DUMMYFUNCTION(" VLOOKUP(A1515, IMPORTRANGE(""https://docs.google.com/spreadsheets/d/1fj_Bhi2XPL3siwIh4sx4VRLAe31yD50oKdj5UlRYW0c/"", ""Сводка!A:AA""), 11, FALSE)"),"978-601-215-046-9")</f>
        <v>978-601-215-046-9</v>
      </c>
      <c r="E1518" s="45" t="s">
        <v>6303</v>
      </c>
      <c r="F1518" s="45" t="s">
        <v>6304</v>
      </c>
      <c r="G1518" s="12">
        <f ca="1">IFERROR(__xludf.DUMMYFUNCTION(" VLOOKUP(A1515, IMPORTRANGE(""https://docs.google.com/spreadsheets/d/1fj_Bhi2XPL3siwIh4sx4VRLAe31yD50oKdj5UlRYW0c/"", ""Сводка!A:AA""), 5, FALSE)"),96)</f>
        <v>96</v>
      </c>
      <c r="H1518" s="12" t="s">
        <v>498</v>
      </c>
      <c r="I1518" s="10">
        <f ca="1">IFERROR(__xludf.DUMMYFUNCTION(" VLOOKUP(A1515, IMPORTRANGE(""https://docs.google.com/spreadsheets/d/1QNLbnkR_AongFt22vMfNzfpjZ0CjpI8QI-w0wBnYA1w/"", ""Инфа!A:AA""), 6, FALSE)"),2024)</f>
        <v>2024</v>
      </c>
      <c r="J1518" s="5">
        <f ca="1">ROUND((5000+G1518*30),-2)</f>
        <v>7900</v>
      </c>
      <c r="K1518" s="12" t="s">
        <v>160</v>
      </c>
      <c r="L1518" s="16" t="s">
        <v>6305</v>
      </c>
    </row>
    <row r="1519" spans="1:12" ht="202.5">
      <c r="A1519" s="48" t="s">
        <v>6306</v>
      </c>
      <c r="B1519" s="12" t="s">
        <v>12</v>
      </c>
      <c r="C1519" s="12" t="s">
        <v>443</v>
      </c>
      <c r="D1519" s="10" t="str">
        <f ca="1">IFERROR(__xludf.DUMMYFUNCTION(" VLOOKUP(A1516, IMPORTRANGE(""https://docs.google.com/spreadsheets/d/1fj_Bhi2XPL3siwIh4sx4VRLAe31yD50oKdj5UlRYW0c/"", ""Сводка!A:AA""), 11, FALSE)"),"978-601-330-660-5")</f>
        <v>978-601-330-660-5</v>
      </c>
      <c r="E1519" s="45" t="s">
        <v>6307</v>
      </c>
      <c r="F1519" s="45" t="s">
        <v>6308</v>
      </c>
      <c r="G1519" s="12">
        <f ca="1">IFERROR(__xludf.DUMMYFUNCTION(" VLOOKUP(A1516, IMPORTRANGE(""https://docs.google.com/spreadsheets/d/1fj_Bhi2XPL3siwIh4sx4VRLAe31yD50oKdj5UlRYW0c/"", ""Сводка!A:AA""), 5, FALSE)"),328)</f>
        <v>328</v>
      </c>
      <c r="H1519" s="12" t="s">
        <v>106</v>
      </c>
      <c r="I1519" s="10">
        <f ca="1">IFERROR(__xludf.DUMMYFUNCTION(" VLOOKUP(A1516, IMPORTRANGE(""https://docs.google.com/spreadsheets/d/1QNLbnkR_AongFt22vMfNzfpjZ0CjpI8QI-w0wBnYA1w/"", ""Инфа!A:AA""), 6, FALSE)"),2024)</f>
        <v>2024</v>
      </c>
      <c r="J1519" s="5">
        <f ca="1">ROUND((5000+G1519*30),-2)</f>
        <v>14800</v>
      </c>
      <c r="K1519" s="12" t="s">
        <v>160</v>
      </c>
      <c r="L1519" s="16" t="s">
        <v>6309</v>
      </c>
    </row>
    <row r="1520" spans="1:12" ht="326.25">
      <c r="A1520" s="48" t="s">
        <v>6310</v>
      </c>
      <c r="B1520" s="12" t="s">
        <v>12</v>
      </c>
      <c r="C1520" s="12" t="s">
        <v>151</v>
      </c>
      <c r="D1520" s="12" t="s">
        <v>6311</v>
      </c>
      <c r="E1520" s="11" t="s">
        <v>6312</v>
      </c>
      <c r="F1520" s="11" t="s">
        <v>6313</v>
      </c>
      <c r="G1520" s="12">
        <f ca="1">IFERROR(__xludf.DUMMYFUNCTION(" VLOOKUP(A1517, IMPORTRANGE(""https://docs.google.com/spreadsheets/d/1fj_Bhi2XPL3siwIh4sx4VRLAe31yD50oKdj5UlRYW0c/"", ""Сводка!A:AA""), 5, FALSE)"),168)</f>
        <v>168</v>
      </c>
      <c r="H1520" s="12" t="s">
        <v>165</v>
      </c>
      <c r="I1520" s="10">
        <f ca="1">IFERROR(__xludf.DUMMYFUNCTION(" VLOOKUP(A1517, IMPORTRANGE(""https://docs.google.com/spreadsheets/d/1QNLbnkR_AongFt22vMfNzfpjZ0CjpI8QI-w0wBnYA1w/"", ""Инфа!A:AA""), 6, FALSE)"),2024)</f>
        <v>2024</v>
      </c>
      <c r="J1520" s="5">
        <f ca="1">ROUND((5000+G1520*30),-2)</f>
        <v>10000</v>
      </c>
      <c r="K1520" s="12" t="s">
        <v>6314</v>
      </c>
      <c r="L1520" s="15" t="s">
        <v>6315</v>
      </c>
    </row>
    <row r="1521" spans="1:12" ht="303.75">
      <c r="A1521" s="48" t="s">
        <v>6316</v>
      </c>
      <c r="B1521" s="12" t="s">
        <v>12</v>
      </c>
      <c r="C1521" s="12" t="s">
        <v>151</v>
      </c>
      <c r="D1521" s="12" t="s">
        <v>6317</v>
      </c>
      <c r="E1521" s="11" t="s">
        <v>6312</v>
      </c>
      <c r="F1521" s="11" t="s">
        <v>6318</v>
      </c>
      <c r="G1521" s="12">
        <f ca="1">IFERROR(__xludf.DUMMYFUNCTION(" VLOOKUP(A1518, IMPORTRANGE(""https://docs.google.com/spreadsheets/d/1fj_Bhi2XPL3siwIh4sx4VRLAe31yD50oKdj5UlRYW0c/"", ""Сводка!A:AA""), 5, FALSE)"),100)</f>
        <v>100</v>
      </c>
      <c r="H1521" s="12" t="s">
        <v>6319</v>
      </c>
      <c r="I1521" s="10">
        <f ca="1">IFERROR(__xludf.DUMMYFUNCTION(" VLOOKUP(A1518, IMPORTRANGE(""https://docs.google.com/spreadsheets/d/1QNLbnkR_AongFt22vMfNzfpjZ0CjpI8QI-w0wBnYA1w/"", ""Инфа!A:AA""), 6, FALSE)"),2024)</f>
        <v>2024</v>
      </c>
      <c r="J1521" s="5">
        <f ca="1">ROUND((5000+G1521*30),-2)</f>
        <v>8000</v>
      </c>
      <c r="K1521" s="12" t="s">
        <v>6314</v>
      </c>
      <c r="L1521" s="15" t="s">
        <v>6320</v>
      </c>
    </row>
    <row r="1522" spans="1:12" ht="146.25">
      <c r="A1522" s="48" t="s">
        <v>6321</v>
      </c>
      <c r="B1522" s="12" t="s">
        <v>12</v>
      </c>
      <c r="C1522" s="12" t="s">
        <v>443</v>
      </c>
      <c r="D1522" s="12" t="s">
        <v>4841</v>
      </c>
      <c r="E1522" s="11" t="s">
        <v>6322</v>
      </c>
      <c r="F1522" s="11" t="s">
        <v>6323</v>
      </c>
      <c r="G1522" s="12">
        <f ca="1">IFERROR(__xludf.DUMMYFUNCTION(" VLOOKUP(A1519, IMPORTRANGE(""https://docs.google.com/spreadsheets/d/1fj_Bhi2XPL3siwIh4sx4VRLAe31yD50oKdj5UlRYW0c/"", ""Сводка!A:AA""), 5, FALSE)"),88)</f>
        <v>88</v>
      </c>
      <c r="H1522" s="12" t="s">
        <v>6324</v>
      </c>
      <c r="I1522" s="10">
        <f ca="1">IFERROR(__xludf.DUMMYFUNCTION(" VLOOKUP(A1519, IMPORTRANGE(""https://docs.google.com/spreadsheets/d/1QNLbnkR_AongFt22vMfNzfpjZ0CjpI8QI-w0wBnYA1w/"", ""Инфа!A:AA""), 6, FALSE)"),2024)</f>
        <v>2024</v>
      </c>
      <c r="J1522" s="5">
        <f ca="1">ROUND((5000+G1522*60),-2)</f>
        <v>10300</v>
      </c>
      <c r="K1522" s="12" t="s">
        <v>2185</v>
      </c>
      <c r="L1522" s="15" t="s">
        <v>6325</v>
      </c>
    </row>
    <row r="1523" spans="1:12" ht="168.75">
      <c r="A1523" s="48" t="s">
        <v>6326</v>
      </c>
      <c r="B1523" s="12" t="s">
        <v>12</v>
      </c>
      <c r="C1523" s="12" t="s">
        <v>21</v>
      </c>
      <c r="D1523" s="10" t="str">
        <f ca="1">IFERROR(__xludf.DUMMYFUNCTION(" VLOOKUP(A1520, IMPORTRANGE(""https://docs.google.com/spreadsheets/d/1fj_Bhi2XPL3siwIh4sx4VRLAe31yD50oKdj5UlRYW0c/"", ""Сводка!A:AA""), 11, FALSE)"),"")</f>
        <v/>
      </c>
      <c r="E1523" s="11" t="s">
        <v>6327</v>
      </c>
      <c r="F1523" s="11" t="s">
        <v>6328</v>
      </c>
      <c r="G1523" s="12">
        <f ca="1">IFERROR(__xludf.DUMMYFUNCTION(" VLOOKUP(A1520, IMPORTRANGE(""https://docs.google.com/spreadsheets/d/1fj_Bhi2XPL3siwIh4sx4VRLAe31yD50oKdj5UlRYW0c/"", ""Сводка!A:AA""), 5, FALSE)"),143)</f>
        <v>143</v>
      </c>
      <c r="H1523" s="12" t="s">
        <v>106</v>
      </c>
      <c r="I1523" s="10">
        <f ca="1">IFERROR(__xludf.DUMMYFUNCTION(" VLOOKUP(A1520, IMPORTRANGE(""https://docs.google.com/spreadsheets/d/1QNLbnkR_AongFt22vMfNzfpjZ0CjpI8QI-w0wBnYA1w/"", ""Инфа!A:AA""), 6, FALSE)"),2024)</f>
        <v>2024</v>
      </c>
      <c r="J1523" s="5">
        <f ca="1">ROUND((5000+G1523*60),-2)</f>
        <v>13600</v>
      </c>
      <c r="K1523" s="12" t="s">
        <v>6314</v>
      </c>
      <c r="L1523" s="15" t="s">
        <v>6329</v>
      </c>
    </row>
    <row r="1524" spans="1:12" ht="146.25">
      <c r="A1524" s="48" t="s">
        <v>6330</v>
      </c>
      <c r="B1524" s="12" t="s">
        <v>12</v>
      </c>
      <c r="C1524" s="12" t="s">
        <v>443</v>
      </c>
      <c r="D1524" s="10" t="str">
        <f ca="1">IFERROR(__xludf.DUMMYFUNCTION(" VLOOKUP(A1521, IMPORTRANGE(""https://docs.google.com/spreadsheets/d/1fj_Bhi2XPL3siwIh4sx4VRLAe31yD50oKdj5UlRYW0c/"", ""Сводка!A:AA""), 11, FALSE)"),"")</f>
        <v/>
      </c>
      <c r="E1524" s="11" t="s">
        <v>6331</v>
      </c>
      <c r="F1524" s="11" t="s">
        <v>6332</v>
      </c>
      <c r="G1524" s="12">
        <f ca="1">IFERROR(__xludf.DUMMYFUNCTION(" VLOOKUP(A1521, IMPORTRANGE(""https://docs.google.com/spreadsheets/d/1fj_Bhi2XPL3siwIh4sx4VRLAe31yD50oKdj5UlRYW0c/"", ""Сводка!A:AA""), 5, FALSE)"),164)</f>
        <v>164</v>
      </c>
      <c r="H1524" s="12" t="s">
        <v>538</v>
      </c>
      <c r="I1524" s="10">
        <f ca="1">IFERROR(__xludf.DUMMYFUNCTION(" VLOOKUP(A1521, IMPORTRANGE(""https://docs.google.com/spreadsheets/d/1QNLbnkR_AongFt22vMfNzfpjZ0CjpI8QI-w0wBnYA1w/"", ""Инфа!A:AA""), 6, FALSE)"),2024)</f>
        <v>2024</v>
      </c>
      <c r="J1524" s="5">
        <f ca="1">ROUND((5000+G1524*60),-2)</f>
        <v>14800</v>
      </c>
      <c r="K1524" s="12" t="s">
        <v>2003</v>
      </c>
      <c r="L1524" s="15" t="s">
        <v>6333</v>
      </c>
    </row>
    <row r="1525" spans="1:12" ht="146.25">
      <c r="A1525" s="48" t="s">
        <v>6334</v>
      </c>
      <c r="B1525" s="12" t="s">
        <v>12</v>
      </c>
      <c r="C1525" s="12" t="s">
        <v>443</v>
      </c>
      <c r="D1525" s="10" t="str">
        <f ca="1">IFERROR(__xludf.DUMMYFUNCTION(" VLOOKUP(A1522, IMPORTRANGE(""https://docs.google.com/spreadsheets/d/1fj_Bhi2XPL3siwIh4sx4VRLAe31yD50oKdj5UlRYW0c/"", ""Сводка!A:AA""), 11, FALSE)"),"")</f>
        <v/>
      </c>
      <c r="E1525" s="11" t="s">
        <v>6335</v>
      </c>
      <c r="F1525" s="11" t="s">
        <v>6336</v>
      </c>
      <c r="G1525" s="12">
        <f ca="1">IFERROR(__xludf.DUMMYFUNCTION(" VLOOKUP(A1522, IMPORTRANGE(""https://docs.google.com/spreadsheets/d/1fj_Bhi2XPL3siwIh4sx4VRLAe31yD50oKdj5UlRYW0c/"", ""Сводка!A:AA""), 5, FALSE)"),332)</f>
        <v>332</v>
      </c>
      <c r="H1525" s="12" t="s">
        <v>511</v>
      </c>
      <c r="I1525" s="10">
        <f ca="1">IFERROR(__xludf.DUMMYFUNCTION(" VLOOKUP(A1522, IMPORTRANGE(""https://docs.google.com/spreadsheets/d/1QNLbnkR_AongFt22vMfNzfpjZ0CjpI8QI-w0wBnYA1w/"", ""Инфа!A:AA""), 6, FALSE)"),2024)</f>
        <v>2024</v>
      </c>
      <c r="J1525" s="5">
        <f t="shared" ref="J1525:J1530" ca="1" si="52">ROUND((5000+G1525*30),-2)</f>
        <v>15000</v>
      </c>
      <c r="K1525" s="12" t="s">
        <v>2003</v>
      </c>
      <c r="L1525" s="15" t="s">
        <v>6337</v>
      </c>
    </row>
    <row r="1526" spans="1:12" ht="157.5">
      <c r="A1526" s="8" t="s">
        <v>6338</v>
      </c>
      <c r="B1526" s="9" t="s">
        <v>12</v>
      </c>
      <c r="C1526" s="10" t="s">
        <v>443</v>
      </c>
      <c r="D1526" s="10" t="str">
        <f ca="1">IFERROR(__xludf.DUMMYFUNCTION(" VLOOKUP(A1523, IMPORTRANGE(""https://docs.google.com/spreadsheets/d/1fj_Bhi2XPL3siwIh4sx4VRLAe31yD50oKdj5UlRYW0c/"", ""Сводка!A:AA""), 11, FALSE)"),"978-601-327-199-6")</f>
        <v>978-601-327-199-6</v>
      </c>
      <c r="E1526" s="11" t="s">
        <v>6339</v>
      </c>
      <c r="F1526" s="11" t="s">
        <v>6340</v>
      </c>
      <c r="G1526" s="12">
        <f ca="1">IFERROR(__xludf.DUMMYFUNCTION(" VLOOKUP(A1523, IMPORTRANGE(""https://docs.google.com/spreadsheets/d/1fj_Bhi2XPL3siwIh4sx4VRLAe31yD50oKdj5UlRYW0c/"", ""Сводка!A:AA""), 5, FALSE)"),88)</f>
        <v>88</v>
      </c>
      <c r="H1526" s="12" t="s">
        <v>538</v>
      </c>
      <c r="I1526" s="10">
        <f ca="1">IFERROR(__xludf.DUMMYFUNCTION(" VLOOKUP(A1523, IMPORTRANGE(""https://docs.google.com/spreadsheets/d/1QNLbnkR_AongFt22vMfNzfpjZ0CjpI8QI-w0wBnYA1w/"", ""Инфа!A:AA""), 6, FALSE)"),2024)</f>
        <v>2024</v>
      </c>
      <c r="J1526" s="5">
        <f t="shared" ca="1" si="52"/>
        <v>7600</v>
      </c>
      <c r="K1526" s="12" t="s">
        <v>287</v>
      </c>
      <c r="L1526" s="15" t="s">
        <v>6341</v>
      </c>
    </row>
    <row r="1527" spans="1:12" ht="146.25">
      <c r="A1527" s="48" t="s">
        <v>6342</v>
      </c>
      <c r="B1527" s="12" t="s">
        <v>12</v>
      </c>
      <c r="C1527" s="12" t="s">
        <v>443</v>
      </c>
      <c r="D1527" s="12" t="s">
        <v>6343</v>
      </c>
      <c r="E1527" s="11" t="s">
        <v>6344</v>
      </c>
      <c r="F1527" s="11" t="s">
        <v>6345</v>
      </c>
      <c r="G1527" s="12">
        <f ca="1">IFERROR(__xludf.DUMMYFUNCTION(" VLOOKUP(A1524, IMPORTRANGE(""https://docs.google.com/spreadsheets/d/1fj_Bhi2XPL3siwIh4sx4VRLAe31yD50oKdj5UlRYW0c/"", ""Сводка!A:AA""), 5, FALSE)"),188)</f>
        <v>188</v>
      </c>
      <c r="H1527" s="12" t="s">
        <v>538</v>
      </c>
      <c r="I1527" s="10">
        <f ca="1">IFERROR(__xludf.DUMMYFUNCTION(" VLOOKUP(A1524, IMPORTRANGE(""https://docs.google.com/spreadsheets/d/1QNLbnkR_AongFt22vMfNzfpjZ0CjpI8QI-w0wBnYA1w/"", ""Инфа!A:AA""), 6, FALSE)"),2024)</f>
        <v>2024</v>
      </c>
      <c r="J1527" s="5">
        <f t="shared" ca="1" si="52"/>
        <v>10600</v>
      </c>
      <c r="K1527" s="12" t="s">
        <v>257</v>
      </c>
      <c r="L1527" s="15" t="s">
        <v>6346</v>
      </c>
    </row>
    <row r="1528" spans="1:12" ht="247.5">
      <c r="A1528" s="48" t="s">
        <v>6347</v>
      </c>
      <c r="B1528" s="12" t="s">
        <v>12</v>
      </c>
      <c r="C1528" s="12" t="s">
        <v>151</v>
      </c>
      <c r="D1528" s="12" t="s">
        <v>6348</v>
      </c>
      <c r="E1528" s="11" t="s">
        <v>6349</v>
      </c>
      <c r="F1528" s="11" t="s">
        <v>6350</v>
      </c>
      <c r="G1528" s="12">
        <f ca="1">IFERROR(__xludf.DUMMYFUNCTION(" VLOOKUP(A1525, IMPORTRANGE(""https://docs.google.com/spreadsheets/d/1fj_Bhi2XPL3siwIh4sx4VRLAe31yD50oKdj5UlRYW0c/"", ""Сводка!A:AA""), 5, FALSE)"),180)</f>
        <v>180</v>
      </c>
      <c r="H1528" s="12" t="s">
        <v>282</v>
      </c>
      <c r="I1528" s="10">
        <f ca="1">IFERROR(__xludf.DUMMYFUNCTION(" VLOOKUP(A1525, IMPORTRANGE(""https://docs.google.com/spreadsheets/d/1QNLbnkR_AongFt22vMfNzfpjZ0CjpI8QI-w0wBnYA1w/"", ""Инфа!A:AA""), 6, FALSE)"),2024)</f>
        <v>2024</v>
      </c>
      <c r="J1528" s="5">
        <f t="shared" ca="1" si="52"/>
        <v>10400</v>
      </c>
      <c r="K1528" s="12" t="s">
        <v>6314</v>
      </c>
      <c r="L1528" s="15" t="s">
        <v>6351</v>
      </c>
    </row>
    <row r="1529" spans="1:12" ht="67.5">
      <c r="A1529" s="48" t="s">
        <v>6352</v>
      </c>
      <c r="B1529" s="12" t="s">
        <v>12</v>
      </c>
      <c r="C1529" s="12" t="s">
        <v>443</v>
      </c>
      <c r="D1529" s="10" t="str">
        <f ca="1">IFERROR(__xludf.DUMMYFUNCTION(" VLOOKUP(A1526, IMPORTRANGE(""https://docs.google.com/spreadsheets/d/1fj_Bhi2XPL3siwIh4sx4VRLAe31yD50oKdj5UlRYW0c/"", ""Сводка!A:AA""), 11, FALSE)"),"978-601-7816-48-7")</f>
        <v>978-601-7816-48-7</v>
      </c>
      <c r="E1529" s="45" t="s">
        <v>6353</v>
      </c>
      <c r="F1529" s="45" t="s">
        <v>6354</v>
      </c>
      <c r="G1529" s="12">
        <f ca="1">IFERROR(__xludf.DUMMYFUNCTION(" VLOOKUP(A1526, IMPORTRANGE(""https://docs.google.com/spreadsheets/d/1fj_Bhi2XPL3siwIh4sx4VRLAe31yD50oKdj5UlRYW0c/"", ""Сводка!A:AA""), 5, FALSE)"),104)</f>
        <v>104</v>
      </c>
      <c r="H1529" s="12" t="s">
        <v>538</v>
      </c>
      <c r="I1529" s="10">
        <f ca="1">IFERROR(__xludf.DUMMYFUNCTION(" VLOOKUP(A1526, IMPORTRANGE(""https://docs.google.com/spreadsheets/d/1QNLbnkR_AongFt22vMfNzfpjZ0CjpI8QI-w0wBnYA1w/"", ""Инфа!A:AA""), 6, FALSE)"),2024)</f>
        <v>2024</v>
      </c>
      <c r="J1529" s="5">
        <f t="shared" ca="1" si="52"/>
        <v>8100</v>
      </c>
      <c r="K1529" s="12" t="s">
        <v>6355</v>
      </c>
      <c r="L1529" s="15" t="s">
        <v>6356</v>
      </c>
    </row>
    <row r="1530" spans="1:12" ht="303.75">
      <c r="A1530" s="48" t="s">
        <v>6357</v>
      </c>
      <c r="B1530" s="12" t="s">
        <v>12</v>
      </c>
      <c r="C1530" s="12" t="s">
        <v>151</v>
      </c>
      <c r="D1530" s="12" t="s">
        <v>6358</v>
      </c>
      <c r="E1530" s="11" t="s">
        <v>6359</v>
      </c>
      <c r="F1530" s="45" t="s">
        <v>6360</v>
      </c>
      <c r="G1530" s="12">
        <f ca="1">IFERROR(__xludf.DUMMYFUNCTION(" VLOOKUP(A1527, IMPORTRANGE(""https://docs.google.com/spreadsheets/d/1fj_Bhi2XPL3siwIh4sx4VRLAe31yD50oKdj5UlRYW0c/"", ""Сводка!A:AA""), 5, FALSE)"),104)</f>
        <v>104</v>
      </c>
      <c r="H1530" s="12" t="s">
        <v>6361</v>
      </c>
      <c r="I1530" s="10">
        <f ca="1">IFERROR(__xludf.DUMMYFUNCTION(" VLOOKUP(A1527, IMPORTRANGE(""https://docs.google.com/spreadsheets/d/1QNLbnkR_AongFt22vMfNzfpjZ0CjpI8QI-w0wBnYA1w/"", ""Инфа!A:AA""), 6, FALSE)"),2024)</f>
        <v>2024</v>
      </c>
      <c r="J1530" s="5">
        <f t="shared" ca="1" si="52"/>
        <v>8100</v>
      </c>
      <c r="K1530" s="12" t="s">
        <v>2901</v>
      </c>
      <c r="L1530" s="15" t="s">
        <v>6362</v>
      </c>
    </row>
    <row r="1531" spans="1:12" ht="146.25">
      <c r="A1531" s="48" t="s">
        <v>6363</v>
      </c>
      <c r="B1531" s="12" t="s">
        <v>12</v>
      </c>
      <c r="C1531" s="12" t="s">
        <v>151</v>
      </c>
      <c r="D1531" s="12" t="s">
        <v>6364</v>
      </c>
      <c r="E1531" s="11" t="s">
        <v>6365</v>
      </c>
      <c r="F1531" s="11" t="s">
        <v>6366</v>
      </c>
      <c r="G1531" s="12">
        <f ca="1">IFERROR(__xludf.DUMMYFUNCTION(" VLOOKUP(A1528, IMPORTRANGE(""https://docs.google.com/spreadsheets/d/1fj_Bhi2XPL3siwIh4sx4VRLAe31yD50oKdj5UlRYW0c/"", ""Сводка!A:AA""), 5, FALSE)"),187)</f>
        <v>187</v>
      </c>
      <c r="H1531" s="12" t="s">
        <v>6367</v>
      </c>
      <c r="I1531" s="10">
        <f ca="1">IFERROR(__xludf.DUMMYFUNCTION(" VLOOKUP(A1528, IMPORTRANGE(""https://docs.google.com/spreadsheets/d/1QNLbnkR_AongFt22vMfNzfpjZ0CjpI8QI-w0wBnYA1w/"", ""Инфа!A:AA""), 6, FALSE)"),2024)</f>
        <v>2024</v>
      </c>
      <c r="J1531" s="5">
        <f ca="1">ROUND((5000+G1531*60),-2)</f>
        <v>16200</v>
      </c>
      <c r="K1531" s="12" t="s">
        <v>257</v>
      </c>
      <c r="L1531" s="15" t="s">
        <v>6368</v>
      </c>
    </row>
    <row r="1532" spans="1:12" ht="112.5">
      <c r="A1532" s="48" t="s">
        <v>6369</v>
      </c>
      <c r="B1532" s="12" t="s">
        <v>12</v>
      </c>
      <c r="C1532" s="12" t="s">
        <v>151</v>
      </c>
      <c r="D1532" s="12" t="s">
        <v>6370</v>
      </c>
      <c r="E1532" s="11" t="s">
        <v>6353</v>
      </c>
      <c r="F1532" s="11" t="s">
        <v>6371</v>
      </c>
      <c r="G1532" s="12">
        <f ca="1">IFERROR(__xludf.DUMMYFUNCTION(" VLOOKUP(A1529, IMPORTRANGE(""https://docs.google.com/spreadsheets/d/1fj_Bhi2XPL3siwIh4sx4VRLAe31yD50oKdj5UlRYW0c/"", ""Сводка!A:AA""), 5, FALSE)"),148)</f>
        <v>148</v>
      </c>
      <c r="H1532" s="12" t="s">
        <v>106</v>
      </c>
      <c r="I1532" s="10">
        <f ca="1">IFERROR(__xludf.DUMMYFUNCTION(" VLOOKUP(A1529, IMPORTRANGE(""https://docs.google.com/spreadsheets/d/1QNLbnkR_AongFt22vMfNzfpjZ0CjpI8QI-w0wBnYA1w/"", ""Инфа!A:AA""), 6, FALSE)"),2024)</f>
        <v>2024</v>
      </c>
      <c r="J1532" s="5">
        <f ca="1">ROUND((5000+G1532*30),-2)</f>
        <v>9400</v>
      </c>
      <c r="K1532" s="12" t="s">
        <v>6355</v>
      </c>
      <c r="L1532" s="15" t="s">
        <v>6372</v>
      </c>
    </row>
    <row r="1533" spans="1:12" ht="191.25">
      <c r="A1533" s="48" t="s">
        <v>6373</v>
      </c>
      <c r="B1533" s="12" t="s">
        <v>12</v>
      </c>
      <c r="C1533" s="12" t="s">
        <v>443</v>
      </c>
      <c r="D1533" s="12" t="s">
        <v>6374</v>
      </c>
      <c r="E1533" s="11" t="s">
        <v>6375</v>
      </c>
      <c r="F1533" s="11" t="s">
        <v>6376</v>
      </c>
      <c r="G1533" s="12">
        <f ca="1">IFERROR(__xludf.DUMMYFUNCTION(" VLOOKUP(A1530, IMPORTRANGE(""https://docs.google.com/spreadsheets/d/1fj_Bhi2XPL3siwIh4sx4VRLAe31yD50oKdj5UlRYW0c/"", ""Сводка!A:AA""), 5, FALSE)"),204)</f>
        <v>204</v>
      </c>
      <c r="H1533" s="12" t="s">
        <v>106</v>
      </c>
      <c r="I1533" s="10">
        <f ca="1">IFERROR(__xludf.DUMMYFUNCTION(" VLOOKUP(A1530, IMPORTRANGE(""https://docs.google.com/spreadsheets/d/1QNLbnkR_AongFt22vMfNzfpjZ0CjpI8QI-w0wBnYA1w/"", ""Инфа!A:AA""), 6, FALSE)"),2024)</f>
        <v>2024</v>
      </c>
      <c r="J1533" s="5">
        <f ca="1">ROUND((5000+G1533*30),-2)</f>
        <v>11100</v>
      </c>
      <c r="K1533" s="12" t="s">
        <v>26</v>
      </c>
      <c r="L1533" s="15" t="s">
        <v>6377</v>
      </c>
    </row>
    <row r="1534" spans="1:12" ht="90">
      <c r="A1534" s="48" t="s">
        <v>6378</v>
      </c>
      <c r="B1534" s="12" t="s">
        <v>12</v>
      </c>
      <c r="C1534" s="12" t="s">
        <v>443</v>
      </c>
      <c r="D1534" s="10" t="s">
        <v>6379</v>
      </c>
      <c r="E1534" s="11" t="s">
        <v>6380</v>
      </c>
      <c r="F1534" s="11" t="s">
        <v>6381</v>
      </c>
      <c r="G1534" s="12">
        <f ca="1">IFERROR(__xludf.DUMMYFUNCTION(" VLOOKUP(A1531, IMPORTRANGE(""https://docs.google.com/spreadsheets/d/1fj_Bhi2XPL3siwIh4sx4VRLAe31yD50oKdj5UlRYW0c/"", ""Сводка!A:AA""), 5, FALSE)"),204)</f>
        <v>204</v>
      </c>
      <c r="H1534" s="12" t="s">
        <v>538</v>
      </c>
      <c r="I1534" s="10">
        <f ca="1">IFERROR(__xludf.DUMMYFUNCTION(" VLOOKUP(A1531, IMPORTRANGE(""https://docs.google.com/spreadsheets/d/1QNLbnkR_AongFt22vMfNzfpjZ0CjpI8QI-w0wBnYA1w/"", ""Инфа!A:AA""), 6, FALSE)"),2024)</f>
        <v>2024</v>
      </c>
      <c r="J1534" s="5">
        <f ca="1">ROUND((5000+G1534*30),-2)</f>
        <v>11100</v>
      </c>
      <c r="K1534" s="12" t="s">
        <v>6382</v>
      </c>
      <c r="L1534" s="15" t="s">
        <v>6383</v>
      </c>
    </row>
    <row r="1535" spans="1:12" ht="135">
      <c r="A1535" s="8" t="s">
        <v>6384</v>
      </c>
      <c r="B1535" s="9" t="s">
        <v>12</v>
      </c>
      <c r="C1535" s="10" t="s">
        <v>2517</v>
      </c>
      <c r="D1535" s="10" t="str">
        <f ca="1">IFERROR(__xludf.DUMMYFUNCTION(" VLOOKUP(A1532, IMPORTRANGE(""https://docs.google.com/spreadsheets/d/1fj_Bhi2XPL3siwIh4sx4VRLAe31yD50oKdj5UlRYW0c/"", ""Сводка!A:AA""), 11, FALSE)"),"978-601-327-453-9")</f>
        <v>978-601-327-453-9</v>
      </c>
      <c r="E1535" s="11" t="s">
        <v>6385</v>
      </c>
      <c r="F1535" s="11" t="s">
        <v>6386</v>
      </c>
      <c r="G1535" s="12">
        <f ca="1">IFERROR(__xludf.DUMMYFUNCTION(" VLOOKUP(A1532, IMPORTRANGE(""https://docs.google.com/spreadsheets/d/1fj_Bhi2XPL3siwIh4sx4VRLAe31yD50oKdj5UlRYW0c/"", ""Сводка!A:AA""), 5, FALSE)"),344)</f>
        <v>344</v>
      </c>
      <c r="H1535" s="12" t="s">
        <v>6387</v>
      </c>
      <c r="I1535" s="10">
        <f ca="1">IFERROR(__xludf.DUMMYFUNCTION(" VLOOKUP(A1532, IMPORTRANGE(""https://docs.google.com/spreadsheets/d/1QNLbnkR_AongFt22vMfNzfpjZ0CjpI8QI-w0wBnYA1w/"", ""Инфа!A:AA""), 6, FALSE)"),2024)</f>
        <v>2024</v>
      </c>
      <c r="J1535" s="5">
        <f ca="1">ROUND((5000+G1535*30),-2)</f>
        <v>15300</v>
      </c>
      <c r="K1535" s="12" t="s">
        <v>287</v>
      </c>
      <c r="L1535" s="15" t="s">
        <v>6388</v>
      </c>
    </row>
    <row r="1536" spans="1:12" ht="191.25">
      <c r="A1536" s="48" t="s">
        <v>6389</v>
      </c>
      <c r="B1536" s="12" t="s">
        <v>12</v>
      </c>
      <c r="C1536" s="12" t="s">
        <v>443</v>
      </c>
      <c r="D1536" s="12" t="s">
        <v>6390</v>
      </c>
      <c r="E1536" s="11" t="s">
        <v>6391</v>
      </c>
      <c r="F1536" s="11" t="s">
        <v>6392</v>
      </c>
      <c r="G1536" s="12">
        <f ca="1">IFERROR(__xludf.DUMMYFUNCTION(" VLOOKUP(A1533, IMPORTRANGE(""https://docs.google.com/spreadsheets/d/1fj_Bhi2XPL3siwIh4sx4VRLAe31yD50oKdj5UlRYW0c/"", ""Сводка!A:AA""), 5, FALSE)"),160)</f>
        <v>160</v>
      </c>
      <c r="H1536" s="12" t="s">
        <v>106</v>
      </c>
      <c r="I1536" s="10">
        <f ca="1">IFERROR(__xludf.DUMMYFUNCTION(" VLOOKUP(A1533, IMPORTRANGE(""https://docs.google.com/spreadsheets/d/1QNLbnkR_AongFt22vMfNzfpjZ0CjpI8QI-w0wBnYA1w/"", ""Инфа!A:AA""), 6, FALSE)"),2024)</f>
        <v>2024</v>
      </c>
      <c r="J1536" s="5">
        <f ca="1">ROUND((5000+G1536*60),-2)</f>
        <v>14600</v>
      </c>
      <c r="K1536" s="12" t="s">
        <v>2003</v>
      </c>
      <c r="L1536" s="15" t="s">
        <v>6393</v>
      </c>
    </row>
    <row r="1537" spans="1:12" ht="180">
      <c r="A1537" s="48" t="s">
        <v>6394</v>
      </c>
      <c r="B1537" s="9" t="s">
        <v>6149</v>
      </c>
      <c r="C1537" s="12" t="s">
        <v>151</v>
      </c>
      <c r="D1537" s="12" t="s">
        <v>6395</v>
      </c>
      <c r="E1537" s="11" t="s">
        <v>6396</v>
      </c>
      <c r="F1537" s="11" t="s">
        <v>6397</v>
      </c>
      <c r="G1537" s="12">
        <f ca="1">IFERROR(__xludf.DUMMYFUNCTION(" VLOOKUP(A1534, IMPORTRANGE(""https://docs.google.com/spreadsheets/d/1fj_Bhi2XPL3siwIh4sx4VRLAe31yD50oKdj5UlRYW0c/"", ""Сводка!A:AA""), 5, FALSE)"),284)</f>
        <v>284</v>
      </c>
      <c r="H1537" s="12" t="s">
        <v>47</v>
      </c>
      <c r="I1537" s="10">
        <f ca="1">IFERROR(__xludf.DUMMYFUNCTION(" VLOOKUP(A1534, IMPORTRANGE(""https://docs.google.com/spreadsheets/d/1QNLbnkR_AongFt22vMfNzfpjZ0CjpI8QI-w0wBnYA1w/"", ""Инфа!A:AA""), 6, FALSE)"),2024)</f>
        <v>2024</v>
      </c>
      <c r="J1537" s="5">
        <f ca="1">ROUND((5000+G1537*30),-2)</f>
        <v>13500</v>
      </c>
      <c r="K1537" s="12" t="s">
        <v>84</v>
      </c>
      <c r="L1537" s="15" t="s">
        <v>6398</v>
      </c>
    </row>
    <row r="1538" spans="1:12" ht="191.25">
      <c r="A1538" s="48" t="s">
        <v>6399</v>
      </c>
      <c r="B1538" s="9" t="s">
        <v>6149</v>
      </c>
      <c r="C1538" s="12" t="s">
        <v>443</v>
      </c>
      <c r="D1538" s="10" t="str">
        <f ca="1">IFERROR(__xludf.DUMMYFUNCTION(" VLOOKUP(A1535, IMPORTRANGE(""https://docs.google.com/spreadsheets/d/1fj_Bhi2XPL3siwIh4sx4VRLAe31yD50oKdj5UlRYW0c/"", ""Сводка!A:AA""), 11, FALSE)"),"")</f>
        <v/>
      </c>
      <c r="E1538" s="11" t="s">
        <v>6400</v>
      </c>
      <c r="F1538" s="11" t="s">
        <v>6401</v>
      </c>
      <c r="G1538" s="12">
        <f ca="1">IFERROR(__xludf.DUMMYFUNCTION(" VLOOKUP(A1535, IMPORTRANGE(""https://docs.google.com/spreadsheets/d/1fj_Bhi2XPL3siwIh4sx4VRLAe31yD50oKdj5UlRYW0c/"", ""Сводка!A:AA""), 5, FALSE)"),80)</f>
        <v>80</v>
      </c>
      <c r="H1538" s="12" t="s">
        <v>538</v>
      </c>
      <c r="I1538" s="10">
        <f ca="1">IFERROR(__xludf.DUMMYFUNCTION(" VLOOKUP(A1535, IMPORTRANGE(""https://docs.google.com/spreadsheets/d/1QNLbnkR_AongFt22vMfNzfpjZ0CjpI8QI-w0wBnYA1w/"", ""Инфа!A:AA""), 6, FALSE)"),2024)</f>
        <v>2024</v>
      </c>
      <c r="J1538" s="5">
        <f ca="1">ROUND((5000+G1538*30),-2)</f>
        <v>7400</v>
      </c>
      <c r="K1538" s="12" t="s">
        <v>84</v>
      </c>
      <c r="L1538" s="15" t="s">
        <v>6402</v>
      </c>
    </row>
    <row r="1539" spans="1:12" ht="202.5">
      <c r="A1539" s="48" t="s">
        <v>6403</v>
      </c>
      <c r="B1539" s="9" t="s">
        <v>6149</v>
      </c>
      <c r="C1539" s="12" t="s">
        <v>443</v>
      </c>
      <c r="D1539" s="12" t="s">
        <v>6404</v>
      </c>
      <c r="E1539" s="11" t="s">
        <v>6405</v>
      </c>
      <c r="F1539" s="11" t="s">
        <v>6406</v>
      </c>
      <c r="G1539" s="12">
        <f ca="1">IFERROR(__xludf.DUMMYFUNCTION(" VLOOKUP(A1536, IMPORTRANGE(""https://docs.google.com/spreadsheets/d/1fj_Bhi2XPL3siwIh4sx4VRLAe31yD50oKdj5UlRYW0c/"", ""Сводка!A:AA""), 5, FALSE)"),72)</f>
        <v>72</v>
      </c>
      <c r="H1539" s="12" t="s">
        <v>777</v>
      </c>
      <c r="I1539" s="10">
        <f ca="1">IFERROR(__xludf.DUMMYFUNCTION(" VLOOKUP(A1536, IMPORTRANGE(""https://docs.google.com/spreadsheets/d/1QNLbnkR_AongFt22vMfNzfpjZ0CjpI8QI-w0wBnYA1w/"", ""Инфа!A:AA""), 6, FALSE)"),2024)</f>
        <v>2024</v>
      </c>
      <c r="J1539" s="5">
        <f ca="1">ROUND((5000+G1539*30),-2)</f>
        <v>7200</v>
      </c>
      <c r="K1539" s="12" t="s">
        <v>84</v>
      </c>
      <c r="L1539" s="15" t="s">
        <v>6407</v>
      </c>
    </row>
    <row r="1540" spans="1:12" ht="90">
      <c r="A1540" s="48" t="s">
        <v>6408</v>
      </c>
      <c r="B1540" s="9" t="s">
        <v>6149</v>
      </c>
      <c r="C1540" s="12" t="s">
        <v>443</v>
      </c>
      <c r="D1540" s="12" t="s">
        <v>6409</v>
      </c>
      <c r="E1540" s="11" t="s">
        <v>6410</v>
      </c>
      <c r="F1540" s="11" t="s">
        <v>6411</v>
      </c>
      <c r="G1540" s="12">
        <f ca="1">IFERROR(__xludf.DUMMYFUNCTION(" VLOOKUP(A1537, IMPORTRANGE(""https://docs.google.com/spreadsheets/d/1fj_Bhi2XPL3siwIh4sx4VRLAe31yD50oKdj5UlRYW0c/"", ""Сводка!A:AA""), 5, FALSE)"),168)</f>
        <v>168</v>
      </c>
      <c r="H1540" s="12" t="s">
        <v>538</v>
      </c>
      <c r="I1540" s="10">
        <f ca="1">IFERROR(__xludf.DUMMYFUNCTION(" VLOOKUP(A1537, IMPORTRANGE(""https://docs.google.com/spreadsheets/d/1QNLbnkR_AongFt22vMfNzfpjZ0CjpI8QI-w0wBnYA1w/"", ""Инфа!A:AA""), 6, FALSE)"),2024)</f>
        <v>2024</v>
      </c>
      <c r="J1540" s="5">
        <f ca="1">ROUND((5000+G1540*30),-2)</f>
        <v>10000</v>
      </c>
      <c r="K1540" s="12" t="s">
        <v>84</v>
      </c>
      <c r="L1540" s="15" t="s">
        <v>6412</v>
      </c>
    </row>
    <row r="1541" spans="1:12" ht="101.25">
      <c r="A1541" s="48" t="s">
        <v>6413</v>
      </c>
      <c r="B1541" s="9" t="s">
        <v>6149</v>
      </c>
      <c r="C1541" s="12" t="s">
        <v>443</v>
      </c>
      <c r="D1541" s="10" t="s">
        <v>6414</v>
      </c>
      <c r="E1541" s="11" t="s">
        <v>6410</v>
      </c>
      <c r="F1541" s="11" t="s">
        <v>6415</v>
      </c>
      <c r="G1541" s="12">
        <f ca="1">IFERROR(__xludf.DUMMYFUNCTION(" VLOOKUP(A1538, IMPORTRANGE(""https://docs.google.com/spreadsheets/d/1fj_Bhi2XPL3siwIh4sx4VRLAe31yD50oKdj5UlRYW0c/"", ""Сводка!A:AA""), 5, FALSE)"),184)</f>
        <v>184</v>
      </c>
      <c r="H1541" s="12" t="s">
        <v>538</v>
      </c>
      <c r="I1541" s="10">
        <f ca="1">IFERROR(__xludf.DUMMYFUNCTION(" VLOOKUP(A1538, IMPORTRANGE(""https://docs.google.com/spreadsheets/d/1QNLbnkR_AongFt22vMfNzfpjZ0CjpI8QI-w0wBnYA1w/"", ""Инфа!A:AA""), 6, FALSE)"),2024)</f>
        <v>2024</v>
      </c>
      <c r="J1541" s="5">
        <f ca="1">ROUND((5000+G1541*60),-2)</f>
        <v>16000</v>
      </c>
      <c r="K1541" s="12" t="s">
        <v>84</v>
      </c>
      <c r="L1541" s="15" t="s">
        <v>6416</v>
      </c>
    </row>
    <row r="1542" spans="1:12" ht="315">
      <c r="A1542" s="48" t="s">
        <v>6417</v>
      </c>
      <c r="B1542" s="12" t="s">
        <v>12</v>
      </c>
      <c r="C1542" s="12" t="s">
        <v>443</v>
      </c>
      <c r="D1542" s="10" t="str">
        <f ca="1">IFERROR(__xludf.DUMMYFUNCTION(" VLOOKUP(A1539, IMPORTRANGE(""https://docs.google.com/spreadsheets/d/1fj_Bhi2XPL3siwIh4sx4VRLAe31yD50oKdj5UlRYW0c/"", ""Сводка!A:AA""), 11, FALSE)"),"")</f>
        <v/>
      </c>
      <c r="E1542" s="11" t="s">
        <v>6418</v>
      </c>
      <c r="F1542" s="11" t="s">
        <v>6419</v>
      </c>
      <c r="G1542" s="12">
        <f ca="1">IFERROR(__xludf.DUMMYFUNCTION(" VLOOKUP(A1539, IMPORTRANGE(""https://docs.google.com/spreadsheets/d/1fj_Bhi2XPL3siwIh4sx4VRLAe31yD50oKdj5UlRYW0c/"", ""Сводка!A:AA""), 5, FALSE)"),228)</f>
        <v>228</v>
      </c>
      <c r="H1542" s="12" t="s">
        <v>446</v>
      </c>
      <c r="I1542" s="10">
        <f ca="1">IFERROR(__xludf.DUMMYFUNCTION(" VLOOKUP(A1539, IMPORTRANGE(""https://docs.google.com/spreadsheets/d/1QNLbnkR_AongFt22vMfNzfpjZ0CjpI8QI-w0wBnYA1w/"", ""Инфа!A:AA""), 6, FALSE)"),2024)</f>
        <v>2024</v>
      </c>
      <c r="J1542" s="5">
        <f ca="1">ROUND((5000+G1542*30),-2)</f>
        <v>11800</v>
      </c>
      <c r="K1542" s="12" t="s">
        <v>84</v>
      </c>
      <c r="L1542" s="15" t="s">
        <v>6420</v>
      </c>
    </row>
    <row r="1543" spans="1:12" ht="236.25">
      <c r="A1543" s="48" t="s">
        <v>6421</v>
      </c>
      <c r="B1543" s="12" t="s">
        <v>12</v>
      </c>
      <c r="C1543" s="12" t="s">
        <v>13</v>
      </c>
      <c r="D1543" s="10" t="str">
        <f ca="1">IFERROR(__xludf.DUMMYFUNCTION(" VLOOKUP(A1540, IMPORTRANGE(""https://docs.google.com/spreadsheets/d/1fj_Bhi2XPL3siwIh4sx4VRLAe31yD50oKdj5UlRYW0c/"", ""Сводка!A:AA""), 11, FALSE)"),"978–601–7591–70-0")</f>
        <v>978–601–7591–70-0</v>
      </c>
      <c r="E1543" s="11" t="s">
        <v>6422</v>
      </c>
      <c r="F1543" s="11" t="s">
        <v>6423</v>
      </c>
      <c r="G1543" s="12">
        <f ca="1">IFERROR(__xludf.DUMMYFUNCTION(" VLOOKUP(A1540, IMPORTRANGE(""https://docs.google.com/spreadsheets/d/1fj_Bhi2XPL3siwIh4sx4VRLAe31yD50oKdj5UlRYW0c/"", ""Сводка!A:AA""), 5, FALSE)"),224)</f>
        <v>224</v>
      </c>
      <c r="H1543" s="12" t="s">
        <v>176</v>
      </c>
      <c r="I1543" s="10">
        <f ca="1">IFERROR(__xludf.DUMMYFUNCTION(" VLOOKUP(A1540, IMPORTRANGE(""https://docs.google.com/spreadsheets/d/1QNLbnkR_AongFt22vMfNzfpjZ0CjpI8QI-w0wBnYA1w/"", ""Инфа!A:AA""), 6, FALSE)"),2024)</f>
        <v>2024</v>
      </c>
      <c r="J1543" s="5">
        <f ca="1">ROUND((5000+G1543*30),-2)</f>
        <v>11700</v>
      </c>
      <c r="K1543" s="12" t="s">
        <v>2185</v>
      </c>
      <c r="L1543" s="15" t="s">
        <v>6424</v>
      </c>
    </row>
    <row r="1544" spans="1:12" ht="315">
      <c r="A1544" s="48" t="s">
        <v>6425</v>
      </c>
      <c r="B1544" s="12" t="s">
        <v>12</v>
      </c>
      <c r="C1544" s="12" t="s">
        <v>151</v>
      </c>
      <c r="D1544" s="12" t="s">
        <v>6426</v>
      </c>
      <c r="E1544" s="11" t="s">
        <v>6427</v>
      </c>
      <c r="F1544" s="11" t="s">
        <v>6428</v>
      </c>
      <c r="G1544" s="12">
        <f ca="1">IFERROR(__xludf.DUMMYFUNCTION(" VLOOKUP(A1541, IMPORTRANGE(""https://docs.google.com/spreadsheets/d/1fj_Bhi2XPL3siwIh4sx4VRLAe31yD50oKdj5UlRYW0c/"", ""Сводка!A:AA""), 5, FALSE)"),120)</f>
        <v>120</v>
      </c>
      <c r="H1544" s="12" t="s">
        <v>498</v>
      </c>
      <c r="I1544" s="10">
        <f ca="1">IFERROR(__xludf.DUMMYFUNCTION(" VLOOKUP(A1541, IMPORTRANGE(""https://docs.google.com/spreadsheets/d/1QNLbnkR_AongFt22vMfNzfpjZ0CjpI8QI-w0wBnYA1w/"", ""Инфа!A:AA""), 6, FALSE)"),2024)</f>
        <v>2024</v>
      </c>
      <c r="J1544" s="5">
        <f ca="1">ROUND((5000+G1544*30),-2)</f>
        <v>8600</v>
      </c>
      <c r="K1544" s="12" t="s">
        <v>6429</v>
      </c>
      <c r="L1544" s="15" t="s">
        <v>6430</v>
      </c>
    </row>
    <row r="1545" spans="1:12" ht="180">
      <c r="A1545" s="8" t="s">
        <v>6431</v>
      </c>
      <c r="B1545" s="9" t="s">
        <v>12</v>
      </c>
      <c r="C1545" s="10" t="s">
        <v>443</v>
      </c>
      <c r="D1545" s="10" t="str">
        <f ca="1">IFERROR(__xludf.DUMMYFUNCTION(" VLOOKUP(A1542, IMPORTRANGE(""https://docs.google.com/spreadsheets/d/1fj_Bhi2XPL3siwIh4sx4VRLAe31yD50oKdj5UlRYW0c/"", ""Сводка!A:AA""), 11, FALSE)"),"978-601-327-417-1")</f>
        <v>978-601-327-417-1</v>
      </c>
      <c r="E1545" s="11" t="s">
        <v>6432</v>
      </c>
      <c r="F1545" s="11" t="s">
        <v>6433</v>
      </c>
      <c r="G1545" s="12">
        <f ca="1">IFERROR(__xludf.DUMMYFUNCTION(" VLOOKUP(A1542, IMPORTRANGE(""https://docs.google.com/spreadsheets/d/1fj_Bhi2XPL3siwIh4sx4VRLAe31yD50oKdj5UlRYW0c/"", ""Сводка!A:AA""), 5, FALSE)"),88)</f>
        <v>88</v>
      </c>
      <c r="H1545" s="12" t="s">
        <v>538</v>
      </c>
      <c r="I1545" s="10">
        <f ca="1">IFERROR(__xludf.DUMMYFUNCTION(" VLOOKUP(A1542, IMPORTRANGE(""https://docs.google.com/spreadsheets/d/1QNLbnkR_AongFt22vMfNzfpjZ0CjpI8QI-w0wBnYA1w/"", ""Инфа!A:AA""), 6, FALSE)"),2024)</f>
        <v>2024</v>
      </c>
      <c r="J1545" s="5">
        <f ca="1">ROUND((5000+G1545*30),-2)</f>
        <v>7600</v>
      </c>
      <c r="K1545" s="12" t="s">
        <v>287</v>
      </c>
      <c r="L1545" s="15" t="s">
        <v>6434</v>
      </c>
    </row>
    <row r="1546" spans="1:12" ht="303.75">
      <c r="A1546" s="48" t="s">
        <v>6435</v>
      </c>
      <c r="B1546" s="12" t="s">
        <v>2231</v>
      </c>
      <c r="C1546" s="12" t="s">
        <v>151</v>
      </c>
      <c r="D1546" s="12" t="s">
        <v>6436</v>
      </c>
      <c r="E1546" s="11" t="s">
        <v>6437</v>
      </c>
      <c r="F1546" s="11" t="s">
        <v>6438</v>
      </c>
      <c r="G1546" s="12">
        <f ca="1">IFERROR(__xludf.DUMMYFUNCTION(" VLOOKUP(A1543, IMPORTRANGE(""https://docs.google.com/spreadsheets/d/1fj_Bhi2XPL3siwIh4sx4VRLAe31yD50oKdj5UlRYW0c/"", ""Сводка!A:AA""), 5, FALSE)"),176)</f>
        <v>176</v>
      </c>
      <c r="H1546" s="12" t="s">
        <v>106</v>
      </c>
      <c r="I1546" s="10">
        <f ca="1">IFERROR(__xludf.DUMMYFUNCTION(" VLOOKUP(A1543, IMPORTRANGE(""https://docs.google.com/spreadsheets/d/1QNLbnkR_AongFt22vMfNzfpjZ0CjpI8QI-w0wBnYA1w/"", ""Инфа!A:AA""), 6, FALSE)"),2024)</f>
        <v>2024</v>
      </c>
      <c r="J1546" s="5">
        <f ca="1">ROUND((5000+G1546*30),-2)</f>
        <v>10300</v>
      </c>
      <c r="K1546" s="12"/>
      <c r="L1546" s="15" t="s">
        <v>6439</v>
      </c>
    </row>
    <row r="1547" spans="1:12" ht="135">
      <c r="A1547" s="48" t="s">
        <v>6440</v>
      </c>
      <c r="B1547" s="12" t="s">
        <v>2231</v>
      </c>
      <c r="C1547" s="12" t="s">
        <v>13</v>
      </c>
      <c r="D1547" s="12" t="s">
        <v>6441</v>
      </c>
      <c r="E1547" s="11" t="s">
        <v>6442</v>
      </c>
      <c r="F1547" s="11" t="s">
        <v>6443</v>
      </c>
      <c r="G1547" s="12">
        <f ca="1">IFERROR(__xludf.DUMMYFUNCTION(" VLOOKUP(A1544, IMPORTRANGE(""https://docs.google.com/spreadsheets/d/1fj_Bhi2XPL3siwIh4sx4VRLAe31yD50oKdj5UlRYW0c/"", ""Сводка!A:AA""), 5, FALSE)"),224)</f>
        <v>224</v>
      </c>
      <c r="H1547" s="12" t="s">
        <v>282</v>
      </c>
      <c r="I1547" s="10">
        <f ca="1">IFERROR(__xludf.DUMMYFUNCTION(" VLOOKUP(A1544, IMPORTRANGE(""https://docs.google.com/spreadsheets/d/1QNLbnkR_AongFt22vMfNzfpjZ0CjpI8QI-w0wBnYA1w/"", ""Инфа!A:AA""), 6, FALSE)"),2024)</f>
        <v>2024</v>
      </c>
      <c r="J1547" s="5">
        <f ca="1">ROUND((5000+G1547*60),-2)</f>
        <v>18400</v>
      </c>
      <c r="K1547" s="12" t="s">
        <v>2185</v>
      </c>
      <c r="L1547" s="15" t="s">
        <v>6444</v>
      </c>
    </row>
    <row r="1548" spans="1:12" ht="90">
      <c r="A1548" s="48" t="s">
        <v>6445</v>
      </c>
      <c r="B1548" s="9" t="s">
        <v>6149</v>
      </c>
      <c r="C1548" s="12" t="s">
        <v>13</v>
      </c>
      <c r="D1548" s="40" t="s">
        <v>6446</v>
      </c>
      <c r="E1548" s="11" t="s">
        <v>6447</v>
      </c>
      <c r="F1548" s="11" t="s">
        <v>6448</v>
      </c>
      <c r="G1548" s="12">
        <f ca="1">IFERROR(__xludf.DUMMYFUNCTION(" VLOOKUP(A1545, IMPORTRANGE(""https://docs.google.com/spreadsheets/d/1fj_Bhi2XPL3siwIh4sx4VRLAe31yD50oKdj5UlRYW0c/"", ""Сводка!A:AA""), 5, FALSE)"),172)</f>
        <v>172</v>
      </c>
      <c r="H1548" s="12" t="s">
        <v>83</v>
      </c>
      <c r="I1548" s="10">
        <f ca="1">IFERROR(__xludf.DUMMYFUNCTION(" VLOOKUP(A1545, IMPORTRANGE(""https://docs.google.com/spreadsheets/d/1QNLbnkR_AongFt22vMfNzfpjZ0CjpI8QI-w0wBnYA1w/"", ""Инфа!A:AA""), 6, FALSE)"),2024)</f>
        <v>2024</v>
      </c>
      <c r="J1548" s="5">
        <f ca="1">ROUND((5000+G1548*30),-2)</f>
        <v>10200</v>
      </c>
      <c r="K1548" s="12" t="s">
        <v>2466</v>
      </c>
      <c r="L1548" s="15" t="s">
        <v>6449</v>
      </c>
    </row>
    <row r="1549" spans="1:12" ht="135">
      <c r="A1549" s="48" t="s">
        <v>6450</v>
      </c>
      <c r="B1549" s="12" t="s">
        <v>12</v>
      </c>
      <c r="C1549" s="12" t="s">
        <v>151</v>
      </c>
      <c r="D1549" s="12" t="s">
        <v>6451</v>
      </c>
      <c r="E1549" s="11" t="s">
        <v>6452</v>
      </c>
      <c r="F1549" s="11" t="s">
        <v>6453</v>
      </c>
      <c r="G1549" s="12">
        <f ca="1">IFERROR(__xludf.DUMMYFUNCTION(" VLOOKUP(A1546, IMPORTRANGE(""https://docs.google.com/spreadsheets/d/1fj_Bhi2XPL3siwIh4sx4VRLAe31yD50oKdj5UlRYW0c/"", ""Сводка!A:AA""), 5, FALSE)"),128)</f>
        <v>128</v>
      </c>
      <c r="H1549" s="12" t="s">
        <v>47</v>
      </c>
      <c r="I1549" s="10">
        <f ca="1">IFERROR(__xludf.DUMMYFUNCTION(" VLOOKUP(A1546, IMPORTRANGE(""https://docs.google.com/spreadsheets/d/1QNLbnkR_AongFt22vMfNzfpjZ0CjpI8QI-w0wBnYA1w/"", ""Инфа!A:AA""), 6, FALSE)"),2024)</f>
        <v>2024</v>
      </c>
      <c r="J1549" s="5">
        <f ca="1">ROUND((5000+G1549*60),-2)</f>
        <v>12700</v>
      </c>
      <c r="K1549" s="12" t="s">
        <v>2185</v>
      </c>
      <c r="L1549" s="15" t="s">
        <v>6454</v>
      </c>
    </row>
    <row r="1550" spans="1:12" ht="191.25">
      <c r="A1550" s="48" t="s">
        <v>6455</v>
      </c>
      <c r="B1550" s="12" t="s">
        <v>12</v>
      </c>
      <c r="C1550" s="12" t="s">
        <v>151</v>
      </c>
      <c r="D1550" s="10" t="str">
        <f ca="1">IFERROR(__xludf.DUMMYFUNCTION(" VLOOKUP(A1547, IMPORTRANGE(""https://docs.google.com/spreadsheets/d/1fj_Bhi2XPL3siwIh4sx4VRLAe31yD50oKdj5UlRYW0c/"", ""Сводка!A:AA""), 11, FALSE)"),"")</f>
        <v/>
      </c>
      <c r="E1550" s="11" t="s">
        <v>6456</v>
      </c>
      <c r="F1550" s="11" t="s">
        <v>6457</v>
      </c>
      <c r="G1550" s="12">
        <f ca="1">IFERROR(__xludf.DUMMYFUNCTION(" VLOOKUP(A1547, IMPORTRANGE(""https://docs.google.com/spreadsheets/d/1fj_Bhi2XPL3siwIh4sx4VRLAe31yD50oKdj5UlRYW0c/"", ""Сводка!A:AA""), 5, FALSE)"),124)</f>
        <v>124</v>
      </c>
      <c r="H1550" s="12" t="s">
        <v>47</v>
      </c>
      <c r="I1550" s="10">
        <f ca="1">IFERROR(__xludf.DUMMYFUNCTION(" VLOOKUP(A1547, IMPORTRANGE(""https://docs.google.com/spreadsheets/d/1QNLbnkR_AongFt22vMfNzfpjZ0CjpI8QI-w0wBnYA1w/"", ""Инфа!A:AA""), 6, FALSE)"),2024)</f>
        <v>2024</v>
      </c>
      <c r="J1550" s="5">
        <f ca="1">ROUND((5000+G1550*60),-2)</f>
        <v>12400</v>
      </c>
      <c r="K1550" s="12" t="s">
        <v>277</v>
      </c>
      <c r="L1550" s="15" t="s">
        <v>6458</v>
      </c>
    </row>
    <row r="1551" spans="1:12" ht="168.75">
      <c r="A1551" s="48" t="s">
        <v>6459</v>
      </c>
      <c r="B1551" s="12" t="s">
        <v>12</v>
      </c>
      <c r="C1551" s="12" t="s">
        <v>443</v>
      </c>
      <c r="D1551" s="12" t="s">
        <v>6460</v>
      </c>
      <c r="E1551" s="11" t="s">
        <v>6461</v>
      </c>
      <c r="F1551" s="11" t="s">
        <v>6462</v>
      </c>
      <c r="G1551" s="12">
        <f ca="1">IFERROR(__xludf.DUMMYFUNCTION(" VLOOKUP(A1548, IMPORTRANGE(""https://docs.google.com/spreadsheets/d/1fj_Bhi2XPL3siwIh4sx4VRLAe31yD50oKdj5UlRYW0c/"", ""Сводка!A:AA""), 5, FALSE)"),208)</f>
        <v>208</v>
      </c>
      <c r="H1551" s="12" t="s">
        <v>538</v>
      </c>
      <c r="I1551" s="10">
        <f ca="1">IFERROR(__xludf.DUMMYFUNCTION(" VLOOKUP(A1548, IMPORTRANGE(""https://docs.google.com/spreadsheets/d/1QNLbnkR_AongFt22vMfNzfpjZ0CjpI8QI-w0wBnYA1w/"", ""Инфа!A:AA""), 6, FALSE)"),2024)</f>
        <v>2024</v>
      </c>
      <c r="J1551" s="5">
        <f ca="1">ROUND((5000+G1551*30),-2)</f>
        <v>11200</v>
      </c>
      <c r="K1551" s="12" t="s">
        <v>6463</v>
      </c>
      <c r="L1551" s="15" t="s">
        <v>6464</v>
      </c>
    </row>
    <row r="1552" spans="1:12" ht="146.25">
      <c r="A1552" s="48" t="s">
        <v>6465</v>
      </c>
      <c r="B1552" s="12" t="s">
        <v>12</v>
      </c>
      <c r="C1552" s="12" t="s">
        <v>443</v>
      </c>
      <c r="D1552" s="40" t="s">
        <v>6466</v>
      </c>
      <c r="E1552" s="11" t="s">
        <v>6467</v>
      </c>
      <c r="F1552" s="11" t="s">
        <v>6468</v>
      </c>
      <c r="G1552" s="12">
        <f ca="1">IFERROR(__xludf.DUMMYFUNCTION(" VLOOKUP(A1549, IMPORTRANGE(""https://docs.google.com/spreadsheets/d/1fj_Bhi2XPL3siwIh4sx4VRLAe31yD50oKdj5UlRYW0c/"", ""Сводка!A:AA""), 5, FALSE)"),312)</f>
        <v>312</v>
      </c>
      <c r="H1552" s="12" t="s">
        <v>511</v>
      </c>
      <c r="I1552" s="10">
        <f ca="1">IFERROR(__xludf.DUMMYFUNCTION(" VLOOKUP(A1549, IMPORTRANGE(""https://docs.google.com/spreadsheets/d/1QNLbnkR_AongFt22vMfNzfpjZ0CjpI8QI-w0wBnYA1w/"", ""Инфа!A:AA""), 6, FALSE)"),2024)</f>
        <v>2024</v>
      </c>
      <c r="J1552" s="5">
        <f t="shared" ref="J1552:J1558" ca="1" si="53">ROUND((5000+G1552*60),-2)</f>
        <v>23700</v>
      </c>
      <c r="K1552" s="12" t="s">
        <v>3901</v>
      </c>
      <c r="L1552" s="15" t="s">
        <v>6469</v>
      </c>
    </row>
    <row r="1553" spans="1:12" ht="135">
      <c r="A1553" s="48" t="s">
        <v>6470</v>
      </c>
      <c r="B1553" s="12" t="s">
        <v>12</v>
      </c>
      <c r="C1553" s="12" t="s">
        <v>151</v>
      </c>
      <c r="D1553" s="40" t="s">
        <v>6471</v>
      </c>
      <c r="E1553" s="11" t="s">
        <v>6472</v>
      </c>
      <c r="F1553" s="11" t="s">
        <v>6473</v>
      </c>
      <c r="G1553" s="12">
        <f ca="1">IFERROR(__xludf.DUMMYFUNCTION(" VLOOKUP(A1550, IMPORTRANGE(""https://docs.google.com/spreadsheets/d/1fj_Bhi2XPL3siwIh4sx4VRLAe31yD50oKdj5UlRYW0c/"", ""Сводка!A:AA""), 5, FALSE)"),128)</f>
        <v>128</v>
      </c>
      <c r="H1553" s="12" t="s">
        <v>556</v>
      </c>
      <c r="I1553" s="10">
        <f ca="1">IFERROR(__xludf.DUMMYFUNCTION(" VLOOKUP(A1550, IMPORTRANGE(""https://docs.google.com/spreadsheets/d/1QNLbnkR_AongFt22vMfNzfpjZ0CjpI8QI-w0wBnYA1w/"", ""Инфа!A:AA""), 6, FALSE)"),2024)</f>
        <v>2024</v>
      </c>
      <c r="J1553" s="5">
        <f t="shared" ca="1" si="53"/>
        <v>12700</v>
      </c>
      <c r="K1553" s="12" t="s">
        <v>160</v>
      </c>
      <c r="L1553" s="15" t="s">
        <v>6474</v>
      </c>
    </row>
    <row r="1554" spans="1:12" ht="45">
      <c r="A1554" s="48" t="s">
        <v>6475</v>
      </c>
      <c r="B1554" s="12" t="s">
        <v>12</v>
      </c>
      <c r="C1554" s="12" t="s">
        <v>443</v>
      </c>
      <c r="D1554" s="12" t="s">
        <v>6476</v>
      </c>
      <c r="E1554" s="11" t="s">
        <v>6477</v>
      </c>
      <c r="F1554" s="11" t="s">
        <v>6478</v>
      </c>
      <c r="G1554" s="12">
        <f ca="1">IFERROR(__xludf.DUMMYFUNCTION(" VLOOKUP(A1551, IMPORTRANGE(""https://docs.google.com/spreadsheets/d/1fj_Bhi2XPL3siwIh4sx4VRLAe31yD50oKdj5UlRYW0c/"", ""Сводка!A:AA""), 5, FALSE)"),344)</f>
        <v>344</v>
      </c>
      <c r="H1554" s="12" t="s">
        <v>511</v>
      </c>
      <c r="I1554" s="10">
        <f ca="1">IFERROR(__xludf.DUMMYFUNCTION(" VLOOKUP(A1551, IMPORTRANGE(""https://docs.google.com/spreadsheets/d/1QNLbnkR_AongFt22vMfNzfpjZ0CjpI8QI-w0wBnYA1w/"", ""Инфа!A:AA""), 6, FALSE)"),2024)</f>
        <v>2024</v>
      </c>
      <c r="J1554" s="5">
        <f t="shared" ca="1" si="53"/>
        <v>25600</v>
      </c>
      <c r="K1554" s="12" t="s">
        <v>6479</v>
      </c>
      <c r="L1554" s="15" t="s">
        <v>6480</v>
      </c>
    </row>
    <row r="1555" spans="1:12" ht="123.75">
      <c r="A1555" s="48" t="s">
        <v>6481</v>
      </c>
      <c r="B1555" s="12" t="s">
        <v>12</v>
      </c>
      <c r="C1555" s="12" t="s">
        <v>443</v>
      </c>
      <c r="D1555" s="12" t="s">
        <v>6482</v>
      </c>
      <c r="E1555" s="11" t="s">
        <v>6483</v>
      </c>
      <c r="F1555" s="11" t="s">
        <v>6484</v>
      </c>
      <c r="G1555" s="12">
        <f ca="1">IFERROR(__xludf.DUMMYFUNCTION(" VLOOKUP(A1552, IMPORTRANGE(""https://docs.google.com/spreadsheets/d/1fj_Bhi2XPL3siwIh4sx4VRLAe31yD50oKdj5UlRYW0c/"", ""Сводка!A:AA""), 5, FALSE)"),304)</f>
        <v>304</v>
      </c>
      <c r="H1555" s="12" t="s">
        <v>511</v>
      </c>
      <c r="I1555" s="10">
        <f ca="1">IFERROR(__xludf.DUMMYFUNCTION(" VLOOKUP(A1552, IMPORTRANGE(""https://docs.google.com/spreadsheets/d/1QNLbnkR_AongFt22vMfNzfpjZ0CjpI8QI-w0wBnYA1w/"", ""Инфа!A:AA""), 6, FALSE)"),2024)</f>
        <v>2024</v>
      </c>
      <c r="J1555" s="5">
        <f t="shared" ca="1" si="53"/>
        <v>23200</v>
      </c>
      <c r="K1555" s="12" t="s">
        <v>171</v>
      </c>
      <c r="L1555" s="15" t="s">
        <v>6485</v>
      </c>
    </row>
    <row r="1556" spans="1:12" ht="123.75">
      <c r="A1556" s="48" t="s">
        <v>6486</v>
      </c>
      <c r="B1556" s="12" t="s">
        <v>12</v>
      </c>
      <c r="C1556" s="12" t="s">
        <v>443</v>
      </c>
      <c r="D1556" s="12" t="s">
        <v>6487</v>
      </c>
      <c r="E1556" s="11" t="s">
        <v>6483</v>
      </c>
      <c r="F1556" s="11" t="s">
        <v>6488</v>
      </c>
      <c r="G1556" s="12">
        <f ca="1">IFERROR(__xludf.DUMMYFUNCTION(" VLOOKUP(A1553, IMPORTRANGE(""https://docs.google.com/spreadsheets/d/1fj_Bhi2XPL3siwIh4sx4VRLAe31yD50oKdj5UlRYW0c/"", ""Сводка!A:AA""), 5, FALSE)"),304)</f>
        <v>304</v>
      </c>
      <c r="H1556" s="12" t="s">
        <v>511</v>
      </c>
      <c r="I1556" s="10">
        <f ca="1">IFERROR(__xludf.DUMMYFUNCTION(" VLOOKUP(A1553, IMPORTRANGE(""https://docs.google.com/spreadsheets/d/1QNLbnkR_AongFt22vMfNzfpjZ0CjpI8QI-w0wBnYA1w/"", ""Инфа!A:AA""), 6, FALSE)"),2024)</f>
        <v>2024</v>
      </c>
      <c r="J1556" s="5">
        <f t="shared" ca="1" si="53"/>
        <v>23200</v>
      </c>
      <c r="K1556" s="12" t="s">
        <v>171</v>
      </c>
      <c r="L1556" s="15" t="s">
        <v>6485</v>
      </c>
    </row>
    <row r="1557" spans="1:12" ht="123.75">
      <c r="A1557" s="48" t="s">
        <v>6489</v>
      </c>
      <c r="B1557" s="12" t="s">
        <v>12</v>
      </c>
      <c r="C1557" s="12" t="s">
        <v>443</v>
      </c>
      <c r="D1557" s="40" t="s">
        <v>6490</v>
      </c>
      <c r="E1557" s="11" t="s">
        <v>6491</v>
      </c>
      <c r="F1557" s="11" t="s">
        <v>6492</v>
      </c>
      <c r="G1557" s="12">
        <f ca="1">IFERROR(__xludf.DUMMYFUNCTION(" VLOOKUP(A1554, IMPORTRANGE(""https://docs.google.com/spreadsheets/d/1fj_Bhi2XPL3siwIh4sx4VRLAe31yD50oKdj5UlRYW0c/"", ""Сводка!A:AA""), 5, FALSE)"),80)</f>
        <v>80</v>
      </c>
      <c r="H1557" s="12" t="s">
        <v>24</v>
      </c>
      <c r="I1557" s="10">
        <f ca="1">IFERROR(__xludf.DUMMYFUNCTION(" VLOOKUP(A1554, IMPORTRANGE(""https://docs.google.com/spreadsheets/d/1QNLbnkR_AongFt22vMfNzfpjZ0CjpI8QI-w0wBnYA1w/"", ""Инфа!A:AA""), 6, FALSE)"),2024)</f>
        <v>2024</v>
      </c>
      <c r="J1557" s="5">
        <f t="shared" ca="1" si="53"/>
        <v>9800</v>
      </c>
      <c r="K1557" s="12" t="s">
        <v>26</v>
      </c>
      <c r="L1557" s="15" t="s">
        <v>6493</v>
      </c>
    </row>
    <row r="1558" spans="1:12" ht="56.25">
      <c r="A1558" s="48" t="s">
        <v>6494</v>
      </c>
      <c r="B1558" s="12" t="s">
        <v>12</v>
      </c>
      <c r="C1558" s="12" t="s">
        <v>443</v>
      </c>
      <c r="D1558" s="12" t="s">
        <v>6495</v>
      </c>
      <c r="E1558" s="11" t="s">
        <v>6496</v>
      </c>
      <c r="F1558" s="11" t="s">
        <v>6497</v>
      </c>
      <c r="G1558" s="12">
        <f ca="1">IFERROR(__xludf.DUMMYFUNCTION(" VLOOKUP(A1555, IMPORTRANGE(""https://docs.google.com/spreadsheets/d/1fj_Bhi2XPL3siwIh4sx4VRLAe31yD50oKdj5UlRYW0c/"", ""Сводка!A:AA""), 5, FALSE)"),260)</f>
        <v>260</v>
      </c>
      <c r="H1558" s="12" t="s">
        <v>538</v>
      </c>
      <c r="I1558" s="10">
        <f ca="1">IFERROR(__xludf.DUMMYFUNCTION(" VLOOKUP(A1555, IMPORTRANGE(""https://docs.google.com/spreadsheets/d/1QNLbnkR_AongFt22vMfNzfpjZ0CjpI8QI-w0wBnYA1w/"", ""Инфа!A:AA""), 6, FALSE)"),2024)</f>
        <v>2024</v>
      </c>
      <c r="J1558" s="5">
        <f t="shared" ca="1" si="53"/>
        <v>20600</v>
      </c>
      <c r="K1558" s="12" t="s">
        <v>139</v>
      </c>
      <c r="L1558" s="15" t="s">
        <v>6498</v>
      </c>
    </row>
    <row r="1559" spans="1:12" ht="213.75">
      <c r="A1559" s="48" t="s">
        <v>6499</v>
      </c>
      <c r="B1559" s="12" t="s">
        <v>12</v>
      </c>
      <c r="C1559" s="12" t="s">
        <v>443</v>
      </c>
      <c r="D1559" s="12" t="s">
        <v>6500</v>
      </c>
      <c r="E1559" s="45" t="s">
        <v>6501</v>
      </c>
      <c r="F1559" s="45" t="s">
        <v>6502</v>
      </c>
      <c r="G1559" s="12">
        <f ca="1">IFERROR(__xludf.DUMMYFUNCTION(" VLOOKUP(A1556, IMPORTRANGE(""https://docs.google.com/spreadsheets/d/1fj_Bhi2XPL3siwIh4sx4VRLAe31yD50oKdj5UlRYW0c/"", ""Сводка!A:AA""), 5, FALSE)"),188)</f>
        <v>188</v>
      </c>
      <c r="H1559" s="12" t="s">
        <v>538</v>
      </c>
      <c r="I1559" s="10">
        <f ca="1">IFERROR(__xludf.DUMMYFUNCTION(" VLOOKUP(A1556, IMPORTRANGE(""https://docs.google.com/spreadsheets/d/1QNLbnkR_AongFt22vMfNzfpjZ0CjpI8QI-w0wBnYA1w/"", ""Инфа!A:AA""), 6, FALSE)"),2024)</f>
        <v>2024</v>
      </c>
      <c r="J1559" s="5">
        <f ca="1">ROUND((5000+G1559*30),-2)</f>
        <v>10600</v>
      </c>
      <c r="K1559" s="12" t="s">
        <v>6503</v>
      </c>
      <c r="L1559" s="16" t="s">
        <v>6504</v>
      </c>
    </row>
    <row r="1560" spans="1:12" ht="168.75">
      <c r="A1560" s="48" t="s">
        <v>6505</v>
      </c>
      <c r="B1560" s="12" t="s">
        <v>12</v>
      </c>
      <c r="C1560" s="12" t="s">
        <v>443</v>
      </c>
      <c r="D1560" s="10" t="s">
        <v>6506</v>
      </c>
      <c r="E1560" s="45" t="s">
        <v>6507</v>
      </c>
      <c r="F1560" s="45" t="s">
        <v>6508</v>
      </c>
      <c r="G1560" s="12">
        <f ca="1">IFERROR(__xludf.DUMMYFUNCTION(" VLOOKUP(A1557, IMPORTRANGE(""https://docs.google.com/spreadsheets/d/1fj_Bhi2XPL3siwIh4sx4VRLAe31yD50oKdj5UlRYW0c/"", ""Сводка!A:AA""), 5, FALSE)"),108)</f>
        <v>108</v>
      </c>
      <c r="H1560" s="12" t="s">
        <v>538</v>
      </c>
      <c r="I1560" s="10">
        <f ca="1">IFERROR(__xludf.DUMMYFUNCTION(" VLOOKUP(A1557, IMPORTRANGE(""https://docs.google.com/spreadsheets/d/1QNLbnkR_AongFt22vMfNzfpjZ0CjpI8QI-w0wBnYA1w/"", ""Инфа!A:AA""), 6, FALSE)"),2024)</f>
        <v>2024</v>
      </c>
      <c r="J1560" s="5">
        <f ca="1">ROUND((5000+G1560*30),-2)</f>
        <v>8200</v>
      </c>
      <c r="K1560" s="12" t="s">
        <v>6509</v>
      </c>
      <c r="L1560" s="16" t="s">
        <v>6510</v>
      </c>
    </row>
    <row r="1561" spans="1:12" ht="146.25">
      <c r="A1561" s="48" t="s">
        <v>6511</v>
      </c>
      <c r="B1561" s="12" t="s">
        <v>12</v>
      </c>
      <c r="C1561" s="12" t="s">
        <v>443</v>
      </c>
      <c r="D1561" s="12" t="s">
        <v>6512</v>
      </c>
      <c r="E1561" s="45" t="s">
        <v>6513</v>
      </c>
      <c r="F1561" s="45" t="s">
        <v>6514</v>
      </c>
      <c r="G1561" s="12">
        <f ca="1">IFERROR(__xludf.DUMMYFUNCTION(" VLOOKUP(A1558, IMPORTRANGE(""https://docs.google.com/spreadsheets/d/1fj_Bhi2XPL3siwIh4sx4VRLAe31yD50oKdj5UlRYW0c/"", ""Сводка!A:AA""), 5, FALSE)"),228)</f>
        <v>228</v>
      </c>
      <c r="H1561" s="12" t="s">
        <v>538</v>
      </c>
      <c r="I1561" s="10">
        <f ca="1">IFERROR(__xludf.DUMMYFUNCTION(" VLOOKUP(A1558, IMPORTRANGE(""https://docs.google.com/spreadsheets/d/1QNLbnkR_AongFt22vMfNzfpjZ0CjpI8QI-w0wBnYA1w/"", ""Инфа!A:AA""), 6, FALSE)"),2024)</f>
        <v>2024</v>
      </c>
      <c r="J1561" s="5">
        <f ca="1">ROUND((5000+G1561*30),-2)</f>
        <v>11800</v>
      </c>
      <c r="K1561" s="12" t="s">
        <v>6509</v>
      </c>
      <c r="L1561" s="16" t="s">
        <v>6515</v>
      </c>
    </row>
    <row r="1562" spans="1:12" ht="168.75">
      <c r="A1562" s="48" t="s">
        <v>6516</v>
      </c>
      <c r="B1562" s="10" t="s">
        <v>12</v>
      </c>
      <c r="C1562" s="12" t="s">
        <v>443</v>
      </c>
      <c r="D1562" s="10" t="s">
        <v>6517</v>
      </c>
      <c r="E1562" s="11" t="s">
        <v>6518</v>
      </c>
      <c r="F1562" s="11" t="s">
        <v>6519</v>
      </c>
      <c r="G1562" s="12" t="e">
        <f>#REF!</f>
        <v>#REF!</v>
      </c>
      <c r="H1562" s="12" t="s">
        <v>446</v>
      </c>
      <c r="I1562" s="10">
        <f ca="1">IFERROR(__xludf.DUMMYFUNCTION(" VLOOKUP(A1559, IMPORTRANGE(""https://docs.google.com/spreadsheets/d/1QNLbnkR_AongFt22vMfNzfpjZ0CjpI8QI-w0wBnYA1w/"", ""Инфа!A:AA""), 6, FALSE)"),2024)</f>
        <v>2024</v>
      </c>
      <c r="J1562" s="5" t="e">
        <f>ROUND((5000+G1562*30),-2)</f>
        <v>#REF!</v>
      </c>
      <c r="K1562" s="12" t="s">
        <v>2398</v>
      </c>
      <c r="L1562" s="15" t="s">
        <v>6520</v>
      </c>
    </row>
    <row r="1563" spans="1:12" ht="202.5">
      <c r="A1563" s="48" t="s">
        <v>6521</v>
      </c>
      <c r="B1563" s="10" t="s">
        <v>12</v>
      </c>
      <c r="C1563" s="10" t="s">
        <v>151</v>
      </c>
      <c r="D1563" s="10" t="str">
        <f ca="1">IFERROR(__xludf.DUMMYFUNCTION(" VLOOKUP(A1560, IMPORTRANGE(""https://docs.google.com/spreadsheets/d/1fj_Bhi2XPL3siwIh4sx4VRLAe31yD50oKdj5UlRYW0c/"", ""Сводка!A:AA""), 11, FALSE)"),"")</f>
        <v/>
      </c>
      <c r="E1563" s="22" t="s">
        <v>6522</v>
      </c>
      <c r="F1563" s="22" t="s">
        <v>6523</v>
      </c>
      <c r="G1563" s="12" t="e">
        <f>#REF!</f>
        <v>#REF!</v>
      </c>
      <c r="H1563" s="10" t="s">
        <v>47</v>
      </c>
      <c r="I1563" s="10">
        <f ca="1">IFERROR(__xludf.DUMMYFUNCTION(" VLOOKUP(A1560, IMPORTRANGE(""https://docs.google.com/spreadsheets/d/1QNLbnkR_AongFt22vMfNzfpjZ0CjpI8QI-w0wBnYA1w/"", ""Инфа!A:AA""), 6, FALSE)"),2024)</f>
        <v>2024</v>
      </c>
      <c r="J1563" s="5" t="e">
        <f>ROUND((5000+G1563*30),-2)</f>
        <v>#REF!</v>
      </c>
      <c r="K1563" s="10" t="s">
        <v>2645</v>
      </c>
      <c r="L1563" s="23" t="s">
        <v>6524</v>
      </c>
    </row>
    <row r="1564" spans="1:12" ht="180">
      <c r="A1564" s="48" t="s">
        <v>6525</v>
      </c>
      <c r="B1564" s="10" t="s">
        <v>12</v>
      </c>
      <c r="C1564" s="10" t="s">
        <v>443</v>
      </c>
      <c r="D1564" s="10" t="s">
        <v>6526</v>
      </c>
      <c r="E1564" s="22" t="s">
        <v>6527</v>
      </c>
      <c r="F1564" s="22" t="s">
        <v>6528</v>
      </c>
      <c r="G1564" s="12">
        <f ca="1">IFERROR(__xludf.DUMMYFUNCTION(" VLOOKUP(A1561, IMPORTRANGE(""https://docs.google.com/spreadsheets/d/1fj_Bhi2XPL3siwIh4sx4VRLAe31yD50oKdj5UlRYW0c/"", ""Сводка!A:AA""), 5, FALSE)"),176)</f>
        <v>176</v>
      </c>
      <c r="H1564" s="10" t="s">
        <v>24</v>
      </c>
      <c r="I1564" s="10">
        <f ca="1">IFERROR(__xludf.DUMMYFUNCTION(" VLOOKUP(A1561, IMPORTRANGE(""https://docs.google.com/spreadsheets/d/1QNLbnkR_AongFt22vMfNzfpjZ0CjpI8QI-w0wBnYA1w/"", ""Инфа!A:AA""), 6, FALSE)"),2024)</f>
        <v>2024</v>
      </c>
      <c r="J1564" s="5">
        <f ca="1">ROUND((5000+G1564*60),-2)</f>
        <v>15600</v>
      </c>
      <c r="K1564" s="10" t="s">
        <v>4043</v>
      </c>
      <c r="L1564" s="23" t="s">
        <v>6529</v>
      </c>
    </row>
    <row r="1565" spans="1:12" ht="225">
      <c r="A1565" s="48" t="s">
        <v>6530</v>
      </c>
      <c r="B1565" s="12" t="s">
        <v>12</v>
      </c>
      <c r="C1565" s="12" t="s">
        <v>151</v>
      </c>
      <c r="D1565" s="10" t="str">
        <f ca="1">IFERROR(__xludf.DUMMYFUNCTION(" VLOOKUP(A1562, IMPORTRANGE(""https://docs.google.com/spreadsheets/d/1fj_Bhi2XPL3siwIh4sx4VRLAe31yD50oKdj5UlRYW0c/"", ""Сводка!A:AA""), 11, FALSE)"),"")</f>
        <v/>
      </c>
      <c r="E1565" s="11" t="s">
        <v>1460</v>
      </c>
      <c r="F1565" s="11" t="s">
        <v>6531</v>
      </c>
      <c r="G1565" s="12">
        <f ca="1">IFERROR(__xludf.DUMMYFUNCTION(" VLOOKUP(A1562, IMPORTRANGE(""https://docs.google.com/spreadsheets/d/1fj_Bhi2XPL3siwIh4sx4VRLAe31yD50oKdj5UlRYW0c/"", ""Сводка!A:AA""), 5, FALSE)"),104)</f>
        <v>104</v>
      </c>
      <c r="H1565" s="12" t="s">
        <v>282</v>
      </c>
      <c r="I1565" s="10">
        <f ca="1">IFERROR(__xludf.DUMMYFUNCTION(" VLOOKUP(A1562, IMPORTRANGE(""https://docs.google.com/spreadsheets/d/1QNLbnkR_AongFt22vMfNzfpjZ0CjpI8QI-w0wBnYA1w/"", ""Инфа!A:AA""), 6, FALSE)"),2024)</f>
        <v>2024</v>
      </c>
      <c r="J1565" s="5">
        <f ca="1">ROUND((5000+G1565*30),-2)</f>
        <v>8100</v>
      </c>
      <c r="K1565" s="12" t="s">
        <v>2472</v>
      </c>
      <c r="L1565" s="15" t="s">
        <v>6532</v>
      </c>
    </row>
    <row r="1566" spans="1:12" ht="168.75">
      <c r="A1566" s="48" t="s">
        <v>6533</v>
      </c>
      <c r="B1566" s="10" t="s">
        <v>12</v>
      </c>
      <c r="C1566" s="10" t="s">
        <v>443</v>
      </c>
      <c r="D1566" s="10" t="s">
        <v>6534</v>
      </c>
      <c r="E1566" s="22" t="s">
        <v>6535</v>
      </c>
      <c r="F1566" s="22" t="s">
        <v>6536</v>
      </c>
      <c r="G1566" s="12">
        <f ca="1">IFERROR(__xludf.DUMMYFUNCTION(" VLOOKUP(A1563, IMPORTRANGE(""https://docs.google.com/spreadsheets/d/1fj_Bhi2XPL3siwIh4sx4VRLAe31yD50oKdj5UlRYW0c/"", ""Сводка!A:AA""), 5, FALSE)"),228)</f>
        <v>228</v>
      </c>
      <c r="H1566" s="12" t="s">
        <v>446</v>
      </c>
      <c r="I1566" s="10">
        <f ca="1">IFERROR(__xludf.DUMMYFUNCTION(" VLOOKUP(A1563, IMPORTRANGE(""https://docs.google.com/spreadsheets/d/1QNLbnkR_AongFt22vMfNzfpjZ0CjpI8QI-w0wBnYA1w/"", ""Инфа!A:AA""), 6, FALSE)"),2024)</f>
        <v>2024</v>
      </c>
      <c r="J1566" s="5">
        <f ca="1">ROUND((5000+G1566*60),-2)</f>
        <v>18700</v>
      </c>
      <c r="K1566" s="10" t="s">
        <v>447</v>
      </c>
      <c r="L1566" s="23" t="s">
        <v>6537</v>
      </c>
    </row>
    <row r="1567" spans="1:12" ht="112.5">
      <c r="A1567" s="48" t="s">
        <v>6538</v>
      </c>
      <c r="B1567" s="10" t="s">
        <v>12</v>
      </c>
      <c r="C1567" s="10" t="s">
        <v>443</v>
      </c>
      <c r="D1567" s="10" t="s">
        <v>6539</v>
      </c>
      <c r="E1567" s="22" t="s">
        <v>6540</v>
      </c>
      <c r="F1567" s="22" t="s">
        <v>6541</v>
      </c>
      <c r="G1567" s="12">
        <f ca="1">IFERROR(__xludf.DUMMYFUNCTION(" VLOOKUP(A1564, IMPORTRANGE(""https://docs.google.com/spreadsheets/d/1fj_Bhi2XPL3siwIh4sx4VRLAe31yD50oKdj5UlRYW0c/"", ""Сводка!A:AA""), 5, FALSE)"),216)</f>
        <v>216</v>
      </c>
      <c r="H1567" s="10" t="s">
        <v>1271</v>
      </c>
      <c r="I1567" s="10">
        <f ca="1">IFERROR(__xludf.DUMMYFUNCTION(" VLOOKUP(A1564, IMPORTRANGE(""https://docs.google.com/spreadsheets/d/1QNLbnkR_AongFt22vMfNzfpjZ0CjpI8QI-w0wBnYA1w/"", ""Инфа!A:AA""), 6, FALSE)"),2024)</f>
        <v>2024</v>
      </c>
      <c r="J1567" s="5">
        <f ca="1">ROUND((5000+G1567*30),-2)</f>
        <v>11500</v>
      </c>
      <c r="K1567" s="10" t="s">
        <v>2003</v>
      </c>
      <c r="L1567" s="23" t="s">
        <v>6542</v>
      </c>
    </row>
    <row r="1568" spans="1:12" ht="213.75">
      <c r="A1568" s="8" t="s">
        <v>6543</v>
      </c>
      <c r="B1568" s="9" t="s">
        <v>12</v>
      </c>
      <c r="C1568" s="10" t="s">
        <v>443</v>
      </c>
      <c r="D1568" s="10" t="str">
        <f ca="1">IFERROR(__xludf.DUMMYFUNCTION(" VLOOKUP(A1565, IMPORTRANGE(""https://docs.google.com/spreadsheets/d/1fj_Bhi2XPL3siwIh4sx4VRLAe31yD50oKdj5UlRYW0c/"", ""Сводка!A:AA""), 11, FALSE)"),"978-601-327-294-8")</f>
        <v>978-601-327-294-8</v>
      </c>
      <c r="E1568" s="11" t="s">
        <v>6544</v>
      </c>
      <c r="F1568" s="11" t="s">
        <v>6545</v>
      </c>
      <c r="G1568" s="12">
        <f ca="1">IFERROR(__xludf.DUMMYFUNCTION(" VLOOKUP(A1565, IMPORTRANGE(""https://docs.google.com/spreadsheets/d/1fj_Bhi2XPL3siwIh4sx4VRLAe31yD50oKdj5UlRYW0c/"", ""Сводка!A:AA""), 5, FALSE)"),316)</f>
        <v>316</v>
      </c>
      <c r="H1568" s="12" t="s">
        <v>1908</v>
      </c>
      <c r="I1568" s="10">
        <f ca="1">IFERROR(__xludf.DUMMYFUNCTION(" VLOOKUP(A1565, IMPORTRANGE(""https://docs.google.com/spreadsheets/d/1QNLbnkR_AongFt22vMfNzfpjZ0CjpI8QI-w0wBnYA1w/"", ""Инфа!A:AA""), 6, FALSE)"),2024)</f>
        <v>2024</v>
      </c>
      <c r="J1568" s="5">
        <f ca="1">ROUND((5000+G1568*30),-2)</f>
        <v>14500</v>
      </c>
      <c r="K1568" s="12" t="s">
        <v>17</v>
      </c>
      <c r="L1568" s="18" t="s">
        <v>6546</v>
      </c>
    </row>
    <row r="1569" spans="1:12" ht="202.5">
      <c r="A1569" s="48" t="s">
        <v>6547</v>
      </c>
      <c r="B1569" s="10" t="s">
        <v>2231</v>
      </c>
      <c r="C1569" s="10" t="s">
        <v>151</v>
      </c>
      <c r="D1569" s="10" t="str">
        <f ca="1">IFERROR(__xludf.DUMMYFUNCTION(" VLOOKUP(A1566, IMPORTRANGE(""https://docs.google.com/spreadsheets/d/1fj_Bhi2XPL3siwIh4sx4VRLAe31yD50oKdj5UlRYW0c/"", ""Сводка!A:AA""), 11, FALSE)"),"")</f>
        <v/>
      </c>
      <c r="E1569" s="22" t="s">
        <v>6548</v>
      </c>
      <c r="F1569" s="22" t="s">
        <v>6549</v>
      </c>
      <c r="G1569" s="12">
        <f ca="1">IFERROR(__xludf.DUMMYFUNCTION(" VLOOKUP(A1566, IMPORTRANGE(""https://docs.google.com/spreadsheets/d/1fj_Bhi2XPL3siwIh4sx4VRLAe31yD50oKdj5UlRYW0c/"", ""Сводка!A:AA""), 5, FALSE)"),212)</f>
        <v>212</v>
      </c>
      <c r="H1569" s="10" t="s">
        <v>2216</v>
      </c>
      <c r="I1569" s="10">
        <f ca="1">IFERROR(__xludf.DUMMYFUNCTION(" VLOOKUP(A1566, IMPORTRANGE(""https://docs.google.com/spreadsheets/d/1QNLbnkR_AongFt22vMfNzfpjZ0CjpI8QI-w0wBnYA1w/"", ""Инфа!A:AA""), 6, FALSE)"),2023)</f>
        <v>2023</v>
      </c>
      <c r="J1569" s="5">
        <f t="shared" ref="J1569:J1574" ca="1" si="54">ROUND((5000+G1569*60),-2)</f>
        <v>17700</v>
      </c>
      <c r="K1569" s="10" t="s">
        <v>6550</v>
      </c>
      <c r="L1569" s="23" t="s">
        <v>6551</v>
      </c>
    </row>
    <row r="1570" spans="1:12" ht="202.5">
      <c r="A1570" s="48" t="s">
        <v>6552</v>
      </c>
      <c r="B1570" s="10" t="s">
        <v>2231</v>
      </c>
      <c r="C1570" s="10" t="s">
        <v>443</v>
      </c>
      <c r="D1570" s="10" t="str">
        <f ca="1">IFERROR(__xludf.DUMMYFUNCTION(" VLOOKUP(A1567, IMPORTRANGE(""https://docs.google.com/spreadsheets/d/1fj_Bhi2XPL3siwIh4sx4VRLAe31yD50oKdj5UlRYW0c/"", ""Сводка!A:AA""), 11, FALSE)"),"")</f>
        <v/>
      </c>
      <c r="E1570" s="22" t="s">
        <v>6553</v>
      </c>
      <c r="F1570" s="22" t="s">
        <v>6554</v>
      </c>
      <c r="G1570" s="12">
        <f ca="1">IFERROR(__xludf.DUMMYFUNCTION(" VLOOKUP(A1567, IMPORTRANGE(""https://docs.google.com/spreadsheets/d/1fj_Bhi2XPL3siwIh4sx4VRLAe31yD50oKdj5UlRYW0c/"", ""Сводка!A:AA""), 5, FALSE)"),204)</f>
        <v>204</v>
      </c>
      <c r="H1570" s="10" t="s">
        <v>1016</v>
      </c>
      <c r="I1570" s="10">
        <f ca="1">IFERROR(__xludf.DUMMYFUNCTION(" VLOOKUP(A1567, IMPORTRANGE(""https://docs.google.com/spreadsheets/d/1QNLbnkR_AongFt22vMfNzfpjZ0CjpI8QI-w0wBnYA1w/"", ""Инфа!A:AA""), 6, FALSE)"),2023)</f>
        <v>2023</v>
      </c>
      <c r="J1570" s="5">
        <f t="shared" ca="1" si="54"/>
        <v>17200</v>
      </c>
      <c r="K1570" s="10" t="s">
        <v>6550</v>
      </c>
      <c r="L1570" s="23" t="s">
        <v>6555</v>
      </c>
    </row>
    <row r="1571" spans="1:12" ht="281.25">
      <c r="A1571" s="48" t="s">
        <v>6556</v>
      </c>
      <c r="B1571" s="12" t="s">
        <v>2231</v>
      </c>
      <c r="C1571" s="12" t="s">
        <v>151</v>
      </c>
      <c r="D1571" s="10" t="str">
        <f ca="1">IFERROR(__xludf.DUMMYFUNCTION(" VLOOKUP(A1568, IMPORTRANGE(""https://docs.google.com/spreadsheets/d/1fj_Bhi2XPL3siwIh4sx4VRLAe31yD50oKdj5UlRYW0c/"", ""Сводка!A:AA""), 11, FALSE)"),"978-459-235-244-3")</f>
        <v>978-459-235-244-3</v>
      </c>
      <c r="E1571" s="11" t="s">
        <v>6557</v>
      </c>
      <c r="F1571" s="11" t="s">
        <v>6558</v>
      </c>
      <c r="G1571" s="12">
        <f ca="1">IFERROR(__xludf.DUMMYFUNCTION(" VLOOKUP(A1568, IMPORTRANGE(""https://docs.google.com/spreadsheets/d/1fj_Bhi2XPL3siwIh4sx4VRLAe31yD50oKdj5UlRYW0c/"", ""Сводка!A:AA""), 5, FALSE)"),112)</f>
        <v>112</v>
      </c>
      <c r="H1571" s="12" t="s">
        <v>47</v>
      </c>
      <c r="I1571" s="10">
        <f ca="1">IFERROR(__xludf.DUMMYFUNCTION(" VLOOKUP(A1568, IMPORTRANGE(""https://docs.google.com/spreadsheets/d/1QNLbnkR_AongFt22vMfNzfpjZ0CjpI8QI-w0wBnYA1w/"", ""Инфа!A:AA""), 6, FALSE)"),2024)</f>
        <v>2024</v>
      </c>
      <c r="J1571" s="5">
        <f t="shared" ca="1" si="54"/>
        <v>11700</v>
      </c>
      <c r="K1571" s="12"/>
      <c r="L1571" s="15" t="s">
        <v>6559</v>
      </c>
    </row>
    <row r="1572" spans="1:12" ht="303.75">
      <c r="A1572" s="48" t="s">
        <v>6560</v>
      </c>
      <c r="B1572" s="12" t="s">
        <v>2231</v>
      </c>
      <c r="C1572" s="12" t="s">
        <v>443</v>
      </c>
      <c r="D1572" s="10" t="str">
        <f ca="1">IFERROR(__xludf.DUMMYFUNCTION(" VLOOKUP(A1569, IMPORTRANGE(""https://docs.google.com/spreadsheets/d/1fj_Bhi2XPL3siwIh4sx4VRLAe31yD50oKdj5UlRYW0c/"", ""Сводка!A:AA""), 11, FALSE)"),"978-459-235-244-3")</f>
        <v>978-459-235-244-3</v>
      </c>
      <c r="E1572" s="11" t="s">
        <v>6557</v>
      </c>
      <c r="F1572" s="11" t="s">
        <v>6561</v>
      </c>
      <c r="G1572" s="12">
        <f ca="1">IFERROR(__xludf.DUMMYFUNCTION(" VLOOKUP(A1569, IMPORTRANGE(""https://docs.google.com/spreadsheets/d/1fj_Bhi2XPL3siwIh4sx4VRLAe31yD50oKdj5UlRYW0c/"", ""Сводка!A:AA""), 5, FALSE)"),116)</f>
        <v>116</v>
      </c>
      <c r="H1572" s="12" t="s">
        <v>538</v>
      </c>
      <c r="I1572" s="10">
        <f ca="1">IFERROR(__xludf.DUMMYFUNCTION(" VLOOKUP(A1569, IMPORTRANGE(""https://docs.google.com/spreadsheets/d/1QNLbnkR_AongFt22vMfNzfpjZ0CjpI8QI-w0wBnYA1w/"", ""Инфа!A:AA""), 6, FALSE)"),2024)</f>
        <v>2024</v>
      </c>
      <c r="J1572" s="5">
        <f t="shared" ca="1" si="54"/>
        <v>12000</v>
      </c>
      <c r="K1572" s="12"/>
      <c r="L1572" s="15" t="s">
        <v>6562</v>
      </c>
    </row>
    <row r="1573" spans="1:12" ht="213.75">
      <c r="A1573" s="48" t="s">
        <v>6563</v>
      </c>
      <c r="B1573" s="12" t="s">
        <v>2231</v>
      </c>
      <c r="C1573" s="12" t="s">
        <v>443</v>
      </c>
      <c r="D1573" s="10" t="str">
        <f ca="1">IFERROR(__xludf.DUMMYFUNCTION(" VLOOKUP(A1570, IMPORTRANGE(""https://docs.google.com/spreadsheets/d/1fj_Bhi2XPL3siwIh4sx4VRLAe31yD50oKdj5UlRYW0c/"", ""Сводка!A:AA""), 11, FALSE)"),"978-459-235-244-3")</f>
        <v>978-459-235-244-3</v>
      </c>
      <c r="E1573" s="11" t="s">
        <v>6557</v>
      </c>
      <c r="F1573" s="11" t="s">
        <v>6564</v>
      </c>
      <c r="G1573" s="12">
        <f ca="1">IFERROR(__xludf.DUMMYFUNCTION(" VLOOKUP(A1570, IMPORTRANGE(""https://docs.google.com/spreadsheets/d/1fj_Bhi2XPL3siwIh4sx4VRLAe31yD50oKdj5UlRYW0c/"", ""Сводка!A:AA""), 5, FALSE)"),116)</f>
        <v>116</v>
      </c>
      <c r="H1573" s="12" t="s">
        <v>538</v>
      </c>
      <c r="I1573" s="10">
        <f ca="1">IFERROR(__xludf.DUMMYFUNCTION(" VLOOKUP(A1570, IMPORTRANGE(""https://docs.google.com/spreadsheets/d/1QNLbnkR_AongFt22vMfNzfpjZ0CjpI8QI-w0wBnYA1w/"", ""Инфа!A:AA""), 6, FALSE)"),2024)</f>
        <v>2024</v>
      </c>
      <c r="J1573" s="5">
        <f t="shared" ca="1" si="54"/>
        <v>12000</v>
      </c>
      <c r="K1573" s="12"/>
      <c r="L1573" s="15" t="s">
        <v>6565</v>
      </c>
    </row>
    <row r="1574" spans="1:12" ht="225">
      <c r="A1574" s="48" t="s">
        <v>6566</v>
      </c>
      <c r="B1574" s="12" t="s">
        <v>2231</v>
      </c>
      <c r="C1574" s="12" t="s">
        <v>151</v>
      </c>
      <c r="D1574" s="10" t="str">
        <f ca="1">IFERROR(__xludf.DUMMYFUNCTION(" VLOOKUP(A1571, IMPORTRANGE(""https://docs.google.com/spreadsheets/d/1fj_Bhi2XPL3siwIh4sx4VRLAe31yD50oKdj5UlRYW0c/"", ""Сводка!A:AA""), 11, FALSE)"),"978-459-235-244-3")</f>
        <v>978-459-235-244-3</v>
      </c>
      <c r="E1574" s="11" t="s">
        <v>6557</v>
      </c>
      <c r="F1574" s="11" t="s">
        <v>6567</v>
      </c>
      <c r="G1574" s="12">
        <f ca="1">IFERROR(__xludf.DUMMYFUNCTION(" VLOOKUP(A1571, IMPORTRANGE(""https://docs.google.com/spreadsheets/d/1fj_Bhi2XPL3siwIh4sx4VRLAe31yD50oKdj5UlRYW0c/"", ""Сводка!A:AA""), 5, FALSE)"),84)</f>
        <v>84</v>
      </c>
      <c r="H1574" s="12" t="s">
        <v>47</v>
      </c>
      <c r="I1574" s="10">
        <f ca="1">IFERROR(__xludf.DUMMYFUNCTION(" VLOOKUP(A1571, IMPORTRANGE(""https://docs.google.com/spreadsheets/d/1QNLbnkR_AongFt22vMfNzfpjZ0CjpI8QI-w0wBnYA1w/"", ""Инфа!A:AA""), 6, FALSE)"),2024)</f>
        <v>2024</v>
      </c>
      <c r="J1574" s="5">
        <f t="shared" ca="1" si="54"/>
        <v>10000</v>
      </c>
      <c r="K1574" s="12"/>
      <c r="L1574" s="15" t="s">
        <v>6568</v>
      </c>
    </row>
    <row r="1575" spans="1:12" ht="202.5">
      <c r="A1575" s="48" t="s">
        <v>6569</v>
      </c>
      <c r="B1575" s="12" t="s">
        <v>12</v>
      </c>
      <c r="C1575" s="12" t="s">
        <v>151</v>
      </c>
      <c r="D1575" s="10" t="str">
        <f ca="1">IFERROR(__xludf.DUMMYFUNCTION(" VLOOKUP(A1572, IMPORTRANGE(""https://docs.google.com/spreadsheets/d/1fj_Bhi2XPL3siwIh4sx4VRLAe31yD50oKdj5UlRYW0c/"", ""Сводка!A:AA""), 11, FALSE)"),"978-601-215-033-9")</f>
        <v>978-601-215-033-9</v>
      </c>
      <c r="E1575" s="45" t="s">
        <v>6299</v>
      </c>
      <c r="F1575" s="45" t="s">
        <v>6570</v>
      </c>
      <c r="G1575" s="12">
        <f ca="1">IFERROR(__xludf.DUMMYFUNCTION(" VLOOKUP(A1572, IMPORTRANGE(""https://docs.google.com/spreadsheets/d/1fj_Bhi2XPL3siwIh4sx4VRLAe31yD50oKdj5UlRYW0c/"", ""Сводка!A:AA""), 5, FALSE)"),336)</f>
        <v>336</v>
      </c>
      <c r="H1575" s="12" t="s">
        <v>106</v>
      </c>
      <c r="I1575" s="10">
        <f ca="1">IFERROR(__xludf.DUMMYFUNCTION(" VLOOKUP(A1572, IMPORTRANGE(""https://docs.google.com/spreadsheets/d/1QNLbnkR_AongFt22vMfNzfpjZ0CjpI8QI-w0wBnYA1w/"", ""Инфа!A:AA""), 6, FALSE)"),2024)</f>
        <v>2024</v>
      </c>
      <c r="J1575" s="5">
        <f ca="1">ROUND((5000+G1575*30),-2)</f>
        <v>15100</v>
      </c>
      <c r="K1575" s="12" t="s">
        <v>160</v>
      </c>
      <c r="L1575" s="16" t="s">
        <v>6571</v>
      </c>
    </row>
    <row r="1576" spans="1:12" ht="247.5">
      <c r="A1576" s="48" t="s">
        <v>6572</v>
      </c>
      <c r="B1576" s="12" t="s">
        <v>12</v>
      </c>
      <c r="C1576" s="12" t="s">
        <v>151</v>
      </c>
      <c r="D1576" s="10" t="str">
        <f ca="1">IFERROR(__xludf.DUMMYFUNCTION(" VLOOKUP(A1573, IMPORTRANGE(""https://docs.google.com/spreadsheets/d/1fj_Bhi2XPL3siwIh4sx4VRLAe31yD50oKdj5UlRYW0c/"", ""Сводка!A:AA""), 11, FALSE)"),"978-601-215-037-7")</f>
        <v>978-601-215-037-7</v>
      </c>
      <c r="E1576" s="45" t="s">
        <v>6573</v>
      </c>
      <c r="F1576" s="45" t="s">
        <v>6574</v>
      </c>
      <c r="G1576" s="12">
        <f ca="1">IFERROR(__xludf.DUMMYFUNCTION(" VLOOKUP(A1573, IMPORTRANGE(""https://docs.google.com/spreadsheets/d/1fj_Bhi2XPL3siwIh4sx4VRLAe31yD50oKdj5UlRYW0c/"", ""Сводка!A:AA""), 5, FALSE)"),320)</f>
        <v>320</v>
      </c>
      <c r="H1576" s="12" t="s">
        <v>106</v>
      </c>
      <c r="I1576" s="10">
        <f ca="1">IFERROR(__xludf.DUMMYFUNCTION(" VLOOKUP(A1573, IMPORTRANGE(""https://docs.google.com/spreadsheets/d/1QNLbnkR_AongFt22vMfNzfpjZ0CjpI8QI-w0wBnYA1w/"", ""Инфа!A:AA""), 6, FALSE)"),2024)</f>
        <v>2024</v>
      </c>
      <c r="J1576" s="5">
        <f ca="1">ROUND((5000+G1576*30),-2)</f>
        <v>14600</v>
      </c>
      <c r="K1576" s="12" t="s">
        <v>160</v>
      </c>
      <c r="L1576" s="16" t="s">
        <v>6575</v>
      </c>
    </row>
    <row r="1577" spans="1:12" ht="258.75">
      <c r="A1577" s="48" t="s">
        <v>6576</v>
      </c>
      <c r="B1577" s="12" t="s">
        <v>12</v>
      </c>
      <c r="C1577" s="12" t="s">
        <v>151</v>
      </c>
      <c r="D1577" s="10" t="str">
        <f ca="1">IFERROR(__xludf.DUMMYFUNCTION(" VLOOKUP(A1574, IMPORTRANGE(""https://docs.google.com/spreadsheets/d/1fj_Bhi2XPL3siwIh4sx4VRLAe31yD50oKdj5UlRYW0c/"", ""Сводка!A:AA""), 11, FALSE)"),"978-601-215-038-4")</f>
        <v>978-601-215-038-4</v>
      </c>
      <c r="E1577" s="45" t="s">
        <v>6299</v>
      </c>
      <c r="F1577" s="45" t="s">
        <v>6577</v>
      </c>
      <c r="G1577" s="12">
        <f ca="1">IFERROR(__xludf.DUMMYFUNCTION(" VLOOKUP(A1574, IMPORTRANGE(""https://docs.google.com/spreadsheets/d/1fj_Bhi2XPL3siwIh4sx4VRLAe31yD50oKdj5UlRYW0c/"", ""Сводка!A:AA""), 5, FALSE)"),282)</f>
        <v>282</v>
      </c>
      <c r="H1577" s="12" t="s">
        <v>498</v>
      </c>
      <c r="I1577" s="10">
        <f ca="1">IFERROR(__xludf.DUMMYFUNCTION(" VLOOKUP(A1574, IMPORTRANGE(""https://docs.google.com/spreadsheets/d/1QNLbnkR_AongFt22vMfNzfpjZ0CjpI8QI-w0wBnYA1w/"", ""Инфа!A:AA""), 6, FALSE)"),2024)</f>
        <v>2024</v>
      </c>
      <c r="J1577" s="5">
        <f ca="1">ROUND((5000+G1577*60),-2)</f>
        <v>21900</v>
      </c>
      <c r="K1577" s="12" t="s">
        <v>160</v>
      </c>
      <c r="L1577" s="16" t="s">
        <v>6578</v>
      </c>
    </row>
    <row r="1578" spans="1:12" ht="258.75">
      <c r="A1578" s="48" t="s">
        <v>6579</v>
      </c>
      <c r="B1578" s="12" t="s">
        <v>12</v>
      </c>
      <c r="C1578" s="12" t="s">
        <v>151</v>
      </c>
      <c r="D1578" s="10" t="str">
        <f ca="1">IFERROR(__xludf.DUMMYFUNCTION(" VLOOKUP(A1575, IMPORTRANGE(""https://docs.google.com/spreadsheets/d/1fj_Bhi2XPL3siwIh4sx4VRLAe31yD50oKdj5UlRYW0c/"", ""Сводка!A:AA""), 11, FALSE)"),"978-601-330-635-3")</f>
        <v>978-601-330-635-3</v>
      </c>
      <c r="E1578" s="45" t="s">
        <v>6299</v>
      </c>
      <c r="F1578" s="45" t="s">
        <v>6580</v>
      </c>
      <c r="G1578" s="12">
        <f ca="1">IFERROR(__xludf.DUMMYFUNCTION(" VLOOKUP(A1575, IMPORTRANGE(""https://docs.google.com/spreadsheets/d/1fj_Bhi2XPL3siwIh4sx4VRLAe31yD50oKdj5UlRYW0c/"", ""Сводка!A:AA""), 5, FALSE)"),336)</f>
        <v>336</v>
      </c>
      <c r="H1578" s="12" t="s">
        <v>498</v>
      </c>
      <c r="I1578" s="10">
        <f ca="1">IFERROR(__xludf.DUMMYFUNCTION(" VLOOKUP(A1575, IMPORTRANGE(""https://docs.google.com/spreadsheets/d/1QNLbnkR_AongFt22vMfNzfpjZ0CjpI8QI-w0wBnYA1w/"", ""Инфа!A:AA""), 6, FALSE)"),2024)</f>
        <v>2024</v>
      </c>
      <c r="J1578" s="5">
        <f ca="1">ROUND((5000+G1578*60),-2)</f>
        <v>25200</v>
      </c>
      <c r="K1578" s="12" t="s">
        <v>160</v>
      </c>
      <c r="L1578" s="16" t="s">
        <v>6578</v>
      </c>
    </row>
    <row r="1579" spans="1:12" ht="180">
      <c r="A1579" s="48" t="s">
        <v>6581</v>
      </c>
      <c r="B1579" s="12" t="s">
        <v>12</v>
      </c>
      <c r="C1579" s="12" t="s">
        <v>151</v>
      </c>
      <c r="D1579" s="10" t="str">
        <f ca="1">IFERROR(__xludf.DUMMYFUNCTION(" VLOOKUP(A1576, IMPORTRANGE(""https://docs.google.com/spreadsheets/d/1fj_Bhi2XPL3siwIh4sx4VRLAe31yD50oKdj5UlRYW0c/"", ""Сводка!A:AA""), 11, FALSE)"),"278-601-215-039-1")</f>
        <v>278-601-215-039-1</v>
      </c>
      <c r="E1579" s="45" t="s">
        <v>6582</v>
      </c>
      <c r="F1579" s="45" t="s">
        <v>6583</v>
      </c>
      <c r="G1579" s="12">
        <f ca="1">IFERROR(__xludf.DUMMYFUNCTION(" VLOOKUP(A1576, IMPORTRANGE(""https://docs.google.com/spreadsheets/d/1fj_Bhi2XPL3siwIh4sx4VRLAe31yD50oKdj5UlRYW0c/"", ""Сводка!A:AA""), 5, FALSE)"),324)</f>
        <v>324</v>
      </c>
      <c r="H1579" s="12" t="s">
        <v>498</v>
      </c>
      <c r="I1579" s="10">
        <f ca="1">IFERROR(__xludf.DUMMYFUNCTION(" VLOOKUP(A1576, IMPORTRANGE(""https://docs.google.com/spreadsheets/d/1QNLbnkR_AongFt22vMfNzfpjZ0CjpI8QI-w0wBnYA1w/"", ""Инфа!A:AA""), 6, FALSE)"),2024)</f>
        <v>2024</v>
      </c>
      <c r="J1579" s="5">
        <f ca="1">ROUND((5000+G1579*30),-2)</f>
        <v>14700</v>
      </c>
      <c r="K1579" s="12" t="s">
        <v>160</v>
      </c>
      <c r="L1579" s="16" t="s">
        <v>6584</v>
      </c>
    </row>
    <row r="1580" spans="1:12" ht="90">
      <c r="A1580" s="48" t="s">
        <v>6585</v>
      </c>
      <c r="B1580" s="12" t="s">
        <v>12</v>
      </c>
      <c r="C1580" s="12" t="s">
        <v>443</v>
      </c>
      <c r="D1580" s="10" t="str">
        <f ca="1">IFERROR(__xludf.DUMMYFUNCTION(" VLOOKUP(A1577, IMPORTRANGE(""https://docs.google.com/spreadsheets/d/1fj_Bhi2XPL3siwIh4sx4VRLAe31yD50oKdj5UlRYW0c/"", ""Сводка!A:AA""), 11, FALSE)"),"978-601-215-040-7")</f>
        <v>978-601-215-040-7</v>
      </c>
      <c r="E1580" s="45" t="s">
        <v>6307</v>
      </c>
      <c r="F1580" s="45" t="s">
        <v>6586</v>
      </c>
      <c r="G1580" s="12">
        <f ca="1">IFERROR(__xludf.DUMMYFUNCTION(" VLOOKUP(A1577, IMPORTRANGE(""https://docs.google.com/spreadsheets/d/1fj_Bhi2XPL3siwIh4sx4VRLAe31yD50oKdj5UlRYW0c/"", ""Сводка!A:AA""), 5, FALSE)"),192)</f>
        <v>192</v>
      </c>
      <c r="H1580" s="12" t="s">
        <v>106</v>
      </c>
      <c r="I1580" s="10">
        <f ca="1">IFERROR(__xludf.DUMMYFUNCTION(" VLOOKUP(A1577, IMPORTRANGE(""https://docs.google.com/spreadsheets/d/1QNLbnkR_AongFt22vMfNzfpjZ0CjpI8QI-w0wBnYA1w/"", ""Инфа!A:AA""), 6, FALSE)"),2024)</f>
        <v>2024</v>
      </c>
      <c r="J1580" s="5">
        <f ca="1">ROUND((5000+G1580*60),-2)</f>
        <v>16500</v>
      </c>
      <c r="K1580" s="12" t="s">
        <v>160</v>
      </c>
      <c r="L1580" s="16" t="s">
        <v>6587</v>
      </c>
    </row>
    <row r="1581" spans="1:12" ht="101.25">
      <c r="A1581" s="48" t="s">
        <v>6588</v>
      </c>
      <c r="B1581" s="12" t="s">
        <v>12</v>
      </c>
      <c r="C1581" s="12" t="s">
        <v>151</v>
      </c>
      <c r="D1581" s="10" t="str">
        <f ca="1">IFERROR(__xludf.DUMMYFUNCTION(" VLOOKUP(A1578, IMPORTRANGE(""https://docs.google.com/spreadsheets/d/1fj_Bhi2XPL3siwIh4sx4VRLAe31yD50oKdj5UlRYW0c/"", ""Сводка!A:AA""), 11, FALSE)"),"978-601-215-035-3")</f>
        <v>978-601-215-035-3</v>
      </c>
      <c r="E1581" s="45" t="s">
        <v>6307</v>
      </c>
      <c r="F1581" s="45" t="s">
        <v>6589</v>
      </c>
      <c r="G1581" s="12">
        <f ca="1">IFERROR(__xludf.DUMMYFUNCTION(" VLOOKUP(A1578, IMPORTRANGE(""https://docs.google.com/spreadsheets/d/1fj_Bhi2XPL3siwIh4sx4VRLAe31yD50oKdj5UlRYW0c/"", ""Сводка!A:AA""), 5, FALSE)"),200)</f>
        <v>200</v>
      </c>
      <c r="H1581" s="12" t="s">
        <v>106</v>
      </c>
      <c r="I1581" s="10">
        <f ca="1">IFERROR(__xludf.DUMMYFUNCTION(" VLOOKUP(A1578, IMPORTRANGE(""https://docs.google.com/spreadsheets/d/1QNLbnkR_AongFt22vMfNzfpjZ0CjpI8QI-w0wBnYA1w/"", ""Инфа!A:AA""), 6, FALSE)"),2024)</f>
        <v>2024</v>
      </c>
      <c r="J1581" s="5">
        <f ca="1">ROUND((5000+G1581*30),-2)</f>
        <v>11000</v>
      </c>
      <c r="K1581" s="12" t="s">
        <v>160</v>
      </c>
      <c r="L1581" s="16" t="s">
        <v>6590</v>
      </c>
    </row>
    <row r="1582" spans="1:12" ht="281.25">
      <c r="A1582" s="48" t="s">
        <v>6591</v>
      </c>
      <c r="B1582" s="12" t="s">
        <v>12</v>
      </c>
      <c r="C1582" s="12" t="s">
        <v>151</v>
      </c>
      <c r="D1582" s="10" t="str">
        <f ca="1">IFERROR(__xludf.DUMMYFUNCTION(" VLOOKUP(A1579, IMPORTRANGE(""https://docs.google.com/spreadsheets/d/1fj_Bhi2XPL3siwIh4sx4VRLAe31yD50oKdj5UlRYW0c/"", ""Сводка!A:AA""), 11, FALSE)"),"978-601-215-041-4")</f>
        <v>978-601-215-041-4</v>
      </c>
      <c r="E1582" s="45" t="s">
        <v>6592</v>
      </c>
      <c r="F1582" s="45" t="s">
        <v>6593</v>
      </c>
      <c r="G1582" s="12">
        <f ca="1">IFERROR(__xludf.DUMMYFUNCTION(" VLOOKUP(A1579, IMPORTRANGE(""https://docs.google.com/spreadsheets/d/1fj_Bhi2XPL3siwIh4sx4VRLAe31yD50oKdj5UlRYW0c/"", ""Сводка!A:AA""), 5, FALSE)"),320)</f>
        <v>320</v>
      </c>
      <c r="H1582" s="12" t="s">
        <v>47</v>
      </c>
      <c r="I1582" s="10">
        <f ca="1">IFERROR(__xludf.DUMMYFUNCTION(" VLOOKUP(A1579, IMPORTRANGE(""https://docs.google.com/spreadsheets/d/1QNLbnkR_AongFt22vMfNzfpjZ0CjpI8QI-w0wBnYA1w/"", ""Инфа!A:AA""), 6, FALSE)"),2024)</f>
        <v>2024</v>
      </c>
      <c r="J1582" s="5">
        <f ca="1">ROUND((5000+G1582*30),-2)</f>
        <v>14600</v>
      </c>
      <c r="K1582" s="12" t="s">
        <v>160</v>
      </c>
      <c r="L1582" s="16" t="s">
        <v>6594</v>
      </c>
    </row>
    <row r="1583" spans="1:12" ht="281.25">
      <c r="A1583" s="48" t="s">
        <v>6595</v>
      </c>
      <c r="B1583" s="12" t="s">
        <v>12</v>
      </c>
      <c r="C1583" s="12" t="s">
        <v>151</v>
      </c>
      <c r="D1583" s="10" t="str">
        <f ca="1">IFERROR(__xludf.DUMMYFUNCTION(" VLOOKUP(A1580, IMPORTRANGE(""https://docs.google.com/spreadsheets/d/1fj_Bhi2XPL3siwIh4sx4VRLAe31yD50oKdj5UlRYW0c/"", ""Сводка!A:AA""), 11, FALSE)"),"978-601-330-634-6")</f>
        <v>978-601-330-634-6</v>
      </c>
      <c r="E1583" s="45" t="s">
        <v>6592</v>
      </c>
      <c r="F1583" s="45" t="s">
        <v>6596</v>
      </c>
      <c r="G1583" s="12">
        <f ca="1">IFERROR(__xludf.DUMMYFUNCTION(" VLOOKUP(A1580, IMPORTRANGE(""https://docs.google.com/spreadsheets/d/1fj_Bhi2XPL3siwIh4sx4VRLAe31yD50oKdj5UlRYW0c/"", ""Сводка!A:AA""), 5, FALSE)"),328)</f>
        <v>328</v>
      </c>
      <c r="H1583" s="12" t="s">
        <v>47</v>
      </c>
      <c r="I1583" s="10">
        <f ca="1">IFERROR(__xludf.DUMMYFUNCTION(" VLOOKUP(A1580, IMPORTRANGE(""https://docs.google.com/spreadsheets/d/1QNLbnkR_AongFt22vMfNzfpjZ0CjpI8QI-w0wBnYA1w/"", ""Инфа!A:AA""), 6, FALSE)"),2024)</f>
        <v>2024</v>
      </c>
      <c r="J1583" s="5">
        <f ca="1">ROUND((5000+G1583*30),-2)</f>
        <v>14800</v>
      </c>
      <c r="K1583" s="12" t="s">
        <v>160</v>
      </c>
      <c r="L1583" s="16" t="s">
        <v>6594</v>
      </c>
    </row>
    <row r="1584" spans="1:12" ht="281.25">
      <c r="A1584" s="48" t="s">
        <v>6597</v>
      </c>
      <c r="B1584" s="12" t="s">
        <v>12</v>
      </c>
      <c r="C1584" s="12" t="s">
        <v>151</v>
      </c>
      <c r="D1584" s="10" t="str">
        <f ca="1">IFERROR(__xludf.DUMMYFUNCTION(" VLOOKUP(A1581, IMPORTRANGE(""https://docs.google.com/spreadsheets/d/1fj_Bhi2XPL3siwIh4sx4VRLAe31yD50oKdj5UlRYW0c/"", ""Сводка!A:AA""), 11, FALSE)"),"978-601-215-043-8")</f>
        <v>978-601-215-043-8</v>
      </c>
      <c r="E1584" s="45" t="s">
        <v>6299</v>
      </c>
      <c r="F1584" s="45" t="s">
        <v>6598</v>
      </c>
      <c r="G1584" s="12">
        <f ca="1">IFERROR(__xludf.DUMMYFUNCTION(" VLOOKUP(A1581, IMPORTRANGE(""https://docs.google.com/spreadsheets/d/1fj_Bhi2XPL3siwIh4sx4VRLAe31yD50oKdj5UlRYW0c/"", ""Сводка!A:AA""), 5, FALSE)"),188)</f>
        <v>188</v>
      </c>
      <c r="H1584" s="12" t="s">
        <v>498</v>
      </c>
      <c r="I1584" s="10">
        <f ca="1">IFERROR(__xludf.DUMMYFUNCTION(" VLOOKUP(A1581, IMPORTRANGE(""https://docs.google.com/spreadsheets/d/1QNLbnkR_AongFt22vMfNzfpjZ0CjpI8QI-w0wBnYA1w/"", ""Инфа!A:AA""), 6, FALSE)"),2024)</f>
        <v>2024</v>
      </c>
      <c r="J1584" s="5">
        <f ca="1">ROUND((5000+G1584*30),-2)</f>
        <v>10600</v>
      </c>
      <c r="K1584" s="12" t="s">
        <v>160</v>
      </c>
      <c r="L1584" s="16" t="s">
        <v>6599</v>
      </c>
    </row>
    <row r="1585" spans="1:12" ht="225">
      <c r="A1585" s="8" t="s">
        <v>6600</v>
      </c>
      <c r="B1585" s="9" t="s">
        <v>12</v>
      </c>
      <c r="C1585" s="10" t="s">
        <v>443</v>
      </c>
      <c r="D1585" s="10" t="str">
        <f ca="1">IFERROR(__xludf.DUMMYFUNCTION(" VLOOKUP(A1582, IMPORTRANGE(""https://docs.google.com/spreadsheets/d/1fj_Bhi2XPL3siwIh4sx4VRLAe31yD50oKdj5UlRYW0c/"", ""Сводка!A:AA""), 11, FALSE)"),"978-601-327-507-9")</f>
        <v>978-601-327-507-9</v>
      </c>
      <c r="E1585" s="11" t="s">
        <v>6601</v>
      </c>
      <c r="F1585" s="11" t="s">
        <v>6602</v>
      </c>
      <c r="G1585" s="12">
        <f ca="1">IFERROR(__xludf.DUMMYFUNCTION(" VLOOKUP(A1582, IMPORTRANGE(""https://docs.google.com/spreadsheets/d/1fj_Bhi2XPL3siwIh4sx4VRLAe31yD50oKdj5UlRYW0c/"", ""Сводка!A:AA""), 5, FALSE)"),196)</f>
        <v>196</v>
      </c>
      <c r="H1585" s="12" t="s">
        <v>538</v>
      </c>
      <c r="I1585" s="10">
        <f ca="1">IFERROR(__xludf.DUMMYFUNCTION(" VLOOKUP(A1582, IMPORTRANGE(""https://docs.google.com/spreadsheets/d/1QNLbnkR_AongFt22vMfNzfpjZ0CjpI8QI-w0wBnYA1w/"", ""Инфа!A:AA""), 6, FALSE)"),2024)</f>
        <v>2024</v>
      </c>
      <c r="J1585" s="5">
        <f ca="1">ROUND((5000+G1585*30),-2)</f>
        <v>10900</v>
      </c>
      <c r="K1585" s="12" t="s">
        <v>243</v>
      </c>
      <c r="L1585" s="15" t="s">
        <v>6603</v>
      </c>
    </row>
    <row r="1586" spans="1:12" ht="180">
      <c r="A1586" s="48" t="s">
        <v>6604</v>
      </c>
      <c r="B1586" s="12" t="s">
        <v>12</v>
      </c>
      <c r="C1586" s="12" t="s">
        <v>151</v>
      </c>
      <c r="D1586" s="10" t="str">
        <f ca="1">IFERROR(__xludf.DUMMYFUNCTION(" VLOOKUP(A1583, IMPORTRANGE(""https://docs.google.com/spreadsheets/d/1fj_Bhi2XPL3siwIh4sx4VRLAe31yD50oKdj5UlRYW0c/"", ""Сводка!A:AA""), 11, FALSE)"),"978-601-215-044-5")</f>
        <v>978-601-215-044-5</v>
      </c>
      <c r="E1586" s="45" t="s">
        <v>6605</v>
      </c>
      <c r="F1586" s="45" t="s">
        <v>6606</v>
      </c>
      <c r="G1586" s="12">
        <f ca="1">IFERROR(__xludf.DUMMYFUNCTION(" VLOOKUP(A1583, IMPORTRANGE(""https://docs.google.com/spreadsheets/d/1fj_Bhi2XPL3siwIh4sx4VRLAe31yD50oKdj5UlRYW0c/"", ""Сводка!A:AA""), 5, FALSE)"),312)</f>
        <v>312</v>
      </c>
      <c r="H1586" s="12" t="s">
        <v>498</v>
      </c>
      <c r="I1586" s="10">
        <f ca="1">IFERROR(__xludf.DUMMYFUNCTION(" VLOOKUP(A1583, IMPORTRANGE(""https://docs.google.com/spreadsheets/d/1QNLbnkR_AongFt22vMfNzfpjZ0CjpI8QI-w0wBnYA1w/"", ""Инфа!A:AA""), 6, FALSE)"),2024)</f>
        <v>2024</v>
      </c>
      <c r="J1586" s="5">
        <f ca="1">ROUND((5000+G1586*60),-2)</f>
        <v>23700</v>
      </c>
      <c r="K1586" s="12" t="s">
        <v>160</v>
      </c>
      <c r="L1586" s="16" t="s">
        <v>6607</v>
      </c>
    </row>
    <row r="1587" spans="1:12" ht="112.5">
      <c r="A1587" s="48" t="s">
        <v>6608</v>
      </c>
      <c r="B1587" s="12" t="s">
        <v>2231</v>
      </c>
      <c r="C1587" s="12" t="s">
        <v>443</v>
      </c>
      <c r="D1587" s="10" t="s">
        <v>6609</v>
      </c>
      <c r="E1587" s="45" t="s">
        <v>6610</v>
      </c>
      <c r="F1587" s="45" t="s">
        <v>6611</v>
      </c>
      <c r="G1587" s="12">
        <f ca="1">IFERROR(__xludf.DUMMYFUNCTION(" VLOOKUP(A1584, IMPORTRANGE(""https://docs.google.com/spreadsheets/d/1fj_Bhi2XPL3siwIh4sx4VRLAe31yD50oKdj5UlRYW0c/"", ""Сводка!A:AA""), 5, FALSE)"),196)</f>
        <v>196</v>
      </c>
      <c r="H1587" s="12" t="s">
        <v>446</v>
      </c>
      <c r="I1587" s="10">
        <f ca="1">IFERROR(__xludf.DUMMYFUNCTION(" VLOOKUP(A1584, IMPORTRANGE(""https://docs.google.com/spreadsheets/d/1QNLbnkR_AongFt22vMfNzfpjZ0CjpI8QI-w0wBnYA1w/"", ""Инфа!A:AA""), 6, FALSE)"),2024)</f>
        <v>2024</v>
      </c>
      <c r="J1587" s="5">
        <f ca="1">ROUND((5000+G1587*60),-2)</f>
        <v>16800</v>
      </c>
      <c r="K1587" s="12" t="s">
        <v>2514</v>
      </c>
      <c r="L1587" s="16" t="s">
        <v>6612</v>
      </c>
    </row>
    <row r="1588" spans="1:12" ht="112.5">
      <c r="A1588" s="48" t="s">
        <v>6613</v>
      </c>
      <c r="B1588" s="12" t="s">
        <v>2231</v>
      </c>
      <c r="C1588" s="12" t="s">
        <v>443</v>
      </c>
      <c r="D1588" s="10" t="s">
        <v>6609</v>
      </c>
      <c r="E1588" s="45" t="s">
        <v>6610</v>
      </c>
      <c r="F1588" s="45" t="s">
        <v>6614</v>
      </c>
      <c r="G1588" s="12">
        <f ca="1">IFERROR(__xludf.DUMMYFUNCTION(" VLOOKUP(A1585, IMPORTRANGE(""https://docs.google.com/spreadsheets/d/1fj_Bhi2XPL3siwIh4sx4VRLAe31yD50oKdj5UlRYW0c/"", ""Сводка!A:AA""), 5, FALSE)"),172)</f>
        <v>172</v>
      </c>
      <c r="H1588" s="12" t="s">
        <v>446</v>
      </c>
      <c r="I1588" s="10">
        <f ca="1">IFERROR(__xludf.DUMMYFUNCTION(" VLOOKUP(A1585, IMPORTRANGE(""https://docs.google.com/spreadsheets/d/1QNLbnkR_AongFt22vMfNzfpjZ0CjpI8QI-w0wBnYA1w/"", ""Инфа!A:AA""), 6, FALSE)"),2024)</f>
        <v>2024</v>
      </c>
      <c r="J1588" s="5">
        <f ca="1">ROUND((5000+G1588*60),-2)</f>
        <v>15300</v>
      </c>
      <c r="K1588" s="12" t="s">
        <v>2514</v>
      </c>
      <c r="L1588" s="16" t="s">
        <v>6612</v>
      </c>
    </row>
    <row r="1589" spans="1:12" ht="135">
      <c r="A1589" s="48" t="s">
        <v>6615</v>
      </c>
      <c r="B1589" s="12" t="s">
        <v>12</v>
      </c>
      <c r="C1589" s="12" t="s">
        <v>443</v>
      </c>
      <c r="D1589" s="10" t="str">
        <f ca="1">IFERROR(__xludf.DUMMYFUNCTION(" VLOOKUP(A1586, IMPORTRANGE(""https://docs.google.com/spreadsheets/d/1fj_Bhi2XPL3siwIh4sx4VRLAe31yD50oKdj5UlRYW0c/"", ""Сводка!A:AA""), 11, FALSE)"),"")</f>
        <v/>
      </c>
      <c r="E1589" s="45" t="s">
        <v>2540</v>
      </c>
      <c r="F1589" s="45" t="s">
        <v>6616</v>
      </c>
      <c r="G1589" s="12">
        <f ca="1">IFERROR(__xludf.DUMMYFUNCTION(" VLOOKUP(A1586, IMPORTRANGE(""https://docs.google.com/spreadsheets/d/1fj_Bhi2XPL3siwIh4sx4VRLAe31yD50oKdj5UlRYW0c/"", ""Сводка!A:AA""), 5, FALSE)"),212)</f>
        <v>212</v>
      </c>
      <c r="H1589" s="12" t="s">
        <v>511</v>
      </c>
      <c r="I1589" s="10">
        <f ca="1">IFERROR(__xludf.DUMMYFUNCTION(" VLOOKUP(A1586, IMPORTRANGE(""https://docs.google.com/spreadsheets/d/1QNLbnkR_AongFt22vMfNzfpjZ0CjpI8QI-w0wBnYA1w/"", ""Инфа!A:AA""), 6, FALSE)"),2024)</f>
        <v>2024</v>
      </c>
      <c r="J1589" s="5">
        <f ca="1">ROUND((5000+G1589*30),-2)</f>
        <v>11400</v>
      </c>
      <c r="K1589" s="12" t="s">
        <v>539</v>
      </c>
      <c r="L1589" s="16" t="s">
        <v>6617</v>
      </c>
    </row>
    <row r="1590" spans="1:12" ht="180">
      <c r="A1590" s="48" t="s">
        <v>6618</v>
      </c>
      <c r="B1590" s="12" t="s">
        <v>2231</v>
      </c>
      <c r="C1590" s="12" t="s">
        <v>443</v>
      </c>
      <c r="D1590" s="12" t="s">
        <v>6619</v>
      </c>
      <c r="E1590" s="45" t="s">
        <v>6620</v>
      </c>
      <c r="F1590" s="45" t="s">
        <v>6621</v>
      </c>
      <c r="G1590" s="12">
        <f ca="1">IFERROR(__xludf.DUMMYFUNCTION(" VLOOKUP(A1587, IMPORTRANGE(""https://docs.google.com/spreadsheets/d/1fj_Bhi2XPL3siwIh4sx4VRLAe31yD50oKdj5UlRYW0c/"", ""Сводка!A:AA""), 5, FALSE)"),208)</f>
        <v>208</v>
      </c>
      <c r="H1590" s="12" t="s">
        <v>446</v>
      </c>
      <c r="I1590" s="10">
        <f ca="1">IFERROR(__xludf.DUMMYFUNCTION(" VLOOKUP(A1587, IMPORTRANGE(""https://docs.google.com/spreadsheets/d/1QNLbnkR_AongFt22vMfNzfpjZ0CjpI8QI-w0wBnYA1w/"", ""Инфа!A:AA""), 6, FALSE)"),2024)</f>
        <v>2024</v>
      </c>
      <c r="J1590" s="5">
        <f ca="1">ROUND((5000+G1590*60),-2)</f>
        <v>17500</v>
      </c>
      <c r="K1590" s="12" t="s">
        <v>2514</v>
      </c>
      <c r="L1590" s="16" t="s">
        <v>6622</v>
      </c>
    </row>
    <row r="1591" spans="1:12" ht="303.75">
      <c r="A1591" s="48" t="s">
        <v>6623</v>
      </c>
      <c r="B1591" s="12" t="s">
        <v>12</v>
      </c>
      <c r="C1591" s="12" t="s">
        <v>151</v>
      </c>
      <c r="D1591" s="10" t="s">
        <v>6624</v>
      </c>
      <c r="E1591" s="45" t="s">
        <v>6625</v>
      </c>
      <c r="F1591" s="45" t="s">
        <v>6626</v>
      </c>
      <c r="G1591" s="12">
        <f ca="1">IFERROR(__xludf.DUMMYFUNCTION(" VLOOKUP(A1588, IMPORTRANGE(""https://docs.google.com/spreadsheets/d/1fj_Bhi2XPL3siwIh4sx4VRLAe31yD50oKdj5UlRYW0c/"", ""Сводка!A:AA""), 5, FALSE)"),192)</f>
        <v>192</v>
      </c>
      <c r="H1591" s="12" t="s">
        <v>47</v>
      </c>
      <c r="I1591" s="10">
        <f ca="1">IFERROR(__xludf.DUMMYFUNCTION(" VLOOKUP(A1588, IMPORTRANGE(""https://docs.google.com/spreadsheets/d/1QNLbnkR_AongFt22vMfNzfpjZ0CjpI8QI-w0wBnYA1w/"", ""Инфа!A:AA""), 6, FALSE)"),2024)</f>
        <v>2024</v>
      </c>
      <c r="J1591" s="5">
        <f ca="1">ROUND((5000+G1591*30),-2)</f>
        <v>10800</v>
      </c>
      <c r="K1591" s="12" t="s">
        <v>26</v>
      </c>
      <c r="L1591" s="16" t="s">
        <v>6627</v>
      </c>
    </row>
    <row r="1592" spans="1:12" ht="303.75">
      <c r="A1592" s="48" t="s">
        <v>6628</v>
      </c>
      <c r="B1592" s="12" t="s">
        <v>12</v>
      </c>
      <c r="C1592" s="12" t="s">
        <v>151</v>
      </c>
      <c r="D1592" s="10" t="str">
        <f ca="1">IFERROR(__xludf.DUMMYFUNCTION(" VLOOKUP(A1589, IMPORTRANGE(""https://docs.google.com/spreadsheets/d/1fj_Bhi2XPL3siwIh4sx4VRLAe31yD50oKdj5UlRYW0c/"", ""Сводка!A:AA""), 11, FALSE)"),"")</f>
        <v/>
      </c>
      <c r="E1592" s="45" t="s">
        <v>6625</v>
      </c>
      <c r="F1592" s="45" t="s">
        <v>6629</v>
      </c>
      <c r="G1592" s="12">
        <f ca="1">IFERROR(__xludf.DUMMYFUNCTION(" VLOOKUP(A1589, IMPORTRANGE(""https://docs.google.com/spreadsheets/d/1fj_Bhi2XPL3siwIh4sx4VRLAe31yD50oKdj5UlRYW0c/"", ""Сводка!A:AA""), 5, FALSE)"),164)</f>
        <v>164</v>
      </c>
      <c r="H1592" s="12" t="s">
        <v>47</v>
      </c>
      <c r="I1592" s="10">
        <f ca="1">IFERROR(__xludf.DUMMYFUNCTION(" VLOOKUP(A1589, IMPORTRANGE(""https://docs.google.com/spreadsheets/d/1QNLbnkR_AongFt22vMfNzfpjZ0CjpI8QI-w0wBnYA1w/"", ""Инфа!A:AA""), 6, FALSE)"),2024)</f>
        <v>2024</v>
      </c>
      <c r="J1592" s="5">
        <f ca="1">ROUND((5000+G1592*30),-2)</f>
        <v>9900</v>
      </c>
      <c r="K1592" s="12" t="s">
        <v>26</v>
      </c>
      <c r="L1592" s="16" t="s">
        <v>6627</v>
      </c>
    </row>
    <row r="1593" spans="1:12" ht="191.25">
      <c r="A1593" s="48" t="s">
        <v>6630</v>
      </c>
      <c r="B1593" s="12" t="s">
        <v>12</v>
      </c>
      <c r="C1593" s="12" t="s">
        <v>443</v>
      </c>
      <c r="D1593" s="12" t="s">
        <v>6631</v>
      </c>
      <c r="E1593" s="11" t="s">
        <v>6632</v>
      </c>
      <c r="F1593" s="11" t="s">
        <v>6633</v>
      </c>
      <c r="G1593" s="12">
        <f ca="1">IFERROR(__xludf.DUMMYFUNCTION(" VLOOKUP(A1590, IMPORTRANGE(""https://docs.google.com/spreadsheets/d/1fj_Bhi2XPL3siwIh4sx4VRLAe31yD50oKdj5UlRYW0c/"", ""Сводка!A:AA""), 5, FALSE)"),316)</f>
        <v>316</v>
      </c>
      <c r="H1593" s="12" t="s">
        <v>511</v>
      </c>
      <c r="I1593" s="10">
        <f ca="1">IFERROR(__xludf.DUMMYFUNCTION(" VLOOKUP(A1590, IMPORTRANGE(""https://docs.google.com/spreadsheets/d/1QNLbnkR_AongFt22vMfNzfpjZ0CjpI8QI-w0wBnYA1w/"", ""Инфа!A:AA""), 6, FALSE)"),2024)</f>
        <v>2024</v>
      </c>
      <c r="J1593" s="5">
        <f ca="1">ROUND((5000+G1593*60),-2)</f>
        <v>24000</v>
      </c>
      <c r="K1593" s="12" t="s">
        <v>6634</v>
      </c>
      <c r="L1593" s="15" t="s">
        <v>6635</v>
      </c>
    </row>
    <row r="1594" spans="1:12" ht="112.5">
      <c r="A1594" s="48" t="s">
        <v>6636</v>
      </c>
      <c r="B1594" s="12" t="s">
        <v>12</v>
      </c>
      <c r="C1594" s="12" t="s">
        <v>443</v>
      </c>
      <c r="D1594" s="10" t="str">
        <f ca="1">IFERROR(__xludf.DUMMYFUNCTION(" VLOOKUP(A1591, IMPORTRANGE(""https://docs.google.com/spreadsheets/d/1fj_Bhi2XPL3siwIh4sx4VRLAe31yD50oKdj5UlRYW0c/"", ""Сводка!A:AA""), 11, FALSE)"),"978-601-330-774-9")</f>
        <v>978-601-330-774-9</v>
      </c>
      <c r="E1594" s="11" t="s">
        <v>6637</v>
      </c>
      <c r="F1594" s="11" t="s">
        <v>6638</v>
      </c>
      <c r="G1594" s="12">
        <f ca="1">IFERROR(__xludf.DUMMYFUNCTION(" VLOOKUP(A1591, IMPORTRANGE(""https://docs.google.com/spreadsheets/d/1fj_Bhi2XPL3siwIh4sx4VRLAe31yD50oKdj5UlRYW0c/"", ""Сводка!A:AA""), 5, FALSE)"),124)</f>
        <v>124</v>
      </c>
      <c r="H1594" s="12" t="s">
        <v>538</v>
      </c>
      <c r="I1594" s="10">
        <f ca="1">IFERROR(__xludf.DUMMYFUNCTION(" VLOOKUP(A1591, IMPORTRANGE(""https://docs.google.com/spreadsheets/d/1QNLbnkR_AongFt22vMfNzfpjZ0CjpI8QI-w0wBnYA1w/"", ""Инфа!A:AA""), 6, FALSE)"),2024)</f>
        <v>2024</v>
      </c>
      <c r="J1594" s="5">
        <f ca="1">ROUND((5000+G1594*30),-2)</f>
        <v>8700</v>
      </c>
      <c r="K1594" s="12" t="s">
        <v>287</v>
      </c>
      <c r="L1594" s="15" t="s">
        <v>6639</v>
      </c>
    </row>
    <row r="1595" spans="1:12" ht="135">
      <c r="A1595" s="8" t="s">
        <v>6640</v>
      </c>
      <c r="B1595" s="9" t="s">
        <v>12</v>
      </c>
      <c r="C1595" s="10" t="s">
        <v>443</v>
      </c>
      <c r="D1595" s="10" t="str">
        <f ca="1">IFERROR(__xludf.DUMMYFUNCTION(" VLOOKUP(A1592, IMPORTRANGE(""https://docs.google.com/spreadsheets/d/1fj_Bhi2XPL3siwIh4sx4VRLAe31yD50oKdj5UlRYW0c/"", ""Сводка!A:AA""), 11, FALSE)"),"978-601-327-508-6")</f>
        <v>978-601-327-508-6</v>
      </c>
      <c r="E1595" s="11" t="s">
        <v>6601</v>
      </c>
      <c r="F1595" s="11" t="s">
        <v>6641</v>
      </c>
      <c r="G1595" s="12">
        <f ca="1">IFERROR(__xludf.DUMMYFUNCTION(" VLOOKUP(A1592, IMPORTRANGE(""https://docs.google.com/spreadsheets/d/1fj_Bhi2XPL3siwIh4sx4VRLAe31yD50oKdj5UlRYW0c/"", ""Сводка!A:AA""), 5, FALSE)"),120)</f>
        <v>120</v>
      </c>
      <c r="H1595" s="12" t="s">
        <v>538</v>
      </c>
      <c r="I1595" s="10">
        <f ca="1">IFERROR(__xludf.DUMMYFUNCTION(" VLOOKUP(A1592, IMPORTRANGE(""https://docs.google.com/spreadsheets/d/1QNLbnkR_AongFt22vMfNzfpjZ0CjpI8QI-w0wBnYA1w/"", ""Инфа!A:AA""), 6, FALSE)"),2024)</f>
        <v>2024</v>
      </c>
      <c r="J1595" s="5">
        <f ca="1">ROUND((5000+G1595*30),-2)</f>
        <v>8600</v>
      </c>
      <c r="K1595" s="12" t="s">
        <v>243</v>
      </c>
      <c r="L1595" s="15" t="s">
        <v>6642</v>
      </c>
    </row>
    <row r="1596" spans="1:12" ht="258.75">
      <c r="A1596" s="48" t="s">
        <v>6643</v>
      </c>
      <c r="B1596" s="12" t="s">
        <v>12</v>
      </c>
      <c r="C1596" s="12" t="s">
        <v>443</v>
      </c>
      <c r="D1596" s="12" t="s">
        <v>6644</v>
      </c>
      <c r="E1596" s="11" t="s">
        <v>6637</v>
      </c>
      <c r="F1596" s="11" t="s">
        <v>6645</v>
      </c>
      <c r="G1596" s="12">
        <f ca="1">IFERROR(__xludf.DUMMYFUNCTION(" VLOOKUP(A1593, IMPORTRANGE(""https://docs.google.com/spreadsheets/d/1fj_Bhi2XPL3siwIh4sx4VRLAe31yD50oKdj5UlRYW0c/"", ""Сводка!A:AA""), 5, FALSE)"),172)</f>
        <v>172</v>
      </c>
      <c r="H1596" s="12" t="s">
        <v>538</v>
      </c>
      <c r="I1596" s="10">
        <f ca="1">IFERROR(__xludf.DUMMYFUNCTION(" VLOOKUP(A1593, IMPORTRANGE(""https://docs.google.com/spreadsheets/d/1QNLbnkR_AongFt22vMfNzfpjZ0CjpI8QI-w0wBnYA1w/"", ""Инфа!A:AA""), 6, FALSE)"),2024)</f>
        <v>2024</v>
      </c>
      <c r="J1596" s="5">
        <f ca="1">ROUND((5000+G1596*30),-2)</f>
        <v>10200</v>
      </c>
      <c r="K1596" s="12" t="s">
        <v>287</v>
      </c>
      <c r="L1596" s="15" t="s">
        <v>6646</v>
      </c>
    </row>
    <row r="1597" spans="1:12" ht="123.75">
      <c r="A1597" s="48" t="s">
        <v>6647</v>
      </c>
      <c r="B1597" s="12" t="s">
        <v>12</v>
      </c>
      <c r="C1597" s="12" t="s">
        <v>151</v>
      </c>
      <c r="D1597" s="10" t="str">
        <f ca="1">IFERROR(__xludf.DUMMYFUNCTION(" VLOOKUP(A1594, IMPORTRANGE(""https://docs.google.com/spreadsheets/d/1fj_Bhi2XPL3siwIh4sx4VRLAe31yD50oKdj5UlRYW0c/"", ""Сводка!A:AA""), 11, FALSE)"),"978-601-215-053-7")</f>
        <v>978-601-215-053-7</v>
      </c>
      <c r="E1597" s="11" t="s">
        <v>6648</v>
      </c>
      <c r="F1597" s="11" t="s">
        <v>6649</v>
      </c>
      <c r="G1597" s="12">
        <f ca="1">IFERROR(__xludf.DUMMYFUNCTION(" VLOOKUP(A1594, IMPORTRANGE(""https://docs.google.com/spreadsheets/d/1fj_Bhi2XPL3siwIh4sx4VRLAe31yD50oKdj5UlRYW0c/"", ""Сводка!A:AA""), 5, FALSE)"),280)</f>
        <v>280</v>
      </c>
      <c r="H1597" s="12" t="s">
        <v>106</v>
      </c>
      <c r="I1597" s="10">
        <f ca="1">IFERROR(__xludf.DUMMYFUNCTION(" VLOOKUP(A1594, IMPORTRANGE(""https://docs.google.com/spreadsheets/d/1QNLbnkR_AongFt22vMfNzfpjZ0CjpI8QI-w0wBnYA1w/"", ""Инфа!A:AA""), 6, FALSE)"),2024)</f>
        <v>2024</v>
      </c>
      <c r="J1597" s="5">
        <f ca="1">ROUND((5000+G1597*30),-2)</f>
        <v>13400</v>
      </c>
      <c r="K1597" s="12" t="s">
        <v>160</v>
      </c>
      <c r="L1597" s="15" t="s">
        <v>6650</v>
      </c>
    </row>
    <row r="1598" spans="1:12" ht="202.5">
      <c r="A1598" s="48" t="s">
        <v>6651</v>
      </c>
      <c r="B1598" s="12" t="s">
        <v>12</v>
      </c>
      <c r="C1598" s="12" t="s">
        <v>443</v>
      </c>
      <c r="D1598" s="10" t="str">
        <f ca="1">IFERROR(__xludf.DUMMYFUNCTION(" VLOOKUP(A1595, IMPORTRANGE(""https://docs.google.com/spreadsheets/d/1fj_Bhi2XPL3siwIh4sx4VRLAe31yD50oKdj5UlRYW0c/"", ""Сводка!A:AA""), 11, FALSE)"),"978-601-215-048-3")</f>
        <v>978-601-215-048-3</v>
      </c>
      <c r="E1598" s="11" t="s">
        <v>6307</v>
      </c>
      <c r="F1598" s="11" t="s">
        <v>6652</v>
      </c>
      <c r="G1598" s="12">
        <f ca="1">IFERROR(__xludf.DUMMYFUNCTION(" VLOOKUP(A1595, IMPORTRANGE(""https://docs.google.com/spreadsheets/d/1fj_Bhi2XPL3siwIh4sx4VRLAe31yD50oKdj5UlRYW0c/"", ""Сводка!A:AA""), 5, FALSE)"),188)</f>
        <v>188</v>
      </c>
      <c r="H1598" s="12" t="s">
        <v>106</v>
      </c>
      <c r="I1598" s="10">
        <f ca="1">IFERROR(__xludf.DUMMYFUNCTION(" VLOOKUP(A1595, IMPORTRANGE(""https://docs.google.com/spreadsheets/d/1QNLbnkR_AongFt22vMfNzfpjZ0CjpI8QI-w0wBnYA1w/"", ""Инфа!A:AA""), 6, FALSE)"),2024)</f>
        <v>2024</v>
      </c>
      <c r="J1598" s="5">
        <f ca="1">ROUND((5000+G1598*60),-2)</f>
        <v>16300</v>
      </c>
      <c r="K1598" s="12" t="s">
        <v>160</v>
      </c>
      <c r="L1598" s="15" t="s">
        <v>6653</v>
      </c>
    </row>
    <row r="1599" spans="1:12" ht="135">
      <c r="A1599" s="48" t="s">
        <v>6654</v>
      </c>
      <c r="B1599" s="12" t="s">
        <v>12</v>
      </c>
      <c r="C1599" s="12" t="s">
        <v>443</v>
      </c>
      <c r="D1599" s="10" t="str">
        <f ca="1">IFERROR(__xludf.DUMMYFUNCTION(" VLOOKUP(A1596, IMPORTRANGE(""https://docs.google.com/spreadsheets/d/1fj_Bhi2XPL3siwIh4sx4VRLAe31yD50oKdj5UlRYW0c/"", ""Сводка!A:AA""), 11, FALSE)"),"")</f>
        <v/>
      </c>
      <c r="E1599" s="11" t="s">
        <v>6655</v>
      </c>
      <c r="F1599" s="11" t="s">
        <v>6656</v>
      </c>
      <c r="G1599" s="12">
        <f ca="1">IFERROR(__xludf.DUMMYFUNCTION(" VLOOKUP(A1596, IMPORTRANGE(""https://docs.google.com/spreadsheets/d/1fj_Bhi2XPL3siwIh4sx4VRLAe31yD50oKdj5UlRYW0c/"", ""Сводка!A:AA""), 5, FALSE)"),132)</f>
        <v>132</v>
      </c>
      <c r="H1599" s="12" t="s">
        <v>538</v>
      </c>
      <c r="I1599" s="10">
        <f ca="1">IFERROR(__xludf.DUMMYFUNCTION(" VLOOKUP(A1596, IMPORTRANGE(""https://docs.google.com/spreadsheets/d/1QNLbnkR_AongFt22vMfNzfpjZ0CjpI8QI-w0wBnYA1w/"", ""Инфа!A:AA""), 6, FALSE)"),2024)</f>
        <v>2024</v>
      </c>
      <c r="J1599" s="5">
        <f ca="1">ROUND((5000+G1599*60),-2)</f>
        <v>12900</v>
      </c>
      <c r="K1599" s="12" t="s">
        <v>6657</v>
      </c>
      <c r="L1599" s="15" t="s">
        <v>6658</v>
      </c>
    </row>
    <row r="1600" spans="1:12" ht="247.5">
      <c r="A1600" s="48" t="s">
        <v>6659</v>
      </c>
      <c r="B1600" s="12" t="s">
        <v>12</v>
      </c>
      <c r="C1600" s="12" t="s">
        <v>151</v>
      </c>
      <c r="D1600" s="10" t="str">
        <f ca="1">IFERROR(__xludf.DUMMYFUNCTION(" VLOOKUP(A1597, IMPORTRANGE(""https://docs.google.com/spreadsheets/d/1fj_Bhi2XPL3siwIh4sx4VRLAe31yD50oKdj5UlRYW0c/"", ""Сводка!A:AA""), 11, FALSE)"),"")</f>
        <v/>
      </c>
      <c r="E1600" s="11" t="s">
        <v>6660</v>
      </c>
      <c r="F1600" s="11" t="s">
        <v>6661</v>
      </c>
      <c r="G1600" s="12">
        <f ca="1">IFERROR(__xludf.DUMMYFUNCTION(" VLOOKUP(A1597, IMPORTRANGE(""https://docs.google.com/spreadsheets/d/1fj_Bhi2XPL3siwIh4sx4VRLAe31yD50oKdj5UlRYW0c/"", ""Сводка!A:AA""), 5, FALSE)"),144)</f>
        <v>144</v>
      </c>
      <c r="H1600" s="12" t="s">
        <v>47</v>
      </c>
      <c r="I1600" s="10">
        <f ca="1">IFERROR(__xludf.DUMMYFUNCTION(" VLOOKUP(A1597, IMPORTRANGE(""https://docs.google.com/spreadsheets/d/1QNLbnkR_AongFt22vMfNzfpjZ0CjpI8QI-w0wBnYA1w/"", ""Инфа!A:AA""), 6, FALSE)"),2024)</f>
        <v>2024</v>
      </c>
      <c r="J1600" s="5">
        <f ca="1">ROUND((5000+G1600*60),-2)</f>
        <v>13600</v>
      </c>
      <c r="K1600" s="12" t="s">
        <v>5380</v>
      </c>
      <c r="L1600" s="15" t="s">
        <v>6662</v>
      </c>
    </row>
    <row r="1601" spans="1:12" ht="213.75">
      <c r="A1601" s="48" t="s">
        <v>6663</v>
      </c>
      <c r="B1601" s="12" t="s">
        <v>12</v>
      </c>
      <c r="C1601" s="12" t="s">
        <v>443</v>
      </c>
      <c r="D1601" s="10" t="str">
        <f ca="1">IFERROR(__xludf.DUMMYFUNCTION(" VLOOKUP(A1598, IMPORTRANGE(""https://docs.google.com/spreadsheets/d/1fj_Bhi2XPL3siwIh4sx4VRLAe31yD50oKdj5UlRYW0c/"", ""Сводка!A:AA""), 11, FALSE)"),"978-601-330-773-3")</f>
        <v>978-601-330-773-3</v>
      </c>
      <c r="E1601" s="11" t="s">
        <v>6637</v>
      </c>
      <c r="F1601" s="11" t="s">
        <v>6664</v>
      </c>
      <c r="G1601" s="12">
        <f ca="1">IFERROR(__xludf.DUMMYFUNCTION(" VLOOKUP(A1598, IMPORTRANGE(""https://docs.google.com/spreadsheets/d/1fj_Bhi2XPL3siwIh4sx4VRLAe31yD50oKdj5UlRYW0c/"", ""Сводка!A:AA""), 5, FALSE)"),112)</f>
        <v>112</v>
      </c>
      <c r="H1601" s="12" t="s">
        <v>538</v>
      </c>
      <c r="I1601" s="10">
        <f ca="1">IFERROR(__xludf.DUMMYFUNCTION(" VLOOKUP(A1598, IMPORTRANGE(""https://docs.google.com/spreadsheets/d/1QNLbnkR_AongFt22vMfNzfpjZ0CjpI8QI-w0wBnYA1w/"", ""Инфа!A:AA""), 6, FALSE)"),2024)</f>
        <v>2024</v>
      </c>
      <c r="J1601" s="5">
        <f ca="1">ROUND((5000+G1601*30),-2)</f>
        <v>8400</v>
      </c>
      <c r="K1601" s="12" t="s">
        <v>287</v>
      </c>
      <c r="L1601" s="15" t="s">
        <v>6665</v>
      </c>
    </row>
    <row r="1602" spans="1:12" ht="112.5">
      <c r="A1602" s="48" t="s">
        <v>6666</v>
      </c>
      <c r="B1602" s="12" t="s">
        <v>12</v>
      </c>
      <c r="C1602" s="12" t="s">
        <v>443</v>
      </c>
      <c r="D1602" s="10" t="str">
        <f ca="1">IFERROR(__xludf.DUMMYFUNCTION(" VLOOKUP(A1599, IMPORTRANGE(""https://docs.google.com/spreadsheets/d/1fj_Bhi2XPL3siwIh4sx4VRLAe31yD50oKdj5UlRYW0c/"", ""Сводка!A:AA""), 11, FALSE)"),"978-601-330-789-3")</f>
        <v>978-601-330-789-3</v>
      </c>
      <c r="E1602" s="11" t="s">
        <v>6637</v>
      </c>
      <c r="F1602" s="11" t="s">
        <v>6667</v>
      </c>
      <c r="G1602" s="12">
        <f ca="1">IFERROR(__xludf.DUMMYFUNCTION(" VLOOKUP(A1599, IMPORTRANGE(""https://docs.google.com/spreadsheets/d/1fj_Bhi2XPL3siwIh4sx4VRLAe31yD50oKdj5UlRYW0c/"", ""Сводка!A:AA""), 5, FALSE)"),132)</f>
        <v>132</v>
      </c>
      <c r="H1602" s="12" t="s">
        <v>538</v>
      </c>
      <c r="I1602" s="10">
        <f ca="1">IFERROR(__xludf.DUMMYFUNCTION(" VLOOKUP(A1599, IMPORTRANGE(""https://docs.google.com/spreadsheets/d/1QNLbnkR_AongFt22vMfNzfpjZ0CjpI8QI-w0wBnYA1w/"", ""Инфа!A:AA""), 6, FALSE)"),2024)</f>
        <v>2024</v>
      </c>
      <c r="J1602" s="5">
        <f ca="1">ROUND((5000+G1602*30),-2)</f>
        <v>9000</v>
      </c>
      <c r="K1602" s="12" t="s">
        <v>287</v>
      </c>
      <c r="L1602" s="15" t="s">
        <v>6668</v>
      </c>
    </row>
    <row r="1603" spans="1:12" ht="258.75">
      <c r="A1603" s="48" t="s">
        <v>6669</v>
      </c>
      <c r="B1603" s="12" t="s">
        <v>12</v>
      </c>
      <c r="C1603" s="12" t="s">
        <v>443</v>
      </c>
      <c r="D1603" s="10" t="str">
        <f ca="1">IFERROR(__xludf.DUMMYFUNCTION(" VLOOKUP(A1600, IMPORTRANGE(""https://docs.google.com/spreadsheets/d/1fj_Bhi2XPL3siwIh4sx4VRLAe31yD50oKdj5UlRYW0c/"", ""Сводка!A:AA""), 11, FALSE)"),"978-601-330-788-6")</f>
        <v>978-601-330-788-6</v>
      </c>
      <c r="E1603" s="11" t="s">
        <v>6637</v>
      </c>
      <c r="F1603" s="11" t="s">
        <v>6670</v>
      </c>
      <c r="G1603" s="12">
        <f ca="1">IFERROR(__xludf.DUMMYFUNCTION(" VLOOKUP(A1600, IMPORTRANGE(""https://docs.google.com/spreadsheets/d/1fj_Bhi2XPL3siwIh4sx4VRLAe31yD50oKdj5UlRYW0c/"", ""Сводка!A:AA""), 5, FALSE)"),172)</f>
        <v>172</v>
      </c>
      <c r="H1603" s="12" t="s">
        <v>6671</v>
      </c>
      <c r="I1603" s="10">
        <f ca="1">IFERROR(__xludf.DUMMYFUNCTION(" VLOOKUP(A1600, IMPORTRANGE(""https://docs.google.com/spreadsheets/d/1QNLbnkR_AongFt22vMfNzfpjZ0CjpI8QI-w0wBnYA1w/"", ""Инфа!A:AA""), 6, FALSE)"),2024)</f>
        <v>2024</v>
      </c>
      <c r="J1603" s="5">
        <f ca="1">ROUND((5000+G1603*60),-2)</f>
        <v>15300</v>
      </c>
      <c r="K1603" s="12" t="s">
        <v>287</v>
      </c>
      <c r="L1603" s="15" t="s">
        <v>6672</v>
      </c>
    </row>
    <row r="1604" spans="1:12" ht="292.5">
      <c r="A1604" s="48" t="s">
        <v>6673</v>
      </c>
      <c r="B1604" s="12" t="s">
        <v>12</v>
      </c>
      <c r="C1604" s="12" t="s">
        <v>13</v>
      </c>
      <c r="D1604" s="10" t="str">
        <f ca="1">IFERROR(__xludf.DUMMYFUNCTION(" VLOOKUP(A1601, IMPORTRANGE(""https://docs.google.com/spreadsheets/d/1fj_Bhi2XPL3siwIh4sx4VRLAe31yD50oKdj5UlRYW0c/"", ""Сводка!A:AA""), 11, FALSE)"),"")</f>
        <v/>
      </c>
      <c r="E1604" s="11" t="s">
        <v>6674</v>
      </c>
      <c r="F1604" s="11" t="s">
        <v>6675</v>
      </c>
      <c r="G1604" s="12">
        <f ca="1">IFERROR(__xludf.DUMMYFUNCTION(" VLOOKUP(A1601, IMPORTRANGE(""https://docs.google.com/spreadsheets/d/1fj_Bhi2XPL3siwIh4sx4VRLAe31yD50oKdj5UlRYW0c/"", ""Сводка!A:AA""), 5, FALSE)"),80)</f>
        <v>80</v>
      </c>
      <c r="H1604" s="12" t="s">
        <v>325</v>
      </c>
      <c r="I1604" s="10">
        <f ca="1">IFERROR(__xludf.DUMMYFUNCTION(" VLOOKUP(A1601, IMPORTRANGE(""https://docs.google.com/spreadsheets/d/1QNLbnkR_AongFt22vMfNzfpjZ0CjpI8QI-w0wBnYA1w/"", ""Инфа!A:AA""), 6, FALSE)"),2024)</f>
        <v>2024</v>
      </c>
      <c r="J1604" s="5">
        <f ca="1">ROUND((5000+G1604*60),-2)</f>
        <v>9800</v>
      </c>
      <c r="K1604" s="12" t="s">
        <v>5126</v>
      </c>
      <c r="L1604" s="16" t="s">
        <v>6676</v>
      </c>
    </row>
    <row r="1605" spans="1:12" ht="213.75">
      <c r="A1605" s="48" t="s">
        <v>6677</v>
      </c>
      <c r="B1605" s="12" t="s">
        <v>2231</v>
      </c>
      <c r="C1605" s="12" t="s">
        <v>443</v>
      </c>
      <c r="D1605" s="12" t="s">
        <v>6678</v>
      </c>
      <c r="E1605" s="45" t="s">
        <v>6679</v>
      </c>
      <c r="F1605" s="45" t="s">
        <v>6680</v>
      </c>
      <c r="G1605" s="12">
        <f ca="1">IFERROR(__xludf.DUMMYFUNCTION(" VLOOKUP(A1602, IMPORTRANGE(""https://docs.google.com/spreadsheets/d/1fj_Bhi2XPL3siwIh4sx4VRLAe31yD50oKdj5UlRYW0c/"", ""Сводка!A:AA""), 5, FALSE)"),192)</f>
        <v>192</v>
      </c>
      <c r="H1605" s="12" t="s">
        <v>511</v>
      </c>
      <c r="I1605" s="10">
        <f ca="1">IFERROR(__xludf.DUMMYFUNCTION(" VLOOKUP(A1602, IMPORTRANGE(""https://docs.google.com/spreadsheets/d/1QNLbnkR_AongFt22vMfNzfpjZ0CjpI8QI-w0wBnYA1w/"", ""Инфа!A:AA""), 6, FALSE)"),2024)</f>
        <v>2024</v>
      </c>
      <c r="J1605" s="5">
        <f ca="1">ROUND((5000+G1605*60),-2)</f>
        <v>16500</v>
      </c>
      <c r="K1605" s="12" t="s">
        <v>2514</v>
      </c>
      <c r="L1605" s="16" t="s">
        <v>6681</v>
      </c>
    </row>
    <row r="1606" spans="1:12" ht="303.75">
      <c r="A1606" s="48" t="s">
        <v>6682</v>
      </c>
      <c r="B1606" s="12" t="s">
        <v>12</v>
      </c>
      <c r="C1606" s="12" t="s">
        <v>5722</v>
      </c>
      <c r="D1606" s="12" t="s">
        <v>6683</v>
      </c>
      <c r="E1606" s="11" t="s">
        <v>6684</v>
      </c>
      <c r="F1606" s="11" t="s">
        <v>6685</v>
      </c>
      <c r="G1606" s="12">
        <f ca="1">IFERROR(__xludf.DUMMYFUNCTION(" VLOOKUP(A1603, IMPORTRANGE(""https://docs.google.com/spreadsheets/d/1fj_Bhi2XPL3siwIh4sx4VRLAe31yD50oKdj5UlRYW0c/"", ""Сводка!A:AA""), 5, FALSE)"),304)</f>
        <v>304</v>
      </c>
      <c r="H1606" s="12" t="s">
        <v>538</v>
      </c>
      <c r="I1606" s="10">
        <f ca="1">IFERROR(__xludf.DUMMYFUNCTION(" VLOOKUP(A1603, IMPORTRANGE(""https://docs.google.com/spreadsheets/d/1QNLbnkR_AongFt22vMfNzfpjZ0CjpI8QI-w0wBnYA1w/"", ""Инфа!A:AA""), 6, FALSE)"),2024)</f>
        <v>2024</v>
      </c>
      <c r="J1606" s="5">
        <f ca="1">ROUND(((5000+G1606*60)*1.3),-2)</f>
        <v>30200</v>
      </c>
      <c r="K1606" s="12" t="s">
        <v>6686</v>
      </c>
      <c r="L1606" s="15" t="s">
        <v>6687</v>
      </c>
    </row>
    <row r="1607" spans="1:12" ht="67.5">
      <c r="A1607" s="48" t="s">
        <v>6688</v>
      </c>
      <c r="B1607" s="12" t="s">
        <v>12</v>
      </c>
      <c r="C1607" s="12" t="s">
        <v>443</v>
      </c>
      <c r="D1607" s="12" t="s">
        <v>6689</v>
      </c>
      <c r="E1607" s="11" t="s">
        <v>6690</v>
      </c>
      <c r="F1607" s="11" t="s">
        <v>6691</v>
      </c>
      <c r="G1607" s="12">
        <f ca="1">IFERROR(__xludf.DUMMYFUNCTION(" VLOOKUP(A1604, IMPORTRANGE(""https://docs.google.com/spreadsheets/d/1fj_Bhi2XPL3siwIh4sx4VRLAe31yD50oKdj5UlRYW0c/"", ""Сводка!A:AA""), 5, FALSE)"),180)</f>
        <v>180</v>
      </c>
      <c r="H1607" s="12" t="s">
        <v>538</v>
      </c>
      <c r="I1607" s="10">
        <f ca="1">IFERROR(__xludf.DUMMYFUNCTION(" VLOOKUP(A1604, IMPORTRANGE(""https://docs.google.com/spreadsheets/d/1QNLbnkR_AongFt22vMfNzfpjZ0CjpI8QI-w0wBnYA1w/"", ""Инфа!A:AA""), 6, FALSE)"),2024)</f>
        <v>2024</v>
      </c>
      <c r="J1607" s="5">
        <f ca="1">ROUND((5000+G1607*60),-2)</f>
        <v>15800</v>
      </c>
      <c r="K1607" s="12" t="s">
        <v>3901</v>
      </c>
      <c r="L1607" s="15" t="s">
        <v>6692</v>
      </c>
    </row>
    <row r="1608" spans="1:12" ht="78.75">
      <c r="A1608" s="48" t="s">
        <v>6693</v>
      </c>
      <c r="B1608" s="12" t="s">
        <v>12</v>
      </c>
      <c r="C1608" s="12" t="s">
        <v>443</v>
      </c>
      <c r="D1608" s="12" t="s">
        <v>6694</v>
      </c>
      <c r="E1608" s="11" t="s">
        <v>6456</v>
      </c>
      <c r="F1608" s="11" t="s">
        <v>6695</v>
      </c>
      <c r="G1608" s="12">
        <f ca="1">IFERROR(__xludf.DUMMYFUNCTION(" VLOOKUP(A1605, IMPORTRANGE(""https://docs.google.com/spreadsheets/d/1fj_Bhi2XPL3siwIh4sx4VRLAe31yD50oKdj5UlRYW0c/"", ""Сводка!A:AA""), 5, FALSE)"),122)</f>
        <v>122</v>
      </c>
      <c r="H1608" s="12" t="s">
        <v>538</v>
      </c>
      <c r="I1608" s="10">
        <f ca="1">IFERROR(__xludf.DUMMYFUNCTION(" VLOOKUP(A1605, IMPORTRANGE(""https://docs.google.com/spreadsheets/d/1QNLbnkR_AongFt22vMfNzfpjZ0CjpI8QI-w0wBnYA1w/"", ""Инфа!A:AA""), 6, FALSE)"),2024)</f>
        <v>2024</v>
      </c>
      <c r="J1608" s="5">
        <f ca="1">ROUND((5000+G1608*30),-2)</f>
        <v>8700</v>
      </c>
      <c r="K1608" s="12" t="s">
        <v>277</v>
      </c>
      <c r="L1608" s="15" t="s">
        <v>6696</v>
      </c>
    </row>
    <row r="1609" spans="1:12" ht="78.75">
      <c r="A1609" s="48" t="s">
        <v>6697</v>
      </c>
      <c r="B1609" s="12" t="s">
        <v>12</v>
      </c>
      <c r="C1609" s="12" t="s">
        <v>443</v>
      </c>
      <c r="D1609" s="12" t="s">
        <v>6698</v>
      </c>
      <c r="E1609" s="11" t="s">
        <v>6699</v>
      </c>
      <c r="F1609" s="11" t="s">
        <v>6700</v>
      </c>
      <c r="G1609" s="12">
        <f ca="1">IFERROR(__xludf.DUMMYFUNCTION(" VLOOKUP(A1606, IMPORTRANGE(""https://docs.google.com/spreadsheets/d/1fj_Bhi2XPL3siwIh4sx4VRLAe31yD50oKdj5UlRYW0c/"", ""Сводка!A:AA""), 5, FALSE)"),328)</f>
        <v>328</v>
      </c>
      <c r="H1609" s="12" t="s">
        <v>538</v>
      </c>
      <c r="I1609" s="10">
        <f ca="1">IFERROR(__xludf.DUMMYFUNCTION(" VLOOKUP(A1606, IMPORTRANGE(""https://docs.google.com/spreadsheets/d/1QNLbnkR_AongFt22vMfNzfpjZ0CjpI8QI-w0wBnYA1w/"", ""Инфа!A:AA""), 6, FALSE)"),2024)</f>
        <v>2024</v>
      </c>
      <c r="J1609" s="5">
        <f t="shared" ref="J1609:J1623" ca="1" si="55">ROUND((5000+G1609*60),-2)</f>
        <v>24700</v>
      </c>
      <c r="K1609" s="12" t="s">
        <v>2185</v>
      </c>
      <c r="L1609" s="15" t="s">
        <v>6701</v>
      </c>
    </row>
    <row r="1610" spans="1:12" ht="78.75">
      <c r="A1610" s="48" t="s">
        <v>6702</v>
      </c>
      <c r="B1610" s="12" t="s">
        <v>12</v>
      </c>
      <c r="C1610" s="12" t="s">
        <v>443</v>
      </c>
      <c r="D1610" s="12" t="s">
        <v>6703</v>
      </c>
      <c r="E1610" s="11" t="s">
        <v>6699</v>
      </c>
      <c r="F1610" s="11" t="s">
        <v>6704</v>
      </c>
      <c r="G1610" s="12">
        <f ca="1">IFERROR(__xludf.DUMMYFUNCTION(" VLOOKUP(A1607, IMPORTRANGE(""https://docs.google.com/spreadsheets/d/1fj_Bhi2XPL3siwIh4sx4VRLAe31yD50oKdj5UlRYW0c/"", ""Сводка!A:AA""), 5, FALSE)"),336)</f>
        <v>336</v>
      </c>
      <c r="H1610" s="12" t="s">
        <v>538</v>
      </c>
      <c r="I1610" s="10">
        <f ca="1">IFERROR(__xludf.DUMMYFUNCTION(" VLOOKUP(A1607, IMPORTRANGE(""https://docs.google.com/spreadsheets/d/1QNLbnkR_AongFt22vMfNzfpjZ0CjpI8QI-w0wBnYA1w/"", ""Инфа!A:AA""), 6, FALSE)"),2024)</f>
        <v>2024</v>
      </c>
      <c r="J1610" s="5">
        <f t="shared" ca="1" si="55"/>
        <v>25200</v>
      </c>
      <c r="K1610" s="12" t="s">
        <v>2185</v>
      </c>
      <c r="L1610" s="15" t="s">
        <v>6701</v>
      </c>
    </row>
    <row r="1611" spans="1:12" ht="78.75">
      <c r="A1611" s="48" t="s">
        <v>6705</v>
      </c>
      <c r="B1611" s="12" t="s">
        <v>12</v>
      </c>
      <c r="C1611" s="12" t="s">
        <v>443</v>
      </c>
      <c r="D1611" s="12" t="s">
        <v>6706</v>
      </c>
      <c r="E1611" s="11" t="s">
        <v>6699</v>
      </c>
      <c r="F1611" s="11" t="s">
        <v>6707</v>
      </c>
      <c r="G1611" s="12">
        <f ca="1">IFERROR(__xludf.DUMMYFUNCTION(" VLOOKUP(A1608, IMPORTRANGE(""https://docs.google.com/spreadsheets/d/1fj_Bhi2XPL3siwIh4sx4VRLAe31yD50oKdj5UlRYW0c/"", ""Сводка!A:AA""), 5, FALSE)"),324)</f>
        <v>324</v>
      </c>
      <c r="H1611" s="12" t="s">
        <v>538</v>
      </c>
      <c r="I1611" s="10">
        <f ca="1">IFERROR(__xludf.DUMMYFUNCTION(" VLOOKUP(A1608, IMPORTRANGE(""https://docs.google.com/spreadsheets/d/1QNLbnkR_AongFt22vMfNzfpjZ0CjpI8QI-w0wBnYA1w/"", ""Инфа!A:AA""), 6, FALSE)"),2024)</f>
        <v>2024</v>
      </c>
      <c r="J1611" s="5">
        <f t="shared" ca="1" si="55"/>
        <v>24400</v>
      </c>
      <c r="K1611" s="12" t="s">
        <v>2185</v>
      </c>
      <c r="L1611" s="15" t="s">
        <v>6701</v>
      </c>
    </row>
    <row r="1612" spans="1:12" ht="78.75">
      <c r="A1612" s="48" t="s">
        <v>6708</v>
      </c>
      <c r="B1612" s="12" t="s">
        <v>12</v>
      </c>
      <c r="C1612" s="12" t="s">
        <v>443</v>
      </c>
      <c r="D1612" s="12" t="s">
        <v>6709</v>
      </c>
      <c r="E1612" s="11" t="s">
        <v>6710</v>
      </c>
      <c r="F1612" s="11" t="s">
        <v>6711</v>
      </c>
      <c r="G1612" s="12">
        <f ca="1">IFERROR(__xludf.DUMMYFUNCTION(" VLOOKUP(A1609, IMPORTRANGE(""https://docs.google.com/spreadsheets/d/1fj_Bhi2XPL3siwIh4sx4VRLAe31yD50oKdj5UlRYW0c/"", ""Сводка!A:AA""), 5, FALSE)"),260)</f>
        <v>260</v>
      </c>
      <c r="H1612" s="12" t="s">
        <v>538</v>
      </c>
      <c r="I1612" s="10">
        <f ca="1">IFERROR(__xludf.DUMMYFUNCTION(" VLOOKUP(A1609, IMPORTRANGE(""https://docs.google.com/spreadsheets/d/1QNLbnkR_AongFt22vMfNzfpjZ0CjpI8QI-w0wBnYA1w/"", ""Инфа!A:AA""), 6, FALSE)"),2024)</f>
        <v>2024</v>
      </c>
      <c r="J1612" s="5">
        <f t="shared" ca="1" si="55"/>
        <v>20600</v>
      </c>
      <c r="K1612" s="12" t="s">
        <v>271</v>
      </c>
      <c r="L1612" s="15" t="s">
        <v>6712</v>
      </c>
    </row>
    <row r="1613" spans="1:12" ht="78.75">
      <c r="A1613" s="48" t="s">
        <v>6713</v>
      </c>
      <c r="B1613" s="12" t="s">
        <v>12</v>
      </c>
      <c r="C1613" s="12" t="s">
        <v>443</v>
      </c>
      <c r="D1613" s="12" t="s">
        <v>6714</v>
      </c>
      <c r="E1613" s="11" t="s">
        <v>6710</v>
      </c>
      <c r="F1613" s="11" t="s">
        <v>6715</v>
      </c>
      <c r="G1613" s="12">
        <f ca="1">IFERROR(__xludf.DUMMYFUNCTION(" VLOOKUP(A1610, IMPORTRANGE(""https://docs.google.com/spreadsheets/d/1fj_Bhi2XPL3siwIh4sx4VRLAe31yD50oKdj5UlRYW0c/"", ""Сводка!A:AA""), 5, FALSE)"),284)</f>
        <v>284</v>
      </c>
      <c r="H1613" s="12" t="s">
        <v>538</v>
      </c>
      <c r="I1613" s="10">
        <f ca="1">IFERROR(__xludf.DUMMYFUNCTION(" VLOOKUP(A1610, IMPORTRANGE(""https://docs.google.com/spreadsheets/d/1QNLbnkR_AongFt22vMfNzfpjZ0CjpI8QI-w0wBnYA1w/"", ""Инфа!A:AA""), 6, FALSE)"),2024)</f>
        <v>2024</v>
      </c>
      <c r="J1613" s="5">
        <f t="shared" ca="1" si="55"/>
        <v>22000</v>
      </c>
      <c r="K1613" s="12" t="s">
        <v>271</v>
      </c>
      <c r="L1613" s="15" t="s">
        <v>6712</v>
      </c>
    </row>
    <row r="1614" spans="1:12" ht="78.75">
      <c r="A1614" s="48" t="s">
        <v>6716</v>
      </c>
      <c r="B1614" s="12" t="s">
        <v>12</v>
      </c>
      <c r="C1614" s="12" t="s">
        <v>443</v>
      </c>
      <c r="D1614" s="12" t="s">
        <v>6717</v>
      </c>
      <c r="E1614" s="11" t="s">
        <v>6710</v>
      </c>
      <c r="F1614" s="11" t="s">
        <v>6718</v>
      </c>
      <c r="G1614" s="12">
        <f ca="1">IFERROR(__xludf.DUMMYFUNCTION(" VLOOKUP(A1611, IMPORTRANGE(""https://docs.google.com/spreadsheets/d/1fj_Bhi2XPL3siwIh4sx4VRLAe31yD50oKdj5UlRYW0c/"", ""Сводка!A:AA""), 5, FALSE)"),276)</f>
        <v>276</v>
      </c>
      <c r="H1614" s="12" t="s">
        <v>538</v>
      </c>
      <c r="I1614" s="10">
        <f ca="1">IFERROR(__xludf.DUMMYFUNCTION(" VLOOKUP(A1611, IMPORTRANGE(""https://docs.google.com/spreadsheets/d/1QNLbnkR_AongFt22vMfNzfpjZ0CjpI8QI-w0wBnYA1w/"", ""Инфа!A:AA""), 6, FALSE)"),2024)</f>
        <v>2024</v>
      </c>
      <c r="J1614" s="5">
        <f t="shared" ca="1" si="55"/>
        <v>21600</v>
      </c>
      <c r="K1614" s="12" t="s">
        <v>271</v>
      </c>
      <c r="L1614" s="15" t="s">
        <v>6712</v>
      </c>
    </row>
    <row r="1615" spans="1:12" ht="67.5">
      <c r="A1615" s="48" t="s">
        <v>6719</v>
      </c>
      <c r="B1615" s="12" t="s">
        <v>12</v>
      </c>
      <c r="C1615" s="12" t="s">
        <v>151</v>
      </c>
      <c r="D1615" s="12" t="s">
        <v>6720</v>
      </c>
      <c r="E1615" s="11" t="s">
        <v>6721</v>
      </c>
      <c r="F1615" s="11" t="s">
        <v>6722</v>
      </c>
      <c r="G1615" s="12">
        <f ca="1">IFERROR(__xludf.DUMMYFUNCTION(" VLOOKUP(A1612, IMPORTRANGE(""https://docs.google.com/spreadsheets/d/1fj_Bhi2XPL3siwIh4sx4VRLAe31yD50oKdj5UlRYW0c/"", ""Сводка!A:AA""), 5, FALSE)"),244)</f>
        <v>244</v>
      </c>
      <c r="H1615" s="12" t="s">
        <v>282</v>
      </c>
      <c r="I1615" s="10">
        <f ca="1">IFERROR(__xludf.DUMMYFUNCTION(" VLOOKUP(A1612, IMPORTRANGE(""https://docs.google.com/spreadsheets/d/1QNLbnkR_AongFt22vMfNzfpjZ0CjpI8QI-w0wBnYA1w/"", ""Инфа!A:AA""), 6, FALSE)"),2024)</f>
        <v>2024</v>
      </c>
      <c r="J1615" s="5">
        <f t="shared" ca="1" si="55"/>
        <v>19600</v>
      </c>
      <c r="K1615" s="12" t="s">
        <v>6723</v>
      </c>
      <c r="L1615" s="16" t="s">
        <v>6724</v>
      </c>
    </row>
    <row r="1616" spans="1:12" ht="67.5">
      <c r="A1616" s="48" t="s">
        <v>6725</v>
      </c>
      <c r="B1616" s="12" t="s">
        <v>12</v>
      </c>
      <c r="C1616" s="12" t="s">
        <v>151</v>
      </c>
      <c r="D1616" s="12" t="s">
        <v>6726</v>
      </c>
      <c r="E1616" s="11" t="s">
        <v>6721</v>
      </c>
      <c r="F1616" s="11" t="s">
        <v>6727</v>
      </c>
      <c r="G1616" s="12">
        <f ca="1">IFERROR(__xludf.DUMMYFUNCTION(" VLOOKUP(A1613, IMPORTRANGE(""https://docs.google.com/spreadsheets/d/1fj_Bhi2XPL3siwIh4sx4VRLAe31yD50oKdj5UlRYW0c/"", ""Сводка!A:AA""), 5, FALSE)"),208)</f>
        <v>208</v>
      </c>
      <c r="H1616" s="12" t="s">
        <v>282</v>
      </c>
      <c r="I1616" s="10">
        <f ca="1">IFERROR(__xludf.DUMMYFUNCTION(" VLOOKUP(A1613, IMPORTRANGE(""https://docs.google.com/spreadsheets/d/1QNLbnkR_AongFt22vMfNzfpjZ0CjpI8QI-w0wBnYA1w/"", ""Инфа!A:AA""), 6, FALSE)"),2024)</f>
        <v>2024</v>
      </c>
      <c r="J1616" s="5">
        <f t="shared" ca="1" si="55"/>
        <v>17500</v>
      </c>
      <c r="K1616" s="12" t="s">
        <v>6723</v>
      </c>
      <c r="L1616" s="16" t="s">
        <v>6724</v>
      </c>
    </row>
    <row r="1617" spans="1:12" ht="67.5">
      <c r="A1617" s="48" t="s">
        <v>6728</v>
      </c>
      <c r="B1617" s="12" t="s">
        <v>12</v>
      </c>
      <c r="C1617" s="12" t="s">
        <v>443</v>
      </c>
      <c r="D1617" s="12" t="s">
        <v>6729</v>
      </c>
      <c r="E1617" s="11" t="s">
        <v>6730</v>
      </c>
      <c r="F1617" s="11" t="s">
        <v>6731</v>
      </c>
      <c r="G1617" s="12">
        <f ca="1">IFERROR(__xludf.DUMMYFUNCTION(" VLOOKUP(A1614, IMPORTRANGE(""https://docs.google.com/spreadsheets/d/1fj_Bhi2XPL3siwIh4sx4VRLAe31yD50oKdj5UlRYW0c/"", ""Сводка!A:AA""), 5, FALSE)"),296)</f>
        <v>296</v>
      </c>
      <c r="H1617" s="12" t="s">
        <v>538</v>
      </c>
      <c r="I1617" s="10">
        <f ca="1">IFERROR(__xludf.DUMMYFUNCTION(" VLOOKUP(A1614, IMPORTRANGE(""https://docs.google.com/spreadsheets/d/1QNLbnkR_AongFt22vMfNzfpjZ0CjpI8QI-w0wBnYA1w/"", ""Инфа!A:AA""), 6, FALSE)"),2024)</f>
        <v>2024</v>
      </c>
      <c r="J1617" s="5">
        <f t="shared" ca="1" si="55"/>
        <v>22800</v>
      </c>
      <c r="K1617" s="12" t="s">
        <v>6732</v>
      </c>
      <c r="L1617" s="15" t="s">
        <v>6733</v>
      </c>
    </row>
    <row r="1618" spans="1:12" ht="67.5">
      <c r="A1618" s="48" t="s">
        <v>6734</v>
      </c>
      <c r="B1618" s="12" t="s">
        <v>12</v>
      </c>
      <c r="C1618" s="12" t="s">
        <v>443</v>
      </c>
      <c r="D1618" s="12" t="s">
        <v>6735</v>
      </c>
      <c r="E1618" s="11" t="s">
        <v>6730</v>
      </c>
      <c r="F1618" s="11" t="s">
        <v>6736</v>
      </c>
      <c r="G1618" s="12">
        <f ca="1">IFERROR(__xludf.DUMMYFUNCTION(" VLOOKUP(A1615, IMPORTRANGE(""https://docs.google.com/spreadsheets/d/1fj_Bhi2XPL3siwIh4sx4VRLAe31yD50oKdj5UlRYW0c/"", ""Сводка!A:AA""), 5, FALSE)"),320)</f>
        <v>320</v>
      </c>
      <c r="H1618" s="12" t="s">
        <v>538</v>
      </c>
      <c r="I1618" s="10">
        <f ca="1">IFERROR(__xludf.DUMMYFUNCTION(" VLOOKUP(A1615, IMPORTRANGE(""https://docs.google.com/spreadsheets/d/1QNLbnkR_AongFt22vMfNzfpjZ0CjpI8QI-w0wBnYA1w/"", ""Инфа!A:AA""), 6, FALSE)"),2024)</f>
        <v>2024</v>
      </c>
      <c r="J1618" s="5">
        <f t="shared" ca="1" si="55"/>
        <v>24200</v>
      </c>
      <c r="K1618" s="12" t="s">
        <v>6732</v>
      </c>
      <c r="L1618" s="15" t="s">
        <v>6733</v>
      </c>
    </row>
    <row r="1619" spans="1:12" ht="78.75">
      <c r="A1619" s="48" t="s">
        <v>6737</v>
      </c>
      <c r="B1619" s="12" t="s">
        <v>12</v>
      </c>
      <c r="C1619" s="12" t="s">
        <v>443</v>
      </c>
      <c r="D1619" s="12" t="s">
        <v>6738</v>
      </c>
      <c r="E1619" s="11" t="s">
        <v>6739</v>
      </c>
      <c r="F1619" s="11" t="s">
        <v>6740</v>
      </c>
      <c r="G1619" s="12">
        <f ca="1">IFERROR(__xludf.DUMMYFUNCTION(" VLOOKUP(A1616, IMPORTRANGE(""https://docs.google.com/spreadsheets/d/1fj_Bhi2XPL3siwIh4sx4VRLAe31yD50oKdj5UlRYW0c/"", ""Сводка!A:AA""), 5, FALSE)"),284)</f>
        <v>284</v>
      </c>
      <c r="H1619" s="12" t="s">
        <v>1271</v>
      </c>
      <c r="I1619" s="10">
        <f ca="1">IFERROR(__xludf.DUMMYFUNCTION(" VLOOKUP(A1616, IMPORTRANGE(""https://docs.google.com/spreadsheets/d/1QNLbnkR_AongFt22vMfNzfpjZ0CjpI8QI-w0wBnYA1w/"", ""Инфа!A:AA""), 6, FALSE)"),2024)</f>
        <v>2024</v>
      </c>
      <c r="J1619" s="5">
        <f t="shared" ca="1" si="55"/>
        <v>22000</v>
      </c>
      <c r="K1619" s="12" t="s">
        <v>4375</v>
      </c>
      <c r="L1619" s="15" t="s">
        <v>6741</v>
      </c>
    </row>
    <row r="1620" spans="1:12" ht="78.75">
      <c r="A1620" s="48" t="s">
        <v>6742</v>
      </c>
      <c r="B1620" s="12" t="s">
        <v>12</v>
      </c>
      <c r="C1620" s="12" t="s">
        <v>443</v>
      </c>
      <c r="D1620" s="12" t="s">
        <v>6743</v>
      </c>
      <c r="E1620" s="11" t="s">
        <v>6739</v>
      </c>
      <c r="F1620" s="11" t="s">
        <v>6744</v>
      </c>
      <c r="G1620" s="12">
        <f ca="1">IFERROR(__xludf.DUMMYFUNCTION(" VLOOKUP(A1617, IMPORTRANGE(""https://docs.google.com/spreadsheets/d/1fj_Bhi2XPL3siwIh4sx4VRLAe31yD50oKdj5UlRYW0c/"", ""Сводка!A:AA""), 5, FALSE)"),292)</f>
        <v>292</v>
      </c>
      <c r="H1620" s="12" t="s">
        <v>1271</v>
      </c>
      <c r="I1620" s="10">
        <f ca="1">IFERROR(__xludf.DUMMYFUNCTION(" VLOOKUP(A1617, IMPORTRANGE(""https://docs.google.com/spreadsheets/d/1QNLbnkR_AongFt22vMfNzfpjZ0CjpI8QI-w0wBnYA1w/"", ""Инфа!A:AA""), 6, FALSE)"),2024)</f>
        <v>2024</v>
      </c>
      <c r="J1620" s="5">
        <f t="shared" ca="1" si="55"/>
        <v>22500</v>
      </c>
      <c r="K1620" s="12" t="s">
        <v>4375</v>
      </c>
      <c r="L1620" s="15" t="s">
        <v>6741</v>
      </c>
    </row>
    <row r="1621" spans="1:12" ht="78.75">
      <c r="A1621" s="48" t="s">
        <v>6745</v>
      </c>
      <c r="B1621" s="12" t="s">
        <v>12</v>
      </c>
      <c r="C1621" s="12" t="s">
        <v>443</v>
      </c>
      <c r="D1621" s="12" t="s">
        <v>6746</v>
      </c>
      <c r="E1621" s="11" t="s">
        <v>6739</v>
      </c>
      <c r="F1621" s="11" t="s">
        <v>6747</v>
      </c>
      <c r="G1621" s="12">
        <f ca="1">IFERROR(__xludf.DUMMYFUNCTION(" VLOOKUP(A1618, IMPORTRANGE(""https://docs.google.com/spreadsheets/d/1fj_Bhi2XPL3siwIh4sx4VRLAe31yD50oKdj5UlRYW0c/"", ""Сводка!A:AA""), 5, FALSE)"),313)</f>
        <v>313</v>
      </c>
      <c r="H1621" s="12" t="s">
        <v>1271</v>
      </c>
      <c r="I1621" s="10">
        <f ca="1">IFERROR(__xludf.DUMMYFUNCTION(" VLOOKUP(A1618, IMPORTRANGE(""https://docs.google.com/spreadsheets/d/1QNLbnkR_AongFt22vMfNzfpjZ0CjpI8QI-w0wBnYA1w/"", ""Инфа!A:AA""), 6, FALSE)"),2024)</f>
        <v>2024</v>
      </c>
      <c r="J1621" s="5">
        <f t="shared" ca="1" si="55"/>
        <v>23800</v>
      </c>
      <c r="K1621" s="12" t="s">
        <v>4375</v>
      </c>
      <c r="L1621" s="15" t="s">
        <v>6741</v>
      </c>
    </row>
    <row r="1622" spans="1:12" ht="168.75">
      <c r="A1622" s="48" t="s">
        <v>6748</v>
      </c>
      <c r="B1622" s="12" t="s">
        <v>12</v>
      </c>
      <c r="C1622" s="12" t="s">
        <v>151</v>
      </c>
      <c r="D1622" s="12" t="s">
        <v>6749</v>
      </c>
      <c r="E1622" s="11" t="s">
        <v>6750</v>
      </c>
      <c r="F1622" s="11" t="s">
        <v>6751</v>
      </c>
      <c r="G1622" s="12">
        <f ca="1">IFERROR(__xludf.DUMMYFUNCTION(" VLOOKUP(A1619, IMPORTRANGE(""https://docs.google.com/spreadsheets/d/1fj_Bhi2XPL3siwIh4sx4VRLAe31yD50oKdj5UlRYW0c/"", ""Сводка!A:AA""), 5, FALSE)"),200)</f>
        <v>200</v>
      </c>
      <c r="H1622" s="12" t="s">
        <v>498</v>
      </c>
      <c r="I1622" s="10">
        <f ca="1">IFERROR(__xludf.DUMMYFUNCTION(" VLOOKUP(A1619, IMPORTRANGE(""https://docs.google.com/spreadsheets/d/1QNLbnkR_AongFt22vMfNzfpjZ0CjpI8QI-w0wBnYA1w/"", ""Инфа!A:AA""), 6, FALSE)"),2024)</f>
        <v>2024</v>
      </c>
      <c r="J1622" s="5">
        <f t="shared" ca="1" si="55"/>
        <v>17000</v>
      </c>
      <c r="K1622" s="12" t="s">
        <v>1387</v>
      </c>
      <c r="L1622" s="16" t="s">
        <v>6752</v>
      </c>
    </row>
    <row r="1623" spans="1:12" ht="326.25">
      <c r="A1623" s="48" t="s">
        <v>6753</v>
      </c>
      <c r="B1623" s="12" t="s">
        <v>12</v>
      </c>
      <c r="C1623" s="12" t="s">
        <v>151</v>
      </c>
      <c r="D1623" s="10" t="str">
        <f ca="1">IFERROR(__xludf.DUMMYFUNCTION(" VLOOKUP(A1620, IMPORTRANGE(""https://docs.google.com/spreadsheets/d/1fj_Bhi2XPL3siwIh4sx4VRLAe31yD50oKdj5UlRYW0c/"", ""Сводка!A:AA""), 11, FALSE)"),"978-601-330-408-3")</f>
        <v>978-601-330-408-3</v>
      </c>
      <c r="E1623" s="11" t="s">
        <v>6754</v>
      </c>
      <c r="F1623" s="11" t="s">
        <v>6755</v>
      </c>
      <c r="G1623" s="12">
        <f ca="1">IFERROR(__xludf.DUMMYFUNCTION(" VLOOKUP(A1620, IMPORTRANGE(""https://docs.google.com/spreadsheets/d/1fj_Bhi2XPL3siwIh4sx4VRLAe31yD50oKdj5UlRYW0c/"", ""Сводка!A:AA""), 5, FALSE)"),196)</f>
        <v>196</v>
      </c>
      <c r="H1623" s="12" t="s">
        <v>106</v>
      </c>
      <c r="I1623" s="10">
        <f ca="1">IFERROR(__xludf.DUMMYFUNCTION(" VLOOKUP(A1620, IMPORTRANGE(""https://docs.google.com/spreadsheets/d/1QNLbnkR_AongFt22vMfNzfpjZ0CjpI8QI-w0wBnYA1w/"", ""Инфа!A:AA""), 6, FALSE)"),2024)</f>
        <v>2024</v>
      </c>
      <c r="J1623" s="5">
        <f t="shared" ca="1" si="55"/>
        <v>16800</v>
      </c>
      <c r="K1623" s="12" t="s">
        <v>6756</v>
      </c>
      <c r="L1623" s="15" t="s">
        <v>6757</v>
      </c>
    </row>
    <row r="1624" spans="1:12" ht="135">
      <c r="A1624" s="48" t="s">
        <v>6758</v>
      </c>
      <c r="B1624" s="12" t="s">
        <v>12</v>
      </c>
      <c r="C1624" s="12" t="s">
        <v>151</v>
      </c>
      <c r="D1624" s="10" t="str">
        <f ca="1">IFERROR(__xludf.DUMMYFUNCTION(" VLOOKUP(A1621, IMPORTRANGE(""https://docs.google.com/spreadsheets/d/1fj_Bhi2XPL3siwIh4sx4VRLAe31yD50oKdj5UlRYW0c/"", ""Сводка!A:AA""), 11, FALSE)"),"")</f>
        <v/>
      </c>
      <c r="E1624" s="45" t="s">
        <v>6759</v>
      </c>
      <c r="F1624" s="45" t="s">
        <v>6760</v>
      </c>
      <c r="G1624" s="12">
        <f ca="1">IFERROR(__xludf.DUMMYFUNCTION(" VLOOKUP(A1621, IMPORTRANGE(""https://docs.google.com/spreadsheets/d/1fj_Bhi2XPL3siwIh4sx4VRLAe31yD50oKdj5UlRYW0c/"", ""Сводка!A:AA""), 5, FALSE)"),384)</f>
        <v>384</v>
      </c>
      <c r="H1624" s="12" t="s">
        <v>5583</v>
      </c>
      <c r="I1624" s="10">
        <f ca="1">IFERROR(__xludf.DUMMYFUNCTION(" VLOOKUP(A1621, IMPORTRANGE(""https://docs.google.com/spreadsheets/d/1QNLbnkR_AongFt22vMfNzfpjZ0CjpI8QI-w0wBnYA1w/"", ""Инфа!A:AA""), 6, FALSE)"),2024)</f>
        <v>2024</v>
      </c>
      <c r="J1624" s="5">
        <f ca="1">ROUND(((5000+G1624*60)*1.3),-2)</f>
        <v>36500</v>
      </c>
      <c r="K1624" s="12" t="s">
        <v>6761</v>
      </c>
      <c r="L1624" s="16" t="s">
        <v>6762</v>
      </c>
    </row>
    <row r="1625" spans="1:12" ht="78.75">
      <c r="A1625" s="48" t="s">
        <v>6763</v>
      </c>
      <c r="B1625" s="12" t="s">
        <v>12</v>
      </c>
      <c r="C1625" s="12" t="s">
        <v>151</v>
      </c>
      <c r="D1625" s="10" t="s">
        <v>6764</v>
      </c>
      <c r="E1625" s="45" t="s">
        <v>6759</v>
      </c>
      <c r="F1625" s="45" t="s">
        <v>6765</v>
      </c>
      <c r="G1625" s="12">
        <f ca="1">IFERROR(__xludf.DUMMYFUNCTION(" VLOOKUP(A1622, IMPORTRANGE(""https://docs.google.com/spreadsheets/d/1fj_Bhi2XPL3siwIh4sx4VRLAe31yD50oKdj5UlRYW0c/"", ""Сводка!A:AA""), 5, FALSE)"),196)</f>
        <v>196</v>
      </c>
      <c r="H1625" s="12" t="s">
        <v>47</v>
      </c>
      <c r="I1625" s="10">
        <f ca="1">IFERROR(__xludf.DUMMYFUNCTION(" VLOOKUP(A1622, IMPORTRANGE(""https://docs.google.com/spreadsheets/d/1QNLbnkR_AongFt22vMfNzfpjZ0CjpI8QI-w0wBnYA1w/"", ""Инфа!A:AA""), 6, FALSE)"),2024)</f>
        <v>2024</v>
      </c>
      <c r="J1625" s="5">
        <f ca="1">ROUND((5000+G1625*60),-2)</f>
        <v>16800</v>
      </c>
      <c r="K1625" s="12" t="s">
        <v>3208</v>
      </c>
      <c r="L1625" s="16" t="s">
        <v>6766</v>
      </c>
    </row>
    <row r="1626" spans="1:12" ht="168.75">
      <c r="A1626" s="48" t="s">
        <v>6767</v>
      </c>
      <c r="B1626" s="12" t="s">
        <v>12</v>
      </c>
      <c r="C1626" s="12" t="s">
        <v>151</v>
      </c>
      <c r="D1626" s="10" t="str">
        <f ca="1">IFERROR(__xludf.DUMMYFUNCTION(" VLOOKUP(A1623, IMPORTRANGE(""https://docs.google.com/spreadsheets/d/1fj_Bhi2XPL3siwIh4sx4VRLAe31yD50oKdj5UlRYW0c/"", ""Сводка!A:AA""), 11, FALSE)"),"")</f>
        <v/>
      </c>
      <c r="E1626" s="45" t="s">
        <v>6759</v>
      </c>
      <c r="F1626" s="45" t="s">
        <v>6768</v>
      </c>
      <c r="G1626" s="12">
        <f ca="1">IFERROR(__xludf.DUMMYFUNCTION(" VLOOKUP(A1623, IMPORTRANGE(""https://docs.google.com/spreadsheets/d/1fj_Bhi2XPL3siwIh4sx4VRLAe31yD50oKdj5UlRYW0c/"", ""Сводка!A:AA""), 5, FALSE)"),120)</f>
        <v>120</v>
      </c>
      <c r="H1626" s="12" t="s">
        <v>47</v>
      </c>
      <c r="I1626" s="10">
        <f ca="1">IFERROR(__xludf.DUMMYFUNCTION(" VLOOKUP(A1623, IMPORTRANGE(""https://docs.google.com/spreadsheets/d/1QNLbnkR_AongFt22vMfNzfpjZ0CjpI8QI-w0wBnYA1w/"", ""Инфа!A:AA""), 6, FALSE)"),2024)</f>
        <v>2024</v>
      </c>
      <c r="J1626" s="5">
        <f ca="1">ROUND((5000+G1626*60),-2)</f>
        <v>12200</v>
      </c>
      <c r="K1626" s="12" t="s">
        <v>1387</v>
      </c>
      <c r="L1626" s="16" t="s">
        <v>6769</v>
      </c>
    </row>
    <row r="1627" spans="1:12" ht="123.75">
      <c r="A1627" s="48" t="s">
        <v>6770</v>
      </c>
      <c r="B1627" s="12" t="s">
        <v>12</v>
      </c>
      <c r="C1627" s="12" t="s">
        <v>443</v>
      </c>
      <c r="D1627" s="12" t="s">
        <v>6771</v>
      </c>
      <c r="E1627" s="11" t="s">
        <v>6772</v>
      </c>
      <c r="F1627" s="45" t="s">
        <v>6773</v>
      </c>
      <c r="G1627" s="12">
        <f ca="1">IFERROR(__xludf.DUMMYFUNCTION(" VLOOKUP(A1624, IMPORTRANGE(""https://docs.google.com/spreadsheets/d/1fj_Bhi2XPL3siwIh4sx4VRLAe31yD50oKdj5UlRYW0c/"", ""Сводка!A:AA""), 5, FALSE)"),108)</f>
        <v>108</v>
      </c>
      <c r="H1627" s="12" t="s">
        <v>538</v>
      </c>
      <c r="I1627" s="10">
        <f ca="1">IFERROR(__xludf.DUMMYFUNCTION(" VLOOKUP(A1624, IMPORTRANGE(""https://docs.google.com/spreadsheets/d/1QNLbnkR_AongFt22vMfNzfpjZ0CjpI8QI-w0wBnYA1w/"", ""Инфа!A:AA""), 6, FALSE)"),2024)</f>
        <v>2024</v>
      </c>
      <c r="J1627" s="5">
        <f ca="1">ROUND((5000+G1627*60),-2)</f>
        <v>11500</v>
      </c>
      <c r="K1627" s="12" t="s">
        <v>6774</v>
      </c>
      <c r="L1627" s="16" t="s">
        <v>6775</v>
      </c>
    </row>
    <row r="1628" spans="1:12" ht="112.5">
      <c r="A1628" s="48" t="s">
        <v>6776</v>
      </c>
      <c r="B1628" s="12" t="s">
        <v>12</v>
      </c>
      <c r="C1628" s="12" t="s">
        <v>443</v>
      </c>
      <c r="D1628" s="47" t="s">
        <v>6777</v>
      </c>
      <c r="E1628" s="11" t="s">
        <v>6778</v>
      </c>
      <c r="F1628" s="11" t="s">
        <v>6779</v>
      </c>
      <c r="G1628" s="12">
        <f ca="1">IFERROR(__xludf.DUMMYFUNCTION(" VLOOKUP(A1625, IMPORTRANGE(""https://docs.google.com/spreadsheets/d/1fj_Bhi2XPL3siwIh4sx4VRLAe31yD50oKdj5UlRYW0c/"", ""Сводка!A:AA""), 5, FALSE)"),184)</f>
        <v>184</v>
      </c>
      <c r="H1628" s="12" t="s">
        <v>538</v>
      </c>
      <c r="I1628" s="10">
        <f ca="1">IFERROR(__xludf.DUMMYFUNCTION(" VLOOKUP(A1625, IMPORTRANGE(""https://docs.google.com/spreadsheets/d/1QNLbnkR_AongFt22vMfNzfpjZ0CjpI8QI-w0wBnYA1w/"", ""Инфа!A:AA""), 6, FALSE)"),2024)</f>
        <v>2024</v>
      </c>
      <c r="J1628" s="5">
        <f ca="1">ROUND((5000+G1628*30),-2)</f>
        <v>10500</v>
      </c>
      <c r="K1628" s="12" t="s">
        <v>6780</v>
      </c>
      <c r="L1628" s="16" t="s">
        <v>6781</v>
      </c>
    </row>
    <row r="1629" spans="1:12" ht="90">
      <c r="A1629" s="48" t="s">
        <v>6782</v>
      </c>
      <c r="B1629" s="12" t="s">
        <v>12</v>
      </c>
      <c r="C1629" s="12" t="s">
        <v>443</v>
      </c>
      <c r="D1629" s="10" t="str">
        <f ca="1">IFERROR(__xludf.DUMMYFUNCTION(" VLOOKUP(A1626, IMPORTRANGE(""https://docs.google.com/spreadsheets/d/1fj_Bhi2XPL3siwIh4sx4VRLAe31yD50oKdj5UlRYW0c/"", ""Сводка!A:AA""), 11, FALSE)"),"")</f>
        <v/>
      </c>
      <c r="E1629" s="11" t="s">
        <v>6772</v>
      </c>
      <c r="F1629" s="11" t="s">
        <v>6783</v>
      </c>
      <c r="G1629" s="12">
        <f ca="1">IFERROR(__xludf.DUMMYFUNCTION(" VLOOKUP(A1626, IMPORTRANGE(""https://docs.google.com/spreadsheets/d/1fj_Bhi2XPL3siwIh4sx4VRLAe31yD50oKdj5UlRYW0c/"", ""Сводка!A:AA""), 5, FALSE)"),152)</f>
        <v>152</v>
      </c>
      <c r="H1629" s="12" t="s">
        <v>2012</v>
      </c>
      <c r="I1629" s="10">
        <f ca="1">IFERROR(__xludf.DUMMYFUNCTION(" VLOOKUP(A1626, IMPORTRANGE(""https://docs.google.com/spreadsheets/d/1QNLbnkR_AongFt22vMfNzfpjZ0CjpI8QI-w0wBnYA1w/"", ""Инфа!A:AA""), 6, FALSE)"),2024)</f>
        <v>2024</v>
      </c>
      <c r="J1629" s="5">
        <f ca="1">ROUND((5000+G1629*30),-2)</f>
        <v>9600</v>
      </c>
      <c r="K1629" s="12" t="s">
        <v>69</v>
      </c>
      <c r="L1629" s="16" t="s">
        <v>6784</v>
      </c>
    </row>
    <row r="1630" spans="1:12" ht="135">
      <c r="A1630" s="48" t="s">
        <v>6785</v>
      </c>
      <c r="B1630" s="12" t="s">
        <v>12</v>
      </c>
      <c r="C1630" s="12" t="s">
        <v>443</v>
      </c>
      <c r="D1630" s="12" t="s">
        <v>6786</v>
      </c>
      <c r="E1630" s="11" t="s">
        <v>6772</v>
      </c>
      <c r="F1630" s="45" t="s">
        <v>6787</v>
      </c>
      <c r="G1630" s="12">
        <f ca="1">IFERROR(__xludf.DUMMYFUNCTION(" VLOOKUP(A1627, IMPORTRANGE(""https://docs.google.com/spreadsheets/d/1fj_Bhi2XPL3siwIh4sx4VRLAe31yD50oKdj5UlRYW0c/"", ""Сводка!A:AA""), 5, FALSE)"),92)</f>
        <v>92</v>
      </c>
      <c r="H1630" s="12" t="s">
        <v>1266</v>
      </c>
      <c r="I1630" s="10">
        <f ca="1">IFERROR(__xludf.DUMMYFUNCTION(" VLOOKUP(A1627, IMPORTRANGE(""https://docs.google.com/spreadsheets/d/1QNLbnkR_AongFt22vMfNzfpjZ0CjpI8QI-w0wBnYA1w/"", ""Инфа!A:AA""), 6, FALSE)"),2024)</f>
        <v>2024</v>
      </c>
      <c r="J1630" s="5">
        <f ca="1">ROUND((5000+G1630*30),-2)</f>
        <v>7800</v>
      </c>
      <c r="K1630" s="12" t="s">
        <v>69</v>
      </c>
      <c r="L1630" s="16" t="s">
        <v>6788</v>
      </c>
    </row>
    <row r="1631" spans="1:12" ht="78.75">
      <c r="A1631" s="48" t="s">
        <v>6789</v>
      </c>
      <c r="B1631" s="12" t="s">
        <v>12</v>
      </c>
      <c r="C1631" s="12" t="s">
        <v>443</v>
      </c>
      <c r="D1631" s="12" t="s">
        <v>6790</v>
      </c>
      <c r="E1631" s="11" t="s">
        <v>6791</v>
      </c>
      <c r="F1631" s="11" t="s">
        <v>6792</v>
      </c>
      <c r="G1631" s="12">
        <f ca="1">IFERROR(__xludf.DUMMYFUNCTION(" VLOOKUP(A1628, IMPORTRANGE(""https://docs.google.com/spreadsheets/d/1fj_Bhi2XPL3siwIh4sx4VRLAe31yD50oKdj5UlRYW0c/"", ""Сводка!A:AA""), 5, FALSE)"),136)</f>
        <v>136</v>
      </c>
      <c r="H1631" s="12" t="s">
        <v>538</v>
      </c>
      <c r="I1631" s="10">
        <f ca="1">IFERROR(__xludf.DUMMYFUNCTION(" VLOOKUP(A1628, IMPORTRANGE(""https://docs.google.com/spreadsheets/d/1QNLbnkR_AongFt22vMfNzfpjZ0CjpI8QI-w0wBnYA1w/"", ""Инфа!A:AA""), 6, FALSE)"),2024)</f>
        <v>2024</v>
      </c>
      <c r="J1631" s="5">
        <f ca="1">ROUND((5000+G1631*30),-2)</f>
        <v>9100</v>
      </c>
      <c r="K1631" s="12" t="s">
        <v>6793</v>
      </c>
      <c r="L1631" s="16" t="s">
        <v>6794</v>
      </c>
    </row>
    <row r="1632" spans="1:12" ht="270">
      <c r="A1632" s="48" t="s">
        <v>6795</v>
      </c>
      <c r="B1632" s="10" t="s">
        <v>12</v>
      </c>
      <c r="C1632" s="10" t="s">
        <v>443</v>
      </c>
      <c r="D1632" s="10" t="str">
        <f ca="1">IFERROR(__xludf.DUMMYFUNCTION(" VLOOKUP(A1629, IMPORTRANGE(""https://docs.google.com/spreadsheets/d/1fj_Bhi2XPL3siwIh4sx4VRLAe31yD50oKdj5UlRYW0c/"", ""Сводка!A:AA""), 11, FALSE)"),"")</f>
        <v/>
      </c>
      <c r="E1632" s="11" t="s">
        <v>4037</v>
      </c>
      <c r="F1632" s="11" t="s">
        <v>6796</v>
      </c>
      <c r="G1632" s="12">
        <f ca="1">IFERROR(__xludf.DUMMYFUNCTION(" VLOOKUP(A1629, IMPORTRANGE(""https://docs.google.com/spreadsheets/d/1fj_Bhi2XPL3siwIh4sx4VRLAe31yD50oKdj5UlRYW0c/"", ""Сводка!A:AA""), 5, FALSE)"),180)</f>
        <v>180</v>
      </c>
      <c r="H1632" s="12" t="s">
        <v>106</v>
      </c>
      <c r="I1632" s="10">
        <f ca="1">IFERROR(__xludf.DUMMYFUNCTION(" VLOOKUP(A1629, IMPORTRANGE(""https://docs.google.com/spreadsheets/d/1QNLbnkR_AongFt22vMfNzfpjZ0CjpI8QI-w0wBnYA1w/"", ""Инфа!A:AA""), 6, FALSE)"),2024)</f>
        <v>2024</v>
      </c>
      <c r="J1632" s="5">
        <f ca="1">ROUND((5000+G1632*30),-2)</f>
        <v>10400</v>
      </c>
      <c r="K1632" s="12" t="s">
        <v>1673</v>
      </c>
      <c r="L1632" s="15" t="s">
        <v>6797</v>
      </c>
    </row>
    <row r="1633" spans="1:12" ht="191.25">
      <c r="A1633" s="48" t="s">
        <v>6798</v>
      </c>
      <c r="B1633" s="9" t="s">
        <v>6149</v>
      </c>
      <c r="C1633" s="10" t="s">
        <v>443</v>
      </c>
      <c r="D1633" s="10" t="s">
        <v>6799</v>
      </c>
      <c r="E1633" s="22" t="s">
        <v>6800</v>
      </c>
      <c r="F1633" s="22" t="s">
        <v>213</v>
      </c>
      <c r="G1633" s="12">
        <f ca="1">IFERROR(__xludf.DUMMYFUNCTION(" VLOOKUP(A1630, IMPORTRANGE(""https://docs.google.com/spreadsheets/d/1fj_Bhi2XPL3siwIh4sx4VRLAe31yD50oKdj5UlRYW0c/"", ""Сводка!A:AA""), 5, FALSE)"),304)</f>
        <v>304</v>
      </c>
      <c r="H1633" s="12" t="s">
        <v>538</v>
      </c>
      <c r="I1633" s="10">
        <f ca="1">IFERROR(__xludf.DUMMYFUNCTION(" VLOOKUP(A1630, IMPORTRANGE(""https://docs.google.com/spreadsheets/d/1QNLbnkR_AongFt22vMfNzfpjZ0CjpI8QI-w0wBnYA1w/"", ""Инфа!A:AA""), 6, FALSE)"),2024)</f>
        <v>2024</v>
      </c>
      <c r="J1633" s="5">
        <f t="shared" ref="J1633:J1642" ca="1" si="56">ROUND((5000+G1633*60),-2)</f>
        <v>23200</v>
      </c>
      <c r="K1633" s="10" t="s">
        <v>213</v>
      </c>
      <c r="L1633" s="23" t="s">
        <v>6801</v>
      </c>
    </row>
    <row r="1634" spans="1:12" ht="90">
      <c r="A1634" s="48" t="s">
        <v>6802</v>
      </c>
      <c r="B1634" s="10" t="s">
        <v>12</v>
      </c>
      <c r="C1634" s="10" t="s">
        <v>443</v>
      </c>
      <c r="D1634" s="10" t="str">
        <f ca="1">IFERROR(__xludf.DUMMYFUNCTION(" VLOOKUP(A1631, IMPORTRANGE(""https://docs.google.com/spreadsheets/d/1fj_Bhi2XPL3siwIh4sx4VRLAe31yD50oKdj5UlRYW0c/"", ""Сводка!A:AA""), 11, FALSE)"),"978-601-346-056-7")</f>
        <v>978-601-346-056-7</v>
      </c>
      <c r="E1634" s="11" t="s">
        <v>6803</v>
      </c>
      <c r="F1634" s="11" t="s">
        <v>6804</v>
      </c>
      <c r="G1634" s="12">
        <f ca="1">IFERROR(__xludf.DUMMYFUNCTION(" VLOOKUP(A1631, IMPORTRANGE(""https://docs.google.com/spreadsheets/d/1fj_Bhi2XPL3siwIh4sx4VRLAe31yD50oKdj5UlRYW0c/"", ""Сводка!A:AA""), 5, FALSE)"),120)</f>
        <v>120</v>
      </c>
      <c r="H1634" s="12" t="s">
        <v>538</v>
      </c>
      <c r="I1634" s="10">
        <f ca="1">IFERROR(__xludf.DUMMYFUNCTION(" VLOOKUP(A1631, IMPORTRANGE(""https://docs.google.com/spreadsheets/d/1QNLbnkR_AongFt22vMfNzfpjZ0CjpI8QI-w0wBnYA1w/"", ""Инфа!A:AA""), 6, FALSE)"),2024)</f>
        <v>2024</v>
      </c>
      <c r="J1634" s="5">
        <f t="shared" ca="1" si="56"/>
        <v>12200</v>
      </c>
      <c r="K1634" s="12" t="s">
        <v>6805</v>
      </c>
      <c r="L1634" s="15" t="s">
        <v>6806</v>
      </c>
    </row>
    <row r="1635" spans="1:12" ht="90">
      <c r="A1635" s="48" t="s">
        <v>6807</v>
      </c>
      <c r="B1635" s="12" t="s">
        <v>12</v>
      </c>
      <c r="C1635" s="12" t="s">
        <v>443</v>
      </c>
      <c r="D1635" s="10" t="str">
        <f ca="1">IFERROR(__xludf.DUMMYFUNCTION(" VLOOKUP(A1632, IMPORTRANGE(""https://docs.google.com/spreadsheets/d/1fj_Bhi2XPL3siwIh4sx4VRLAe31yD50oKdj5UlRYW0c/"", ""Сводка!A:AA""), 11, FALSE)"),"978-601-346-055-0")</f>
        <v>978-601-346-055-0</v>
      </c>
      <c r="E1635" s="11" t="s">
        <v>6808</v>
      </c>
      <c r="F1635" s="11" t="s">
        <v>6809</v>
      </c>
      <c r="G1635" s="12">
        <f ca="1">IFERROR(__xludf.DUMMYFUNCTION(" VLOOKUP(A1632, IMPORTRANGE(""https://docs.google.com/spreadsheets/d/1fj_Bhi2XPL3siwIh4sx4VRLAe31yD50oKdj5UlRYW0c/"", ""Сводка!A:AA""), 5, FALSE)"),232)</f>
        <v>232</v>
      </c>
      <c r="H1635" s="12" t="s">
        <v>511</v>
      </c>
      <c r="I1635" s="10">
        <f ca="1">IFERROR(__xludf.DUMMYFUNCTION(" VLOOKUP(A1632, IMPORTRANGE(""https://docs.google.com/spreadsheets/d/1QNLbnkR_AongFt22vMfNzfpjZ0CjpI8QI-w0wBnYA1w/"", ""Инфа!A:AA""), 6, FALSE)"),2024)</f>
        <v>2024</v>
      </c>
      <c r="J1635" s="5">
        <f t="shared" ca="1" si="56"/>
        <v>18900</v>
      </c>
      <c r="K1635" s="12" t="s">
        <v>271</v>
      </c>
      <c r="L1635" s="15" t="s">
        <v>6810</v>
      </c>
    </row>
    <row r="1636" spans="1:12" ht="90">
      <c r="A1636" s="48" t="s">
        <v>6811</v>
      </c>
      <c r="B1636" s="12" t="s">
        <v>12</v>
      </c>
      <c r="C1636" s="12" t="s">
        <v>443</v>
      </c>
      <c r="D1636" s="10" t="str">
        <f ca="1">IFERROR(__xludf.DUMMYFUNCTION(" VLOOKUP(A1633, IMPORTRANGE(""https://docs.google.com/spreadsheets/d/1fj_Bhi2XPL3siwIh4sx4VRLAe31yD50oKdj5UlRYW0c/"", ""Сводка!A:AA""), 11, FALSE)"),"978-601-330-661-2")</f>
        <v>978-601-330-661-2</v>
      </c>
      <c r="E1636" s="11" t="s">
        <v>6808</v>
      </c>
      <c r="F1636" s="11" t="s">
        <v>6812</v>
      </c>
      <c r="G1636" s="12">
        <f ca="1">IFERROR(__xludf.DUMMYFUNCTION(" VLOOKUP(A1633, IMPORTRANGE(""https://docs.google.com/spreadsheets/d/1fj_Bhi2XPL3siwIh4sx4VRLAe31yD50oKdj5UlRYW0c/"", ""Сводка!A:AA""), 5, FALSE)"),172)</f>
        <v>172</v>
      </c>
      <c r="H1636" s="12" t="s">
        <v>511</v>
      </c>
      <c r="I1636" s="10">
        <f ca="1">IFERROR(__xludf.DUMMYFUNCTION(" VLOOKUP(A1633, IMPORTRANGE(""https://docs.google.com/spreadsheets/d/1QNLbnkR_AongFt22vMfNzfpjZ0CjpI8QI-w0wBnYA1w/"", ""Инфа!A:AA""), 6, FALSE)"),2024)</f>
        <v>2024</v>
      </c>
      <c r="J1636" s="5">
        <f t="shared" ca="1" si="56"/>
        <v>15300</v>
      </c>
      <c r="K1636" s="12" t="s">
        <v>271</v>
      </c>
      <c r="L1636" s="15" t="s">
        <v>6810</v>
      </c>
    </row>
    <row r="1637" spans="1:12" ht="157.5">
      <c r="A1637" s="48" t="s">
        <v>6813</v>
      </c>
      <c r="B1637" s="12" t="s">
        <v>12</v>
      </c>
      <c r="C1637" s="12" t="s">
        <v>151</v>
      </c>
      <c r="D1637" s="10" t="str">
        <f ca="1">IFERROR(__xludf.DUMMYFUNCTION(" VLOOKUP(A1634, IMPORTRANGE(""https://docs.google.com/spreadsheets/d/1fj_Bhi2XPL3siwIh4sx4VRLAe31yD50oKdj5UlRYW0c/"", ""Сводка!A:AA""), 11, FALSE)"),"")</f>
        <v/>
      </c>
      <c r="E1637" s="11" t="s">
        <v>6814</v>
      </c>
      <c r="F1637" s="11" t="s">
        <v>6815</v>
      </c>
      <c r="G1637" s="12">
        <f ca="1">IFERROR(__xludf.DUMMYFUNCTION(" VLOOKUP(A1634, IMPORTRANGE(""https://docs.google.com/spreadsheets/d/1fj_Bhi2XPL3siwIh4sx4VRLAe31yD50oKdj5UlRYW0c/"", ""Сводка!A:AA""), 5, FALSE)"),284)</f>
        <v>284</v>
      </c>
      <c r="H1637" s="12" t="s">
        <v>498</v>
      </c>
      <c r="I1637" s="10">
        <f ca="1">IFERROR(__xludf.DUMMYFUNCTION(" VLOOKUP(A1634, IMPORTRANGE(""https://docs.google.com/spreadsheets/d/1QNLbnkR_AongFt22vMfNzfpjZ0CjpI8QI-w0wBnYA1w/"", ""Инфа!A:AA""), 6, FALSE)"),2024)</f>
        <v>2024</v>
      </c>
      <c r="J1637" s="5">
        <f t="shared" ca="1" si="56"/>
        <v>22000</v>
      </c>
      <c r="K1637" s="12" t="s">
        <v>271</v>
      </c>
      <c r="L1637" s="15" t="s">
        <v>6816</v>
      </c>
    </row>
    <row r="1638" spans="1:12" ht="157.5">
      <c r="A1638" s="48" t="s">
        <v>6817</v>
      </c>
      <c r="B1638" s="12" t="s">
        <v>12</v>
      </c>
      <c r="C1638" s="12" t="s">
        <v>151</v>
      </c>
      <c r="D1638" s="10" t="str">
        <f ca="1">IFERROR(__xludf.DUMMYFUNCTION(" VLOOKUP(A1635, IMPORTRANGE(""https://docs.google.com/spreadsheets/d/1fj_Bhi2XPL3siwIh4sx4VRLAe31yD50oKdj5UlRYW0c/"", ""Сводка!A:AA""), 11, FALSE)"),"")</f>
        <v/>
      </c>
      <c r="E1638" s="11" t="s">
        <v>6814</v>
      </c>
      <c r="F1638" s="11" t="s">
        <v>6818</v>
      </c>
      <c r="G1638" s="12">
        <f ca="1">IFERROR(__xludf.DUMMYFUNCTION(" VLOOKUP(A1635, IMPORTRANGE(""https://docs.google.com/spreadsheets/d/1fj_Bhi2XPL3siwIh4sx4VRLAe31yD50oKdj5UlRYW0c/"", ""Сводка!A:AA""), 5, FALSE)"),296)</f>
        <v>296</v>
      </c>
      <c r="H1638" s="12" t="s">
        <v>498</v>
      </c>
      <c r="I1638" s="10">
        <f ca="1">IFERROR(__xludf.DUMMYFUNCTION(" VLOOKUP(A1635, IMPORTRANGE(""https://docs.google.com/spreadsheets/d/1QNLbnkR_AongFt22vMfNzfpjZ0CjpI8QI-w0wBnYA1w/"", ""Инфа!A:AA""), 6, FALSE)"),2024)</f>
        <v>2024</v>
      </c>
      <c r="J1638" s="5">
        <f t="shared" ca="1" si="56"/>
        <v>22800</v>
      </c>
      <c r="K1638" s="12" t="s">
        <v>271</v>
      </c>
      <c r="L1638" s="15" t="s">
        <v>6816</v>
      </c>
    </row>
    <row r="1639" spans="1:12" ht="135">
      <c r="A1639" s="48" t="s">
        <v>6819</v>
      </c>
      <c r="B1639" s="12" t="s">
        <v>12</v>
      </c>
      <c r="C1639" s="12" t="s">
        <v>21</v>
      </c>
      <c r="D1639" s="12" t="s">
        <v>6820</v>
      </c>
      <c r="E1639" s="11" t="s">
        <v>6821</v>
      </c>
      <c r="F1639" s="11" t="s">
        <v>6822</v>
      </c>
      <c r="G1639" s="12">
        <f ca="1">IFERROR(__xludf.DUMMYFUNCTION(" VLOOKUP(A1636, IMPORTRANGE(""https://docs.google.com/spreadsheets/d/1fj_Bhi2XPL3siwIh4sx4VRLAe31yD50oKdj5UlRYW0c/"", ""Сводка!A:AA""), 5, FALSE)"),256)</f>
        <v>256</v>
      </c>
      <c r="H1639" s="60" t="s">
        <v>42</v>
      </c>
      <c r="I1639" s="10">
        <f ca="1">IFERROR(__xludf.DUMMYFUNCTION(" VLOOKUP(A1636, IMPORTRANGE(""https://docs.google.com/spreadsheets/d/1QNLbnkR_AongFt22vMfNzfpjZ0CjpI8QI-w0wBnYA1w/"", ""Инфа!A:AA""), 6, FALSE)"),2024)</f>
        <v>2024</v>
      </c>
      <c r="J1639" s="5">
        <f t="shared" ca="1" si="56"/>
        <v>20400</v>
      </c>
      <c r="K1639" s="12" t="s">
        <v>271</v>
      </c>
      <c r="L1639" s="61" t="s">
        <v>6823</v>
      </c>
    </row>
    <row r="1640" spans="1:12" ht="135">
      <c r="A1640" s="48" t="s">
        <v>6824</v>
      </c>
      <c r="B1640" s="12" t="s">
        <v>12</v>
      </c>
      <c r="C1640" s="12" t="s">
        <v>21</v>
      </c>
      <c r="D1640" s="12" t="s">
        <v>6825</v>
      </c>
      <c r="E1640" s="11" t="s">
        <v>6821</v>
      </c>
      <c r="F1640" s="11" t="s">
        <v>6826</v>
      </c>
      <c r="G1640" s="12">
        <f ca="1">IFERROR(__xludf.DUMMYFUNCTION(" VLOOKUP(A1637, IMPORTRANGE(""https://docs.google.com/spreadsheets/d/1fj_Bhi2XPL3siwIh4sx4VRLAe31yD50oKdj5UlRYW0c/"", ""Сводка!A:AA""), 5, FALSE)"),260)</f>
        <v>260</v>
      </c>
      <c r="H1640" s="60" t="s">
        <v>42</v>
      </c>
      <c r="I1640" s="10">
        <f ca="1">IFERROR(__xludf.DUMMYFUNCTION(" VLOOKUP(A1637, IMPORTRANGE(""https://docs.google.com/spreadsheets/d/1QNLbnkR_AongFt22vMfNzfpjZ0CjpI8QI-w0wBnYA1w/"", ""Инфа!A:AA""), 6, FALSE)"),2024)</f>
        <v>2024</v>
      </c>
      <c r="J1640" s="5">
        <f t="shared" ca="1" si="56"/>
        <v>20600</v>
      </c>
      <c r="K1640" s="12" t="s">
        <v>271</v>
      </c>
      <c r="L1640" s="61" t="s">
        <v>6823</v>
      </c>
    </row>
    <row r="1641" spans="1:12" ht="168.75">
      <c r="A1641" s="48" t="s">
        <v>6827</v>
      </c>
      <c r="B1641" s="12" t="s">
        <v>12</v>
      </c>
      <c r="C1641" s="12" t="s">
        <v>443</v>
      </c>
      <c r="D1641" s="10" t="str">
        <f ca="1">IFERROR(__xludf.DUMMYFUNCTION(" VLOOKUP(A1638, IMPORTRANGE(""https://docs.google.com/spreadsheets/d/1fj_Bhi2XPL3siwIh4sx4VRLAe31yD50oKdj5UlRYW0c/"", ""Сводка!A:AA""), 11, FALSE)"),"")</f>
        <v/>
      </c>
      <c r="E1641" s="11" t="s">
        <v>6828</v>
      </c>
      <c r="F1641" s="11" t="s">
        <v>6829</v>
      </c>
      <c r="G1641" s="12">
        <f ca="1">IFERROR(__xludf.DUMMYFUNCTION(" VLOOKUP(A1638, IMPORTRANGE(""https://docs.google.com/spreadsheets/d/1fj_Bhi2XPL3siwIh4sx4VRLAe31yD50oKdj5UlRYW0c/"", ""Сводка!A:AA""), 5, FALSE)"),192)</f>
        <v>192</v>
      </c>
      <c r="H1641" s="12" t="s">
        <v>511</v>
      </c>
      <c r="I1641" s="10">
        <f ca="1">IFERROR(__xludf.DUMMYFUNCTION(" VLOOKUP(A1638, IMPORTRANGE(""https://docs.google.com/spreadsheets/d/1QNLbnkR_AongFt22vMfNzfpjZ0CjpI8QI-w0wBnYA1w/"", ""Инфа!A:AA""), 6, FALSE)"),2024)</f>
        <v>2024</v>
      </c>
      <c r="J1641" s="5">
        <f t="shared" ca="1" si="56"/>
        <v>16500</v>
      </c>
      <c r="K1641" s="12" t="s">
        <v>287</v>
      </c>
      <c r="L1641" s="15" t="s">
        <v>6830</v>
      </c>
    </row>
    <row r="1642" spans="1:12" ht="146.25">
      <c r="A1642" s="48" t="s">
        <v>6831</v>
      </c>
      <c r="B1642" s="12" t="s">
        <v>12</v>
      </c>
      <c r="C1642" s="12" t="s">
        <v>151</v>
      </c>
      <c r="D1642" s="10" t="str">
        <f ca="1">IFERROR(__xludf.DUMMYFUNCTION(" VLOOKUP(A1639, IMPORTRANGE(""https://docs.google.com/spreadsheets/d/1fj_Bhi2XPL3siwIh4sx4VRLAe31yD50oKdj5UlRYW0c/"", ""Сводка!A:AA""), 11, FALSE)"),"")</f>
        <v/>
      </c>
      <c r="E1642" s="11" t="s">
        <v>6832</v>
      </c>
      <c r="F1642" s="11" t="s">
        <v>6833</v>
      </c>
      <c r="G1642" s="12">
        <f ca="1">IFERROR(__xludf.DUMMYFUNCTION(" VLOOKUP(A1639, IMPORTRANGE(""https://docs.google.com/spreadsheets/d/1fj_Bhi2XPL3siwIh4sx4VRLAe31yD50oKdj5UlRYW0c/"", ""Сводка!A:AA""), 5, FALSE)"),224)</f>
        <v>224</v>
      </c>
      <c r="H1642" s="12" t="s">
        <v>498</v>
      </c>
      <c r="I1642" s="10">
        <f ca="1">IFERROR(__xludf.DUMMYFUNCTION(" VLOOKUP(A1639, IMPORTRANGE(""https://docs.google.com/spreadsheets/d/1QNLbnkR_AongFt22vMfNzfpjZ0CjpI8QI-w0wBnYA1w/"", ""Инфа!A:AA""), 6, FALSE)"),2024)</f>
        <v>2024</v>
      </c>
      <c r="J1642" s="5">
        <f t="shared" ca="1" si="56"/>
        <v>18400</v>
      </c>
      <c r="K1642" s="12" t="s">
        <v>287</v>
      </c>
      <c r="L1642" s="15" t="s">
        <v>6834</v>
      </c>
    </row>
    <row r="1643" spans="1:12" ht="247.5">
      <c r="A1643" s="48" t="s">
        <v>6835</v>
      </c>
      <c r="B1643" s="12" t="s">
        <v>12</v>
      </c>
      <c r="C1643" s="12" t="s">
        <v>443</v>
      </c>
      <c r="D1643" s="10" t="str">
        <f ca="1">IFERROR(__xludf.DUMMYFUNCTION(" VLOOKUP(A1640, IMPORTRANGE(""https://docs.google.com/spreadsheets/d/1fj_Bhi2XPL3siwIh4sx4VRLAe31yD50oKdj5UlRYW0c/"", ""Сводка!A:AA""), 11, FALSE)"),"")</f>
        <v/>
      </c>
      <c r="E1643" s="11" t="s">
        <v>6836</v>
      </c>
      <c r="F1643" s="11" t="s">
        <v>6837</v>
      </c>
      <c r="G1643" s="12">
        <f ca="1">IFERROR(__xludf.DUMMYFUNCTION(" VLOOKUP(A1640, IMPORTRANGE(""https://docs.google.com/spreadsheets/d/1fj_Bhi2XPL3siwIh4sx4VRLAe31yD50oKdj5UlRYW0c/"", ""Сводка!A:AA""), 5, FALSE)"),300)</f>
        <v>300</v>
      </c>
      <c r="H1643" s="12" t="s">
        <v>538</v>
      </c>
      <c r="I1643" s="10">
        <f ca="1">IFERROR(__xludf.DUMMYFUNCTION(" VLOOKUP(A1640, IMPORTRANGE(""https://docs.google.com/spreadsheets/d/1QNLbnkR_AongFt22vMfNzfpjZ0CjpI8QI-w0wBnYA1w/"", ""Инфа!A:AA""), 6, FALSE)"),2024)</f>
        <v>2024</v>
      </c>
      <c r="J1643" s="5">
        <f ca="1">ROUND((5000+G1643*30),-2)</f>
        <v>14000</v>
      </c>
      <c r="K1643" s="12" t="s">
        <v>6314</v>
      </c>
      <c r="L1643" s="15" t="s">
        <v>6838</v>
      </c>
    </row>
    <row r="1644" spans="1:12" ht="112.5">
      <c r="A1644" s="48" t="s">
        <v>6839</v>
      </c>
      <c r="B1644" s="12" t="s">
        <v>12</v>
      </c>
      <c r="C1644" s="12" t="s">
        <v>151</v>
      </c>
      <c r="D1644" s="10" t="str">
        <f ca="1">IFERROR(__xludf.DUMMYFUNCTION(" VLOOKUP(A1641, IMPORTRANGE(""https://docs.google.com/spreadsheets/d/1fj_Bhi2XPL3siwIh4sx4VRLAe31yD50oKdj5UlRYW0c/"", ""Сводка!A:AA""), 11, FALSE)"),"978-601-270-414-3")</f>
        <v>978-601-270-414-3</v>
      </c>
      <c r="E1644" s="11" t="s">
        <v>6840</v>
      </c>
      <c r="F1644" s="11" t="s">
        <v>6841</v>
      </c>
      <c r="G1644" s="12">
        <f ca="1">IFERROR(__xludf.DUMMYFUNCTION(" VLOOKUP(A1641, IMPORTRANGE(""https://docs.google.com/spreadsheets/d/1fj_Bhi2XPL3siwIh4sx4VRLAe31yD50oKdj5UlRYW0c/"", ""Сводка!A:AA""), 5, FALSE)"),136)</f>
        <v>136</v>
      </c>
      <c r="H1644" s="12" t="s">
        <v>47</v>
      </c>
      <c r="I1644" s="10">
        <f ca="1">IFERROR(__xludf.DUMMYFUNCTION(" VLOOKUP(A1641, IMPORTRANGE(""https://docs.google.com/spreadsheets/d/1QNLbnkR_AongFt22vMfNzfpjZ0CjpI8QI-w0wBnYA1w/"", ""Инфа!A:AA""), 6, FALSE)"),2024)</f>
        <v>2024</v>
      </c>
      <c r="J1644" s="5">
        <f ca="1">ROUND((5000+G1644*60),-2)</f>
        <v>13200</v>
      </c>
      <c r="K1644" s="12" t="s">
        <v>160</v>
      </c>
      <c r="L1644" s="15" t="s">
        <v>6842</v>
      </c>
    </row>
    <row r="1645" spans="1:12" ht="168.75">
      <c r="A1645" s="8" t="s">
        <v>6843</v>
      </c>
      <c r="B1645" s="9" t="s">
        <v>12</v>
      </c>
      <c r="C1645" s="10" t="s">
        <v>443</v>
      </c>
      <c r="D1645" s="10" t="str">
        <f ca="1">IFERROR(__xludf.DUMMYFUNCTION(" VLOOKUP(A1642, IMPORTRANGE(""https://docs.google.com/spreadsheets/d/1fj_Bhi2XPL3siwIh4sx4VRLAe31yD50oKdj5UlRYW0c/"", ""Сводка!A:AA""), 11, FALSE)"),"978-601-327-254-2")</f>
        <v>978-601-327-254-2</v>
      </c>
      <c r="E1645" s="11" t="s">
        <v>6844</v>
      </c>
      <c r="F1645" s="11" t="s">
        <v>6845</v>
      </c>
      <c r="G1645" s="12">
        <f ca="1">IFERROR(__xludf.DUMMYFUNCTION(" VLOOKUP(A1642, IMPORTRANGE(""https://docs.google.com/spreadsheets/d/1fj_Bhi2XPL3siwIh4sx4VRLAe31yD50oKdj5UlRYW0c/"", ""Сводка!A:AA""), 5, FALSE)"),212)</f>
        <v>212</v>
      </c>
      <c r="H1645" s="12" t="s">
        <v>106</v>
      </c>
      <c r="I1645" s="10">
        <f ca="1">IFERROR(__xludf.DUMMYFUNCTION(" VLOOKUP(A1642, IMPORTRANGE(""https://docs.google.com/spreadsheets/d/1QNLbnkR_AongFt22vMfNzfpjZ0CjpI8QI-w0wBnYA1w/"", ""Инфа!A:AA""), 6, FALSE)"),2024)</f>
        <v>2024</v>
      </c>
      <c r="J1645" s="5">
        <f ca="1">ROUND((5000+G1645*60),-2)</f>
        <v>17700</v>
      </c>
      <c r="K1645" s="12" t="s">
        <v>160</v>
      </c>
      <c r="L1645" s="15" t="s">
        <v>6846</v>
      </c>
    </row>
    <row r="1646" spans="1:12" ht="247.5">
      <c r="A1646" s="48" t="s">
        <v>6847</v>
      </c>
      <c r="B1646" s="12" t="s">
        <v>12</v>
      </c>
      <c r="C1646" s="12" t="s">
        <v>443</v>
      </c>
      <c r="D1646" s="12" t="s">
        <v>6848</v>
      </c>
      <c r="E1646" s="45" t="s">
        <v>6849</v>
      </c>
      <c r="F1646" s="45" t="s">
        <v>6850</v>
      </c>
      <c r="G1646" s="12">
        <f ca="1">IFERROR(__xludf.DUMMYFUNCTION(" VLOOKUP(A1643, IMPORTRANGE(""https://docs.google.com/spreadsheets/d/1fj_Bhi2XPL3siwIh4sx4VRLAe31yD50oKdj5UlRYW0c/"", ""Сводка!A:AA""), 5, FALSE)"),200)</f>
        <v>200</v>
      </c>
      <c r="H1646" s="12" t="s">
        <v>106</v>
      </c>
      <c r="I1646" s="10">
        <f ca="1">IFERROR(__xludf.DUMMYFUNCTION(" VLOOKUP(A1643, IMPORTRANGE(""https://docs.google.com/spreadsheets/d/1QNLbnkR_AongFt22vMfNzfpjZ0CjpI8QI-w0wBnYA1w/"", ""Инфа!A:AA""), 6, FALSE)"),2024)</f>
        <v>2024</v>
      </c>
      <c r="J1646" s="5">
        <f ca="1">ROUND((5000+G1646*30),-2)</f>
        <v>11000</v>
      </c>
      <c r="K1646" s="12" t="s">
        <v>2003</v>
      </c>
      <c r="L1646" s="16" t="s">
        <v>6851</v>
      </c>
    </row>
    <row r="1647" spans="1:12" ht="225">
      <c r="A1647" s="48" t="s">
        <v>6852</v>
      </c>
      <c r="B1647" s="12" t="s">
        <v>12</v>
      </c>
      <c r="C1647" s="12" t="s">
        <v>443</v>
      </c>
      <c r="D1647" s="10" t="str">
        <f ca="1">IFERROR(__xludf.DUMMYFUNCTION(" VLOOKUP(A1644, IMPORTRANGE(""https://docs.google.com/spreadsheets/d/1fj_Bhi2XPL3siwIh4sx4VRLAe31yD50oKdj5UlRYW0c/"", ""Сводка!A:AA""), 11, FALSE)"),"")</f>
        <v/>
      </c>
      <c r="E1647" s="45" t="s">
        <v>6307</v>
      </c>
      <c r="F1647" s="45" t="s">
        <v>6853</v>
      </c>
      <c r="G1647" s="12">
        <f ca="1">IFERROR(__xludf.DUMMYFUNCTION(" VLOOKUP(A1644, IMPORTRANGE(""https://docs.google.com/spreadsheets/d/1fj_Bhi2XPL3siwIh4sx4VRLAe31yD50oKdj5UlRYW0c/"", ""Сводка!A:AA""), 5, FALSE)"),280)</f>
        <v>280</v>
      </c>
      <c r="H1647" s="12" t="s">
        <v>511</v>
      </c>
      <c r="I1647" s="10">
        <f ca="1">IFERROR(__xludf.DUMMYFUNCTION(" VLOOKUP(A1644, IMPORTRANGE(""https://docs.google.com/spreadsheets/d/1QNLbnkR_AongFt22vMfNzfpjZ0CjpI8QI-w0wBnYA1w/"", ""Инфа!A:AA""), 6, FALSE)"),2024)</f>
        <v>2024</v>
      </c>
      <c r="J1647" s="5">
        <f t="shared" ref="J1647:J1652" ca="1" si="57">ROUND((5000+G1647*60),-2)</f>
        <v>21800</v>
      </c>
      <c r="K1647" s="12" t="s">
        <v>160</v>
      </c>
      <c r="L1647" s="16" t="s">
        <v>6854</v>
      </c>
    </row>
    <row r="1648" spans="1:12" ht="202.5">
      <c r="A1648" s="48" t="s">
        <v>6855</v>
      </c>
      <c r="B1648" s="12" t="s">
        <v>12</v>
      </c>
      <c r="C1648" s="12" t="s">
        <v>151</v>
      </c>
      <c r="D1648" s="10" t="str">
        <f ca="1">IFERROR(__xludf.DUMMYFUNCTION(" VLOOKUP(A1645, IMPORTRANGE(""https://docs.google.com/spreadsheets/d/1fj_Bhi2XPL3siwIh4sx4VRLAe31yD50oKdj5UlRYW0c/"", ""Сводка!A:AA""), 11, FALSE)"),"")</f>
        <v/>
      </c>
      <c r="E1648" s="45" t="s">
        <v>6856</v>
      </c>
      <c r="F1648" s="45" t="s">
        <v>6857</v>
      </c>
      <c r="G1648" s="12">
        <f ca="1">IFERROR(__xludf.DUMMYFUNCTION(" VLOOKUP(A1645, IMPORTRANGE(""https://docs.google.com/spreadsheets/d/1fj_Bhi2XPL3siwIh4sx4VRLAe31yD50oKdj5UlRYW0c/"", ""Сводка!A:AA""), 5, FALSE)"),335)</f>
        <v>335</v>
      </c>
      <c r="H1648" s="12" t="s">
        <v>498</v>
      </c>
      <c r="I1648" s="10">
        <f ca="1">IFERROR(__xludf.DUMMYFUNCTION(" VLOOKUP(A1645, IMPORTRANGE(""https://docs.google.com/spreadsheets/d/1QNLbnkR_AongFt22vMfNzfpjZ0CjpI8QI-w0wBnYA1w/"", ""Инфа!A:AA""), 6, FALSE)"),2024)</f>
        <v>2024</v>
      </c>
      <c r="J1648" s="5">
        <f t="shared" ca="1" si="57"/>
        <v>25100</v>
      </c>
      <c r="K1648" s="12" t="s">
        <v>160</v>
      </c>
      <c r="L1648" s="16" t="s">
        <v>6858</v>
      </c>
    </row>
    <row r="1649" spans="1:12" ht="202.5">
      <c r="A1649" s="48" t="s">
        <v>6859</v>
      </c>
      <c r="B1649" s="12" t="s">
        <v>12</v>
      </c>
      <c r="C1649" s="12" t="s">
        <v>443</v>
      </c>
      <c r="D1649" s="10" t="str">
        <f ca="1">IFERROR(__xludf.DUMMYFUNCTION(" VLOOKUP(A1646, IMPORTRANGE(""https://docs.google.com/spreadsheets/d/1fj_Bhi2XPL3siwIh4sx4VRLAe31yD50oKdj5UlRYW0c/"", ""Сводка!A:AA""), 11, FALSE)"),"")</f>
        <v/>
      </c>
      <c r="E1649" s="45" t="s">
        <v>6299</v>
      </c>
      <c r="F1649" s="45" t="s">
        <v>6860</v>
      </c>
      <c r="G1649" s="12">
        <f ca="1">IFERROR(__xludf.DUMMYFUNCTION(" VLOOKUP(A1646, IMPORTRANGE(""https://docs.google.com/spreadsheets/d/1fj_Bhi2XPL3siwIh4sx4VRLAe31yD50oKdj5UlRYW0c/"", ""Сводка!A:AA""), 5, FALSE)"),176)</f>
        <v>176</v>
      </c>
      <c r="H1649" s="12" t="s">
        <v>511</v>
      </c>
      <c r="I1649" s="10">
        <f ca="1">IFERROR(__xludf.DUMMYFUNCTION(" VLOOKUP(A1646, IMPORTRANGE(""https://docs.google.com/spreadsheets/d/1QNLbnkR_AongFt22vMfNzfpjZ0CjpI8QI-w0wBnYA1w/"", ""Инфа!A:AA""), 6, FALSE)"),2024)</f>
        <v>2024</v>
      </c>
      <c r="J1649" s="5">
        <f t="shared" ca="1" si="57"/>
        <v>15600</v>
      </c>
      <c r="K1649" s="12" t="s">
        <v>160</v>
      </c>
      <c r="L1649" s="16" t="s">
        <v>6861</v>
      </c>
    </row>
    <row r="1650" spans="1:12" ht="270">
      <c r="A1650" s="48" t="s">
        <v>6862</v>
      </c>
      <c r="B1650" s="12" t="s">
        <v>12</v>
      </c>
      <c r="C1650" s="12" t="s">
        <v>443</v>
      </c>
      <c r="D1650" s="10" t="str">
        <f ca="1">IFERROR(__xludf.DUMMYFUNCTION(" VLOOKUP(A1647, IMPORTRANGE(""https://docs.google.com/spreadsheets/d/1fj_Bhi2XPL3siwIh4sx4VRLAe31yD50oKdj5UlRYW0c/"", ""Сводка!A:AA""), 11, FALSE)"),"")</f>
        <v/>
      </c>
      <c r="E1650" s="45" t="s">
        <v>6299</v>
      </c>
      <c r="F1650" s="45" t="s">
        <v>6863</v>
      </c>
      <c r="G1650" s="12">
        <f ca="1">IFERROR(__xludf.DUMMYFUNCTION(" VLOOKUP(A1647, IMPORTRANGE(""https://docs.google.com/spreadsheets/d/1fj_Bhi2XPL3siwIh4sx4VRLAe31yD50oKdj5UlRYW0c/"", ""Сводка!A:AA""), 5, FALSE)"),344)</f>
        <v>344</v>
      </c>
      <c r="H1650" s="12" t="s">
        <v>511</v>
      </c>
      <c r="I1650" s="10">
        <f ca="1">IFERROR(__xludf.DUMMYFUNCTION(" VLOOKUP(A1647, IMPORTRANGE(""https://docs.google.com/spreadsheets/d/1QNLbnkR_AongFt22vMfNzfpjZ0CjpI8QI-w0wBnYA1w/"", ""Инфа!A:AA""), 6, FALSE)"),2024)</f>
        <v>2024</v>
      </c>
      <c r="J1650" s="5">
        <f t="shared" ca="1" si="57"/>
        <v>25600</v>
      </c>
      <c r="K1650" s="12" t="s">
        <v>160</v>
      </c>
      <c r="L1650" s="16" t="s">
        <v>6864</v>
      </c>
    </row>
    <row r="1651" spans="1:12" ht="146.25">
      <c r="A1651" s="48" t="s">
        <v>6865</v>
      </c>
      <c r="B1651" s="12" t="s">
        <v>12</v>
      </c>
      <c r="C1651" s="12" t="s">
        <v>443</v>
      </c>
      <c r="D1651" s="10" t="str">
        <f ca="1">IFERROR(__xludf.DUMMYFUNCTION(" VLOOKUP(A1648, IMPORTRANGE(""https://docs.google.com/spreadsheets/d/1fj_Bhi2XPL3siwIh4sx4VRLAe31yD50oKdj5UlRYW0c/"", ""Сводка!A:AA""), 11, FALSE)"),"")</f>
        <v/>
      </c>
      <c r="E1651" s="45" t="s">
        <v>6299</v>
      </c>
      <c r="F1651" s="45" t="s">
        <v>6866</v>
      </c>
      <c r="G1651" s="12">
        <f ca="1">IFERROR(__xludf.DUMMYFUNCTION(" VLOOKUP(A1648, IMPORTRANGE(""https://docs.google.com/spreadsheets/d/1fj_Bhi2XPL3siwIh4sx4VRLAe31yD50oKdj5UlRYW0c/"", ""Сводка!A:AA""), 5, FALSE)"),168)</f>
        <v>168</v>
      </c>
      <c r="H1651" s="12" t="s">
        <v>498</v>
      </c>
      <c r="I1651" s="10">
        <f ca="1">IFERROR(__xludf.DUMMYFUNCTION(" VLOOKUP(A1648, IMPORTRANGE(""https://docs.google.com/spreadsheets/d/1QNLbnkR_AongFt22vMfNzfpjZ0CjpI8QI-w0wBnYA1w/"", ""Инфа!A:AA""), 6, FALSE)"),2024)</f>
        <v>2024</v>
      </c>
      <c r="J1651" s="5">
        <f t="shared" ca="1" si="57"/>
        <v>15100</v>
      </c>
      <c r="K1651" s="12" t="s">
        <v>160</v>
      </c>
      <c r="L1651" s="16" t="s">
        <v>6867</v>
      </c>
    </row>
    <row r="1652" spans="1:12" ht="202.5">
      <c r="A1652" s="48" t="s">
        <v>6868</v>
      </c>
      <c r="B1652" s="12" t="s">
        <v>12</v>
      </c>
      <c r="C1652" s="12" t="s">
        <v>151</v>
      </c>
      <c r="D1652" s="10" t="str">
        <f ca="1">IFERROR(__xludf.DUMMYFUNCTION(" VLOOKUP(A1649, IMPORTRANGE(""https://docs.google.com/spreadsheets/d/1fj_Bhi2XPL3siwIh4sx4VRLAe31yD50oKdj5UlRYW0c/"", ""Сводка!A:AA""), 11, FALSE)"),"")</f>
        <v/>
      </c>
      <c r="E1652" s="45" t="s">
        <v>6299</v>
      </c>
      <c r="F1652" s="45" t="s">
        <v>6869</v>
      </c>
      <c r="G1652" s="12">
        <f ca="1">IFERROR(__xludf.DUMMYFUNCTION(" VLOOKUP(A1649, IMPORTRANGE(""https://docs.google.com/spreadsheets/d/1fj_Bhi2XPL3siwIh4sx4VRLAe31yD50oKdj5UlRYW0c/"", ""Сводка!A:AA""), 5, FALSE)"),176)</f>
        <v>176</v>
      </c>
      <c r="H1652" s="12" t="s">
        <v>498</v>
      </c>
      <c r="I1652" s="10">
        <f ca="1">IFERROR(__xludf.DUMMYFUNCTION(" VLOOKUP(A1649, IMPORTRANGE(""https://docs.google.com/spreadsheets/d/1QNLbnkR_AongFt22vMfNzfpjZ0CjpI8QI-w0wBnYA1w/"", ""Инфа!A:AA""), 6, FALSE)"),2024)</f>
        <v>2024</v>
      </c>
      <c r="J1652" s="5">
        <f t="shared" ca="1" si="57"/>
        <v>15600</v>
      </c>
      <c r="K1652" s="12" t="s">
        <v>160</v>
      </c>
      <c r="L1652" s="16" t="s">
        <v>6870</v>
      </c>
    </row>
    <row r="1653" spans="1:12" ht="135">
      <c r="A1653" s="48" t="s">
        <v>6871</v>
      </c>
      <c r="B1653" s="12" t="s">
        <v>12</v>
      </c>
      <c r="C1653" s="12" t="s">
        <v>151</v>
      </c>
      <c r="D1653" s="12" t="s">
        <v>6872</v>
      </c>
      <c r="E1653" s="45" t="s">
        <v>6873</v>
      </c>
      <c r="F1653" s="45" t="s">
        <v>6874</v>
      </c>
      <c r="G1653" s="12">
        <f ca="1">IFERROR(__xludf.DUMMYFUNCTION(" VLOOKUP(A1650, IMPORTRANGE(""https://docs.google.com/spreadsheets/d/1fj_Bhi2XPL3siwIh4sx4VRLAe31yD50oKdj5UlRYW0c/"", ""Сводка!A:AA""), 5, FALSE)"),236)</f>
        <v>236</v>
      </c>
      <c r="H1653" s="12" t="s">
        <v>47</v>
      </c>
      <c r="I1653" s="10">
        <f ca="1">IFERROR(__xludf.DUMMYFUNCTION(" VLOOKUP(A1650, IMPORTRANGE(""https://docs.google.com/spreadsheets/d/1QNLbnkR_AongFt22vMfNzfpjZ0CjpI8QI-w0wBnYA1w/"", ""Инфа!A:AA""), 6, FALSE)"),2024)</f>
        <v>2024</v>
      </c>
      <c r="J1653" s="5">
        <f ca="1">ROUND((5000+G1653*30),-2)</f>
        <v>12100</v>
      </c>
      <c r="K1653" s="12" t="s">
        <v>2398</v>
      </c>
      <c r="L1653" s="16" t="s">
        <v>6875</v>
      </c>
    </row>
    <row r="1654" spans="1:12" ht="292.5">
      <c r="A1654" s="48" t="s">
        <v>6876</v>
      </c>
      <c r="B1654" s="12" t="s">
        <v>12</v>
      </c>
      <c r="C1654" s="12" t="s">
        <v>151</v>
      </c>
      <c r="D1654" s="10" t="str">
        <f ca="1">IFERROR(__xludf.DUMMYFUNCTION(" VLOOKUP(A1651, IMPORTRANGE(""https://docs.google.com/spreadsheets/d/1fj_Bhi2XPL3siwIh4sx4VRLAe31yD50oKdj5UlRYW0c/"", ""Сводка!A:AA""), 11, FALSE)"),"")</f>
        <v/>
      </c>
      <c r="E1654" s="45" t="s">
        <v>6877</v>
      </c>
      <c r="F1654" s="45" t="s">
        <v>6878</v>
      </c>
      <c r="G1654" s="12">
        <f ca="1">IFERROR(__xludf.DUMMYFUNCTION(" VLOOKUP(A1651, IMPORTRANGE(""https://docs.google.com/spreadsheets/d/1fj_Bhi2XPL3siwIh4sx4VRLAe31yD50oKdj5UlRYW0c/"", ""Сводка!A:AA""), 5, FALSE)"),188)</f>
        <v>188</v>
      </c>
      <c r="H1654" s="12" t="s">
        <v>106</v>
      </c>
      <c r="I1654" s="10">
        <f ca="1">IFERROR(__xludf.DUMMYFUNCTION(" VLOOKUP(A1651, IMPORTRANGE(""https://docs.google.com/spreadsheets/d/1QNLbnkR_AongFt22vMfNzfpjZ0CjpI8QI-w0wBnYA1w/"", ""Инфа!A:AA""), 6, FALSE)"),2024)</f>
        <v>2024</v>
      </c>
      <c r="J1654" s="5">
        <f ca="1">ROUND((5000+G1654*60),-2)</f>
        <v>16300</v>
      </c>
      <c r="K1654" s="12" t="s">
        <v>160</v>
      </c>
      <c r="L1654" s="16" t="s">
        <v>6879</v>
      </c>
    </row>
    <row r="1655" spans="1:12" ht="303.75">
      <c r="A1655" s="48" t="s">
        <v>6880</v>
      </c>
      <c r="B1655" s="12" t="s">
        <v>12</v>
      </c>
      <c r="C1655" s="12" t="s">
        <v>443</v>
      </c>
      <c r="D1655" s="12" t="s">
        <v>6881</v>
      </c>
      <c r="E1655" s="11" t="s">
        <v>6882</v>
      </c>
      <c r="F1655" s="11" t="s">
        <v>6883</v>
      </c>
      <c r="G1655" s="12">
        <f ca="1">IFERROR(__xludf.DUMMYFUNCTION(" VLOOKUP(A1652, IMPORTRANGE(""https://docs.google.com/spreadsheets/d/1fj_Bhi2XPL3siwIh4sx4VRLAe31yD50oKdj5UlRYW0c/"", ""Сводка!A:AA""), 5, FALSE)"),372)</f>
        <v>372</v>
      </c>
      <c r="H1655" s="12" t="s">
        <v>106</v>
      </c>
      <c r="I1655" s="10">
        <v>2024</v>
      </c>
      <c r="J1655" s="5">
        <v>16200</v>
      </c>
      <c r="K1655" s="12" t="s">
        <v>6884</v>
      </c>
      <c r="L1655" s="15" t="s">
        <v>6885</v>
      </c>
    </row>
    <row r="1656" spans="1:12" ht="303.75">
      <c r="A1656" s="48" t="s">
        <v>6886</v>
      </c>
      <c r="B1656" s="9" t="s">
        <v>12</v>
      </c>
      <c r="C1656" s="9" t="s">
        <v>443</v>
      </c>
      <c r="D1656" s="12" t="s">
        <v>6887</v>
      </c>
      <c r="E1656" s="38" t="s">
        <v>6882</v>
      </c>
      <c r="F1656" s="38" t="s">
        <v>6888</v>
      </c>
      <c r="G1656" s="9">
        <f ca="1">IFERROR(__xludf.DUMMYFUNCTION(" VLOOKUP(A1653, IMPORTRANGE(""https://docs.google.com/spreadsheets/d/1fj_Bhi2XPL3siwIh4sx4VRLAe31yD50oKdj5UlRYW0c/"", ""Сводка!A:AA""), 5, FALSE)"),192)</f>
        <v>192</v>
      </c>
      <c r="H1656" s="9" t="s">
        <v>106</v>
      </c>
      <c r="I1656" s="13">
        <v>2024</v>
      </c>
      <c r="J1656" s="6">
        <v>10800</v>
      </c>
      <c r="K1656" s="9" t="s">
        <v>6884</v>
      </c>
      <c r="L1656" s="41" t="s">
        <v>6885</v>
      </c>
    </row>
    <row r="1657" spans="1:12" ht="303.75">
      <c r="A1657" s="48" t="s">
        <v>6889</v>
      </c>
      <c r="B1657" s="12" t="s">
        <v>12</v>
      </c>
      <c r="C1657" s="12" t="s">
        <v>443</v>
      </c>
      <c r="D1657" s="10" t="str">
        <f ca="1">IFERROR(__xludf.DUMMYFUNCTION(" VLOOKUP(A1654, IMPORTRANGE(""https://docs.google.com/spreadsheets/d/1fj_Bhi2XPL3siwIh4sx4VRLAe31yD50oKdj5UlRYW0c/"", ""Сводка!A:AA""), 11, FALSE)"),"")</f>
        <v/>
      </c>
      <c r="E1657" s="11" t="s">
        <v>6882</v>
      </c>
      <c r="F1657" s="11" t="s">
        <v>6890</v>
      </c>
      <c r="G1657" s="12">
        <f ca="1">IFERROR(__xludf.DUMMYFUNCTION(" VLOOKUP(A1654, IMPORTRANGE(""https://docs.google.com/spreadsheets/d/1fj_Bhi2XPL3siwIh4sx4VRLAe31yD50oKdj5UlRYW0c/"", ""Сводка!A:AA""), 5, FALSE)"),216)</f>
        <v>216</v>
      </c>
      <c r="H1657" s="12" t="s">
        <v>106</v>
      </c>
      <c r="I1657" s="10">
        <f ca="1">IFERROR(__xludf.DUMMYFUNCTION(" VLOOKUP(A1654, IMPORTRANGE(""https://docs.google.com/spreadsheets/d/1QNLbnkR_AongFt22vMfNzfpjZ0CjpI8QI-w0wBnYA1w/"", ""Инфа!A:AA""), 6, FALSE)"),2024)</f>
        <v>2024</v>
      </c>
      <c r="J1657" s="5">
        <f ca="1">ROUND((5000+G1657*30),-2)</f>
        <v>11500</v>
      </c>
      <c r="K1657" s="12" t="s">
        <v>6884</v>
      </c>
      <c r="L1657" s="15" t="s">
        <v>6885</v>
      </c>
    </row>
    <row r="1658" spans="1:12" ht="247.5">
      <c r="A1658" s="48" t="s">
        <v>6891</v>
      </c>
      <c r="B1658" s="12" t="s">
        <v>12</v>
      </c>
      <c r="C1658" s="12" t="s">
        <v>13</v>
      </c>
      <c r="D1658" s="12" t="s">
        <v>6892</v>
      </c>
      <c r="E1658" s="11" t="s">
        <v>6893</v>
      </c>
      <c r="F1658" s="11" t="s">
        <v>6894</v>
      </c>
      <c r="G1658" s="12">
        <f ca="1">IFERROR(__xludf.DUMMYFUNCTION(" VLOOKUP(A1655, IMPORTRANGE(""https://docs.google.com/spreadsheets/d/1fj_Bhi2XPL3siwIh4sx4VRLAe31yD50oKdj5UlRYW0c/"", ""Сводка!A:AA""), 5, FALSE)"),188)</f>
        <v>188</v>
      </c>
      <c r="H1658" s="12" t="s">
        <v>42</v>
      </c>
      <c r="I1658" s="10">
        <f ca="1">IFERROR(__xludf.DUMMYFUNCTION(" VLOOKUP(A1655, IMPORTRANGE(""https://docs.google.com/spreadsheets/d/1QNLbnkR_AongFt22vMfNzfpjZ0CjpI8QI-w0wBnYA1w/"", ""Инфа!A:AA""), 6, FALSE)"),2024)</f>
        <v>2024</v>
      </c>
      <c r="J1658" s="5">
        <f ca="1">ROUND((5000+G1658*30),-2)</f>
        <v>10600</v>
      </c>
      <c r="K1658" s="12" t="s">
        <v>6895</v>
      </c>
      <c r="L1658" s="15" t="s">
        <v>6896</v>
      </c>
    </row>
    <row r="1659" spans="1:12" ht="315">
      <c r="A1659" s="48" t="s">
        <v>6897</v>
      </c>
      <c r="B1659" s="12" t="s">
        <v>12</v>
      </c>
      <c r="C1659" s="12" t="s">
        <v>443</v>
      </c>
      <c r="D1659" s="12" t="s">
        <v>6898</v>
      </c>
      <c r="E1659" s="11" t="s">
        <v>6899</v>
      </c>
      <c r="F1659" s="11" t="s">
        <v>6900</v>
      </c>
      <c r="G1659" s="12">
        <f ca="1">IFERROR(__xludf.DUMMYFUNCTION(" VLOOKUP(A1656, IMPORTRANGE(""https://docs.google.com/spreadsheets/d/1fj_Bhi2XPL3siwIh4sx4VRLAe31yD50oKdj5UlRYW0c/"", ""Сводка!A:AA""), 5, FALSE)"),192)</f>
        <v>192</v>
      </c>
      <c r="H1659" s="12" t="s">
        <v>777</v>
      </c>
      <c r="I1659" s="10">
        <f ca="1">IFERROR(__xludf.DUMMYFUNCTION(" VLOOKUP(A1656, IMPORTRANGE(""https://docs.google.com/spreadsheets/d/1QNLbnkR_AongFt22vMfNzfpjZ0CjpI8QI-w0wBnYA1w/"", ""Инфа!A:AA""), 6, FALSE)"),2024)</f>
        <v>2024</v>
      </c>
      <c r="J1659" s="5">
        <f ca="1">ROUND((5000+G1659*60),-2)</f>
        <v>16500</v>
      </c>
      <c r="K1659" s="12" t="s">
        <v>3445</v>
      </c>
      <c r="L1659" s="15" t="s">
        <v>6901</v>
      </c>
    </row>
    <row r="1660" spans="1:12" ht="292.5">
      <c r="A1660" s="48" t="s">
        <v>6902</v>
      </c>
      <c r="B1660" s="12" t="s">
        <v>12</v>
      </c>
      <c r="C1660" s="12" t="s">
        <v>443</v>
      </c>
      <c r="D1660" s="12" t="s">
        <v>6903</v>
      </c>
      <c r="E1660" s="11" t="s">
        <v>6899</v>
      </c>
      <c r="F1660" s="11" t="s">
        <v>6904</v>
      </c>
      <c r="G1660" s="12">
        <f ca="1">IFERROR(__xludf.DUMMYFUNCTION(" VLOOKUP(A1657, IMPORTRANGE(""https://docs.google.com/spreadsheets/d/1fj_Bhi2XPL3siwIh4sx4VRLAe31yD50oKdj5UlRYW0c/"", ""Сводка!A:AA""), 5, FALSE)"),232)</f>
        <v>232</v>
      </c>
      <c r="H1660" s="12" t="s">
        <v>446</v>
      </c>
      <c r="I1660" s="10">
        <f ca="1">IFERROR(__xludf.DUMMYFUNCTION(" VLOOKUP(A1657, IMPORTRANGE(""https://docs.google.com/spreadsheets/d/1QNLbnkR_AongFt22vMfNzfpjZ0CjpI8QI-w0wBnYA1w/"", ""Инфа!A:AA""), 6, FALSE)"),2024)</f>
        <v>2024</v>
      </c>
      <c r="J1660" s="5">
        <f ca="1">ROUND((5000+G1660*60),-2)</f>
        <v>18900</v>
      </c>
      <c r="K1660" s="12" t="s">
        <v>3445</v>
      </c>
      <c r="L1660" s="15" t="s">
        <v>6905</v>
      </c>
    </row>
    <row r="1661" spans="1:12" ht="236.25">
      <c r="A1661" s="48" t="s">
        <v>6906</v>
      </c>
      <c r="B1661" s="12" t="s">
        <v>12</v>
      </c>
      <c r="C1661" s="12" t="s">
        <v>151</v>
      </c>
      <c r="D1661" s="12" t="s">
        <v>6907</v>
      </c>
      <c r="E1661" s="11" t="s">
        <v>6908</v>
      </c>
      <c r="F1661" s="11" t="s">
        <v>6909</v>
      </c>
      <c r="G1661" s="12">
        <f ca="1">IFERROR(__xludf.DUMMYFUNCTION(" VLOOKUP(A1658, IMPORTRANGE(""https://docs.google.com/spreadsheets/d/1fj_Bhi2XPL3siwIh4sx4VRLAe31yD50oKdj5UlRYW0c/"", ""Сводка!A:AA""), 5, FALSE)"),212)</f>
        <v>212</v>
      </c>
      <c r="H1661" s="12" t="s">
        <v>47</v>
      </c>
      <c r="I1661" s="10">
        <f ca="1">IFERROR(__xludf.DUMMYFUNCTION(" VLOOKUP(A1658, IMPORTRANGE(""https://docs.google.com/spreadsheets/d/1QNLbnkR_AongFt22vMfNzfpjZ0CjpI8QI-w0wBnYA1w/"", ""Инфа!A:AA""), 6, FALSE)"),2024)</f>
        <v>2024</v>
      </c>
      <c r="J1661" s="5">
        <f ca="1">ROUND((5000+G1661*60),-2)</f>
        <v>17700</v>
      </c>
      <c r="K1661" s="12" t="s">
        <v>6910</v>
      </c>
      <c r="L1661" s="15" t="s">
        <v>6911</v>
      </c>
    </row>
    <row r="1662" spans="1:12" ht="315">
      <c r="A1662" s="48" t="s">
        <v>6912</v>
      </c>
      <c r="B1662" s="12" t="s">
        <v>12</v>
      </c>
      <c r="C1662" s="12" t="s">
        <v>151</v>
      </c>
      <c r="D1662" s="12" t="s">
        <v>6913</v>
      </c>
      <c r="E1662" s="11" t="s">
        <v>6914</v>
      </c>
      <c r="F1662" s="11" t="s">
        <v>6915</v>
      </c>
      <c r="G1662" s="12">
        <f ca="1">IFERROR(__xludf.DUMMYFUNCTION(" VLOOKUP(A1659, IMPORTRANGE(""https://docs.google.com/spreadsheets/d/1fj_Bhi2XPL3siwIh4sx4VRLAe31yD50oKdj5UlRYW0c/"", ""Сводка!A:AA""), 5, FALSE)"),176)</f>
        <v>176</v>
      </c>
      <c r="H1662" s="12" t="s">
        <v>47</v>
      </c>
      <c r="I1662" s="10">
        <f ca="1">IFERROR(__xludf.DUMMYFUNCTION(" VLOOKUP(A1659, IMPORTRANGE(""https://docs.google.com/spreadsheets/d/1QNLbnkR_AongFt22vMfNzfpjZ0CjpI8QI-w0wBnYA1w/"", ""Инфа!A:AA""), 6, FALSE)"),2024)</f>
        <v>2024</v>
      </c>
      <c r="J1662" s="5">
        <f t="shared" ref="J1662:J1669" ca="1" si="58">ROUND((5000+G1662*30),-2)</f>
        <v>10300</v>
      </c>
      <c r="K1662" s="12" t="s">
        <v>6916</v>
      </c>
      <c r="L1662" s="15" t="s">
        <v>6917</v>
      </c>
    </row>
    <row r="1663" spans="1:12" ht="146.25">
      <c r="A1663" s="48" t="s">
        <v>6918</v>
      </c>
      <c r="B1663" s="12" t="s">
        <v>12</v>
      </c>
      <c r="C1663" s="12" t="s">
        <v>443</v>
      </c>
      <c r="D1663" s="12" t="s">
        <v>6919</v>
      </c>
      <c r="E1663" s="11" t="s">
        <v>4955</v>
      </c>
      <c r="F1663" s="11" t="s">
        <v>6920</v>
      </c>
      <c r="G1663" s="12">
        <f ca="1">IFERROR(__xludf.DUMMYFUNCTION(" VLOOKUP(A1660, IMPORTRANGE(""https://docs.google.com/spreadsheets/d/1fj_Bhi2XPL3siwIh4sx4VRLAe31yD50oKdj5UlRYW0c/"", ""Сводка!A:AA""), 5, FALSE)"),164)</f>
        <v>164</v>
      </c>
      <c r="H1663" s="12" t="s">
        <v>446</v>
      </c>
      <c r="I1663" s="10">
        <f ca="1">IFERROR(__xludf.DUMMYFUNCTION(" VLOOKUP(A1660, IMPORTRANGE(""https://docs.google.com/spreadsheets/d/1QNLbnkR_AongFt22vMfNzfpjZ0CjpI8QI-w0wBnYA1w/"", ""Инфа!A:AA""), 6, FALSE)"),2024)</f>
        <v>2024</v>
      </c>
      <c r="J1663" s="5">
        <f t="shared" ca="1" si="58"/>
        <v>9900</v>
      </c>
      <c r="K1663" s="12" t="s">
        <v>6921</v>
      </c>
      <c r="L1663" s="15" t="s">
        <v>6922</v>
      </c>
    </row>
    <row r="1664" spans="1:12" ht="78.75">
      <c r="A1664" s="48" t="s">
        <v>6923</v>
      </c>
      <c r="B1664" s="12" t="s">
        <v>12</v>
      </c>
      <c r="C1664" s="12" t="s">
        <v>443</v>
      </c>
      <c r="D1664" s="12" t="s">
        <v>6924</v>
      </c>
      <c r="E1664" s="11" t="s">
        <v>4955</v>
      </c>
      <c r="F1664" s="11" t="s">
        <v>6925</v>
      </c>
      <c r="G1664" s="12">
        <f ca="1">IFERROR(__xludf.DUMMYFUNCTION(" VLOOKUP(A1661, IMPORTRANGE(""https://docs.google.com/spreadsheets/d/1fj_Bhi2XPL3siwIh4sx4VRLAe31yD50oKdj5UlRYW0c/"", ""Сводка!A:AA""), 5, FALSE)"),224)</f>
        <v>224</v>
      </c>
      <c r="H1664" s="12" t="s">
        <v>446</v>
      </c>
      <c r="I1664" s="10">
        <f ca="1">IFERROR(__xludf.DUMMYFUNCTION(" VLOOKUP(A1661, IMPORTRANGE(""https://docs.google.com/spreadsheets/d/1QNLbnkR_AongFt22vMfNzfpjZ0CjpI8QI-w0wBnYA1w/"", ""Инфа!A:AA""), 6, FALSE)"),2024)</f>
        <v>2024</v>
      </c>
      <c r="J1664" s="5">
        <f t="shared" ca="1" si="58"/>
        <v>11700</v>
      </c>
      <c r="K1664" s="12" t="s">
        <v>6921</v>
      </c>
      <c r="L1664" s="16" t="s">
        <v>6926</v>
      </c>
    </row>
    <row r="1665" spans="1:12" ht="123.75">
      <c r="A1665" s="48" t="s">
        <v>6927</v>
      </c>
      <c r="B1665" s="12" t="s">
        <v>12</v>
      </c>
      <c r="C1665" s="12" t="s">
        <v>443</v>
      </c>
      <c r="D1665" s="10" t="str">
        <f ca="1">IFERROR(__xludf.DUMMYFUNCTION(" VLOOKUP(A1662, IMPORTRANGE(""https://docs.google.com/spreadsheets/d/1fj_Bhi2XPL3siwIh4sx4VRLAe31yD50oKdj5UlRYW0c/"", ""Сводка!A:AA""), 11, FALSE)"),"")</f>
        <v/>
      </c>
      <c r="E1665" s="11" t="s">
        <v>4955</v>
      </c>
      <c r="F1665" s="11" t="s">
        <v>6928</v>
      </c>
      <c r="G1665" s="12">
        <f ca="1">IFERROR(__xludf.DUMMYFUNCTION(" VLOOKUP(A1662, IMPORTRANGE(""https://docs.google.com/spreadsheets/d/1fj_Bhi2XPL3siwIh4sx4VRLAe31yD50oKdj5UlRYW0c/"", ""Сводка!A:AA""), 5, FALSE)"),96)</f>
        <v>96</v>
      </c>
      <c r="H1665" s="12" t="s">
        <v>777</v>
      </c>
      <c r="I1665" s="10">
        <f ca="1">IFERROR(__xludf.DUMMYFUNCTION(" VLOOKUP(A1662, IMPORTRANGE(""https://docs.google.com/spreadsheets/d/1QNLbnkR_AongFt22vMfNzfpjZ0CjpI8QI-w0wBnYA1w/"", ""Инфа!A:AA""), 6, FALSE)"),2024)</f>
        <v>2024</v>
      </c>
      <c r="J1665" s="5">
        <f t="shared" ca="1" si="58"/>
        <v>7900</v>
      </c>
      <c r="K1665" s="12" t="s">
        <v>6929</v>
      </c>
      <c r="L1665" s="16" t="s">
        <v>6930</v>
      </c>
    </row>
    <row r="1666" spans="1:12" ht="25.5">
      <c r="A1666" s="8" t="s">
        <v>6931</v>
      </c>
      <c r="B1666" s="9" t="s">
        <v>12</v>
      </c>
      <c r="C1666" s="10" t="s">
        <v>443</v>
      </c>
      <c r="D1666" s="10" t="s">
        <v>6932</v>
      </c>
      <c r="E1666" s="11" t="s">
        <v>6933</v>
      </c>
      <c r="F1666" s="11" t="s">
        <v>6934</v>
      </c>
      <c r="G1666" s="12">
        <v>348</v>
      </c>
      <c r="H1666" s="12" t="s">
        <v>538</v>
      </c>
      <c r="I1666" s="10">
        <f ca="1">IFERROR(__xludf.DUMMYFUNCTION(" VLOOKUP(A1663, IMPORTRANGE(""https://docs.google.com/spreadsheets/d/1QNLbnkR_AongFt22vMfNzfpjZ0CjpI8QI-w0wBnYA1w/"", ""Инфа!A:AA""), 6, FALSE)"),2024)</f>
        <v>2024</v>
      </c>
      <c r="J1666" s="5">
        <f t="shared" si="58"/>
        <v>15400</v>
      </c>
      <c r="K1666" s="12" t="s">
        <v>961</v>
      </c>
      <c r="L1666" s="15"/>
    </row>
    <row r="1667" spans="1:12" ht="78.75">
      <c r="A1667" s="48" t="s">
        <v>6935</v>
      </c>
      <c r="B1667" s="12" t="s">
        <v>12</v>
      </c>
      <c r="C1667" s="12" t="s">
        <v>443</v>
      </c>
      <c r="D1667" s="12" t="s">
        <v>6936</v>
      </c>
      <c r="E1667" s="11" t="s">
        <v>4955</v>
      </c>
      <c r="F1667" s="11" t="s">
        <v>6937</v>
      </c>
      <c r="G1667" s="12">
        <f ca="1">IFERROR(__xludf.DUMMYFUNCTION(" VLOOKUP(A1664, IMPORTRANGE(""https://docs.google.com/spreadsheets/d/1fj_Bhi2XPL3siwIh4sx4VRLAe31yD50oKdj5UlRYW0c/"", ""Сводка!A:AA""), 5, FALSE)"),184)</f>
        <v>184</v>
      </c>
      <c r="H1667" s="12" t="s">
        <v>446</v>
      </c>
      <c r="I1667" s="10">
        <f ca="1">IFERROR(__xludf.DUMMYFUNCTION(" VLOOKUP(A1664, IMPORTRANGE(""https://docs.google.com/spreadsheets/d/1QNLbnkR_AongFt22vMfNzfpjZ0CjpI8QI-w0wBnYA1w/"", ""Инфа!A:AA""), 6, FALSE)"),2024)</f>
        <v>2024</v>
      </c>
      <c r="J1667" s="5">
        <f t="shared" ca="1" si="58"/>
        <v>10500</v>
      </c>
      <c r="K1667" s="12" t="s">
        <v>26</v>
      </c>
      <c r="L1667" s="16" t="s">
        <v>6938</v>
      </c>
    </row>
    <row r="1668" spans="1:12" ht="123.75">
      <c r="A1668" s="48" t="s">
        <v>6939</v>
      </c>
      <c r="B1668" s="12" t="s">
        <v>12</v>
      </c>
      <c r="C1668" s="12" t="s">
        <v>443</v>
      </c>
      <c r="D1668" s="12" t="s">
        <v>6940</v>
      </c>
      <c r="E1668" s="11" t="s">
        <v>4955</v>
      </c>
      <c r="F1668" s="11" t="s">
        <v>6941</v>
      </c>
      <c r="G1668" s="12">
        <f ca="1">IFERROR(__xludf.DUMMYFUNCTION(" VLOOKUP(A1665, IMPORTRANGE(""https://docs.google.com/spreadsheets/d/1fj_Bhi2XPL3siwIh4sx4VRLAe31yD50oKdj5UlRYW0c/"", ""Сводка!A:AA""), 5, FALSE)"),163)</f>
        <v>163</v>
      </c>
      <c r="H1668" s="12" t="s">
        <v>777</v>
      </c>
      <c r="I1668" s="10">
        <f ca="1">IFERROR(__xludf.DUMMYFUNCTION(" VLOOKUP(A1665, IMPORTRANGE(""https://docs.google.com/spreadsheets/d/1QNLbnkR_AongFt22vMfNzfpjZ0CjpI8QI-w0wBnYA1w/"", ""Инфа!A:AA""), 6, FALSE)"),2024)</f>
        <v>2024</v>
      </c>
      <c r="J1668" s="5">
        <f t="shared" ca="1" si="58"/>
        <v>9900</v>
      </c>
      <c r="K1668" s="12" t="s">
        <v>26</v>
      </c>
      <c r="L1668" s="15" t="s">
        <v>6942</v>
      </c>
    </row>
    <row r="1669" spans="1:12" ht="315">
      <c r="A1669" s="48" t="s">
        <v>6943</v>
      </c>
      <c r="B1669" s="12" t="s">
        <v>12</v>
      </c>
      <c r="C1669" s="12" t="s">
        <v>151</v>
      </c>
      <c r="D1669" s="10" t="str">
        <f ca="1">IFERROR(__xludf.DUMMYFUNCTION(" VLOOKUP(A1666, IMPORTRANGE(""https://docs.google.com/spreadsheets/d/1fj_Bhi2XPL3siwIh4sx4VRLAe31yD50oKdj5UlRYW0c/"", ""Сводка!A:AA""), 11, FALSE)"),"978-601-353-168-7")</f>
        <v>978-601-353-168-7</v>
      </c>
      <c r="E1669" s="11" t="s">
        <v>6944</v>
      </c>
      <c r="F1669" s="11" t="s">
        <v>6945</v>
      </c>
      <c r="G1669" s="12">
        <f ca="1">IFERROR(__xludf.DUMMYFUNCTION(" VLOOKUP(A1666, IMPORTRANGE(""https://docs.google.com/spreadsheets/d/1fj_Bhi2XPL3siwIh4sx4VRLAe31yD50oKdj5UlRYW0c/"", ""Сводка!A:AA""), 5, FALSE)"),228)</f>
        <v>228</v>
      </c>
      <c r="H1669" s="12" t="s">
        <v>47</v>
      </c>
      <c r="I1669" s="10">
        <f ca="1">IFERROR(__xludf.DUMMYFUNCTION(" VLOOKUP(A1666, IMPORTRANGE(""https://docs.google.com/spreadsheets/d/1QNLbnkR_AongFt22vMfNzfpjZ0CjpI8QI-w0wBnYA1w/"", ""Инфа!A:AA""), 6, FALSE)"),2024)</f>
        <v>2024</v>
      </c>
      <c r="J1669" s="5">
        <f t="shared" ca="1" si="58"/>
        <v>11800</v>
      </c>
      <c r="K1669" s="12" t="s">
        <v>6946</v>
      </c>
      <c r="L1669" s="15" t="s">
        <v>6947</v>
      </c>
    </row>
    <row r="1670" spans="1:12" ht="67.5">
      <c r="A1670" s="48" t="s">
        <v>6948</v>
      </c>
      <c r="B1670" s="12" t="s">
        <v>12</v>
      </c>
      <c r="C1670" s="12" t="s">
        <v>443</v>
      </c>
      <c r="D1670" s="10" t="str">
        <f ca="1">IFERROR(__xludf.DUMMYFUNCTION(" VLOOKUP(A1667, IMPORTRANGE(""https://docs.google.com/spreadsheets/d/1fj_Bhi2XPL3siwIh4sx4VRLAe31yD50oKdj5UlRYW0c/"", ""Сводка!A:AA""), 11, FALSE)"),"978-601-330-381-9")</f>
        <v>978-601-330-381-9</v>
      </c>
      <c r="E1670" s="11" t="s">
        <v>6949</v>
      </c>
      <c r="F1670" s="11" t="s">
        <v>6950</v>
      </c>
      <c r="G1670" s="12">
        <f ca="1">IFERROR(__xludf.DUMMYFUNCTION(" VLOOKUP(A1667, IMPORTRANGE(""https://docs.google.com/spreadsheets/d/1fj_Bhi2XPL3siwIh4sx4VRLAe31yD50oKdj5UlRYW0c/"", ""Сводка!A:AA""), 5, FALSE)"),252)</f>
        <v>252</v>
      </c>
      <c r="H1670" s="12" t="s">
        <v>511</v>
      </c>
      <c r="I1670" s="10">
        <f ca="1">IFERROR(__xludf.DUMMYFUNCTION(" VLOOKUP(A1667, IMPORTRANGE(""https://docs.google.com/spreadsheets/d/1QNLbnkR_AongFt22vMfNzfpjZ0CjpI8QI-w0wBnYA1w/"", ""Инфа!A:AA""), 6, FALSE)"),2024)</f>
        <v>2024</v>
      </c>
      <c r="J1670" s="5">
        <f ca="1">ROUND((5000+G1670*60),-2)</f>
        <v>20100</v>
      </c>
      <c r="K1670" s="12" t="s">
        <v>3321</v>
      </c>
      <c r="L1670" s="16" t="s">
        <v>6951</v>
      </c>
    </row>
    <row r="1671" spans="1:12" ht="213.75">
      <c r="A1671" s="48" t="s">
        <v>6952</v>
      </c>
      <c r="B1671" s="12" t="s">
        <v>12</v>
      </c>
      <c r="C1671" s="12" t="s">
        <v>443</v>
      </c>
      <c r="D1671" s="10" t="str">
        <f ca="1">IFERROR(__xludf.DUMMYFUNCTION(" VLOOKUP(A1668, IMPORTRANGE(""https://docs.google.com/spreadsheets/d/1fj_Bhi2XPL3siwIh4sx4VRLAe31yD50oKdj5UlRYW0c/"", ""Сводка!A:AA""), 11, FALSE)"),"")</f>
        <v/>
      </c>
      <c r="E1671" s="11" t="s">
        <v>6953</v>
      </c>
      <c r="F1671" s="11" t="s">
        <v>6954</v>
      </c>
      <c r="G1671" s="12">
        <f ca="1">IFERROR(__xludf.DUMMYFUNCTION(" VLOOKUP(A1668, IMPORTRANGE(""https://docs.google.com/spreadsheets/d/1fj_Bhi2XPL3siwIh4sx4VRLAe31yD50oKdj5UlRYW0c/"", ""Сводка!A:AA""), 5, FALSE)"),180)</f>
        <v>180</v>
      </c>
      <c r="H1671" s="12" t="s">
        <v>446</v>
      </c>
      <c r="I1671" s="10">
        <f ca="1">IFERROR(__xludf.DUMMYFUNCTION(" VLOOKUP(A1668, IMPORTRANGE(""https://docs.google.com/spreadsheets/d/1QNLbnkR_AongFt22vMfNzfpjZ0CjpI8QI-w0wBnYA1w/"", ""Инфа!A:AA""), 6, FALSE)"),2024)</f>
        <v>2024</v>
      </c>
      <c r="J1671" s="5">
        <f ca="1">ROUND((5000+G1671*30),-2)</f>
        <v>10400</v>
      </c>
      <c r="K1671" s="12" t="s">
        <v>6955</v>
      </c>
      <c r="L1671" s="16" t="s">
        <v>6956</v>
      </c>
    </row>
    <row r="1672" spans="1:12" ht="225">
      <c r="A1672" s="48" t="s">
        <v>6957</v>
      </c>
      <c r="B1672" s="12" t="s">
        <v>12</v>
      </c>
      <c r="C1672" s="12" t="s">
        <v>443</v>
      </c>
      <c r="D1672" s="10" t="s">
        <v>6958</v>
      </c>
      <c r="E1672" s="11" t="s">
        <v>5899</v>
      </c>
      <c r="F1672" s="11" t="s">
        <v>6959</v>
      </c>
      <c r="G1672" s="12">
        <f ca="1">IFERROR(__xludf.DUMMYFUNCTION(" VLOOKUP(A1669, IMPORTRANGE(""https://docs.google.com/spreadsheets/d/1fj_Bhi2XPL3siwIh4sx4VRLAe31yD50oKdj5UlRYW0c/"", ""Сводка!A:AA""), 5, FALSE)"),192)</f>
        <v>192</v>
      </c>
      <c r="H1672" s="12" t="s">
        <v>446</v>
      </c>
      <c r="I1672" s="10">
        <f ca="1">IFERROR(__xludf.DUMMYFUNCTION(" VLOOKUP(A1669, IMPORTRANGE(""https://docs.google.com/spreadsheets/d/1QNLbnkR_AongFt22vMfNzfpjZ0CjpI8QI-w0wBnYA1w/"", ""Инфа!A:AA""), 6, FALSE)"),2024)</f>
        <v>2024</v>
      </c>
      <c r="J1672" s="5">
        <f ca="1">ROUND((5000+G1672*30),-2)</f>
        <v>10800</v>
      </c>
      <c r="K1672" s="12" t="s">
        <v>6960</v>
      </c>
      <c r="L1672" s="16" t="s">
        <v>6961</v>
      </c>
    </row>
    <row r="1673" spans="1:12" ht="123.75">
      <c r="A1673" s="48" t="s">
        <v>6962</v>
      </c>
      <c r="B1673" s="12" t="s">
        <v>12</v>
      </c>
      <c r="C1673" s="12" t="s">
        <v>443</v>
      </c>
      <c r="D1673" s="10" t="s">
        <v>6963</v>
      </c>
      <c r="E1673" s="11" t="s">
        <v>6964</v>
      </c>
      <c r="F1673" s="11" t="s">
        <v>6965</v>
      </c>
      <c r="G1673" s="12">
        <f ca="1">IFERROR(__xludf.DUMMYFUNCTION(" VLOOKUP(A1670, IMPORTRANGE(""https://docs.google.com/spreadsheets/d/1fj_Bhi2XPL3siwIh4sx4VRLAe31yD50oKdj5UlRYW0c/"", ""Сводка!A:AA""), 5, FALSE)"),200)</f>
        <v>200</v>
      </c>
      <c r="H1673" s="12" t="s">
        <v>446</v>
      </c>
      <c r="I1673" s="10">
        <f ca="1">IFERROR(__xludf.DUMMYFUNCTION(" VLOOKUP(A1670, IMPORTRANGE(""https://docs.google.com/spreadsheets/d/1QNLbnkR_AongFt22vMfNzfpjZ0CjpI8QI-w0wBnYA1w/"", ""Инфа!A:AA""), 6, FALSE)"),2024)</f>
        <v>2024</v>
      </c>
      <c r="J1673" s="5">
        <f ca="1">ROUND((5000+G1673*30),-2)</f>
        <v>11000</v>
      </c>
      <c r="K1673" s="12" t="s">
        <v>3321</v>
      </c>
      <c r="L1673" s="16" t="s">
        <v>6966</v>
      </c>
    </row>
    <row r="1674" spans="1:12" ht="225">
      <c r="A1674" s="48" t="s">
        <v>6967</v>
      </c>
      <c r="B1674" s="12" t="s">
        <v>12</v>
      </c>
      <c r="C1674" s="12" t="s">
        <v>443</v>
      </c>
      <c r="D1674" s="12" t="s">
        <v>6968</v>
      </c>
      <c r="E1674" s="11" t="s">
        <v>6969</v>
      </c>
      <c r="F1674" s="11" t="s">
        <v>6970</v>
      </c>
      <c r="G1674" s="12">
        <f ca="1">IFERROR(__xludf.DUMMYFUNCTION(" VLOOKUP(A1671, IMPORTRANGE(""https://docs.google.com/spreadsheets/d/1fj_Bhi2XPL3siwIh4sx4VRLAe31yD50oKdj5UlRYW0c/"", ""Сводка!A:AA""), 5, FALSE)"),184)</f>
        <v>184</v>
      </c>
      <c r="H1674" s="12" t="s">
        <v>446</v>
      </c>
      <c r="I1674" s="10">
        <f ca="1">IFERROR(__xludf.DUMMYFUNCTION(" VLOOKUP(A1671, IMPORTRANGE(""https://docs.google.com/spreadsheets/d/1QNLbnkR_AongFt22vMfNzfpjZ0CjpI8QI-w0wBnYA1w/"", ""Инфа!A:AA""), 6, FALSE)"),2024)</f>
        <v>2024</v>
      </c>
      <c r="J1674" s="5">
        <f ca="1">ROUND((5000+G1674*30),-2)</f>
        <v>10500</v>
      </c>
      <c r="K1674" s="12" t="s">
        <v>5901</v>
      </c>
      <c r="L1674" s="15" t="s">
        <v>6971</v>
      </c>
    </row>
    <row r="1675" spans="1:12" ht="258.75">
      <c r="A1675" s="48" t="s">
        <v>6972</v>
      </c>
      <c r="B1675" s="12" t="s">
        <v>12</v>
      </c>
      <c r="C1675" s="12" t="s">
        <v>443</v>
      </c>
      <c r="D1675" s="10" t="str">
        <f ca="1">IFERROR(__xludf.DUMMYFUNCTION(" VLOOKUP(A1672, IMPORTRANGE(""https://docs.google.com/spreadsheets/d/1fj_Bhi2XPL3siwIh4sx4VRLAe31yD50oKdj5UlRYW0c/"", ""Сводка!A:AA""), 11, FALSE)"),"978-601-330-431-1")</f>
        <v>978-601-330-431-1</v>
      </c>
      <c r="E1675" s="11" t="s">
        <v>6973</v>
      </c>
      <c r="F1675" s="11" t="s">
        <v>6974</v>
      </c>
      <c r="G1675" s="12">
        <f ca="1">IFERROR(__xludf.DUMMYFUNCTION(" VLOOKUP(A1672, IMPORTRANGE(""https://docs.google.com/spreadsheets/d/1fj_Bhi2XPL3siwIh4sx4VRLAe31yD50oKdj5UlRYW0c/"", ""Сводка!A:AA""), 5, FALSE)"),188)</f>
        <v>188</v>
      </c>
      <c r="H1675" s="12" t="s">
        <v>24</v>
      </c>
      <c r="I1675" s="10">
        <f ca="1">IFERROR(__xludf.DUMMYFUNCTION(" VLOOKUP(A1672, IMPORTRANGE(""https://docs.google.com/spreadsheets/d/1QNLbnkR_AongFt22vMfNzfpjZ0CjpI8QI-w0wBnYA1w/"", ""Инфа!A:AA""), 6, FALSE)"),2024)</f>
        <v>2024</v>
      </c>
      <c r="J1675" s="5">
        <f ca="1">ROUND(((5000+G1675*60)*1.3),-2)</f>
        <v>21200</v>
      </c>
      <c r="K1675" s="12" t="s">
        <v>248</v>
      </c>
      <c r="L1675" s="15" t="s">
        <v>6975</v>
      </c>
    </row>
    <row r="1676" spans="1:12" ht="146.25">
      <c r="A1676" s="48" t="s">
        <v>6976</v>
      </c>
      <c r="B1676" s="12" t="s">
        <v>12</v>
      </c>
      <c r="C1676" s="12" t="s">
        <v>443</v>
      </c>
      <c r="D1676" s="12" t="s">
        <v>6977</v>
      </c>
      <c r="E1676" s="11" t="s">
        <v>6978</v>
      </c>
      <c r="F1676" s="11" t="s">
        <v>6979</v>
      </c>
      <c r="G1676" s="12">
        <f ca="1">IFERROR(__xludf.DUMMYFUNCTION(" VLOOKUP(A1673, IMPORTRANGE(""https://docs.google.com/spreadsheets/d/1fj_Bhi2XPL3siwIh4sx4VRLAe31yD50oKdj5UlRYW0c/"", ""Сводка!A:AA""), 5, FALSE)"),176)</f>
        <v>176</v>
      </c>
      <c r="H1676" s="12" t="s">
        <v>538</v>
      </c>
      <c r="I1676" s="10">
        <f ca="1">IFERROR(__xludf.DUMMYFUNCTION(" VLOOKUP(A1673, IMPORTRANGE(""https://docs.google.com/spreadsheets/d/1QNLbnkR_AongFt22vMfNzfpjZ0CjpI8QI-w0wBnYA1w/"", ""Инфа!A:AA""), 6, FALSE)"),2024)</f>
        <v>2024</v>
      </c>
      <c r="J1676" s="5">
        <f ca="1">ROUND((5000+G1676*60),-2)</f>
        <v>15600</v>
      </c>
      <c r="K1676" s="12" t="s">
        <v>4189</v>
      </c>
      <c r="L1676" s="15" t="s">
        <v>6980</v>
      </c>
    </row>
    <row r="1677" spans="1:12" ht="281.25">
      <c r="A1677" s="48" t="s">
        <v>6981</v>
      </c>
      <c r="B1677" s="12" t="s">
        <v>12</v>
      </c>
      <c r="C1677" s="12" t="s">
        <v>443</v>
      </c>
      <c r="D1677" s="10" t="str">
        <f ca="1">IFERROR(__xludf.DUMMYFUNCTION(" VLOOKUP(A1674, IMPORTRANGE(""https://docs.google.com/spreadsheets/d/1fj_Bhi2XPL3siwIh4sx4VRLAe31yD50oKdj5UlRYW0c/"", ""Сводка!A:AA""), 11, FALSE)"),"")</f>
        <v/>
      </c>
      <c r="E1677" s="11" t="s">
        <v>6982</v>
      </c>
      <c r="F1677" s="11" t="s">
        <v>6983</v>
      </c>
      <c r="G1677" s="12">
        <f ca="1">IFERROR(__xludf.DUMMYFUNCTION(" VLOOKUP(A1674, IMPORTRANGE(""https://docs.google.com/spreadsheets/d/1fj_Bhi2XPL3siwIh4sx4VRLAe31yD50oKdj5UlRYW0c/"", ""Сводка!A:AA""), 5, FALSE)"),160)</f>
        <v>160</v>
      </c>
      <c r="H1677" s="12" t="s">
        <v>511</v>
      </c>
      <c r="I1677" s="10">
        <f ca="1">IFERROR(__xludf.DUMMYFUNCTION(" VLOOKUP(A1674, IMPORTRANGE(""https://docs.google.com/spreadsheets/d/1QNLbnkR_AongFt22vMfNzfpjZ0CjpI8QI-w0wBnYA1w/"", ""Инфа!A:AA""), 6, FALSE)"),2024)</f>
        <v>2024</v>
      </c>
      <c r="J1677" s="5">
        <f ca="1">ROUND((5000+G1677*30),-2)</f>
        <v>9800</v>
      </c>
      <c r="K1677" s="12" t="s">
        <v>257</v>
      </c>
      <c r="L1677" s="15" t="s">
        <v>6984</v>
      </c>
    </row>
    <row r="1678" spans="1:12" ht="202.5">
      <c r="A1678" s="48" t="s">
        <v>6985</v>
      </c>
      <c r="B1678" s="12" t="s">
        <v>12</v>
      </c>
      <c r="C1678" s="12" t="s">
        <v>443</v>
      </c>
      <c r="D1678" s="10" t="str">
        <f ca="1">IFERROR(__xludf.DUMMYFUNCTION(" VLOOKUP(A1675, IMPORTRANGE(""https://docs.google.com/spreadsheets/d/1fj_Bhi2XPL3siwIh4sx4VRLAe31yD50oKdj5UlRYW0c/"", ""Сводка!A:AA""), 11, FALSE)"),"")</f>
        <v/>
      </c>
      <c r="E1678" s="11" t="s">
        <v>6986</v>
      </c>
      <c r="F1678" s="11" t="s">
        <v>6987</v>
      </c>
      <c r="G1678" s="12">
        <f ca="1">IFERROR(__xludf.DUMMYFUNCTION(" VLOOKUP(A1675, IMPORTRANGE(""https://docs.google.com/spreadsheets/d/1fj_Bhi2XPL3siwIh4sx4VRLAe31yD50oKdj5UlRYW0c/"", ""Сводка!A:AA""), 5, FALSE)"),140)</f>
        <v>140</v>
      </c>
      <c r="H1678" s="12" t="s">
        <v>446</v>
      </c>
      <c r="I1678" s="10">
        <f ca="1">IFERROR(__xludf.DUMMYFUNCTION(" VLOOKUP(A1675, IMPORTRANGE(""https://docs.google.com/spreadsheets/d/1QNLbnkR_AongFt22vMfNzfpjZ0CjpI8QI-w0wBnYA1w/"", ""Инфа!A:AA""), 6, FALSE)"),2024)</f>
        <v>2024</v>
      </c>
      <c r="J1678" s="5">
        <f ca="1">ROUND((5000+G1678*30),-2)</f>
        <v>9200</v>
      </c>
      <c r="K1678" s="12" t="s">
        <v>6988</v>
      </c>
      <c r="L1678" s="15" t="s">
        <v>6989</v>
      </c>
    </row>
    <row r="1679" spans="1:12" ht="236.25">
      <c r="A1679" s="48" t="s">
        <v>6990</v>
      </c>
      <c r="B1679" s="12" t="s">
        <v>12</v>
      </c>
      <c r="C1679" s="12" t="s">
        <v>443</v>
      </c>
      <c r="D1679" s="12" t="s">
        <v>6991</v>
      </c>
      <c r="E1679" s="11" t="s">
        <v>6992</v>
      </c>
      <c r="F1679" s="11" t="s">
        <v>6993</v>
      </c>
      <c r="G1679" s="12">
        <f ca="1">IFERROR(__xludf.DUMMYFUNCTION(" VLOOKUP(A1676, IMPORTRANGE(""https://docs.google.com/spreadsheets/d/1fj_Bhi2XPL3siwIh4sx4VRLAe31yD50oKdj5UlRYW0c/"", ""Сводка!A:AA""), 5, FALSE)"),160)</f>
        <v>160</v>
      </c>
      <c r="H1679" s="12" t="s">
        <v>106</v>
      </c>
      <c r="I1679" s="10">
        <f ca="1">IFERROR(__xludf.DUMMYFUNCTION(" VLOOKUP(A1676, IMPORTRANGE(""https://docs.google.com/spreadsheets/d/1QNLbnkR_AongFt22vMfNzfpjZ0CjpI8QI-w0wBnYA1w/"", ""Инфа!A:AA""), 6, FALSE)"),2024)</f>
        <v>2024</v>
      </c>
      <c r="J1679" s="5">
        <f ca="1">ROUND((5000+G1679*30),-2)</f>
        <v>9800</v>
      </c>
      <c r="K1679" s="12" t="s">
        <v>3100</v>
      </c>
      <c r="L1679" s="15" t="s">
        <v>6994</v>
      </c>
    </row>
    <row r="1680" spans="1:12" ht="168.75">
      <c r="A1680" s="48" t="s">
        <v>6995</v>
      </c>
      <c r="B1680" s="12" t="s">
        <v>12</v>
      </c>
      <c r="C1680" s="12" t="s">
        <v>443</v>
      </c>
      <c r="D1680" s="12" t="s">
        <v>6996</v>
      </c>
      <c r="E1680" s="11" t="s">
        <v>6997</v>
      </c>
      <c r="F1680" s="11" t="s">
        <v>6998</v>
      </c>
      <c r="G1680" s="12">
        <f ca="1">IFERROR(__xludf.DUMMYFUNCTION(" VLOOKUP(A1677, IMPORTRANGE(""https://docs.google.com/spreadsheets/d/1fj_Bhi2XPL3siwIh4sx4VRLAe31yD50oKdj5UlRYW0c/"", ""Сводка!A:AA""), 5, FALSE)"),116)</f>
        <v>116</v>
      </c>
      <c r="H1680" s="12" t="s">
        <v>538</v>
      </c>
      <c r="I1680" s="10">
        <f ca="1">IFERROR(__xludf.DUMMYFUNCTION(" VLOOKUP(A1677, IMPORTRANGE(""https://docs.google.com/spreadsheets/d/1QNLbnkR_AongFt22vMfNzfpjZ0CjpI8QI-w0wBnYA1w/"", ""Инфа!A:AA""), 6, FALSE)"),2024)</f>
        <v>2024</v>
      </c>
      <c r="J1680" s="5">
        <f ca="1">ROUND((5000+G1680*30),-2)</f>
        <v>8500</v>
      </c>
      <c r="K1680" s="12" t="s">
        <v>5126</v>
      </c>
      <c r="L1680" s="15" t="s">
        <v>6999</v>
      </c>
    </row>
    <row r="1681" spans="1:12" ht="213.75">
      <c r="A1681" s="48" t="s">
        <v>7000</v>
      </c>
      <c r="B1681" s="12" t="s">
        <v>12</v>
      </c>
      <c r="C1681" s="12" t="s">
        <v>443</v>
      </c>
      <c r="D1681" s="12" t="s">
        <v>7001</v>
      </c>
      <c r="E1681" s="11" t="s">
        <v>7002</v>
      </c>
      <c r="F1681" s="11" t="s">
        <v>7003</v>
      </c>
      <c r="G1681" s="12">
        <f ca="1">IFERROR(__xludf.DUMMYFUNCTION(" VLOOKUP(A1678, IMPORTRANGE(""https://docs.google.com/spreadsheets/d/1fj_Bhi2XPL3siwIh4sx4VRLAe31yD50oKdj5UlRYW0c/"", ""Сводка!A:AA""), 5, FALSE)"),176)</f>
        <v>176</v>
      </c>
      <c r="H1681" s="12" t="s">
        <v>777</v>
      </c>
      <c r="I1681" s="10">
        <f ca="1">IFERROR(__xludf.DUMMYFUNCTION(" VLOOKUP(A1678, IMPORTRANGE(""https://docs.google.com/spreadsheets/d/1QNLbnkR_AongFt22vMfNzfpjZ0CjpI8QI-w0wBnYA1w/"", ""Инфа!A:AA""), 6, FALSE)"),2024)</f>
        <v>2024</v>
      </c>
      <c r="J1681" s="5">
        <f ca="1">ROUND((5000+G1681*30),-2)</f>
        <v>10300</v>
      </c>
      <c r="K1681" s="12" t="s">
        <v>919</v>
      </c>
      <c r="L1681" s="15" t="s">
        <v>7004</v>
      </c>
    </row>
    <row r="1682" spans="1:12" ht="135">
      <c r="A1682" s="48" t="s">
        <v>7005</v>
      </c>
      <c r="B1682" s="12" t="s">
        <v>12</v>
      </c>
      <c r="C1682" s="12" t="s">
        <v>443</v>
      </c>
      <c r="D1682" s="10" t="str">
        <f ca="1">IFERROR(__xludf.DUMMYFUNCTION(" VLOOKUP(A1679, IMPORTRANGE(""https://docs.google.com/spreadsheets/d/1fj_Bhi2XPL3siwIh4sx4VRLAe31yD50oKdj5UlRYW0c/"", ""Сводка!A:AA""), 11, FALSE)"),"")</f>
        <v/>
      </c>
      <c r="E1682" s="11" t="s">
        <v>7006</v>
      </c>
      <c r="F1682" s="11" t="s">
        <v>7007</v>
      </c>
      <c r="G1682" s="12">
        <f ca="1">IFERROR(__xludf.DUMMYFUNCTION(" VLOOKUP(A1679, IMPORTRANGE(""https://docs.google.com/spreadsheets/d/1fj_Bhi2XPL3siwIh4sx4VRLAe31yD50oKdj5UlRYW0c/"", ""Сводка!A:AA""), 5, FALSE)"),256)</f>
        <v>256</v>
      </c>
      <c r="H1682" s="12" t="s">
        <v>538</v>
      </c>
      <c r="I1682" s="10">
        <f ca="1">IFERROR(__xludf.DUMMYFUNCTION(" VLOOKUP(A1679, IMPORTRANGE(""https://docs.google.com/spreadsheets/d/1QNLbnkR_AongFt22vMfNzfpjZ0CjpI8QI-w0wBnYA1w/"", ""Инфа!A:AA""), 6, FALSE)"),2024)</f>
        <v>2024</v>
      </c>
      <c r="J1682" s="5">
        <f ca="1">ROUND((5000+G1682*60),-2)</f>
        <v>20400</v>
      </c>
      <c r="K1682" s="12" t="s">
        <v>7008</v>
      </c>
      <c r="L1682" s="16" t="s">
        <v>7009</v>
      </c>
    </row>
    <row r="1683" spans="1:12" ht="168.75">
      <c r="A1683" s="48" t="s">
        <v>7010</v>
      </c>
      <c r="B1683" s="12" t="s">
        <v>12</v>
      </c>
      <c r="C1683" s="12" t="s">
        <v>151</v>
      </c>
      <c r="D1683" s="12" t="s">
        <v>7011</v>
      </c>
      <c r="E1683" s="11" t="s">
        <v>7012</v>
      </c>
      <c r="F1683" s="11" t="s">
        <v>7013</v>
      </c>
      <c r="G1683" s="12">
        <f ca="1">IFERROR(__xludf.DUMMYFUNCTION(" VLOOKUP(A1680, IMPORTRANGE(""https://docs.google.com/spreadsheets/d/1fj_Bhi2XPL3siwIh4sx4VRLAe31yD50oKdj5UlRYW0c/"", ""Сводка!A:AA""), 5, FALSE)"),136)</f>
        <v>136</v>
      </c>
      <c r="H1683" s="12" t="s">
        <v>47</v>
      </c>
      <c r="I1683" s="10">
        <f ca="1">IFERROR(__xludf.DUMMYFUNCTION(" VLOOKUP(A1680, IMPORTRANGE(""https://docs.google.com/spreadsheets/d/1QNLbnkR_AongFt22vMfNzfpjZ0CjpI8QI-w0wBnYA1w/"", ""Инфа!A:AA""), 6, FALSE)"),2024)</f>
        <v>2024</v>
      </c>
      <c r="J1683" s="5">
        <f ca="1">ROUND((5000+G1683*60),-2)</f>
        <v>13200</v>
      </c>
      <c r="K1683" s="12" t="s">
        <v>5399</v>
      </c>
      <c r="L1683" s="15" t="s">
        <v>7014</v>
      </c>
    </row>
    <row r="1684" spans="1:12" ht="191.25">
      <c r="A1684" s="8" t="s">
        <v>7015</v>
      </c>
      <c r="B1684" s="9" t="s">
        <v>12</v>
      </c>
      <c r="C1684" s="10" t="s">
        <v>443</v>
      </c>
      <c r="D1684" s="10" t="str">
        <f ca="1">IFERROR(__xludf.DUMMYFUNCTION(" VLOOKUP(A1681, IMPORTRANGE(""https://docs.google.com/spreadsheets/d/1fj_Bhi2XPL3siwIh4sx4VRLAe31yD50oKdj5UlRYW0c/"", ""Сводка!A:AA""), 11, FALSE)"),"978-601-327-385-3")</f>
        <v>978-601-327-385-3</v>
      </c>
      <c r="E1684" s="22" t="s">
        <v>7016</v>
      </c>
      <c r="F1684" s="11" t="s">
        <v>7017</v>
      </c>
      <c r="G1684" s="12">
        <f ca="1">IFERROR(__xludf.DUMMYFUNCTION(" VLOOKUP(A1681, IMPORTRANGE(""https://docs.google.com/spreadsheets/d/1fj_Bhi2XPL3siwIh4sx4VRLAe31yD50oKdj5UlRYW0c/"", ""Сводка!A:AA""), 5, FALSE)"),120)</f>
        <v>120</v>
      </c>
      <c r="H1684" s="12" t="s">
        <v>446</v>
      </c>
      <c r="I1684" s="10">
        <f ca="1">IFERROR(__xludf.DUMMYFUNCTION(" VLOOKUP(A1681, IMPORTRANGE(""https://docs.google.com/spreadsheets/d/1QNLbnkR_AongFt22vMfNzfpjZ0CjpI8QI-w0wBnYA1w/"", ""Инфа!A:AA""), 6, FALSE)"),2024)</f>
        <v>2024</v>
      </c>
      <c r="J1684" s="5">
        <f ca="1">ROUND((5000+G1684*60),-2)</f>
        <v>12200</v>
      </c>
      <c r="K1684" s="12" t="s">
        <v>1240</v>
      </c>
      <c r="L1684" s="15" t="s">
        <v>7018</v>
      </c>
    </row>
    <row r="1685" spans="1:12" ht="135">
      <c r="A1685" s="48" t="s">
        <v>7019</v>
      </c>
      <c r="B1685" s="12" t="s">
        <v>12</v>
      </c>
      <c r="C1685" s="12" t="s">
        <v>5722</v>
      </c>
      <c r="D1685" s="12" t="s">
        <v>7020</v>
      </c>
      <c r="E1685" s="45" t="s">
        <v>6299</v>
      </c>
      <c r="F1685" s="11" t="s">
        <v>7021</v>
      </c>
      <c r="G1685" s="12">
        <f ca="1">IFERROR(__xludf.DUMMYFUNCTION(" VLOOKUP(A1682, IMPORTRANGE(""https://docs.google.com/spreadsheets/d/1fj_Bhi2XPL3siwIh4sx4VRLAe31yD50oKdj5UlRYW0c/"", ""Сводка!A:AA""), 5, FALSE)"),144)</f>
        <v>144</v>
      </c>
      <c r="H1685" s="12" t="s">
        <v>511</v>
      </c>
      <c r="I1685" s="10">
        <f ca="1">IFERROR(__xludf.DUMMYFUNCTION(" VLOOKUP(A1682, IMPORTRANGE(""https://docs.google.com/spreadsheets/d/1QNLbnkR_AongFt22vMfNzfpjZ0CjpI8QI-w0wBnYA1w/"", ""Инфа!A:AA""), 6, FALSE)"),2024)</f>
        <v>2024</v>
      </c>
      <c r="J1685" s="5">
        <f ca="1">ROUND((5000+G1685*60),-2)</f>
        <v>13600</v>
      </c>
      <c r="K1685" s="12" t="s">
        <v>160</v>
      </c>
      <c r="L1685" s="15" t="s">
        <v>7022</v>
      </c>
    </row>
    <row r="1686" spans="1:12" ht="191.25">
      <c r="A1686" s="48" t="s">
        <v>7023</v>
      </c>
      <c r="B1686" s="13" t="s">
        <v>2231</v>
      </c>
      <c r="C1686" s="13" t="s">
        <v>13</v>
      </c>
      <c r="D1686" s="10" t="str">
        <f ca="1">IFERROR(__xludf.DUMMYFUNCTION(" VLOOKUP(A1683, IMPORTRANGE(""https://docs.google.com/spreadsheets/d/1fj_Bhi2XPL3siwIh4sx4VRLAe31yD50oKdj5UlRYW0c/"", ""Сводка!A:AA""), 11, FALSE)"),"")</f>
        <v/>
      </c>
      <c r="E1686" s="32" t="s">
        <v>7024</v>
      </c>
      <c r="F1686" s="32" t="s">
        <v>7025</v>
      </c>
      <c r="G1686" s="12">
        <f ca="1">IFERROR(__xludf.DUMMYFUNCTION(" VLOOKUP(A1683, IMPORTRANGE(""https://docs.google.com/spreadsheets/d/1fj_Bhi2XPL3siwIh4sx4VRLAe31yD50oKdj5UlRYW0c/"", ""Сводка!A:AA""), 5, FALSE)"),172)</f>
        <v>172</v>
      </c>
      <c r="H1686" s="13" t="s">
        <v>7026</v>
      </c>
      <c r="I1686" s="10">
        <f ca="1">IFERROR(__xludf.DUMMYFUNCTION(" VLOOKUP(A1683, IMPORTRANGE(""https://docs.google.com/spreadsheets/d/1QNLbnkR_AongFt22vMfNzfpjZ0CjpI8QI-w0wBnYA1w/"", ""Инфа!A:AA""), 6, FALSE)"),2023)</f>
        <v>2023</v>
      </c>
      <c r="J1686" s="5">
        <f ca="1">ROUND((5000+G1686*60),-2)</f>
        <v>15300</v>
      </c>
      <c r="K1686" s="13" t="s">
        <v>6550</v>
      </c>
      <c r="L1686" s="31" t="s">
        <v>7027</v>
      </c>
    </row>
    <row r="1687" spans="1:12" ht="258.75">
      <c r="A1687" s="48" t="s">
        <v>7028</v>
      </c>
      <c r="B1687" s="28" t="s">
        <v>12</v>
      </c>
      <c r="C1687" s="13" t="s">
        <v>443</v>
      </c>
      <c r="D1687" s="10" t="str">
        <f ca="1">IFERROR(__xludf.DUMMYFUNCTION(" VLOOKUP(A1684, IMPORTRANGE(""https://docs.google.com/spreadsheets/d/1fj_Bhi2XPL3siwIh4sx4VRLAe31yD50oKdj5UlRYW0c/"", ""Сводка!A:AA""), 11, FALSE)"),"")</f>
        <v/>
      </c>
      <c r="E1687" s="32" t="s">
        <v>6518</v>
      </c>
      <c r="F1687" s="32" t="s">
        <v>7029</v>
      </c>
      <c r="G1687" s="12" t="e">
        <f>#REF!</f>
        <v>#REF!</v>
      </c>
      <c r="H1687" s="9" t="s">
        <v>446</v>
      </c>
      <c r="I1687" s="10">
        <f ca="1">IFERROR(__xludf.DUMMYFUNCTION(" VLOOKUP(A1684, IMPORTRANGE(""https://docs.google.com/spreadsheets/d/1QNLbnkR_AongFt22vMfNzfpjZ0CjpI8QI-w0wBnYA1w/"", ""Инфа!A:AA""), 6, FALSE)"),2024)</f>
        <v>2024</v>
      </c>
      <c r="J1687" s="5" t="e">
        <f>ROUND((5000+G1687*30),-2)</f>
        <v>#REF!</v>
      </c>
      <c r="K1687" s="13" t="s">
        <v>2645</v>
      </c>
      <c r="L1687" s="31" t="s">
        <v>7030</v>
      </c>
    </row>
    <row r="1688" spans="1:12" ht="157.5">
      <c r="A1688" s="48" t="s">
        <v>7031</v>
      </c>
      <c r="B1688" s="13" t="s">
        <v>12</v>
      </c>
      <c r="C1688" s="13" t="s">
        <v>443</v>
      </c>
      <c r="D1688" s="10" t="str">
        <f ca="1">IFERROR(__xludf.DUMMYFUNCTION(" VLOOKUP(A1685, IMPORTRANGE(""https://docs.google.com/spreadsheets/d/1fj_Bhi2XPL3siwIh4sx4VRLAe31yD50oKdj5UlRYW0c/"", ""Сводка!A:AA""), 11, FALSE)"),"")</f>
        <v/>
      </c>
      <c r="E1688" s="32" t="s">
        <v>6518</v>
      </c>
      <c r="F1688" s="32" t="s">
        <v>7032</v>
      </c>
      <c r="G1688" s="12" t="e">
        <f>#REF!</f>
        <v>#REF!</v>
      </c>
      <c r="H1688" s="9" t="s">
        <v>446</v>
      </c>
      <c r="I1688" s="10">
        <f ca="1">IFERROR(__xludf.DUMMYFUNCTION(" VLOOKUP(A1685, IMPORTRANGE(""https://docs.google.com/spreadsheets/d/1QNLbnkR_AongFt22vMfNzfpjZ0CjpI8QI-w0wBnYA1w/"", ""Инфа!A:AA""), 6, FALSE)"),2024)</f>
        <v>2024</v>
      </c>
      <c r="J1688" s="5" t="e">
        <f>ROUND((5000+G1688*30),-2)</f>
        <v>#REF!</v>
      </c>
      <c r="K1688" s="13" t="s">
        <v>2645</v>
      </c>
      <c r="L1688" s="31" t="s">
        <v>7033</v>
      </c>
    </row>
    <row r="1689" spans="1:12" ht="123.75">
      <c r="A1689" s="48" t="s">
        <v>7034</v>
      </c>
      <c r="B1689" s="9" t="s">
        <v>12</v>
      </c>
      <c r="C1689" s="9" t="s">
        <v>151</v>
      </c>
      <c r="D1689" s="9" t="s">
        <v>7035</v>
      </c>
      <c r="E1689" s="19" t="s">
        <v>7036</v>
      </c>
      <c r="F1689" s="19" t="s">
        <v>7037</v>
      </c>
      <c r="G1689" s="12">
        <f ca="1">IFERROR(__xludf.DUMMYFUNCTION(" VLOOKUP(A1686, IMPORTRANGE(""https://docs.google.com/spreadsheets/d/1fj_Bhi2XPL3siwIh4sx4VRLAe31yD50oKdj5UlRYW0c/"", ""Сводка!A:AA""), 5, FALSE)"),244)</f>
        <v>244</v>
      </c>
      <c r="H1689" s="9" t="s">
        <v>24</v>
      </c>
      <c r="I1689" s="10">
        <f ca="1">IFERROR(__xludf.DUMMYFUNCTION(" VLOOKUP(A1686, IMPORTRANGE(""https://docs.google.com/spreadsheets/d/1QNLbnkR_AongFt22vMfNzfpjZ0CjpI8QI-w0wBnYA1w/"", ""Инфа!A:AA""), 6, FALSE)"),2024)</f>
        <v>2024</v>
      </c>
      <c r="J1689" s="5">
        <f ca="1">ROUND((5000+G1689*60),-2)</f>
        <v>19600</v>
      </c>
      <c r="K1689" s="9" t="s">
        <v>26</v>
      </c>
      <c r="L1689" s="21" t="s">
        <v>7038</v>
      </c>
    </row>
    <row r="1690" spans="1:12" ht="225">
      <c r="A1690" s="48" t="s">
        <v>7039</v>
      </c>
      <c r="B1690" s="9" t="s">
        <v>12</v>
      </c>
      <c r="C1690" s="9" t="s">
        <v>151</v>
      </c>
      <c r="D1690" s="9" t="s">
        <v>7040</v>
      </c>
      <c r="E1690" s="19" t="s">
        <v>7041</v>
      </c>
      <c r="F1690" s="19" t="s">
        <v>7042</v>
      </c>
      <c r="G1690" s="12">
        <f ca="1">IFERROR(__xludf.DUMMYFUNCTION(" VLOOKUP(A1687, IMPORTRANGE(""https://docs.google.com/spreadsheets/d/1fj_Bhi2XPL3siwIh4sx4VRLAe31yD50oKdj5UlRYW0c/"", ""Сводка!A:AA""), 5, FALSE)"),312)</f>
        <v>312</v>
      </c>
      <c r="H1690" s="9" t="s">
        <v>47</v>
      </c>
      <c r="I1690" s="10">
        <f ca="1">IFERROR(__xludf.DUMMYFUNCTION(" VLOOKUP(A1687, IMPORTRANGE(""https://docs.google.com/spreadsheets/d/1QNLbnkR_AongFt22vMfNzfpjZ0CjpI8QI-w0wBnYA1w/"", ""Инфа!A:AA""), 6, FALSE)"),2024)</f>
        <v>2024</v>
      </c>
      <c r="J1690" s="5">
        <f ca="1">ROUND((5000+G1690*60),-2)</f>
        <v>23700</v>
      </c>
      <c r="K1690" s="9" t="s">
        <v>7043</v>
      </c>
      <c r="L1690" s="21" t="s">
        <v>7044</v>
      </c>
    </row>
    <row r="1691" spans="1:12" ht="180">
      <c r="A1691" s="48" t="s">
        <v>7045</v>
      </c>
      <c r="B1691" s="9" t="s">
        <v>12</v>
      </c>
      <c r="C1691" s="9" t="s">
        <v>151</v>
      </c>
      <c r="D1691" s="9" t="s">
        <v>7046</v>
      </c>
      <c r="E1691" s="19" t="s">
        <v>7047</v>
      </c>
      <c r="F1691" s="19" t="s">
        <v>7048</v>
      </c>
      <c r="G1691" s="12" t="e">
        <f>#REF!</f>
        <v>#REF!</v>
      </c>
      <c r="H1691" s="9" t="s">
        <v>47</v>
      </c>
      <c r="I1691" s="10">
        <f ca="1">IFERROR(__xludf.DUMMYFUNCTION(" VLOOKUP(A1688, IMPORTRANGE(""https://docs.google.com/spreadsheets/d/1QNLbnkR_AongFt22vMfNzfpjZ0CjpI8QI-w0wBnYA1w/"", ""Инфа!A:AA""), 6, FALSE)"),2024)</f>
        <v>2024</v>
      </c>
      <c r="J1691" s="5" t="e">
        <f>ROUND((5000+G1691*60),-2)</f>
        <v>#REF!</v>
      </c>
      <c r="K1691" s="9" t="s">
        <v>7043</v>
      </c>
      <c r="L1691" s="21" t="s">
        <v>7049</v>
      </c>
    </row>
    <row r="1692" spans="1:12" ht="180">
      <c r="A1692" s="48" t="s">
        <v>7050</v>
      </c>
      <c r="B1692" s="9" t="s">
        <v>12</v>
      </c>
      <c r="C1692" s="9" t="s">
        <v>443</v>
      </c>
      <c r="D1692" s="9" t="s">
        <v>7051</v>
      </c>
      <c r="E1692" s="19" t="s">
        <v>7052</v>
      </c>
      <c r="F1692" s="19" t="s">
        <v>7053</v>
      </c>
      <c r="G1692" s="12">
        <f ca="1">IFERROR(__xludf.DUMMYFUNCTION(" VLOOKUP(A1689, IMPORTRANGE(""https://docs.google.com/spreadsheets/d/1fj_Bhi2XPL3siwIh4sx4VRLAe31yD50oKdj5UlRYW0c/"", ""Сводка!A:AA""), 5, FALSE)"),164)</f>
        <v>164</v>
      </c>
      <c r="H1692" s="9" t="s">
        <v>106</v>
      </c>
      <c r="I1692" s="10">
        <f ca="1">IFERROR(__xludf.DUMMYFUNCTION(" VLOOKUP(A1689, IMPORTRANGE(""https://docs.google.com/spreadsheets/d/1QNLbnkR_AongFt22vMfNzfpjZ0CjpI8QI-w0wBnYA1w/"", ""Инфа!A:AA""), 6, FALSE)"),2024)</f>
        <v>2024</v>
      </c>
      <c r="J1692" s="5">
        <f ca="1">ROUND((5000+G1692*30),-2)</f>
        <v>9900</v>
      </c>
      <c r="K1692" s="9" t="s">
        <v>4043</v>
      </c>
      <c r="L1692" s="21" t="s">
        <v>7054</v>
      </c>
    </row>
    <row r="1693" spans="1:12" ht="180">
      <c r="A1693" s="48" t="s">
        <v>7055</v>
      </c>
      <c r="B1693" s="9" t="s">
        <v>12</v>
      </c>
      <c r="C1693" s="9" t="s">
        <v>151</v>
      </c>
      <c r="D1693" s="10" t="str">
        <f ca="1">IFERROR(__xludf.DUMMYFUNCTION(" VLOOKUP(A1690, IMPORTRANGE(""https://docs.google.com/spreadsheets/d/1fj_Bhi2XPL3siwIh4sx4VRLAe31yD50oKdj5UlRYW0c/"", ""Сводка!A:AA""), 11, FALSE)"),"")</f>
        <v/>
      </c>
      <c r="E1693" s="32" t="s">
        <v>7056</v>
      </c>
      <c r="F1693" s="19" t="s">
        <v>7057</v>
      </c>
      <c r="G1693" s="12" t="e">
        <f>#REF!</f>
        <v>#REF!</v>
      </c>
      <c r="H1693" s="13" t="s">
        <v>47</v>
      </c>
      <c r="I1693" s="10">
        <f ca="1">IFERROR(__xludf.DUMMYFUNCTION(" VLOOKUP(A1690, IMPORTRANGE(""https://docs.google.com/spreadsheets/d/1QNLbnkR_AongFt22vMfNzfpjZ0CjpI8QI-w0wBnYA1w/"", ""Инфа!A:AA""), 6, FALSE)"),2024)</f>
        <v>2024</v>
      </c>
      <c r="J1693" s="5" t="e">
        <f>ROUND((5000+G1693*30),-2)</f>
        <v>#REF!</v>
      </c>
      <c r="K1693" s="9" t="s">
        <v>2398</v>
      </c>
      <c r="L1693" s="21" t="s">
        <v>7058</v>
      </c>
    </row>
    <row r="1694" spans="1:12" ht="213.75">
      <c r="A1694" s="48" t="s">
        <v>7059</v>
      </c>
      <c r="B1694" s="9" t="s">
        <v>12</v>
      </c>
      <c r="C1694" s="9" t="s">
        <v>443</v>
      </c>
      <c r="D1694" s="9" t="s">
        <v>7060</v>
      </c>
      <c r="E1694" s="19" t="s">
        <v>7061</v>
      </c>
      <c r="F1694" s="19" t="s">
        <v>7062</v>
      </c>
      <c r="G1694" s="12">
        <f ca="1">IFERROR(__xludf.DUMMYFUNCTION(" VLOOKUP(A1691, IMPORTRANGE(""https://docs.google.com/spreadsheets/d/1fj_Bhi2XPL3siwIh4sx4VRLAe31yD50oKdj5UlRYW0c/"", ""Сводка!A:AA""), 5, FALSE)"),126)</f>
        <v>126</v>
      </c>
      <c r="H1694" s="9" t="s">
        <v>446</v>
      </c>
      <c r="I1694" s="10">
        <f ca="1">IFERROR(__xludf.DUMMYFUNCTION(" VLOOKUP(A1691, IMPORTRANGE(""https://docs.google.com/spreadsheets/d/1QNLbnkR_AongFt22vMfNzfpjZ0CjpI8QI-w0wBnYA1w/"", ""Инфа!A:AA""), 6, FALSE)"),2024)</f>
        <v>2024</v>
      </c>
      <c r="J1694" s="5">
        <f ca="1">ROUND((5000+G1694*30),-2)</f>
        <v>8800</v>
      </c>
      <c r="K1694" s="9" t="s">
        <v>7043</v>
      </c>
      <c r="L1694" s="21" t="s">
        <v>7063</v>
      </c>
    </row>
    <row r="1695" spans="1:12" ht="112.5">
      <c r="A1695" s="48" t="s">
        <v>7064</v>
      </c>
      <c r="B1695" s="12" t="s">
        <v>12</v>
      </c>
      <c r="C1695" s="12" t="s">
        <v>443</v>
      </c>
      <c r="D1695" s="12" t="s">
        <v>7065</v>
      </c>
      <c r="E1695" s="11" t="s">
        <v>7066</v>
      </c>
      <c r="F1695" s="11" t="s">
        <v>7067</v>
      </c>
      <c r="G1695" s="12">
        <f ca="1">IFERROR(__xludf.DUMMYFUNCTION(" VLOOKUP(A1692, IMPORTRANGE(""https://docs.google.com/spreadsheets/d/1fj_Bhi2XPL3siwIh4sx4VRLAe31yD50oKdj5UlRYW0c/"", ""Сводка!A:AA""), 5, FALSE)"),136)</f>
        <v>136</v>
      </c>
      <c r="H1695" s="12" t="s">
        <v>538</v>
      </c>
      <c r="I1695" s="10">
        <f ca="1">IFERROR(__xludf.DUMMYFUNCTION(" VLOOKUP(A1692, IMPORTRANGE(""https://docs.google.com/spreadsheets/d/1QNLbnkR_AongFt22vMfNzfpjZ0CjpI8QI-w0wBnYA1w/"", ""Инфа!A:AA""), 6, FALSE)"),2024)</f>
        <v>2024</v>
      </c>
      <c r="J1695" s="5">
        <f ca="1">ROUND((5000+G1695*60),-2)</f>
        <v>13200</v>
      </c>
      <c r="K1695" s="12" t="s">
        <v>78</v>
      </c>
      <c r="L1695" s="15" t="s">
        <v>7068</v>
      </c>
    </row>
    <row r="1696" spans="1:12" ht="146.25">
      <c r="A1696" s="48" t="s">
        <v>7069</v>
      </c>
      <c r="B1696" s="14" t="s">
        <v>12</v>
      </c>
      <c r="C1696" s="12" t="s">
        <v>443</v>
      </c>
      <c r="D1696" s="10" t="str">
        <f ca="1">IFERROR(__xludf.DUMMYFUNCTION(" VLOOKUP(A1693, IMPORTRANGE(""https://docs.google.com/spreadsheets/d/1fj_Bhi2XPL3siwIh4sx4VRLAe31yD50oKdj5UlRYW0c/"", ""Сводка!A:AA""), 11, FALSE)"),"")</f>
        <v/>
      </c>
      <c r="E1696" s="11" t="s">
        <v>7070</v>
      </c>
      <c r="F1696" s="11" t="s">
        <v>7071</v>
      </c>
      <c r="G1696" s="12" t="e">
        <f>#REF!</f>
        <v>#REF!</v>
      </c>
      <c r="H1696" s="12" t="s">
        <v>4928</v>
      </c>
      <c r="I1696" s="10">
        <f ca="1">IFERROR(__xludf.DUMMYFUNCTION(" VLOOKUP(A1693, IMPORTRANGE(""https://docs.google.com/spreadsheets/d/1QNLbnkR_AongFt22vMfNzfpjZ0CjpI8QI-w0wBnYA1w/"", ""Инфа!A:AA""), 6, FALSE)"),2024)</f>
        <v>2024</v>
      </c>
      <c r="J1696" s="5" t="e">
        <f>ROUND((5000+G1696*60),-2)</f>
        <v>#REF!</v>
      </c>
      <c r="K1696" s="12" t="s">
        <v>26</v>
      </c>
      <c r="L1696" s="15" t="s">
        <v>7072</v>
      </c>
    </row>
    <row r="1697" spans="1:12" ht="101.25">
      <c r="A1697" s="48" t="s">
        <v>7073</v>
      </c>
      <c r="B1697" s="12" t="s">
        <v>12</v>
      </c>
      <c r="C1697" s="12" t="s">
        <v>443</v>
      </c>
      <c r="D1697" s="12" t="s">
        <v>7074</v>
      </c>
      <c r="E1697" s="11" t="s">
        <v>7075</v>
      </c>
      <c r="F1697" s="11" t="s">
        <v>7076</v>
      </c>
      <c r="G1697" s="12">
        <f ca="1">IFERROR(__xludf.DUMMYFUNCTION(" VLOOKUP(A1694, IMPORTRANGE(""https://docs.google.com/spreadsheets/d/1fj_Bhi2XPL3siwIh4sx4VRLAe31yD50oKdj5UlRYW0c/"", ""Сводка!A:AA""), 5, FALSE)"),116)</f>
        <v>116</v>
      </c>
      <c r="H1697" s="12" t="s">
        <v>1016</v>
      </c>
      <c r="I1697" s="10">
        <f ca="1">IFERROR(__xludf.DUMMYFUNCTION(" VLOOKUP(A1694, IMPORTRANGE(""https://docs.google.com/spreadsheets/d/1QNLbnkR_AongFt22vMfNzfpjZ0CjpI8QI-w0wBnYA1w/"", ""Инфа!A:AA""), 6, FALSE)"),2024)</f>
        <v>2024</v>
      </c>
      <c r="J1697" s="5">
        <f ca="1">ROUND((5000+G1697*60),-2)</f>
        <v>12000</v>
      </c>
      <c r="K1697" s="12" t="s">
        <v>26</v>
      </c>
      <c r="L1697" s="15" t="s">
        <v>7077</v>
      </c>
    </row>
    <row r="1698" spans="1:12" ht="101.25">
      <c r="A1698" s="48" t="s">
        <v>7078</v>
      </c>
      <c r="B1698" s="12" t="s">
        <v>12</v>
      </c>
      <c r="C1698" s="12" t="s">
        <v>443</v>
      </c>
      <c r="D1698" s="10" t="str">
        <f ca="1">IFERROR(__xludf.DUMMYFUNCTION(" VLOOKUP(A1695, IMPORTRANGE(""https://docs.google.com/spreadsheets/d/1fj_Bhi2XPL3siwIh4sx4VRLAe31yD50oKdj5UlRYW0c/"", ""Сводка!A:AA""), 11, FALSE)"),"")</f>
        <v/>
      </c>
      <c r="E1698" s="11" t="s">
        <v>7079</v>
      </c>
      <c r="F1698" s="11" t="s">
        <v>7080</v>
      </c>
      <c r="G1698" s="12">
        <f ca="1">IFERROR(__xludf.DUMMYFUNCTION(" VLOOKUP(A1695, IMPORTRANGE(""https://docs.google.com/spreadsheets/d/1fj_Bhi2XPL3siwIh4sx4VRLAe31yD50oKdj5UlRYW0c/"", ""Сводка!A:AA""), 5, FALSE)"),208)</f>
        <v>208</v>
      </c>
      <c r="H1698" s="12" t="s">
        <v>538</v>
      </c>
      <c r="I1698" s="10">
        <f ca="1">IFERROR(__xludf.DUMMYFUNCTION(" VLOOKUP(A1695, IMPORTRANGE(""https://docs.google.com/spreadsheets/d/1QNLbnkR_AongFt22vMfNzfpjZ0CjpI8QI-w0wBnYA1w/"", ""Инфа!A:AA""), 6, FALSE)"),2024)</f>
        <v>2024</v>
      </c>
      <c r="J1698" s="5">
        <f ca="1">ROUND((5000+G1698*30),-2)</f>
        <v>11200</v>
      </c>
      <c r="K1698" s="12" t="s">
        <v>101</v>
      </c>
      <c r="L1698" s="15" t="s">
        <v>7081</v>
      </c>
    </row>
    <row r="1699" spans="1:12" ht="67.5">
      <c r="A1699" s="48" t="s">
        <v>7082</v>
      </c>
      <c r="B1699" s="12" t="s">
        <v>12</v>
      </c>
      <c r="C1699" s="12" t="s">
        <v>443</v>
      </c>
      <c r="D1699" s="10" t="s">
        <v>7083</v>
      </c>
      <c r="E1699" s="11" t="s">
        <v>7084</v>
      </c>
      <c r="F1699" s="11" t="s">
        <v>7085</v>
      </c>
      <c r="G1699" s="12">
        <f ca="1">IFERROR(__xludf.DUMMYFUNCTION(" VLOOKUP(A1696, IMPORTRANGE(""https://docs.google.com/spreadsheets/d/1fj_Bhi2XPL3siwIh4sx4VRLAe31yD50oKdj5UlRYW0c/"", ""Сводка!A:AA""), 5, FALSE)"),224)</f>
        <v>224</v>
      </c>
      <c r="H1699" s="12" t="s">
        <v>538</v>
      </c>
      <c r="I1699" s="10">
        <f ca="1">IFERROR(__xludf.DUMMYFUNCTION(" VLOOKUP(A1696, IMPORTRANGE(""https://docs.google.com/spreadsheets/d/1QNLbnkR_AongFt22vMfNzfpjZ0CjpI8QI-w0wBnYA1w/"", ""Инфа!A:AA""), 6, FALSE)"),2024)</f>
        <v>2024</v>
      </c>
      <c r="J1699" s="5">
        <f ca="1">ROUND((5000+G1699*30),-2)</f>
        <v>11700</v>
      </c>
      <c r="K1699" s="12" t="s">
        <v>101</v>
      </c>
      <c r="L1699" s="15" t="s">
        <v>7086</v>
      </c>
    </row>
    <row r="1700" spans="1:12" ht="202.5">
      <c r="A1700" s="48" t="s">
        <v>7087</v>
      </c>
      <c r="B1700" s="12" t="s">
        <v>12</v>
      </c>
      <c r="C1700" s="12" t="s">
        <v>443</v>
      </c>
      <c r="D1700" s="12" t="s">
        <v>7088</v>
      </c>
      <c r="E1700" s="11" t="s">
        <v>7089</v>
      </c>
      <c r="F1700" s="11" t="s">
        <v>7090</v>
      </c>
      <c r="G1700" s="12">
        <f ca="1">IFERROR(__xludf.DUMMYFUNCTION(" VLOOKUP(A1697, IMPORTRANGE(""https://docs.google.com/spreadsheets/d/1fj_Bhi2XPL3siwIh4sx4VRLAe31yD50oKdj5UlRYW0c/"", ""Сводка!A:AA""), 5, FALSE)"),152)</f>
        <v>152</v>
      </c>
      <c r="H1700" s="12" t="s">
        <v>106</v>
      </c>
      <c r="I1700" s="10">
        <f ca="1">IFERROR(__xludf.DUMMYFUNCTION(" VLOOKUP(A1697, IMPORTRANGE(""https://docs.google.com/spreadsheets/d/1QNLbnkR_AongFt22vMfNzfpjZ0CjpI8QI-w0wBnYA1w/"", ""Инфа!A:AA""), 6, FALSE)"),2024)</f>
        <v>2024</v>
      </c>
      <c r="J1700" s="5">
        <f ca="1">ROUND((5000+G1700*60),-2)</f>
        <v>14100</v>
      </c>
      <c r="K1700" s="12" t="s">
        <v>7091</v>
      </c>
      <c r="L1700" s="15" t="s">
        <v>7092</v>
      </c>
    </row>
    <row r="1701" spans="1:12" ht="168.75">
      <c r="A1701" s="48" t="s">
        <v>7093</v>
      </c>
      <c r="B1701" s="12" t="s">
        <v>12</v>
      </c>
      <c r="C1701" s="12" t="s">
        <v>443</v>
      </c>
      <c r="D1701" s="10" t="s">
        <v>7094</v>
      </c>
      <c r="E1701" s="11" t="s">
        <v>7095</v>
      </c>
      <c r="F1701" s="11" t="s">
        <v>7096</v>
      </c>
      <c r="G1701" s="12">
        <f ca="1">IFERROR(__xludf.DUMMYFUNCTION(" VLOOKUP(A1698, IMPORTRANGE(""https://docs.google.com/spreadsheets/d/1fj_Bhi2XPL3siwIh4sx4VRLAe31yD50oKdj5UlRYW0c/"", ""Сводка!A:AA""), 5, FALSE)"),128)</f>
        <v>128</v>
      </c>
      <c r="H1701" s="12" t="s">
        <v>538</v>
      </c>
      <c r="I1701" s="10">
        <f ca="1">IFERROR(__xludf.DUMMYFUNCTION(" VLOOKUP(A1698, IMPORTRANGE(""https://docs.google.com/spreadsheets/d/1QNLbnkR_AongFt22vMfNzfpjZ0CjpI8QI-w0wBnYA1w/"", ""Инфа!A:AA""), 6, FALSE)"),2024)</f>
        <v>2024</v>
      </c>
      <c r="J1701" s="5">
        <f ca="1">ROUND((5000+G1701*30),-2)</f>
        <v>8800</v>
      </c>
      <c r="K1701" s="12" t="s">
        <v>7097</v>
      </c>
      <c r="L1701" s="15" t="s">
        <v>7098</v>
      </c>
    </row>
    <row r="1702" spans="1:12" ht="270">
      <c r="A1702" s="48" t="s">
        <v>7099</v>
      </c>
      <c r="B1702" s="12" t="s">
        <v>12</v>
      </c>
      <c r="C1702" s="12" t="s">
        <v>443</v>
      </c>
      <c r="D1702" s="10" t="s">
        <v>7100</v>
      </c>
      <c r="E1702" s="11" t="s">
        <v>7101</v>
      </c>
      <c r="F1702" s="11" t="s">
        <v>7102</v>
      </c>
      <c r="G1702" s="12">
        <f ca="1">IFERROR(__xludf.DUMMYFUNCTION(" VLOOKUP(A1699, IMPORTRANGE(""https://docs.google.com/spreadsheets/d/1fj_Bhi2XPL3siwIh4sx4VRLAe31yD50oKdj5UlRYW0c/"", ""Сводка!A:AA""), 5, FALSE)"),208)</f>
        <v>208</v>
      </c>
      <c r="H1702" s="12" t="s">
        <v>538</v>
      </c>
      <c r="I1702" s="10">
        <f ca="1">IFERROR(__xludf.DUMMYFUNCTION(" VLOOKUP(A1699, IMPORTRANGE(""https://docs.google.com/spreadsheets/d/1QNLbnkR_AongFt22vMfNzfpjZ0CjpI8QI-w0wBnYA1w/"", ""Инфа!A:AA""), 6, FALSE)"),2024)</f>
        <v>2024</v>
      </c>
      <c r="J1702" s="5">
        <f ca="1">ROUND((5000+G1702*60),-2)</f>
        <v>17500</v>
      </c>
      <c r="K1702" s="12" t="s">
        <v>7103</v>
      </c>
      <c r="L1702" s="15" t="s">
        <v>7104</v>
      </c>
    </row>
    <row r="1703" spans="1:12" ht="90">
      <c r="A1703" s="8" t="s">
        <v>7105</v>
      </c>
      <c r="B1703" s="9" t="s">
        <v>12</v>
      </c>
      <c r="C1703" s="10" t="s">
        <v>443</v>
      </c>
      <c r="D1703" s="10" t="str">
        <f ca="1">IFERROR(__xludf.DUMMYFUNCTION(" VLOOKUP(A1700, IMPORTRANGE(""https://docs.google.com/spreadsheets/d/1fj_Bhi2XPL3siwIh4sx4VRLAe31yD50oKdj5UlRYW0c/"", ""Сводка!A:AA""), 11, FALSE)"),"978-601-342-185-8")</f>
        <v>978-601-342-185-8</v>
      </c>
      <c r="E1703" s="11" t="s">
        <v>7106</v>
      </c>
      <c r="F1703" s="11" t="s">
        <v>7107</v>
      </c>
      <c r="G1703" s="12">
        <f ca="1">IFERROR(__xludf.DUMMYFUNCTION(" VLOOKUP(A1700, IMPORTRANGE(""https://docs.google.com/spreadsheets/d/1fj_Bhi2XPL3siwIh4sx4VRLAe31yD50oKdj5UlRYW0c/"", ""Сводка!A:AA""), 5, FALSE)"),80)</f>
        <v>80</v>
      </c>
      <c r="H1703" s="12" t="s">
        <v>777</v>
      </c>
      <c r="I1703" s="10">
        <f ca="1">IFERROR(__xludf.DUMMYFUNCTION(" VLOOKUP(A1700, IMPORTRANGE(""https://docs.google.com/spreadsheets/d/1QNLbnkR_AongFt22vMfNzfpjZ0CjpI8QI-w0wBnYA1w/"", ""Инфа!A:AA""), 6, FALSE)"),2024)</f>
        <v>2024</v>
      </c>
      <c r="J1703" s="5">
        <f ca="1">ROUND((5000+G1703*30),-2)</f>
        <v>7400</v>
      </c>
      <c r="K1703" s="12" t="s">
        <v>139</v>
      </c>
      <c r="L1703" s="16" t="s">
        <v>7108</v>
      </c>
    </row>
    <row r="1704" spans="1:12" ht="281.25">
      <c r="A1704" s="48" t="s">
        <v>7109</v>
      </c>
      <c r="B1704" s="12" t="s">
        <v>12</v>
      </c>
      <c r="C1704" s="12" t="s">
        <v>443</v>
      </c>
      <c r="D1704" s="12" t="s">
        <v>7110</v>
      </c>
      <c r="E1704" s="11" t="s">
        <v>7111</v>
      </c>
      <c r="F1704" s="11" t="s">
        <v>7112</v>
      </c>
      <c r="G1704" s="12" t="e">
        <f>#REF!</f>
        <v>#REF!</v>
      </c>
      <c r="H1704" s="12" t="s">
        <v>538</v>
      </c>
      <c r="I1704" s="10">
        <f ca="1">IFERROR(__xludf.DUMMYFUNCTION(" VLOOKUP(A1701, IMPORTRANGE(""https://docs.google.com/spreadsheets/d/1QNLbnkR_AongFt22vMfNzfpjZ0CjpI8QI-w0wBnYA1w/"", ""Инфа!A:AA""), 6, FALSE)"),2024)</f>
        <v>2024</v>
      </c>
      <c r="J1704" s="5" t="e">
        <f>ROUND((5000+G1704*60),-2)</f>
        <v>#REF!</v>
      </c>
      <c r="K1704" s="12" t="s">
        <v>5380</v>
      </c>
      <c r="L1704" s="15" t="s">
        <v>7113</v>
      </c>
    </row>
    <row r="1705" spans="1:12" ht="315">
      <c r="A1705" s="48" t="s">
        <v>7114</v>
      </c>
      <c r="B1705" s="10" t="s">
        <v>12</v>
      </c>
      <c r="C1705" s="10" t="s">
        <v>151</v>
      </c>
      <c r="D1705" s="12" t="s">
        <v>7115</v>
      </c>
      <c r="E1705" s="46" t="s">
        <v>7116</v>
      </c>
      <c r="F1705" s="46" t="s">
        <v>7117</v>
      </c>
      <c r="G1705" s="12">
        <f ca="1">IFERROR(__xludf.DUMMYFUNCTION(" VLOOKUP(A1702, IMPORTRANGE(""https://docs.google.com/spreadsheets/d/1fj_Bhi2XPL3siwIh4sx4VRLAe31yD50oKdj5UlRYW0c/"", ""Сводка!A:AA""), 5, FALSE)"),132)</f>
        <v>132</v>
      </c>
      <c r="H1705" s="10" t="s">
        <v>106</v>
      </c>
      <c r="I1705" s="10">
        <f ca="1">IFERROR(__xludf.DUMMYFUNCTION(" VLOOKUP(A1702, IMPORTRANGE(""https://docs.google.com/spreadsheets/d/1QNLbnkR_AongFt22vMfNzfpjZ0CjpI8QI-w0wBnYA1w/"", ""Инфа!A:AA""), 6, FALSE)"),2024)</f>
        <v>2024</v>
      </c>
      <c r="J1705" s="5">
        <f ca="1">ROUND((5000+G1705*60),-2)</f>
        <v>12900</v>
      </c>
      <c r="K1705" s="10" t="s">
        <v>7118</v>
      </c>
      <c r="L1705" s="59" t="s">
        <v>7119</v>
      </c>
    </row>
    <row r="1706" spans="1:12" ht="303.75">
      <c r="A1706" s="48" t="s">
        <v>7120</v>
      </c>
      <c r="B1706" s="10" t="s">
        <v>12</v>
      </c>
      <c r="C1706" s="10" t="s">
        <v>443</v>
      </c>
      <c r="D1706" s="10" t="s">
        <v>7121</v>
      </c>
      <c r="E1706" s="22" t="s">
        <v>7122</v>
      </c>
      <c r="F1706" s="22" t="s">
        <v>7123</v>
      </c>
      <c r="G1706" s="12">
        <f ca="1">IFERROR(__xludf.DUMMYFUNCTION(" VLOOKUP(A1703, IMPORTRANGE(""https://docs.google.com/spreadsheets/d/1fj_Bhi2XPL3siwIh4sx4VRLAe31yD50oKdj5UlRYW0c/"", ""Сводка!A:AA""), 5, FALSE)"),152)</f>
        <v>152</v>
      </c>
      <c r="H1706" s="10" t="s">
        <v>7124</v>
      </c>
      <c r="I1706" s="10">
        <f ca="1">IFERROR(__xludf.DUMMYFUNCTION(" VLOOKUP(A1703, IMPORTRANGE(""https://docs.google.com/spreadsheets/d/1QNLbnkR_AongFt22vMfNzfpjZ0CjpI8QI-w0wBnYA1w/"", ""Инфа!A:AA""), 6, FALSE)"),2024)</f>
        <v>2024</v>
      </c>
      <c r="J1706" s="5">
        <f ca="1">ROUND((5000+G1706*30),-2)</f>
        <v>9600</v>
      </c>
      <c r="K1706" s="10" t="s">
        <v>2953</v>
      </c>
      <c r="L1706" s="59" t="s">
        <v>7125</v>
      </c>
    </row>
    <row r="1707" spans="1:12" ht="213.75">
      <c r="A1707" s="48" t="s">
        <v>7126</v>
      </c>
      <c r="B1707" s="10" t="s">
        <v>12</v>
      </c>
      <c r="C1707" s="10" t="s">
        <v>443</v>
      </c>
      <c r="D1707" s="12" t="s">
        <v>7127</v>
      </c>
      <c r="E1707" s="22" t="s">
        <v>2785</v>
      </c>
      <c r="F1707" s="22" t="s">
        <v>7128</v>
      </c>
      <c r="G1707" s="12">
        <f ca="1">IFERROR(__xludf.DUMMYFUNCTION(" VLOOKUP(A1704, IMPORTRANGE(""https://docs.google.com/spreadsheets/d/1fj_Bhi2XPL3siwIh4sx4VRLAe31yD50oKdj5UlRYW0c/"", ""Сводка!A:AA""), 5, FALSE)"),320)</f>
        <v>320</v>
      </c>
      <c r="H1707" s="10" t="s">
        <v>511</v>
      </c>
      <c r="I1707" s="10">
        <f ca="1">IFERROR(__xludf.DUMMYFUNCTION(" VLOOKUP(A1704, IMPORTRANGE(""https://docs.google.com/spreadsheets/d/1QNLbnkR_AongFt22vMfNzfpjZ0CjpI8QI-w0wBnYA1w/"", ""Инфа!A:AA""), 6, FALSE)"),2024)</f>
        <v>2024</v>
      </c>
      <c r="J1707" s="5">
        <f t="shared" ref="J1707:J1712" ca="1" si="59">ROUND((5000+G1707*60),-2)</f>
        <v>24200</v>
      </c>
      <c r="K1707" s="10" t="s">
        <v>7129</v>
      </c>
      <c r="L1707" s="16" t="s">
        <v>7130</v>
      </c>
    </row>
    <row r="1708" spans="1:12" ht="191.25">
      <c r="A1708" s="48" t="s">
        <v>7131</v>
      </c>
      <c r="B1708" s="10" t="s">
        <v>12</v>
      </c>
      <c r="C1708" s="10" t="s">
        <v>151</v>
      </c>
      <c r="D1708" s="12" t="s">
        <v>7132</v>
      </c>
      <c r="E1708" s="22" t="s">
        <v>2785</v>
      </c>
      <c r="F1708" s="22" t="s">
        <v>7133</v>
      </c>
      <c r="G1708" s="12">
        <f ca="1">IFERROR(__xludf.DUMMYFUNCTION(" VLOOKUP(A1705, IMPORTRANGE(""https://docs.google.com/spreadsheets/d/1fj_Bhi2XPL3siwIh4sx4VRLAe31yD50oKdj5UlRYW0c/"", ""Сводка!A:AA""), 5, FALSE)"),336)</f>
        <v>336</v>
      </c>
      <c r="H1708" s="10" t="s">
        <v>498</v>
      </c>
      <c r="I1708" s="10">
        <f ca="1">IFERROR(__xludf.DUMMYFUNCTION(" VLOOKUP(A1705, IMPORTRANGE(""https://docs.google.com/spreadsheets/d/1QNLbnkR_AongFt22vMfNzfpjZ0CjpI8QI-w0wBnYA1w/"", ""Инфа!A:AA""), 6, FALSE)"),2024)</f>
        <v>2024</v>
      </c>
      <c r="J1708" s="5">
        <f t="shared" ca="1" si="59"/>
        <v>25200</v>
      </c>
      <c r="K1708" s="10" t="s">
        <v>7129</v>
      </c>
      <c r="L1708" s="59" t="s">
        <v>7134</v>
      </c>
    </row>
    <row r="1709" spans="1:12" ht="146.25">
      <c r="A1709" s="48" t="s">
        <v>7135</v>
      </c>
      <c r="B1709" s="10" t="s">
        <v>12</v>
      </c>
      <c r="C1709" s="13" t="s">
        <v>13</v>
      </c>
      <c r="D1709" s="12" t="s">
        <v>7136</v>
      </c>
      <c r="E1709" s="11" t="s">
        <v>7137</v>
      </c>
      <c r="F1709" s="11" t="s">
        <v>7138</v>
      </c>
      <c r="G1709" s="12">
        <f ca="1">IFERROR(__xludf.DUMMYFUNCTION(" VLOOKUP(A1706, IMPORTRANGE(""https://docs.google.com/spreadsheets/d/1fj_Bhi2XPL3siwIh4sx4VRLAe31yD50oKdj5UlRYW0c/"", ""Сводка!A:AA""), 5, FALSE)"),280)</f>
        <v>280</v>
      </c>
      <c r="H1709" s="10" t="s">
        <v>7139</v>
      </c>
      <c r="I1709" s="10">
        <f ca="1">IFERROR(__xludf.DUMMYFUNCTION(" VLOOKUP(A1706, IMPORTRANGE(""https://docs.google.com/spreadsheets/d/1QNLbnkR_AongFt22vMfNzfpjZ0CjpI8QI-w0wBnYA1w/"", ""Инфа!A:AA""), 6, FALSE)"),2024)</f>
        <v>2024</v>
      </c>
      <c r="J1709" s="5">
        <f t="shared" ca="1" si="59"/>
        <v>21800</v>
      </c>
      <c r="K1709" s="12" t="s">
        <v>171</v>
      </c>
      <c r="L1709" s="59" t="s">
        <v>7140</v>
      </c>
    </row>
    <row r="1710" spans="1:12" ht="90">
      <c r="A1710" s="48" t="s">
        <v>7141</v>
      </c>
      <c r="B1710" s="10" t="s">
        <v>12</v>
      </c>
      <c r="C1710" s="13" t="s">
        <v>13</v>
      </c>
      <c r="D1710" s="12" t="s">
        <v>7142</v>
      </c>
      <c r="E1710" s="22" t="s">
        <v>7143</v>
      </c>
      <c r="F1710" s="22" t="s">
        <v>7144</v>
      </c>
      <c r="G1710" s="12">
        <f ca="1">IFERROR(__xludf.DUMMYFUNCTION(" VLOOKUP(A1707, IMPORTRANGE(""https://docs.google.com/spreadsheets/d/1fj_Bhi2XPL3siwIh4sx4VRLAe31yD50oKdj5UlRYW0c/"", ""Сводка!A:AA""), 5, FALSE)"),232)</f>
        <v>232</v>
      </c>
      <c r="H1710" s="10" t="s">
        <v>373</v>
      </c>
      <c r="I1710" s="10">
        <f ca="1">IFERROR(__xludf.DUMMYFUNCTION(" VLOOKUP(A1707, IMPORTRANGE(""https://docs.google.com/spreadsheets/d/1QNLbnkR_AongFt22vMfNzfpjZ0CjpI8QI-w0wBnYA1w/"", ""Инфа!A:AA""), 6, FALSE)"),2024)</f>
        <v>2024</v>
      </c>
      <c r="J1710" s="5">
        <f t="shared" ca="1" si="59"/>
        <v>18900</v>
      </c>
      <c r="K1710" s="12" t="s">
        <v>171</v>
      </c>
      <c r="L1710" s="59" t="s">
        <v>7145</v>
      </c>
    </row>
    <row r="1711" spans="1:12" ht="78.75">
      <c r="A1711" s="48" t="s">
        <v>7146</v>
      </c>
      <c r="B1711" s="10" t="s">
        <v>12</v>
      </c>
      <c r="C1711" s="13" t="s">
        <v>13</v>
      </c>
      <c r="D1711" s="12" t="s">
        <v>7147</v>
      </c>
      <c r="E1711" s="22" t="s">
        <v>7148</v>
      </c>
      <c r="F1711" s="22" t="s">
        <v>7149</v>
      </c>
      <c r="G1711" s="12">
        <f ca="1">IFERROR(__xludf.DUMMYFUNCTION(" VLOOKUP(A1708, IMPORTRANGE(""https://docs.google.com/spreadsheets/d/1fj_Bhi2XPL3siwIh4sx4VRLAe31yD50oKdj5UlRYW0c/"", ""Сводка!A:AA""), 5, FALSE)"),272)</f>
        <v>272</v>
      </c>
      <c r="H1711" s="10" t="s">
        <v>373</v>
      </c>
      <c r="I1711" s="10">
        <f ca="1">IFERROR(__xludf.DUMMYFUNCTION(" VLOOKUP(A1708, IMPORTRANGE(""https://docs.google.com/spreadsheets/d/1QNLbnkR_AongFt22vMfNzfpjZ0CjpI8QI-w0wBnYA1w/"", ""Инфа!A:AA""), 6, FALSE)"),2024)</f>
        <v>2024</v>
      </c>
      <c r="J1711" s="5">
        <f t="shared" ca="1" si="59"/>
        <v>21300</v>
      </c>
      <c r="K1711" s="12" t="s">
        <v>171</v>
      </c>
      <c r="L1711" s="59" t="s">
        <v>7150</v>
      </c>
    </row>
    <row r="1712" spans="1:12" ht="135">
      <c r="A1712" s="48" t="s">
        <v>7151</v>
      </c>
      <c r="B1712" s="12" t="s">
        <v>12</v>
      </c>
      <c r="C1712" s="12" t="s">
        <v>443</v>
      </c>
      <c r="D1712" s="12" t="s">
        <v>6038</v>
      </c>
      <c r="E1712" s="11" t="s">
        <v>7152</v>
      </c>
      <c r="F1712" s="11" t="s">
        <v>7153</v>
      </c>
      <c r="G1712" s="12">
        <f ca="1">IFERROR(__xludf.DUMMYFUNCTION(" VLOOKUP(A1709, IMPORTRANGE(""https://docs.google.com/spreadsheets/d/1fj_Bhi2XPL3siwIh4sx4VRLAe31yD50oKdj5UlRYW0c/"", ""Сводка!A:AA""), 5, FALSE)"),136)</f>
        <v>136</v>
      </c>
      <c r="H1712" s="12" t="s">
        <v>538</v>
      </c>
      <c r="I1712" s="10">
        <f ca="1">IFERROR(__xludf.DUMMYFUNCTION(" VLOOKUP(A1709, IMPORTRANGE(""https://docs.google.com/spreadsheets/d/1QNLbnkR_AongFt22vMfNzfpjZ0CjpI8QI-w0wBnYA1w/"", ""Инфа!A:AA""), 6, FALSE)"),2024)</f>
        <v>2024</v>
      </c>
      <c r="J1712" s="5">
        <f t="shared" ca="1" si="59"/>
        <v>13200</v>
      </c>
      <c r="K1712" s="12" t="s">
        <v>7154</v>
      </c>
      <c r="L1712" s="15" t="s">
        <v>7155</v>
      </c>
    </row>
    <row r="1713" spans="1:12" ht="292.5">
      <c r="A1713" s="48" t="s">
        <v>7156</v>
      </c>
      <c r="B1713" s="12" t="s">
        <v>12</v>
      </c>
      <c r="C1713" s="12" t="s">
        <v>443</v>
      </c>
      <c r="D1713" s="10" t="s">
        <v>7157</v>
      </c>
      <c r="E1713" s="11" t="s">
        <v>7158</v>
      </c>
      <c r="F1713" s="11" t="s">
        <v>7159</v>
      </c>
      <c r="G1713" s="12">
        <f ca="1">IFERROR(__xludf.DUMMYFUNCTION(" VLOOKUP(A1710, IMPORTRANGE(""https://docs.google.com/spreadsheets/d/1fj_Bhi2XPL3siwIh4sx4VRLAe31yD50oKdj5UlRYW0c/"", ""Сводка!A:AA""), 5, FALSE)"),192)</f>
        <v>192</v>
      </c>
      <c r="H1713" s="12" t="s">
        <v>7160</v>
      </c>
      <c r="I1713" s="10">
        <f ca="1">IFERROR(__xludf.DUMMYFUNCTION(" VLOOKUP(A1710, IMPORTRANGE(""https://docs.google.com/spreadsheets/d/1QNLbnkR_AongFt22vMfNzfpjZ0CjpI8QI-w0wBnYA1w/"", ""Инфа!A:AA""), 6, FALSE)"),2024)</f>
        <v>2024</v>
      </c>
      <c r="J1713" s="5">
        <f t="shared" ref="J1713:J1719" ca="1" si="60">ROUND((5000+G1713*30),-2)</f>
        <v>10800</v>
      </c>
      <c r="K1713" s="12" t="s">
        <v>160</v>
      </c>
      <c r="L1713" s="15" t="s">
        <v>7161</v>
      </c>
    </row>
    <row r="1714" spans="1:12" ht="191.25">
      <c r="A1714" s="48" t="s">
        <v>7162</v>
      </c>
      <c r="B1714" s="12" t="s">
        <v>12</v>
      </c>
      <c r="C1714" s="12" t="s">
        <v>443</v>
      </c>
      <c r="D1714" s="10" t="str">
        <f ca="1">IFERROR(__xludf.DUMMYFUNCTION(" VLOOKUP(A1711, IMPORTRANGE(""https://docs.google.com/spreadsheets/d/1fj_Bhi2XPL3siwIh4sx4VRLAe31yD50oKdj5UlRYW0c/"", ""Сводка!A:AA""), 11, FALSE)"),"")</f>
        <v/>
      </c>
      <c r="E1714" s="11" t="s">
        <v>7163</v>
      </c>
      <c r="F1714" s="11" t="s">
        <v>7164</v>
      </c>
      <c r="G1714" s="12">
        <f ca="1">IFERROR(__xludf.DUMMYFUNCTION(" VLOOKUP(A1711, IMPORTRANGE(""https://docs.google.com/spreadsheets/d/1fj_Bhi2XPL3siwIh4sx4VRLAe31yD50oKdj5UlRYW0c/"", ""Сводка!A:AA""), 5, FALSE)"),160)</f>
        <v>160</v>
      </c>
      <c r="H1714" s="12" t="s">
        <v>446</v>
      </c>
      <c r="I1714" s="10">
        <f ca="1">IFERROR(__xludf.DUMMYFUNCTION(" VLOOKUP(A1711, IMPORTRANGE(""https://docs.google.com/spreadsheets/d/1QNLbnkR_AongFt22vMfNzfpjZ0CjpI8QI-w0wBnYA1w/"", ""Инфа!A:AA""), 6, FALSE)"),2024)</f>
        <v>2024</v>
      </c>
      <c r="J1714" s="5">
        <f t="shared" ca="1" si="60"/>
        <v>9800</v>
      </c>
      <c r="K1714" s="12" t="s">
        <v>7165</v>
      </c>
      <c r="L1714" s="15" t="s">
        <v>7166</v>
      </c>
    </row>
    <row r="1715" spans="1:12" ht="123.75">
      <c r="A1715" s="48" t="s">
        <v>7167</v>
      </c>
      <c r="B1715" s="12" t="s">
        <v>12</v>
      </c>
      <c r="C1715" s="12" t="s">
        <v>443</v>
      </c>
      <c r="D1715" s="10" t="str">
        <f ca="1">IFERROR(__xludf.DUMMYFUNCTION(" VLOOKUP(A1712, IMPORTRANGE(""https://docs.google.com/spreadsheets/d/1fj_Bhi2XPL3siwIh4sx4VRLAe31yD50oKdj5UlRYW0c/"", ""Сводка!A:AA""), 11, FALSE)"),"")</f>
        <v/>
      </c>
      <c r="E1715" s="11" t="s">
        <v>7168</v>
      </c>
      <c r="F1715" s="11" t="s">
        <v>7169</v>
      </c>
      <c r="G1715" s="12">
        <f ca="1">IFERROR(__xludf.DUMMYFUNCTION(" VLOOKUP(A1712, IMPORTRANGE(""https://docs.google.com/spreadsheets/d/1fj_Bhi2XPL3siwIh4sx4VRLAe31yD50oKdj5UlRYW0c/"", ""Сводка!A:AA""), 5, FALSE)"),96)</f>
        <v>96</v>
      </c>
      <c r="H1715" s="12" t="s">
        <v>538</v>
      </c>
      <c r="I1715" s="10">
        <f ca="1">IFERROR(__xludf.DUMMYFUNCTION(" VLOOKUP(A1712, IMPORTRANGE(""https://docs.google.com/spreadsheets/d/1QNLbnkR_AongFt22vMfNzfpjZ0CjpI8QI-w0wBnYA1w/"", ""Инфа!A:AA""), 6, FALSE)"),2024)</f>
        <v>2024</v>
      </c>
      <c r="J1715" s="5">
        <f t="shared" ca="1" si="60"/>
        <v>7900</v>
      </c>
      <c r="K1715" s="12" t="s">
        <v>26</v>
      </c>
      <c r="L1715" s="15" t="s">
        <v>7170</v>
      </c>
    </row>
    <row r="1716" spans="1:12" ht="191.25">
      <c r="A1716" s="48" t="s">
        <v>7171</v>
      </c>
      <c r="B1716" s="12" t="s">
        <v>12</v>
      </c>
      <c r="C1716" s="12" t="s">
        <v>443</v>
      </c>
      <c r="D1716" s="10" t="s">
        <v>7172</v>
      </c>
      <c r="E1716" s="11" t="s">
        <v>7173</v>
      </c>
      <c r="F1716" s="11" t="s">
        <v>7174</v>
      </c>
      <c r="G1716" s="12">
        <f ca="1">IFERROR(__xludf.DUMMYFUNCTION(" VLOOKUP(A1713, IMPORTRANGE(""https://docs.google.com/spreadsheets/d/1fj_Bhi2XPL3siwIh4sx4VRLAe31yD50oKdj5UlRYW0c/"", ""Сводка!A:AA""), 5, FALSE)"),148)</f>
        <v>148</v>
      </c>
      <c r="H1716" s="12" t="s">
        <v>446</v>
      </c>
      <c r="I1716" s="10">
        <f ca="1">IFERROR(__xludf.DUMMYFUNCTION(" VLOOKUP(A1713, IMPORTRANGE(""https://docs.google.com/spreadsheets/d/1QNLbnkR_AongFt22vMfNzfpjZ0CjpI8QI-w0wBnYA1w/"", ""Инфа!A:AA""), 6, FALSE)"),2024)</f>
        <v>2024</v>
      </c>
      <c r="J1716" s="5">
        <f t="shared" ca="1" si="60"/>
        <v>9400</v>
      </c>
      <c r="K1716" s="12" t="s">
        <v>7175</v>
      </c>
      <c r="L1716" s="15" t="s">
        <v>7176</v>
      </c>
    </row>
    <row r="1717" spans="1:12" ht="180">
      <c r="A1717" s="48" t="s">
        <v>7177</v>
      </c>
      <c r="B1717" s="12" t="s">
        <v>12</v>
      </c>
      <c r="C1717" s="12" t="s">
        <v>151</v>
      </c>
      <c r="D1717" s="12" t="s">
        <v>7178</v>
      </c>
      <c r="E1717" s="11" t="s">
        <v>7179</v>
      </c>
      <c r="F1717" s="11" t="s">
        <v>7180</v>
      </c>
      <c r="G1717" s="12" t="e">
        <f>#REF!</f>
        <v>#REF!</v>
      </c>
      <c r="H1717" s="12" t="s">
        <v>47</v>
      </c>
      <c r="I1717" s="10">
        <f ca="1">IFERROR(__xludf.DUMMYFUNCTION(" VLOOKUP(A1714, IMPORTRANGE(""https://docs.google.com/spreadsheets/d/1QNLbnkR_AongFt22vMfNzfpjZ0CjpI8QI-w0wBnYA1w/"", ""Инфа!A:AA""), 6, FALSE)"),2024)</f>
        <v>2024</v>
      </c>
      <c r="J1717" s="5" t="e">
        <f t="shared" si="60"/>
        <v>#REF!</v>
      </c>
      <c r="K1717" s="12" t="s">
        <v>1538</v>
      </c>
      <c r="L1717" s="15" t="s">
        <v>7181</v>
      </c>
    </row>
    <row r="1718" spans="1:12" ht="56.25">
      <c r="A1718" s="48" t="s">
        <v>7182</v>
      </c>
      <c r="B1718" s="12" t="s">
        <v>12</v>
      </c>
      <c r="C1718" s="12" t="s">
        <v>443</v>
      </c>
      <c r="D1718" s="10" t="s">
        <v>7183</v>
      </c>
      <c r="E1718" s="11" t="s">
        <v>7184</v>
      </c>
      <c r="F1718" s="11" t="s">
        <v>7185</v>
      </c>
      <c r="G1718" s="12" t="e">
        <f>#REF!</f>
        <v>#REF!</v>
      </c>
      <c r="H1718" s="12" t="s">
        <v>511</v>
      </c>
      <c r="I1718" s="10">
        <f ca="1">IFERROR(__xludf.DUMMYFUNCTION(" VLOOKUP(A1715, IMPORTRANGE(""https://docs.google.com/spreadsheets/d/1QNLbnkR_AongFt22vMfNzfpjZ0CjpI8QI-w0wBnYA1w/"", ""Инфа!A:AA""), 6, FALSE)"),2024)</f>
        <v>2024</v>
      </c>
      <c r="J1718" s="5" t="e">
        <f t="shared" si="60"/>
        <v>#REF!</v>
      </c>
      <c r="K1718" s="12" t="s">
        <v>7186</v>
      </c>
      <c r="L1718" s="15" t="s">
        <v>7187</v>
      </c>
    </row>
    <row r="1719" spans="1:12" ht="225">
      <c r="A1719" s="48" t="s">
        <v>7188</v>
      </c>
      <c r="B1719" s="12" t="s">
        <v>12</v>
      </c>
      <c r="C1719" s="12" t="s">
        <v>443</v>
      </c>
      <c r="D1719" s="10" t="str">
        <f ca="1">IFERROR(__xludf.DUMMYFUNCTION(" VLOOKUP(A1716, IMPORTRANGE(""https://docs.google.com/spreadsheets/d/1fj_Bhi2XPL3siwIh4sx4VRLAe31yD50oKdj5UlRYW0c/"", ""Сводка!A:AA""), 11, FALSE)"),"")</f>
        <v/>
      </c>
      <c r="E1719" s="11" t="s">
        <v>7189</v>
      </c>
      <c r="F1719" s="11" t="s">
        <v>7190</v>
      </c>
      <c r="G1719" s="12">
        <f ca="1">IFERROR(__xludf.DUMMYFUNCTION(" VLOOKUP(A1716, IMPORTRANGE(""https://docs.google.com/spreadsheets/d/1fj_Bhi2XPL3siwIh4sx4VRLAe31yD50oKdj5UlRYW0c/"", ""Сводка!A:AA""), 5, FALSE)"),292)</f>
        <v>292</v>
      </c>
      <c r="H1719" s="12" t="s">
        <v>538</v>
      </c>
      <c r="I1719" s="10">
        <f ca="1">IFERROR(__xludf.DUMMYFUNCTION(" VLOOKUP(A1716, IMPORTRANGE(""https://docs.google.com/spreadsheets/d/1QNLbnkR_AongFt22vMfNzfpjZ0CjpI8QI-w0wBnYA1w/"", ""Инфа!A:AA""), 6, FALSE)"),2024)</f>
        <v>2024</v>
      </c>
      <c r="J1719" s="5">
        <f t="shared" ca="1" si="60"/>
        <v>13800</v>
      </c>
      <c r="K1719" s="12" t="s">
        <v>7191</v>
      </c>
      <c r="L1719" s="15" t="s">
        <v>7192</v>
      </c>
    </row>
    <row r="1720" spans="1:12" ht="112.5">
      <c r="A1720" s="48" t="s">
        <v>7193</v>
      </c>
      <c r="B1720" s="12" t="s">
        <v>12</v>
      </c>
      <c r="C1720" s="12" t="s">
        <v>443</v>
      </c>
      <c r="D1720" s="12" t="s">
        <v>7194</v>
      </c>
      <c r="E1720" s="11" t="s">
        <v>7195</v>
      </c>
      <c r="F1720" s="11" t="s">
        <v>7196</v>
      </c>
      <c r="G1720" s="12">
        <f ca="1">IFERROR(__xludf.DUMMYFUNCTION(" VLOOKUP(A1717, IMPORTRANGE(""https://docs.google.com/spreadsheets/d/1fj_Bhi2XPL3siwIh4sx4VRLAe31yD50oKdj5UlRYW0c/"", ""Сводка!A:AA""), 5, FALSE)"),124)</f>
        <v>124</v>
      </c>
      <c r="H1720" s="12" t="s">
        <v>538</v>
      </c>
      <c r="I1720" s="10">
        <f ca="1">IFERROR(__xludf.DUMMYFUNCTION(" VLOOKUP(A1717, IMPORTRANGE(""https://docs.google.com/spreadsheets/d/1QNLbnkR_AongFt22vMfNzfpjZ0CjpI8QI-w0wBnYA1w/"", ""Инфа!A:AA""), 6, FALSE)"),2024)</f>
        <v>2024</v>
      </c>
      <c r="J1720" s="5">
        <f ca="1">ROUND((5000+G1720*60),-2)</f>
        <v>12400</v>
      </c>
      <c r="K1720" s="12" t="s">
        <v>7186</v>
      </c>
      <c r="L1720" s="15" t="s">
        <v>7197</v>
      </c>
    </row>
    <row r="1721" spans="1:12" ht="56.25">
      <c r="A1721" s="48" t="s">
        <v>7198</v>
      </c>
      <c r="B1721" s="12" t="s">
        <v>12</v>
      </c>
      <c r="C1721" s="12" t="s">
        <v>443</v>
      </c>
      <c r="D1721" s="10" t="s">
        <v>7199</v>
      </c>
      <c r="E1721" s="11" t="s">
        <v>7200</v>
      </c>
      <c r="F1721" s="11" t="s">
        <v>7201</v>
      </c>
      <c r="G1721" s="12">
        <f ca="1">IFERROR(__xludf.DUMMYFUNCTION(" VLOOKUP(A1718, IMPORTRANGE(""https://docs.google.com/spreadsheets/d/1fj_Bhi2XPL3siwIh4sx4VRLAe31yD50oKdj5UlRYW0c/"", ""Сводка!A:AA""), 5, FALSE)"),204)</f>
        <v>204</v>
      </c>
      <c r="H1721" s="12" t="s">
        <v>538</v>
      </c>
      <c r="I1721" s="10">
        <f ca="1">IFERROR(__xludf.DUMMYFUNCTION(" VLOOKUP(A1718, IMPORTRANGE(""https://docs.google.com/spreadsheets/d/1QNLbnkR_AongFt22vMfNzfpjZ0CjpI8QI-w0wBnYA1w/"", ""Инфа!A:AA""), 6, FALSE)"),2024)</f>
        <v>2024</v>
      </c>
      <c r="J1721" s="5">
        <f ca="1">ROUND((5000+G1721*30),-2)</f>
        <v>11100</v>
      </c>
      <c r="K1721" s="12" t="s">
        <v>575</v>
      </c>
      <c r="L1721" s="15" t="s">
        <v>7202</v>
      </c>
    </row>
    <row r="1722" spans="1:12" ht="191.25">
      <c r="A1722" s="48" t="s">
        <v>7203</v>
      </c>
      <c r="B1722" s="12" t="s">
        <v>12</v>
      </c>
      <c r="C1722" s="12" t="s">
        <v>443</v>
      </c>
      <c r="D1722" s="12" t="s">
        <v>7204</v>
      </c>
      <c r="E1722" s="11" t="s">
        <v>7200</v>
      </c>
      <c r="F1722" s="11" t="s">
        <v>7205</v>
      </c>
      <c r="G1722" s="12">
        <f ca="1">IFERROR(__xludf.DUMMYFUNCTION(" VLOOKUP(A1719, IMPORTRANGE(""https://docs.google.com/spreadsheets/d/1fj_Bhi2XPL3siwIh4sx4VRLAe31yD50oKdj5UlRYW0c/"", ""Сводка!A:AA""), 5, FALSE)"),244)</f>
        <v>244</v>
      </c>
      <c r="H1722" s="12" t="s">
        <v>106</v>
      </c>
      <c r="I1722" s="10">
        <f ca="1">IFERROR(__xludf.DUMMYFUNCTION(" VLOOKUP(A1719, IMPORTRANGE(""https://docs.google.com/spreadsheets/d/1QNLbnkR_AongFt22vMfNzfpjZ0CjpI8QI-w0wBnYA1w/"", ""Инфа!A:AA""), 6, FALSE)"),2024)</f>
        <v>2024</v>
      </c>
      <c r="J1722" s="5">
        <f ca="1">ROUND((5000+G1722*30),-2)</f>
        <v>12300</v>
      </c>
      <c r="K1722" s="12" t="s">
        <v>575</v>
      </c>
      <c r="L1722" s="15" t="s">
        <v>7206</v>
      </c>
    </row>
    <row r="1723" spans="1:12" ht="90">
      <c r="A1723" s="48" t="s">
        <v>7207</v>
      </c>
      <c r="B1723" s="12" t="s">
        <v>12</v>
      </c>
      <c r="C1723" s="12" t="s">
        <v>443</v>
      </c>
      <c r="D1723" s="12" t="s">
        <v>7208</v>
      </c>
      <c r="E1723" s="11" t="s">
        <v>7209</v>
      </c>
      <c r="F1723" s="11" t="s">
        <v>7210</v>
      </c>
      <c r="G1723" s="12">
        <f ca="1">IFERROR(__xludf.DUMMYFUNCTION(" VLOOKUP(A1720, IMPORTRANGE(""https://docs.google.com/spreadsheets/d/1fj_Bhi2XPL3siwIh4sx4VRLAe31yD50oKdj5UlRYW0c/"", ""Сводка!A:AA""), 5, FALSE)"),160)</f>
        <v>160</v>
      </c>
      <c r="H1723" s="12" t="s">
        <v>538</v>
      </c>
      <c r="I1723" s="10">
        <f ca="1">IFERROR(__xludf.DUMMYFUNCTION(" VLOOKUP(A1720, IMPORTRANGE(""https://docs.google.com/spreadsheets/d/1QNLbnkR_AongFt22vMfNzfpjZ0CjpI8QI-w0wBnYA1w/"", ""Инфа!A:AA""), 6, FALSE)"),2024)</f>
        <v>2024</v>
      </c>
      <c r="J1723" s="5">
        <f ca="1">ROUND((5000+G1723*60),-2)</f>
        <v>14600</v>
      </c>
      <c r="K1723" s="12" t="s">
        <v>765</v>
      </c>
      <c r="L1723" s="15" t="s">
        <v>7211</v>
      </c>
    </row>
    <row r="1724" spans="1:12" ht="191.25">
      <c r="A1724" s="48" t="s">
        <v>7212</v>
      </c>
      <c r="B1724" s="12" t="s">
        <v>12</v>
      </c>
      <c r="C1724" s="12" t="s">
        <v>443</v>
      </c>
      <c r="D1724" s="10" t="str">
        <f ca="1">IFERROR(__xludf.DUMMYFUNCTION(" VLOOKUP(A1721, IMPORTRANGE(""https://docs.google.com/spreadsheets/d/1fj_Bhi2XPL3siwIh4sx4VRLAe31yD50oKdj5UlRYW0c/"", ""Сводка!A:AA""), 11, FALSE)"),"")</f>
        <v/>
      </c>
      <c r="E1724" s="11" t="s">
        <v>7213</v>
      </c>
      <c r="F1724" s="11" t="s">
        <v>7214</v>
      </c>
      <c r="G1724" s="12">
        <f ca="1">IFERROR(__xludf.DUMMYFUNCTION(" VLOOKUP(A1721, IMPORTRANGE(""https://docs.google.com/spreadsheets/d/1fj_Bhi2XPL3siwIh4sx4VRLAe31yD50oKdj5UlRYW0c/"", ""Сводка!A:AA""), 5, FALSE)"),264)</f>
        <v>264</v>
      </c>
      <c r="H1724" s="12" t="s">
        <v>777</v>
      </c>
      <c r="I1724" s="10">
        <f ca="1">IFERROR(__xludf.DUMMYFUNCTION(" VLOOKUP(A1721, IMPORTRANGE(""https://docs.google.com/spreadsheets/d/1QNLbnkR_AongFt22vMfNzfpjZ0CjpI8QI-w0wBnYA1w/"", ""Инфа!A:AA""), 6, FALSE)"),2024)</f>
        <v>2024</v>
      </c>
      <c r="J1724" s="5">
        <f ca="1">ROUND((5000+G1724*30),-2)</f>
        <v>12900</v>
      </c>
      <c r="K1724" s="12" t="s">
        <v>575</v>
      </c>
      <c r="L1724" s="15" t="s">
        <v>7215</v>
      </c>
    </row>
    <row r="1725" spans="1:12" ht="236.25">
      <c r="A1725" s="48" t="s">
        <v>7216</v>
      </c>
      <c r="B1725" s="12" t="s">
        <v>12</v>
      </c>
      <c r="C1725" s="12" t="s">
        <v>443</v>
      </c>
      <c r="D1725" s="10" t="str">
        <f ca="1">IFERROR(__xludf.DUMMYFUNCTION(" VLOOKUP(A1722, IMPORTRANGE(""https://docs.google.com/spreadsheets/d/1fj_Bhi2XPL3siwIh4sx4VRLAe31yD50oKdj5UlRYW0c/"", ""Сводка!A:AA""), 11, FALSE)"),"")</f>
        <v/>
      </c>
      <c r="E1725" s="11" t="s">
        <v>7217</v>
      </c>
      <c r="F1725" s="11" t="s">
        <v>7218</v>
      </c>
      <c r="G1725" s="12">
        <f ca="1">IFERROR(__xludf.DUMMYFUNCTION(" VLOOKUP(A1722, IMPORTRANGE(""https://docs.google.com/spreadsheets/d/1fj_Bhi2XPL3siwIh4sx4VRLAe31yD50oKdj5UlRYW0c/"", ""Сводка!A:AA""), 5, FALSE)"),276)</f>
        <v>276</v>
      </c>
      <c r="H1725" s="12" t="s">
        <v>538</v>
      </c>
      <c r="I1725" s="10">
        <f ca="1">IFERROR(__xludf.DUMMYFUNCTION(" VLOOKUP(A1722, IMPORTRANGE(""https://docs.google.com/spreadsheets/d/1QNLbnkR_AongFt22vMfNzfpjZ0CjpI8QI-w0wBnYA1w/"", ""Инфа!A:AA""), 6, FALSE)"),2024)</f>
        <v>2024</v>
      </c>
      <c r="J1725" s="5">
        <f ca="1">ROUND((5000+G1725*60),-2)</f>
        <v>21600</v>
      </c>
      <c r="K1725" s="12" t="s">
        <v>575</v>
      </c>
      <c r="L1725" s="15" t="s">
        <v>7219</v>
      </c>
    </row>
    <row r="1726" spans="1:12" ht="90">
      <c r="A1726" s="8" t="s">
        <v>7220</v>
      </c>
      <c r="B1726" s="9" t="s">
        <v>12</v>
      </c>
      <c r="C1726" s="10" t="s">
        <v>443</v>
      </c>
      <c r="D1726" s="10" t="str">
        <f ca="1">IFERROR(__xludf.DUMMYFUNCTION(" VLOOKUP(A1723, IMPORTRANGE(""https://docs.google.com/spreadsheets/d/1fj_Bhi2XPL3siwIh4sx4VRLAe31yD50oKdj5UlRYW0c/"", ""Сводка!A:AA""), 11, FALSE)"),"978-601-7269-43-2")</f>
        <v>978-601-7269-43-2</v>
      </c>
      <c r="E1726" s="11" t="s">
        <v>7221</v>
      </c>
      <c r="F1726" s="11" t="s">
        <v>7222</v>
      </c>
      <c r="G1726" s="12">
        <v>149</v>
      </c>
      <c r="H1726" s="12" t="s">
        <v>538</v>
      </c>
      <c r="I1726" s="10">
        <f ca="1">IFERROR(__xludf.DUMMYFUNCTION(" VLOOKUP(A1723, IMPORTRANGE(""https://docs.google.com/spreadsheets/d/1QNLbnkR_AongFt22vMfNzfpjZ0CjpI8QI-w0wBnYA1w/"", ""Инфа!A:AA""), 6, FALSE)"),2024)</f>
        <v>2024</v>
      </c>
      <c r="J1726" s="5">
        <f>ROUND((5000+G1726*30),-2)</f>
        <v>9500</v>
      </c>
      <c r="K1726" s="9" t="s">
        <v>248</v>
      </c>
      <c r="L1726" s="15" t="s">
        <v>7223</v>
      </c>
    </row>
    <row r="1727" spans="1:12" ht="90">
      <c r="A1727" s="48" t="s">
        <v>7224</v>
      </c>
      <c r="B1727" s="12" t="s">
        <v>12</v>
      </c>
      <c r="C1727" s="12" t="s">
        <v>443</v>
      </c>
      <c r="D1727" s="10" t="str">
        <f ca="1">IFERROR(__xludf.DUMMYFUNCTION(" VLOOKUP(A1724, IMPORTRANGE(""https://docs.google.com/spreadsheets/d/1fj_Bhi2XPL3siwIh4sx4VRLAe31yD50oKdj5UlRYW0c/"", ""Сводка!A:AA""), 11, FALSE)"),"")</f>
        <v/>
      </c>
      <c r="E1727" s="11" t="s">
        <v>7213</v>
      </c>
      <c r="F1727" s="11" t="s">
        <v>7225</v>
      </c>
      <c r="G1727" s="12">
        <f ca="1">IFERROR(__xludf.DUMMYFUNCTION(" VLOOKUP(A1724, IMPORTRANGE(""https://docs.google.com/spreadsheets/d/1fj_Bhi2XPL3siwIh4sx4VRLAe31yD50oKdj5UlRYW0c/"", ""Сводка!A:AA""), 5, FALSE)"),336)</f>
        <v>336</v>
      </c>
      <c r="H1727" s="12" t="s">
        <v>538</v>
      </c>
      <c r="I1727" s="10">
        <f ca="1">IFERROR(__xludf.DUMMYFUNCTION(" VLOOKUP(A1724, IMPORTRANGE(""https://docs.google.com/spreadsheets/d/1QNLbnkR_AongFt22vMfNzfpjZ0CjpI8QI-w0wBnYA1w/"", ""Инфа!A:AA""), 6, FALSE)"),2024)</f>
        <v>2024</v>
      </c>
      <c r="J1727" s="5">
        <f ca="1">ROUND((5000+G1727*30),-2)</f>
        <v>15100</v>
      </c>
      <c r="K1727" s="12" t="s">
        <v>575</v>
      </c>
      <c r="L1727" s="15" t="s">
        <v>7226</v>
      </c>
    </row>
    <row r="1728" spans="1:12" ht="123.75">
      <c r="A1728" s="48" t="s">
        <v>7227</v>
      </c>
      <c r="B1728" s="12" t="s">
        <v>12</v>
      </c>
      <c r="C1728" s="12" t="s">
        <v>443</v>
      </c>
      <c r="D1728" s="10" t="s">
        <v>7228</v>
      </c>
      <c r="E1728" s="11" t="s">
        <v>7229</v>
      </c>
      <c r="F1728" s="11" t="s">
        <v>7230</v>
      </c>
      <c r="G1728" s="12">
        <f ca="1">IFERROR(__xludf.DUMMYFUNCTION(" VLOOKUP(A1725, IMPORTRANGE(""https://docs.google.com/spreadsheets/d/1fj_Bhi2XPL3siwIh4sx4VRLAe31yD50oKdj5UlRYW0c/"", ""Сводка!A:AA""), 5, FALSE)"),276)</f>
        <v>276</v>
      </c>
      <c r="H1728" s="12" t="s">
        <v>511</v>
      </c>
      <c r="I1728" s="10">
        <f ca="1">IFERROR(__xludf.DUMMYFUNCTION(" VLOOKUP(A1725, IMPORTRANGE(""https://docs.google.com/spreadsheets/d/1QNLbnkR_AongFt22vMfNzfpjZ0CjpI8QI-w0wBnYA1w/"", ""Инфа!A:AA""), 6, FALSE)"),2024)</f>
        <v>2024</v>
      </c>
      <c r="J1728" s="5">
        <f ca="1">ROUND((5000+G1728*60),-2)</f>
        <v>21600</v>
      </c>
      <c r="K1728" s="12" t="s">
        <v>326</v>
      </c>
      <c r="L1728" s="15" t="s">
        <v>7231</v>
      </c>
    </row>
    <row r="1729" spans="1:12" ht="168.75">
      <c r="A1729" s="48" t="s">
        <v>7232</v>
      </c>
      <c r="B1729" s="12" t="s">
        <v>12</v>
      </c>
      <c r="C1729" s="12" t="s">
        <v>443</v>
      </c>
      <c r="D1729" s="10" t="s">
        <v>7233</v>
      </c>
      <c r="E1729" s="11" t="s">
        <v>7229</v>
      </c>
      <c r="F1729" s="11" t="s">
        <v>7234</v>
      </c>
      <c r="G1729" s="12">
        <f ca="1">IFERROR(__xludf.DUMMYFUNCTION(" VLOOKUP(A1726, IMPORTRANGE(""https://docs.google.com/spreadsheets/d/1fj_Bhi2XPL3siwIh4sx4VRLAe31yD50oKdj5UlRYW0c/"", ""Сводка!A:AA""), 5, FALSE)"),216)</f>
        <v>216</v>
      </c>
      <c r="H1729" s="12" t="s">
        <v>538</v>
      </c>
      <c r="I1729" s="10">
        <f ca="1">IFERROR(__xludf.DUMMYFUNCTION(" VLOOKUP(A1726, IMPORTRANGE(""https://docs.google.com/spreadsheets/d/1QNLbnkR_AongFt22vMfNzfpjZ0CjpI8QI-w0wBnYA1w/"", ""Инфа!A:AA""), 6, FALSE)"),2024)</f>
        <v>2024</v>
      </c>
      <c r="J1729" s="5">
        <f ca="1">ROUND((5000+G1729*30),-2)</f>
        <v>11500</v>
      </c>
      <c r="K1729" s="12" t="s">
        <v>326</v>
      </c>
      <c r="L1729" s="15" t="s">
        <v>7235</v>
      </c>
    </row>
    <row r="1730" spans="1:12" ht="270">
      <c r="A1730" s="48" t="s">
        <v>7236</v>
      </c>
      <c r="B1730" s="12" t="s">
        <v>12</v>
      </c>
      <c r="C1730" s="12" t="s">
        <v>443</v>
      </c>
      <c r="D1730" s="10" t="s">
        <v>7237</v>
      </c>
      <c r="E1730" s="11" t="s">
        <v>7229</v>
      </c>
      <c r="F1730" s="11" t="s">
        <v>7238</v>
      </c>
      <c r="G1730" s="12">
        <f ca="1">IFERROR(__xludf.DUMMYFUNCTION(" VLOOKUP(A1727, IMPORTRANGE(""https://docs.google.com/spreadsheets/d/1fj_Bhi2XPL3siwIh4sx4VRLAe31yD50oKdj5UlRYW0c/"", ""Сводка!A:AA""), 5, FALSE)"),268)</f>
        <v>268</v>
      </c>
      <c r="H1730" s="12" t="s">
        <v>511</v>
      </c>
      <c r="I1730" s="10">
        <f ca="1">IFERROR(__xludf.DUMMYFUNCTION(" VLOOKUP(A1727, IMPORTRANGE(""https://docs.google.com/spreadsheets/d/1QNLbnkR_AongFt22vMfNzfpjZ0CjpI8QI-w0wBnYA1w/"", ""Инфа!A:AA""), 6, FALSE)"),2024)</f>
        <v>2024</v>
      </c>
      <c r="J1730" s="5">
        <f ca="1">ROUND((5000+G1730*30),-2)</f>
        <v>13000</v>
      </c>
      <c r="K1730" s="12" t="s">
        <v>326</v>
      </c>
      <c r="L1730" s="15" t="s">
        <v>7239</v>
      </c>
    </row>
    <row r="1731" spans="1:12" ht="180">
      <c r="A1731" s="48" t="s">
        <v>7240</v>
      </c>
      <c r="B1731" s="12" t="s">
        <v>12</v>
      </c>
      <c r="C1731" s="12" t="s">
        <v>151</v>
      </c>
      <c r="D1731" s="10" t="s">
        <v>7241</v>
      </c>
      <c r="E1731" s="11" t="s">
        <v>7229</v>
      </c>
      <c r="F1731" s="11" t="s">
        <v>7242</v>
      </c>
      <c r="G1731" s="12">
        <f ca="1">IFERROR(__xludf.DUMMYFUNCTION(" VLOOKUP(A1728, IMPORTRANGE(""https://docs.google.com/spreadsheets/d/1fj_Bhi2XPL3siwIh4sx4VRLAe31yD50oKdj5UlRYW0c/"", ""Сводка!A:AA""), 5, FALSE)"),344)</f>
        <v>344</v>
      </c>
      <c r="H1731" s="12" t="s">
        <v>498</v>
      </c>
      <c r="I1731" s="10">
        <f ca="1">IFERROR(__xludf.DUMMYFUNCTION(" VLOOKUP(A1728, IMPORTRANGE(""https://docs.google.com/spreadsheets/d/1QNLbnkR_AongFt22vMfNzfpjZ0CjpI8QI-w0wBnYA1w/"", ""Инфа!A:AA""), 6, FALSE)"),2024)</f>
        <v>2024</v>
      </c>
      <c r="J1731" s="5">
        <f ca="1">ROUND((5000+G1731*30),-2)</f>
        <v>15300</v>
      </c>
      <c r="K1731" s="12" t="s">
        <v>326</v>
      </c>
      <c r="L1731" s="15" t="s">
        <v>7243</v>
      </c>
    </row>
    <row r="1732" spans="1:12" ht="67.5">
      <c r="A1732" s="48" t="s">
        <v>7244</v>
      </c>
      <c r="B1732" s="12" t="s">
        <v>12</v>
      </c>
      <c r="C1732" s="12" t="s">
        <v>443</v>
      </c>
      <c r="D1732" s="10" t="s">
        <v>7245</v>
      </c>
      <c r="E1732" s="11" t="s">
        <v>7229</v>
      </c>
      <c r="F1732" s="11" t="s">
        <v>7246</v>
      </c>
      <c r="G1732" s="12">
        <f ca="1">IFERROR(__xludf.DUMMYFUNCTION(" VLOOKUP(A1729, IMPORTRANGE(""https://docs.google.com/spreadsheets/d/1fj_Bhi2XPL3siwIh4sx4VRLAe31yD50oKdj5UlRYW0c/"", ""Сводка!A:AA""), 5, FALSE)"),216)</f>
        <v>216</v>
      </c>
      <c r="H1732" s="12" t="s">
        <v>777</v>
      </c>
      <c r="I1732" s="10">
        <f ca="1">IFERROR(__xludf.DUMMYFUNCTION(" VLOOKUP(A1729, IMPORTRANGE(""https://docs.google.com/spreadsheets/d/1QNLbnkR_AongFt22vMfNzfpjZ0CjpI8QI-w0wBnYA1w/"", ""Инфа!A:AA""), 6, FALSE)"),2024)</f>
        <v>2024</v>
      </c>
      <c r="J1732" s="5">
        <f ca="1">ROUND((5000+G1732*60),-2)</f>
        <v>18000</v>
      </c>
      <c r="K1732" s="12" t="s">
        <v>326</v>
      </c>
      <c r="L1732" s="15" t="s">
        <v>7247</v>
      </c>
    </row>
    <row r="1733" spans="1:12" ht="213.75">
      <c r="A1733" s="48" t="s">
        <v>7248</v>
      </c>
      <c r="B1733" s="12" t="s">
        <v>12</v>
      </c>
      <c r="C1733" s="12" t="s">
        <v>443</v>
      </c>
      <c r="D1733" s="10" t="s">
        <v>7249</v>
      </c>
      <c r="E1733" s="11" t="s">
        <v>7229</v>
      </c>
      <c r="F1733" s="11" t="s">
        <v>7250</v>
      </c>
      <c r="G1733" s="12">
        <f ca="1">IFERROR(__xludf.DUMMYFUNCTION(" VLOOKUP(A1730, IMPORTRANGE(""https://docs.google.com/spreadsheets/d/1fj_Bhi2XPL3siwIh4sx4VRLAe31yD50oKdj5UlRYW0c/"", ""Сводка!A:AA""), 5, FALSE)"),204)</f>
        <v>204</v>
      </c>
      <c r="H1733" s="12" t="s">
        <v>538</v>
      </c>
      <c r="I1733" s="10">
        <f ca="1">IFERROR(__xludf.DUMMYFUNCTION(" VLOOKUP(A1730, IMPORTRANGE(""https://docs.google.com/spreadsheets/d/1QNLbnkR_AongFt22vMfNzfpjZ0CjpI8QI-w0wBnYA1w/"", ""Инфа!A:AA""), 6, FALSE)"),2024)</f>
        <v>2024</v>
      </c>
      <c r="J1733" s="5">
        <f ca="1">ROUND((5000+G1733*60),-2)</f>
        <v>17200</v>
      </c>
      <c r="K1733" s="12" t="s">
        <v>326</v>
      </c>
      <c r="L1733" s="15" t="s">
        <v>7251</v>
      </c>
    </row>
    <row r="1734" spans="1:12" ht="168.75">
      <c r="A1734" s="48" t="s">
        <v>7252</v>
      </c>
      <c r="B1734" s="12" t="s">
        <v>12</v>
      </c>
      <c r="C1734" s="12" t="s">
        <v>151</v>
      </c>
      <c r="D1734" s="10" t="str">
        <f ca="1">IFERROR(__xludf.DUMMYFUNCTION(" VLOOKUP(A1731, IMPORTRANGE(""https://docs.google.com/spreadsheets/d/1fj_Bhi2XPL3siwIh4sx4VRLAe31yD50oKdj5UlRYW0c/"", ""Сводка!A:AA""), 11, FALSE)"),"")</f>
        <v/>
      </c>
      <c r="E1734" s="11" t="s">
        <v>7229</v>
      </c>
      <c r="F1734" s="11" t="s">
        <v>7253</v>
      </c>
      <c r="G1734" s="12">
        <f ca="1">IFERROR(__xludf.DUMMYFUNCTION(" VLOOKUP(A1731, IMPORTRANGE(""https://docs.google.com/spreadsheets/d/1fj_Bhi2XPL3siwIh4sx4VRLAe31yD50oKdj5UlRYW0c/"", ""Сводка!A:AA""), 5, FALSE)"),236)</f>
        <v>236</v>
      </c>
      <c r="H1734" s="12" t="s">
        <v>47</v>
      </c>
      <c r="I1734" s="10">
        <f ca="1">IFERROR(__xludf.DUMMYFUNCTION(" VLOOKUP(A1731, IMPORTRANGE(""https://docs.google.com/spreadsheets/d/1QNLbnkR_AongFt22vMfNzfpjZ0CjpI8QI-w0wBnYA1w/"", ""Инфа!A:AA""), 6, FALSE)"),2024)</f>
        <v>2024</v>
      </c>
      <c r="J1734" s="5">
        <f ca="1">ROUND((5000+G1734*60),-2)</f>
        <v>19200</v>
      </c>
      <c r="K1734" s="12" t="s">
        <v>326</v>
      </c>
      <c r="L1734" s="15" t="s">
        <v>7254</v>
      </c>
    </row>
    <row r="1735" spans="1:12" ht="292.5">
      <c r="A1735" s="48" t="s">
        <v>7255</v>
      </c>
      <c r="B1735" s="12" t="s">
        <v>12</v>
      </c>
      <c r="C1735" s="12" t="s">
        <v>151</v>
      </c>
      <c r="D1735" s="10" t="s">
        <v>7256</v>
      </c>
      <c r="E1735" s="11" t="s">
        <v>7229</v>
      </c>
      <c r="F1735" s="11" t="s">
        <v>7257</v>
      </c>
      <c r="G1735" s="12">
        <f ca="1">IFERROR(__xludf.DUMMYFUNCTION(" VLOOKUP(A1732, IMPORTRANGE(""https://docs.google.com/spreadsheets/d/1fj_Bhi2XPL3siwIh4sx4VRLAe31yD50oKdj5UlRYW0c/"", ""Сводка!A:AA""), 5, FALSE)"),256)</f>
        <v>256</v>
      </c>
      <c r="H1735" s="12" t="s">
        <v>47</v>
      </c>
      <c r="I1735" s="10">
        <f ca="1">IFERROR(__xludf.DUMMYFUNCTION(" VLOOKUP(A1732, IMPORTRANGE(""https://docs.google.com/spreadsheets/d/1QNLbnkR_AongFt22vMfNzfpjZ0CjpI8QI-w0wBnYA1w/"", ""Инфа!A:AA""), 6, FALSE)"),2024)</f>
        <v>2024</v>
      </c>
      <c r="J1735" s="5">
        <f ca="1">ROUND((5000+G1735*30),-2)</f>
        <v>12700</v>
      </c>
      <c r="K1735" s="12" t="s">
        <v>326</v>
      </c>
      <c r="L1735" s="15" t="s">
        <v>7258</v>
      </c>
    </row>
    <row r="1736" spans="1:12" ht="45">
      <c r="A1736" s="8" t="s">
        <v>7259</v>
      </c>
      <c r="B1736" s="9" t="s">
        <v>12</v>
      </c>
      <c r="C1736" s="10" t="s">
        <v>443</v>
      </c>
      <c r="D1736" s="10" t="str">
        <f ca="1">IFERROR(__xludf.DUMMYFUNCTION(" VLOOKUP(A1733, IMPORTRANGE(""https://docs.google.com/spreadsheets/d/1fj_Bhi2XPL3siwIh4sx4VRLAe31yD50oKdj5UlRYW0c/"", ""Сводка!A:AA""), 11, FALSE)"),"978-601-310-221-4")</f>
        <v>978-601-310-221-4</v>
      </c>
      <c r="E1736" s="11" t="s">
        <v>7221</v>
      </c>
      <c r="F1736" s="11" t="s">
        <v>7260</v>
      </c>
      <c r="G1736" s="12">
        <f ca="1">IFERROR(__xludf.DUMMYFUNCTION(" VLOOKUP(A1733, IMPORTRANGE(""https://docs.google.com/spreadsheets/d/1fj_Bhi2XPL3siwIh4sx4VRLAe31yD50oKdj5UlRYW0c/"", ""Сводка!A:AA""), 5, FALSE)"),60)</f>
        <v>60</v>
      </c>
      <c r="H1736" s="12" t="s">
        <v>1016</v>
      </c>
      <c r="I1736" s="10">
        <f ca="1">IFERROR(__xludf.DUMMYFUNCTION(" VLOOKUP(A1733, IMPORTRANGE(""https://docs.google.com/spreadsheets/d/1QNLbnkR_AongFt22vMfNzfpjZ0CjpI8QI-w0wBnYA1w/"", ""Инфа!A:AA""), 6, FALSE)"),2024)</f>
        <v>2024</v>
      </c>
      <c r="J1736" s="5">
        <f ca="1">ROUND((5000+G1736*30),-2)</f>
        <v>6800</v>
      </c>
      <c r="K1736" s="12" t="s">
        <v>308</v>
      </c>
      <c r="L1736" s="15" t="s">
        <v>7261</v>
      </c>
    </row>
    <row r="1737" spans="1:12" ht="236.25">
      <c r="A1737" s="8" t="s">
        <v>7262</v>
      </c>
      <c r="B1737" s="9" t="s">
        <v>12</v>
      </c>
      <c r="C1737" s="10" t="s">
        <v>151</v>
      </c>
      <c r="D1737" s="10" t="str">
        <f ca="1">IFERROR(__xludf.DUMMYFUNCTION(" VLOOKUP(A1734, IMPORTRANGE(""https://docs.google.com/spreadsheets/d/1fj_Bhi2XPL3siwIh4sx4VRLAe31yD50oKdj5UlRYW0c/"", ""Сводка!A:AA""), 11, FALSE)"),"978-601-296-877-4")</f>
        <v>978-601-296-877-4</v>
      </c>
      <c r="E1737" s="11" t="s">
        <v>7263</v>
      </c>
      <c r="F1737" s="11" t="s">
        <v>7264</v>
      </c>
      <c r="G1737" s="12">
        <f ca="1">IFERROR(__xludf.DUMMYFUNCTION(" VLOOKUP(A1734, IMPORTRANGE(""https://docs.google.com/spreadsheets/d/1fj_Bhi2XPL3siwIh4sx4VRLAe31yD50oKdj5UlRYW0c/"", ""Сводка!A:AA""), 5, FALSE)"),220)</f>
        <v>220</v>
      </c>
      <c r="H1737" s="12" t="s">
        <v>56</v>
      </c>
      <c r="I1737" s="10">
        <f ca="1">IFERROR(__xludf.DUMMYFUNCTION(" VLOOKUP(A1734, IMPORTRANGE(""https://docs.google.com/spreadsheets/d/1QNLbnkR_AongFt22vMfNzfpjZ0CjpI8QI-w0wBnYA1w/"", ""Инфа!A:AA""), 6, FALSE)"),2024)</f>
        <v>2024</v>
      </c>
      <c r="J1737" s="5">
        <f ca="1">ROUND((5000+G1737*30),-2)</f>
        <v>11600</v>
      </c>
      <c r="K1737" s="12" t="s">
        <v>302</v>
      </c>
      <c r="L1737" s="15" t="s">
        <v>7265</v>
      </c>
    </row>
    <row r="1738" spans="1:12" ht="258.75">
      <c r="A1738" s="8" t="s">
        <v>7266</v>
      </c>
      <c r="B1738" s="9" t="s">
        <v>12</v>
      </c>
      <c r="C1738" s="10" t="s">
        <v>443</v>
      </c>
      <c r="D1738" s="10" t="str">
        <f ca="1">IFERROR(__xludf.DUMMYFUNCTION(" VLOOKUP(A1735, IMPORTRANGE(""https://docs.google.com/spreadsheets/d/1fj_Bhi2XPL3siwIh4sx4VRLAe31yD50oKdj5UlRYW0c/"", ""Сводка!A:AA""), 11, FALSE)"),"978-601-240-587-3")</f>
        <v>978-601-240-587-3</v>
      </c>
      <c r="E1738" s="11" t="s">
        <v>7267</v>
      </c>
      <c r="F1738" s="11" t="s">
        <v>7268</v>
      </c>
      <c r="G1738" s="12">
        <f ca="1">IFERROR(__xludf.DUMMYFUNCTION(" VLOOKUP(A1735, IMPORTRANGE(""https://docs.google.com/spreadsheets/d/1fj_Bhi2XPL3siwIh4sx4VRLAe31yD50oKdj5UlRYW0c/"", ""Сводка!A:AA""), 5, FALSE)"),332)</f>
        <v>332</v>
      </c>
      <c r="H1738" s="12" t="s">
        <v>47</v>
      </c>
      <c r="I1738" s="10">
        <f ca="1">IFERROR(__xludf.DUMMYFUNCTION(" VLOOKUP(A1735, IMPORTRANGE(""https://docs.google.com/spreadsheets/d/1QNLbnkR_AongFt22vMfNzfpjZ0CjpI8QI-w0wBnYA1w/"", ""Инфа!A:AA""), 6, FALSE)"),2024)</f>
        <v>2024</v>
      </c>
      <c r="J1738" s="5">
        <f ca="1">ROUND((5000+G1738*30),-2)</f>
        <v>15000</v>
      </c>
      <c r="K1738" s="9" t="s">
        <v>271</v>
      </c>
      <c r="L1738" s="15" t="s">
        <v>7269</v>
      </c>
    </row>
    <row r="1739" spans="1:12" ht="38.25">
      <c r="A1739" s="8" t="s">
        <v>7270</v>
      </c>
      <c r="B1739" s="9" t="s">
        <v>12</v>
      </c>
      <c r="C1739" s="10" t="s">
        <v>443</v>
      </c>
      <c r="D1739" s="10" t="str">
        <f ca="1">IFERROR(__xludf.DUMMYFUNCTION(" VLOOKUP(A1736, IMPORTRANGE(""https://docs.google.com/spreadsheets/d/1fj_Bhi2XPL3siwIh4sx4VRLAe31yD50oKdj5UlRYW0c/"", ""Сводка!A:AA""), 11, FALSE)"),"978-601-240-587-3")</f>
        <v>978-601-240-587-3</v>
      </c>
      <c r="E1739" s="11" t="s">
        <v>7271</v>
      </c>
      <c r="F1739" s="11" t="s">
        <v>7272</v>
      </c>
      <c r="G1739" s="12">
        <f ca="1">IFERROR(__xludf.DUMMYFUNCTION(" VLOOKUP(A1736, IMPORTRANGE(""https://docs.google.com/spreadsheets/d/1fj_Bhi2XPL3siwIh4sx4VRLAe31yD50oKdj5UlRYW0c/"", ""Сводка!A:AA""), 5, FALSE)"),244)</f>
        <v>244</v>
      </c>
      <c r="H1739" s="12" t="s">
        <v>952</v>
      </c>
      <c r="I1739" s="10">
        <f ca="1">IFERROR(__xludf.DUMMYFUNCTION(" VLOOKUP(A1736, IMPORTRANGE(""https://docs.google.com/spreadsheets/d/1QNLbnkR_AongFt22vMfNzfpjZ0CjpI8QI-w0wBnYA1w/"", ""Инфа!A:AA""), 6, FALSE)"),2024)</f>
        <v>2024</v>
      </c>
      <c r="J1739" s="5">
        <f ca="1">ROUND((5000+G1739*30),-2)</f>
        <v>12300</v>
      </c>
      <c r="K1739" s="9" t="s">
        <v>271</v>
      </c>
      <c r="L1739" s="15"/>
    </row>
    <row r="1740" spans="1:12" ht="281.25">
      <c r="A1740" s="8" t="s">
        <v>7273</v>
      </c>
      <c r="B1740" s="9" t="s">
        <v>12</v>
      </c>
      <c r="C1740" s="10" t="s">
        <v>443</v>
      </c>
      <c r="D1740" s="10" t="str">
        <f ca="1">IFERROR(__xludf.DUMMYFUNCTION(" VLOOKUP(A1737, IMPORTRANGE(""https://docs.google.com/spreadsheets/d/1fj_Bhi2XPL3siwIh4sx4VRLAe31yD50oKdj5UlRYW0c/"", ""Сводка!A:AA""), 11, FALSE)"),"978-601-342-429-3")</f>
        <v>978-601-342-429-3</v>
      </c>
      <c r="E1740" s="11" t="s">
        <v>7274</v>
      </c>
      <c r="F1740" s="11" t="s">
        <v>7275</v>
      </c>
      <c r="G1740" s="12">
        <f ca="1">IFERROR(__xludf.DUMMYFUNCTION(" VLOOKUP(A1737, IMPORTRANGE(""https://docs.google.com/spreadsheets/d/1fj_Bhi2XPL3siwIh4sx4VRLAe31yD50oKdj5UlRYW0c/"", ""Сводка!A:AA""), 5, FALSE)"),344)</f>
        <v>344</v>
      </c>
      <c r="H1740" s="12" t="s">
        <v>446</v>
      </c>
      <c r="I1740" s="10">
        <f ca="1">IFERROR(__xludf.DUMMYFUNCTION(" VLOOKUP(A1737, IMPORTRANGE(""https://docs.google.com/spreadsheets/d/1QNLbnkR_AongFt22vMfNzfpjZ0CjpI8QI-w0wBnYA1w/"", ""Инфа!A:AA""), 6, FALSE)"),2024)</f>
        <v>2024</v>
      </c>
      <c r="J1740" s="5">
        <f ca="1">ROUND((5000+G1740*60),-2)</f>
        <v>25600</v>
      </c>
      <c r="K1740" s="12" t="s">
        <v>271</v>
      </c>
      <c r="L1740" s="15" t="s">
        <v>7276</v>
      </c>
    </row>
    <row r="1741" spans="1:12" ht="281.25">
      <c r="A1741" s="8" t="s">
        <v>7277</v>
      </c>
      <c r="B1741" s="9" t="s">
        <v>12</v>
      </c>
      <c r="C1741" s="10" t="s">
        <v>443</v>
      </c>
      <c r="D1741" s="10" t="str">
        <f ca="1">IFERROR(__xludf.DUMMYFUNCTION(" VLOOKUP(A1738, IMPORTRANGE(""https://docs.google.com/spreadsheets/d/1fj_Bhi2XPL3siwIh4sx4VRLAe31yD50oKdj5UlRYW0c/"", ""Сводка!A:AA""), 11, FALSE)"),"978-601-342-429-3")</f>
        <v>978-601-342-429-3</v>
      </c>
      <c r="E1741" s="11" t="s">
        <v>7274</v>
      </c>
      <c r="F1741" s="11" t="s">
        <v>7278</v>
      </c>
      <c r="G1741" s="12">
        <f ca="1">IFERROR(__xludf.DUMMYFUNCTION(" VLOOKUP(A1738, IMPORTRANGE(""https://docs.google.com/spreadsheets/d/1fj_Bhi2XPL3siwIh4sx4VRLAe31yD50oKdj5UlRYW0c/"", ""Сводка!A:AA""), 5, FALSE)"),128)</f>
        <v>128</v>
      </c>
      <c r="H1741" s="12" t="s">
        <v>446</v>
      </c>
      <c r="I1741" s="10">
        <f ca="1">IFERROR(__xludf.DUMMYFUNCTION(" VLOOKUP(A1738, IMPORTRANGE(""https://docs.google.com/spreadsheets/d/1QNLbnkR_AongFt22vMfNzfpjZ0CjpI8QI-w0wBnYA1w/"", ""Инфа!A:AA""), 6, FALSE)"),2024)</f>
        <v>2024</v>
      </c>
      <c r="J1741" s="5">
        <f ca="1">ROUND((5000+G1741*30),-2)</f>
        <v>8800</v>
      </c>
      <c r="K1741" s="12" t="s">
        <v>271</v>
      </c>
      <c r="L1741" s="15" t="s">
        <v>7276</v>
      </c>
    </row>
    <row r="1742" spans="1:12" ht="225">
      <c r="A1742" s="8" t="s">
        <v>7279</v>
      </c>
      <c r="B1742" s="9" t="s">
        <v>12</v>
      </c>
      <c r="C1742" s="10" t="s">
        <v>151</v>
      </c>
      <c r="D1742" s="10" t="str">
        <f ca="1">IFERROR(__xludf.DUMMYFUNCTION(" VLOOKUP(A1739, IMPORTRANGE(""https://docs.google.com/spreadsheets/d/1fj_Bhi2XPL3siwIh4sx4VRLAe31yD50oKdj5UlRYW0c/"", ""Сводка!A:AA""), 11, FALSE)"),"978-601-392-390-6")</f>
        <v>978-601-392-390-6</v>
      </c>
      <c r="E1742" s="45" t="s">
        <v>7280</v>
      </c>
      <c r="F1742" s="11" t="s">
        <v>7281</v>
      </c>
      <c r="G1742" s="12">
        <f ca="1">IFERROR(__xludf.DUMMYFUNCTION(" VLOOKUP(A1739, IMPORTRANGE(""https://docs.google.com/spreadsheets/d/1fj_Bhi2XPL3siwIh4sx4VRLAe31yD50oKdj5UlRYW0c/"", ""Сводка!A:AA""), 5, FALSE)"),164)</f>
        <v>164</v>
      </c>
      <c r="H1742" s="12" t="s">
        <v>47</v>
      </c>
      <c r="I1742" s="10">
        <f ca="1">IFERROR(__xludf.DUMMYFUNCTION(" VLOOKUP(A1739, IMPORTRANGE(""https://docs.google.com/spreadsheets/d/1QNLbnkR_AongFt22vMfNzfpjZ0CjpI8QI-w0wBnYA1w/"", ""Инфа!A:AA""), 6, FALSE)"),2024)</f>
        <v>2024</v>
      </c>
      <c r="J1742" s="5">
        <f ca="1">ROUND((5000+G1742*30),-2)</f>
        <v>9900</v>
      </c>
      <c r="K1742" s="12" t="s">
        <v>5121</v>
      </c>
      <c r="L1742" s="16" t="s">
        <v>7282</v>
      </c>
    </row>
    <row r="1743" spans="1:12" ht="101.25">
      <c r="A1743" s="8" t="s">
        <v>7283</v>
      </c>
      <c r="B1743" s="9" t="s">
        <v>12</v>
      </c>
      <c r="C1743" s="10" t="s">
        <v>443</v>
      </c>
      <c r="D1743" s="10" t="str">
        <f ca="1">IFERROR(__xludf.DUMMYFUNCTION(" VLOOKUP(A1740, IMPORTRANGE(""https://docs.google.com/spreadsheets/d/1fj_Bhi2XPL3siwIh4sx4VRLAe31yD50oKdj5UlRYW0c/"", ""Сводка!A:AA""), 11, FALSE)"),"978-601-342-002-8")</f>
        <v>978-601-342-002-8</v>
      </c>
      <c r="E1743" s="11" t="s">
        <v>7284</v>
      </c>
      <c r="F1743" s="11" t="s">
        <v>7285</v>
      </c>
      <c r="G1743" s="12">
        <f ca="1">IFERROR(__xludf.DUMMYFUNCTION(" VLOOKUP(A1740, IMPORTRANGE(""https://docs.google.com/spreadsheets/d/1fj_Bhi2XPL3siwIh4sx4VRLAe31yD50oKdj5UlRYW0c/"", ""Сводка!A:AA""), 5, FALSE)"),72)</f>
        <v>72</v>
      </c>
      <c r="H1743" s="12" t="s">
        <v>538</v>
      </c>
      <c r="I1743" s="10">
        <f ca="1">IFERROR(__xludf.DUMMYFUNCTION(" VLOOKUP(A1740, IMPORTRANGE(""https://docs.google.com/spreadsheets/d/1QNLbnkR_AongFt22vMfNzfpjZ0CjpI8QI-w0wBnYA1w/"", ""Инфа!A:AA""), 6, FALSE)"),2024)</f>
        <v>2024</v>
      </c>
      <c r="J1743" s="5">
        <f ca="1">ROUND((5000+G1743*30),-2)</f>
        <v>7200</v>
      </c>
      <c r="K1743" s="12" t="s">
        <v>271</v>
      </c>
      <c r="L1743" s="15" t="s">
        <v>7286</v>
      </c>
    </row>
    <row r="1744" spans="1:12" ht="146.25">
      <c r="A1744" s="8" t="s">
        <v>7287</v>
      </c>
      <c r="B1744" s="9" t="s">
        <v>12</v>
      </c>
      <c r="C1744" s="10" t="s">
        <v>151</v>
      </c>
      <c r="D1744" s="10" t="str">
        <f ca="1">IFERROR(__xludf.DUMMYFUNCTION(" VLOOKUP(A1741, IMPORTRANGE(""https://docs.google.com/spreadsheets/d/1fj_Bhi2XPL3siwIh4sx4VRLAe31yD50oKdj5UlRYW0c/"", ""Сводка!A:AA""), 11, FALSE)"),"9965-00-005-0")</f>
        <v>9965-00-005-0</v>
      </c>
      <c r="E1744" s="11" t="s">
        <v>7288</v>
      </c>
      <c r="F1744" s="11" t="s">
        <v>7289</v>
      </c>
      <c r="G1744" s="12">
        <f ca="1">IFERROR(__xludf.DUMMYFUNCTION(" VLOOKUP(A1741, IMPORTRANGE(""https://docs.google.com/spreadsheets/d/1fj_Bhi2XPL3siwIh4sx4VRLAe31yD50oKdj5UlRYW0c/"", ""Сводка!A:AA""), 5, FALSE)"),340)</f>
        <v>340</v>
      </c>
      <c r="H1744" s="12" t="s">
        <v>498</v>
      </c>
      <c r="I1744" s="10">
        <f ca="1">IFERROR(__xludf.DUMMYFUNCTION(" VLOOKUP(A1741, IMPORTRANGE(""https://docs.google.com/spreadsheets/d/1QNLbnkR_AongFt22vMfNzfpjZ0CjpI8QI-w0wBnYA1w/"", ""Инфа!A:AA""), 6, FALSE)"),2024)</f>
        <v>2024</v>
      </c>
      <c r="J1744" s="5">
        <f ca="1">ROUND((5000+G1744*30),-2)</f>
        <v>15200</v>
      </c>
      <c r="K1744" s="9" t="s">
        <v>408</v>
      </c>
      <c r="L1744" s="15" t="s">
        <v>7290</v>
      </c>
    </row>
    <row r="1745" spans="1:12" ht="258.75">
      <c r="A1745" s="8" t="s">
        <v>7291</v>
      </c>
      <c r="B1745" s="9" t="s">
        <v>12</v>
      </c>
      <c r="C1745" s="10" t="s">
        <v>443</v>
      </c>
      <c r="D1745" s="10" t="str">
        <f ca="1">IFERROR(__xludf.DUMMYFUNCTION(" VLOOKUP(A1742, IMPORTRANGE(""https://docs.google.com/spreadsheets/d/1fj_Bhi2XPL3siwIh4sx4VRLAe31yD50oKdj5UlRYW0c/"", ""Сводка!A:AA""), 11, FALSE)"),"978-601-327-082-1")</f>
        <v>978-601-327-082-1</v>
      </c>
      <c r="E1745" s="11" t="s">
        <v>7292</v>
      </c>
      <c r="F1745" s="11" t="s">
        <v>7293</v>
      </c>
      <c r="G1745" s="12">
        <f ca="1">IFERROR(__xludf.DUMMYFUNCTION(" VLOOKUP(A1742, IMPORTRANGE(""https://docs.google.com/spreadsheets/d/1fj_Bhi2XPL3siwIh4sx4VRLAe31yD50oKdj5UlRYW0c/"", ""Сводка!A:AA""), 5, FALSE)"),140)</f>
        <v>140</v>
      </c>
      <c r="H1745" s="12" t="s">
        <v>446</v>
      </c>
      <c r="I1745" s="10">
        <f ca="1">IFERROR(__xludf.DUMMYFUNCTION(" VLOOKUP(A1742, IMPORTRANGE(""https://docs.google.com/spreadsheets/d/1QNLbnkR_AongFt22vMfNzfpjZ0CjpI8QI-w0wBnYA1w/"", ""Инфа!A:AA""), 6, FALSE)"),2024)</f>
        <v>2024</v>
      </c>
      <c r="J1745" s="5">
        <f ca="1">ROUND((5000+G1745*60),-2)</f>
        <v>13400</v>
      </c>
      <c r="K1745" s="12" t="s">
        <v>1450</v>
      </c>
      <c r="L1745" s="15" t="s">
        <v>7294</v>
      </c>
    </row>
    <row r="1746" spans="1:12" ht="258.75">
      <c r="A1746" s="8" t="s">
        <v>7295</v>
      </c>
      <c r="B1746" s="9" t="s">
        <v>12</v>
      </c>
      <c r="C1746" s="10" t="s">
        <v>151</v>
      </c>
      <c r="D1746" s="10" t="str">
        <f ca="1">IFERROR(__xludf.DUMMYFUNCTION(" VLOOKUP(A1743, IMPORTRANGE(""https://docs.google.com/spreadsheets/d/1fj_Bhi2XPL3siwIh4sx4VRLAe31yD50oKdj5UlRYW0c/"", ""Сводка!A:AA""), 11, FALSE)"),"978-601-342-309-8")</f>
        <v>978-601-342-309-8</v>
      </c>
      <c r="E1746" s="11" t="s">
        <v>7296</v>
      </c>
      <c r="F1746" s="11" t="s">
        <v>7297</v>
      </c>
      <c r="G1746" s="12">
        <f ca="1">IFERROR(__xludf.DUMMYFUNCTION(" VLOOKUP(A1743, IMPORTRANGE(""https://docs.google.com/spreadsheets/d/1fj_Bhi2XPL3siwIh4sx4VRLAe31yD50oKdj5UlRYW0c/"", ""Сводка!A:AA""), 5, FALSE)"),168)</f>
        <v>168</v>
      </c>
      <c r="H1746" s="12" t="s">
        <v>165</v>
      </c>
      <c r="I1746" s="10">
        <f ca="1">IFERROR(__xludf.DUMMYFUNCTION(" VLOOKUP(A1743, IMPORTRANGE(""https://docs.google.com/spreadsheets/d/1QNLbnkR_AongFt22vMfNzfpjZ0CjpI8QI-w0wBnYA1w/"", ""Инфа!A:AA""), 6, FALSE)"),2024)</f>
        <v>2024</v>
      </c>
      <c r="J1746" s="5">
        <f ca="1">ROUND((5000+G1746*60),-2)</f>
        <v>15100</v>
      </c>
      <c r="K1746" s="12" t="s">
        <v>7298</v>
      </c>
      <c r="L1746" s="15" t="s">
        <v>7299</v>
      </c>
    </row>
    <row r="1747" spans="1:12" ht="38.25">
      <c r="A1747" s="8" t="s">
        <v>7300</v>
      </c>
      <c r="B1747" s="9" t="s">
        <v>12</v>
      </c>
      <c r="C1747" s="10" t="s">
        <v>443</v>
      </c>
      <c r="D1747" s="10" t="str">
        <f ca="1">IFERROR(__xludf.DUMMYFUNCTION(" VLOOKUP(A1744, IMPORTRANGE(""https://docs.google.com/spreadsheets/d/1fj_Bhi2XPL3siwIh4sx4VRLAe31yD50oKdj5UlRYW0c/"", ""Сводка!A:AA""), 11, FALSE)"),"9965-14-974-7")</f>
        <v>9965-14-974-7</v>
      </c>
      <c r="E1747" s="11" t="s">
        <v>7301</v>
      </c>
      <c r="F1747" s="11" t="s">
        <v>2107</v>
      </c>
      <c r="G1747" s="12">
        <f ca="1">IFERROR(__xludf.DUMMYFUNCTION(" VLOOKUP(A1744, IMPORTRANGE(""https://docs.google.com/spreadsheets/d/1fj_Bhi2XPL3siwIh4sx4VRLAe31yD50oKdj5UlRYW0c/"", ""Сводка!A:AA""), 5, FALSE)"),212)</f>
        <v>212</v>
      </c>
      <c r="H1747" s="12" t="s">
        <v>538</v>
      </c>
      <c r="I1747" s="10">
        <f ca="1">IFERROR(__xludf.DUMMYFUNCTION(" VLOOKUP(A1744, IMPORTRANGE(""https://docs.google.com/spreadsheets/d/1QNLbnkR_AongFt22vMfNzfpjZ0CjpI8QI-w0wBnYA1w/"", ""Инфа!A:AA""), 6, FALSE)"),2024)</f>
        <v>2024</v>
      </c>
      <c r="J1747" s="5">
        <f ca="1">ROUND((5000+G1747*30),-2)</f>
        <v>11400</v>
      </c>
      <c r="K1747" s="12" t="s">
        <v>1147</v>
      </c>
      <c r="L1747" s="15"/>
    </row>
    <row r="1748" spans="1:12" ht="123.75">
      <c r="A1748" s="8" t="s">
        <v>7302</v>
      </c>
      <c r="B1748" s="9" t="s">
        <v>12</v>
      </c>
      <c r="C1748" s="10" t="s">
        <v>151</v>
      </c>
      <c r="D1748" s="10" t="str">
        <f ca="1">IFERROR(__xludf.DUMMYFUNCTION(" VLOOKUP(A1745, IMPORTRANGE(""https://docs.google.com/spreadsheets/d/1fj_Bhi2XPL3siwIh4sx4VRLAe31yD50oKdj5UlRYW0c/"", ""Сводка!A:AA""), 11, FALSE)"),"978-601-233-427-2")</f>
        <v>978-601-233-427-2</v>
      </c>
      <c r="E1748" s="22" t="s">
        <v>7303</v>
      </c>
      <c r="F1748" s="22" t="s">
        <v>7304</v>
      </c>
      <c r="G1748" s="12">
        <f ca="1">IFERROR(__xludf.DUMMYFUNCTION(" VLOOKUP(A1745, IMPORTRANGE(""https://docs.google.com/spreadsheets/d/1fj_Bhi2XPL3siwIh4sx4VRLAe31yD50oKdj5UlRYW0c/"", ""Сводка!A:AA""), 5, FALSE)"),160)</f>
        <v>160</v>
      </c>
      <c r="H1748" s="10" t="s">
        <v>106</v>
      </c>
      <c r="I1748" s="10">
        <f ca="1">IFERROR(__xludf.DUMMYFUNCTION(" VLOOKUP(A1745, IMPORTRANGE(""https://docs.google.com/spreadsheets/d/1QNLbnkR_AongFt22vMfNzfpjZ0CjpI8QI-w0wBnYA1w/"", ""Инфа!A:AA""), 6, FALSE)"),2024)</f>
        <v>2024</v>
      </c>
      <c r="J1748" s="5">
        <f ca="1">ROUND((5000+G1748*30),-2)</f>
        <v>9800</v>
      </c>
      <c r="K1748" s="12" t="s">
        <v>277</v>
      </c>
      <c r="L1748" s="23" t="s">
        <v>7305</v>
      </c>
    </row>
    <row r="1749" spans="1:12" ht="315">
      <c r="A1749" s="8" t="s">
        <v>7306</v>
      </c>
      <c r="B1749" s="9" t="s">
        <v>12</v>
      </c>
      <c r="C1749" s="10" t="s">
        <v>151</v>
      </c>
      <c r="D1749" s="10" t="str">
        <f ca="1">IFERROR(__xludf.DUMMYFUNCTION(" VLOOKUP(A1746, IMPORTRANGE(""https://docs.google.com/spreadsheets/d/1fj_Bhi2XPL3siwIh4sx4VRLAe31yD50oKdj5UlRYW0c/"", ""Сводка!A:AA""), 11, FALSE)"),"978-601-342-018-9")</f>
        <v>978-601-342-018-9</v>
      </c>
      <c r="E1749" s="11" t="s">
        <v>7307</v>
      </c>
      <c r="F1749" s="11" t="s">
        <v>7308</v>
      </c>
      <c r="G1749" s="12">
        <f ca="1">IFERROR(__xludf.DUMMYFUNCTION(" VLOOKUP(A1746, IMPORTRANGE(""https://docs.google.com/spreadsheets/d/1fj_Bhi2XPL3siwIh4sx4VRLAe31yD50oKdj5UlRYW0c/"", ""Сводка!A:AA""), 5, FALSE)"),124)</f>
        <v>124</v>
      </c>
      <c r="H1749" s="12" t="s">
        <v>24</v>
      </c>
      <c r="I1749" s="10">
        <f ca="1">IFERROR(__xludf.DUMMYFUNCTION(" VLOOKUP(A1746, IMPORTRANGE(""https://docs.google.com/spreadsheets/d/1QNLbnkR_AongFt22vMfNzfpjZ0CjpI8QI-w0wBnYA1w/"", ""Инфа!A:AA""), 6, FALSE)"),2024)</f>
        <v>2024</v>
      </c>
      <c r="J1749" s="5">
        <f ca="1">ROUND(((5000+G1749*30)*1.3),-2)</f>
        <v>11300</v>
      </c>
      <c r="K1749" s="12" t="s">
        <v>7309</v>
      </c>
      <c r="L1749" s="15" t="s">
        <v>7310</v>
      </c>
    </row>
    <row r="1750" spans="1:12" ht="25.5">
      <c r="A1750" s="8" t="s">
        <v>7311</v>
      </c>
      <c r="B1750" s="9" t="s">
        <v>12</v>
      </c>
      <c r="C1750" s="10" t="s">
        <v>443</v>
      </c>
      <c r="D1750" s="10" t="str">
        <f ca="1">IFERROR(__xludf.DUMMYFUNCTION(" VLOOKUP(A1747, IMPORTRANGE(""https://docs.google.com/spreadsheets/d/1fj_Bhi2XPL3siwIh4sx4VRLAe31yD50oKdj5UlRYW0c/"", ""Сводка!A:AA""), 11, FALSE)"),"978-601-310-582-6")</f>
        <v>978-601-310-582-6</v>
      </c>
      <c r="E1750" s="11" t="s">
        <v>7312</v>
      </c>
      <c r="F1750" s="11" t="s">
        <v>7313</v>
      </c>
      <c r="G1750" s="12">
        <f ca="1">IFERROR(__xludf.DUMMYFUNCTION(" VLOOKUP(A1747, IMPORTRANGE(""https://docs.google.com/spreadsheets/d/1fj_Bhi2XPL3siwIh4sx4VRLAe31yD50oKdj5UlRYW0c/"", ""Сводка!A:AA""), 5, FALSE)"),80)</f>
        <v>80</v>
      </c>
      <c r="H1750" s="12" t="s">
        <v>538</v>
      </c>
      <c r="I1750" s="10">
        <f ca="1">IFERROR(__xludf.DUMMYFUNCTION(" VLOOKUP(A1747, IMPORTRANGE(""https://docs.google.com/spreadsheets/d/1QNLbnkR_AongFt22vMfNzfpjZ0CjpI8QI-w0wBnYA1w/"", ""Инфа!A:AA""), 6, FALSE)"),2024)</f>
        <v>2024</v>
      </c>
      <c r="J1750" s="5">
        <f ca="1">ROUND((5000+G1750*60),-2)</f>
        <v>9800</v>
      </c>
      <c r="K1750" s="12" t="s">
        <v>570</v>
      </c>
      <c r="L1750" s="15"/>
    </row>
    <row r="1751" spans="1:12" ht="168.75">
      <c r="A1751" s="8" t="s">
        <v>7314</v>
      </c>
      <c r="B1751" s="9" t="s">
        <v>12</v>
      </c>
      <c r="C1751" s="10" t="s">
        <v>443</v>
      </c>
      <c r="D1751" s="10" t="str">
        <f ca="1">IFERROR(__xludf.DUMMYFUNCTION(" VLOOKUP(A1748, IMPORTRANGE(""https://docs.google.com/spreadsheets/d/1fj_Bhi2XPL3siwIh4sx4VRLAe31yD50oKdj5UlRYW0c/"", ""Сводка!A:AA""), 11, FALSE)"),"978-601-327-224-5")</f>
        <v>978-601-327-224-5</v>
      </c>
      <c r="E1751" s="11" t="s">
        <v>7315</v>
      </c>
      <c r="F1751" s="11" t="s">
        <v>7316</v>
      </c>
      <c r="G1751" s="12">
        <f ca="1">IFERROR(__xludf.DUMMYFUNCTION(" VLOOKUP(A1748, IMPORTRANGE(""https://docs.google.com/spreadsheets/d/1fj_Bhi2XPL3siwIh4sx4VRLAe31yD50oKdj5UlRYW0c/"", ""Сводка!A:AA""), 5, FALSE)"),184)</f>
        <v>184</v>
      </c>
      <c r="H1751" s="12" t="s">
        <v>538</v>
      </c>
      <c r="I1751" s="10">
        <f ca="1">IFERROR(__xludf.DUMMYFUNCTION(" VLOOKUP(A1748, IMPORTRANGE(""https://docs.google.com/spreadsheets/d/1QNLbnkR_AongFt22vMfNzfpjZ0CjpI8QI-w0wBnYA1w/"", ""Инфа!A:AA""), 6, FALSE)"),2024)</f>
        <v>2024</v>
      </c>
      <c r="J1751" s="5">
        <f ca="1">ROUND((5000+G1751*30),-2)</f>
        <v>10500</v>
      </c>
      <c r="K1751" s="9" t="s">
        <v>539</v>
      </c>
      <c r="L1751" s="15" t="s">
        <v>7317</v>
      </c>
    </row>
    <row r="1752" spans="1:12" ht="146.25">
      <c r="A1752" s="8" t="s">
        <v>7318</v>
      </c>
      <c r="B1752" s="9" t="s">
        <v>12</v>
      </c>
      <c r="C1752" s="10" t="s">
        <v>885</v>
      </c>
      <c r="D1752" s="10" t="str">
        <f ca="1">IFERROR(__xludf.DUMMYFUNCTION(" VLOOKUP(A1749, IMPORTRANGE(""https://docs.google.com/spreadsheets/d/1fj_Bhi2XPL3siwIh4sx4VRLAe31yD50oKdj5UlRYW0c/"", ""Сводка!A:AA""), 11, FALSE)"),"978-601-327-956-5")</f>
        <v>978-601-327-956-5</v>
      </c>
      <c r="E1752" s="11" t="s">
        <v>7319</v>
      </c>
      <c r="F1752" s="22" t="s">
        <v>7320</v>
      </c>
      <c r="G1752" s="12">
        <f ca="1">IFERROR(__xludf.DUMMYFUNCTION(" VLOOKUP(A1749, IMPORTRANGE(""https://docs.google.com/spreadsheets/d/1fj_Bhi2XPL3siwIh4sx4VRLAe31yD50oKdj5UlRYW0c/"", ""Сводка!A:AA""), 5, FALSE)"),148)</f>
        <v>148</v>
      </c>
      <c r="H1752" s="12" t="s">
        <v>538</v>
      </c>
      <c r="I1752" s="10">
        <f ca="1">IFERROR(__xludf.DUMMYFUNCTION(" VLOOKUP(A1749, IMPORTRANGE(""https://docs.google.com/spreadsheets/d/1QNLbnkR_AongFt22vMfNzfpjZ0CjpI8QI-w0wBnYA1w/"", ""Инфа!A:AA""), 6, FALSE)"),2024)</f>
        <v>2024</v>
      </c>
      <c r="J1752" s="5">
        <f ca="1">ROUND((5000+G1752*30),-2)</f>
        <v>9400</v>
      </c>
      <c r="K1752" s="12" t="s">
        <v>575</v>
      </c>
      <c r="L1752" s="15" t="s">
        <v>7321</v>
      </c>
    </row>
    <row r="1753" spans="1:12" ht="303.75">
      <c r="A1753" s="8" t="s">
        <v>7322</v>
      </c>
      <c r="B1753" s="9" t="s">
        <v>12</v>
      </c>
      <c r="C1753" s="10" t="s">
        <v>151</v>
      </c>
      <c r="D1753" s="10" t="str">
        <f ca="1">IFERROR(__xludf.DUMMYFUNCTION(" VLOOKUP(A1750, IMPORTRANGE(""https://docs.google.com/spreadsheets/d/1fj_Bhi2XPL3siwIh4sx4VRLAe31yD50oKdj5UlRYW0c/"", ""Сводка!A:AA""), 11, FALSE)"),"978-601-240-834-8")</f>
        <v>978-601-240-834-8</v>
      </c>
      <c r="E1753" s="11" t="s">
        <v>7323</v>
      </c>
      <c r="F1753" s="11" t="s">
        <v>7324</v>
      </c>
      <c r="G1753" s="12">
        <f ca="1">IFERROR(__xludf.DUMMYFUNCTION(" VLOOKUP(A1750, IMPORTRANGE(""https://docs.google.com/spreadsheets/d/1fj_Bhi2XPL3siwIh4sx4VRLAe31yD50oKdj5UlRYW0c/"", ""Сводка!A:AA""), 5, FALSE)"),264)</f>
        <v>264</v>
      </c>
      <c r="H1753" s="12" t="s">
        <v>47</v>
      </c>
      <c r="I1753" s="10">
        <f ca="1">IFERROR(__xludf.DUMMYFUNCTION(" VLOOKUP(A1750, IMPORTRANGE(""https://docs.google.com/spreadsheets/d/1QNLbnkR_AongFt22vMfNzfpjZ0CjpI8QI-w0wBnYA1w/"", ""Инфа!A:AA""), 6, FALSE)"),2024)</f>
        <v>2024</v>
      </c>
      <c r="J1753" s="5">
        <f ca="1">ROUND((5000+G1753*30),-2)</f>
        <v>12900</v>
      </c>
      <c r="K1753" s="12" t="s">
        <v>1075</v>
      </c>
      <c r="L1753" s="15" t="s">
        <v>7325</v>
      </c>
    </row>
    <row r="1754" spans="1:12" ht="90">
      <c r="A1754" s="8" t="s">
        <v>7326</v>
      </c>
      <c r="B1754" s="9" t="s">
        <v>12</v>
      </c>
      <c r="C1754" s="10" t="s">
        <v>443</v>
      </c>
      <c r="D1754" s="10" t="str">
        <f ca="1">IFERROR(__xludf.DUMMYFUNCTION(" VLOOKUP(A1751, IMPORTRANGE(""https://docs.google.com/spreadsheets/d/1fj_Bhi2XPL3siwIh4sx4VRLAe31yD50oKdj5UlRYW0c/"", ""Сводка!A:AA""), 11, FALSE)"),"5-620-00252-7")</f>
        <v>5-620-00252-7</v>
      </c>
      <c r="E1754" s="11" t="s">
        <v>7327</v>
      </c>
      <c r="F1754" s="11" t="s">
        <v>7328</v>
      </c>
      <c r="G1754" s="12">
        <f ca="1">IFERROR(__xludf.DUMMYFUNCTION(" VLOOKUP(A1751, IMPORTRANGE(""https://docs.google.com/spreadsheets/d/1fj_Bhi2XPL3siwIh4sx4VRLAe31yD50oKdj5UlRYW0c/"", ""Сводка!A:AA""), 5, FALSE)"),188)</f>
        <v>188</v>
      </c>
      <c r="H1754" s="12" t="s">
        <v>538</v>
      </c>
      <c r="I1754" s="10">
        <f ca="1">IFERROR(__xludf.DUMMYFUNCTION(" VLOOKUP(A1751, IMPORTRANGE(""https://docs.google.com/spreadsheets/d/1QNLbnkR_AongFt22vMfNzfpjZ0CjpI8QI-w0wBnYA1w/"", ""Инфа!A:AA""), 6, FALSE)"),2024)</f>
        <v>2024</v>
      </c>
      <c r="J1754" s="5">
        <f ca="1">ROUND((5000+G1754*60),-2)</f>
        <v>16300</v>
      </c>
      <c r="K1754" s="12" t="s">
        <v>243</v>
      </c>
      <c r="L1754" s="15" t="s">
        <v>7329</v>
      </c>
    </row>
    <row r="1755" spans="1:12" ht="180">
      <c r="A1755" s="8" t="s">
        <v>7330</v>
      </c>
      <c r="B1755" s="9" t="s">
        <v>12</v>
      </c>
      <c r="C1755" s="10" t="s">
        <v>151</v>
      </c>
      <c r="D1755" s="10" t="str">
        <f ca="1">IFERROR(__xludf.DUMMYFUNCTION(" VLOOKUP(A1752, IMPORTRANGE(""https://docs.google.com/spreadsheets/d/1fj_Bhi2XPL3siwIh4sx4VRLAe31yD50oKdj5UlRYW0c/"", ""Сводка!A:AA""), 11, FALSE)"),"978-601-310-245-0")</f>
        <v>978-601-310-245-0</v>
      </c>
      <c r="E1755" s="11" t="s">
        <v>7331</v>
      </c>
      <c r="F1755" s="11" t="s">
        <v>7332</v>
      </c>
      <c r="G1755" s="12">
        <f ca="1">IFERROR(__xludf.DUMMYFUNCTION(" VLOOKUP(A1752, IMPORTRANGE(""https://docs.google.com/spreadsheets/d/1fj_Bhi2XPL3siwIh4sx4VRLAe31yD50oKdj5UlRYW0c/"", ""Сводка!A:AA""), 5, FALSE)"),244)</f>
        <v>244</v>
      </c>
      <c r="H1755" s="12" t="s">
        <v>47</v>
      </c>
      <c r="I1755" s="10">
        <f ca="1">IFERROR(__xludf.DUMMYFUNCTION(" VLOOKUP(A1752, IMPORTRANGE(""https://docs.google.com/spreadsheets/d/1QNLbnkR_AongFt22vMfNzfpjZ0CjpI8QI-w0wBnYA1w/"", ""Инфа!A:AA""), 6, FALSE)"),2024)</f>
        <v>2024</v>
      </c>
      <c r="J1755" s="5">
        <f ca="1">ROUND((5000+G1755*30),-2)</f>
        <v>12300</v>
      </c>
      <c r="K1755" s="12" t="s">
        <v>243</v>
      </c>
      <c r="L1755" s="15" t="s">
        <v>7333</v>
      </c>
    </row>
    <row r="1756" spans="1:12" ht="258.75">
      <c r="A1756" s="8" t="s">
        <v>7334</v>
      </c>
      <c r="B1756" s="9" t="s">
        <v>12</v>
      </c>
      <c r="C1756" s="13" t="s">
        <v>151</v>
      </c>
      <c r="D1756" s="10" t="str">
        <f ca="1">IFERROR(__xludf.DUMMYFUNCTION(" VLOOKUP(A1753, IMPORTRANGE(""https://docs.google.com/spreadsheets/d/1fj_Bhi2XPL3siwIh4sx4VRLAe31yD50oKdj5UlRYW0c/"", ""Сводка!A:AA""), 11, FALSE)"),"978-601-216-139-7")</f>
        <v>978-601-216-139-7</v>
      </c>
      <c r="E1756" s="32" t="s">
        <v>7335</v>
      </c>
      <c r="F1756" s="32" t="s">
        <v>7336</v>
      </c>
      <c r="G1756" s="12">
        <f ca="1">IFERROR(__xludf.DUMMYFUNCTION(" VLOOKUP(A1753, IMPORTRANGE(""https://docs.google.com/spreadsheets/d/1fj_Bhi2XPL3siwIh4sx4VRLAe31yD50oKdj5UlRYW0c/"", ""Сводка!A:AA""), 5, FALSE)"),156)</f>
        <v>156</v>
      </c>
      <c r="H1756" s="9" t="s">
        <v>165</v>
      </c>
      <c r="I1756" s="10">
        <f ca="1">IFERROR(__xludf.DUMMYFUNCTION(" VLOOKUP(A1753, IMPORTRANGE(""https://docs.google.com/spreadsheets/d/1QNLbnkR_AongFt22vMfNzfpjZ0CjpI8QI-w0wBnYA1w/"", ""Инфа!A:AA""), 6, FALSE)"),2024)</f>
        <v>2024</v>
      </c>
      <c r="J1756" s="5">
        <f ca="1">ROUND((5000+G1756*60),-2)</f>
        <v>14400</v>
      </c>
      <c r="K1756" s="9" t="s">
        <v>2421</v>
      </c>
      <c r="L1756" s="21" t="s">
        <v>7337</v>
      </c>
    </row>
    <row r="1757" spans="1:12" ht="76.5">
      <c r="A1757" s="8" t="s">
        <v>7338</v>
      </c>
      <c r="B1757" s="9" t="s">
        <v>12</v>
      </c>
      <c r="C1757" s="10" t="s">
        <v>443</v>
      </c>
      <c r="D1757" s="10" t="str">
        <f ca="1">IFERROR(__xludf.DUMMYFUNCTION(" VLOOKUP(A1754, IMPORTRANGE(""https://docs.google.com/spreadsheets/d/1fj_Bhi2XPL3siwIh4sx4VRLAe31yD50oKdj5UlRYW0c/"", ""Сводка!A:AA""), 11, FALSE)"),"9965-680-68-Х")</f>
        <v>9965-680-68-Х</v>
      </c>
      <c r="E1757" s="19" t="s">
        <v>7339</v>
      </c>
      <c r="F1757" s="19" t="s">
        <v>7340</v>
      </c>
      <c r="G1757" s="12">
        <f ca="1">IFERROR(__xludf.DUMMYFUNCTION(" VLOOKUP(A1754, IMPORTRANGE(""https://docs.google.com/spreadsheets/d/1fj_Bhi2XPL3siwIh4sx4VRLAe31yD50oKdj5UlRYW0c/"", ""Сводка!A:AA""), 5, FALSE)"),292)</f>
        <v>292</v>
      </c>
      <c r="H1757" s="9" t="s">
        <v>538</v>
      </c>
      <c r="I1757" s="10">
        <f ca="1">IFERROR(__xludf.DUMMYFUNCTION(" VLOOKUP(A1754, IMPORTRANGE(""https://docs.google.com/spreadsheets/d/1QNLbnkR_AongFt22vMfNzfpjZ0CjpI8QI-w0wBnYA1w/"", ""Инфа!A:AA""), 6, FALSE)"),2024)</f>
        <v>2024</v>
      </c>
      <c r="J1757" s="5">
        <f t="shared" ref="J1757:J1766" ca="1" si="61">ROUND((5000+G1757*30),-2)</f>
        <v>13800</v>
      </c>
      <c r="K1757" s="12" t="s">
        <v>961</v>
      </c>
      <c r="L1757" s="15"/>
    </row>
    <row r="1758" spans="1:12" ht="168.75">
      <c r="A1758" s="8" t="s">
        <v>7341</v>
      </c>
      <c r="B1758" s="9" t="s">
        <v>12</v>
      </c>
      <c r="C1758" s="10" t="s">
        <v>151</v>
      </c>
      <c r="D1758" s="10" t="str">
        <f ca="1">IFERROR(__xludf.DUMMYFUNCTION(" VLOOKUP(A1755, IMPORTRANGE(""https://docs.google.com/spreadsheets/d/1fj_Bhi2XPL3siwIh4sx4VRLAe31yD50oKdj5UlRYW0c/"", ""Сводка!A:AA""), 11, FALSE)"),"978-601-327-003-6")</f>
        <v>978-601-327-003-6</v>
      </c>
      <c r="E1758" s="11" t="s">
        <v>7342</v>
      </c>
      <c r="F1758" s="11" t="s">
        <v>7343</v>
      </c>
      <c r="G1758" s="12">
        <f ca="1">IFERROR(__xludf.DUMMYFUNCTION(" VLOOKUP(A1755, IMPORTRANGE(""https://docs.google.com/spreadsheets/d/1fj_Bhi2XPL3siwIh4sx4VRLAe31yD50oKdj5UlRYW0c/"", ""Сводка!A:AA""), 5, FALSE)"),132)</f>
        <v>132</v>
      </c>
      <c r="H1758" s="12" t="s">
        <v>47</v>
      </c>
      <c r="I1758" s="10">
        <f ca="1">IFERROR(__xludf.DUMMYFUNCTION(" VLOOKUP(A1755, IMPORTRANGE(""https://docs.google.com/spreadsheets/d/1QNLbnkR_AongFt22vMfNzfpjZ0CjpI8QI-w0wBnYA1w/"", ""Инфа!A:AA""), 6, FALSE)"),2024)</f>
        <v>2024</v>
      </c>
      <c r="J1758" s="5">
        <f t="shared" ca="1" si="61"/>
        <v>9000</v>
      </c>
      <c r="K1758" s="9" t="s">
        <v>171</v>
      </c>
      <c r="L1758" s="15" t="s">
        <v>7344</v>
      </c>
    </row>
    <row r="1759" spans="1:12" ht="146.25">
      <c r="A1759" s="8" t="s">
        <v>7345</v>
      </c>
      <c r="B1759" s="9" t="s">
        <v>12</v>
      </c>
      <c r="C1759" s="10" t="s">
        <v>151</v>
      </c>
      <c r="D1759" s="10" t="str">
        <f ca="1">IFERROR(__xludf.DUMMYFUNCTION(" VLOOKUP(A1756, IMPORTRANGE(""https://docs.google.com/spreadsheets/d/1fj_Bhi2XPL3siwIh4sx4VRLAe31yD50oKdj5UlRYW0c/"", ""Сводка!A:AA""), 11, FALSE)"),"978-601-342-328-9")</f>
        <v>978-601-342-328-9</v>
      </c>
      <c r="E1759" s="11" t="s">
        <v>7346</v>
      </c>
      <c r="F1759" s="11" t="s">
        <v>7347</v>
      </c>
      <c r="G1759" s="12">
        <v>104</v>
      </c>
      <c r="H1759" s="12" t="s">
        <v>282</v>
      </c>
      <c r="I1759" s="10">
        <f ca="1">IFERROR(__xludf.DUMMYFUNCTION(" VLOOKUP(A1756, IMPORTRANGE(""https://docs.google.com/spreadsheets/d/1QNLbnkR_AongFt22vMfNzfpjZ0CjpI8QI-w0wBnYA1w/"", ""Инфа!A:AA""), 6, FALSE)"),2024)</f>
        <v>2024</v>
      </c>
      <c r="J1759" s="5">
        <f t="shared" si="61"/>
        <v>8100</v>
      </c>
      <c r="K1759" s="12" t="s">
        <v>148</v>
      </c>
      <c r="L1759" s="15" t="s">
        <v>7348</v>
      </c>
    </row>
    <row r="1760" spans="1:12" ht="123.75">
      <c r="A1760" s="8" t="s">
        <v>7349</v>
      </c>
      <c r="B1760" s="9" t="s">
        <v>12</v>
      </c>
      <c r="C1760" s="10" t="s">
        <v>151</v>
      </c>
      <c r="D1760" s="10" t="str">
        <f ca="1">IFERROR(__xludf.DUMMYFUNCTION(" VLOOKUP(A1757, IMPORTRANGE(""https://docs.google.com/spreadsheets/d/1fj_Bhi2XPL3siwIh4sx4VRLAe31yD50oKdj5UlRYW0c/"", ""Сводка!A:AA""), 11, FALSE)"),"978-601-342-326-5")</f>
        <v>978-601-342-326-5</v>
      </c>
      <c r="E1760" s="11" t="s">
        <v>7346</v>
      </c>
      <c r="F1760" s="11" t="s">
        <v>7350</v>
      </c>
      <c r="G1760" s="12">
        <v>91</v>
      </c>
      <c r="H1760" s="12" t="s">
        <v>282</v>
      </c>
      <c r="I1760" s="10">
        <f ca="1">IFERROR(__xludf.DUMMYFUNCTION(" VLOOKUP(A1757, IMPORTRANGE(""https://docs.google.com/spreadsheets/d/1QNLbnkR_AongFt22vMfNzfpjZ0CjpI8QI-w0wBnYA1w/"", ""Инфа!A:AA""), 6, FALSE)"),2024)</f>
        <v>2024</v>
      </c>
      <c r="J1760" s="5">
        <f t="shared" si="61"/>
        <v>7700</v>
      </c>
      <c r="K1760" s="12" t="s">
        <v>148</v>
      </c>
      <c r="L1760" s="15" t="s">
        <v>7351</v>
      </c>
    </row>
    <row r="1761" spans="1:12" ht="101.25">
      <c r="A1761" s="8" t="s">
        <v>7352</v>
      </c>
      <c r="B1761" s="9" t="s">
        <v>12</v>
      </c>
      <c r="C1761" s="10" t="s">
        <v>151</v>
      </c>
      <c r="D1761" s="10" t="str">
        <f ca="1">IFERROR(__xludf.DUMMYFUNCTION(" VLOOKUP(A1758, IMPORTRANGE(""https://docs.google.com/spreadsheets/d/1fj_Bhi2XPL3siwIh4sx4VRLAe31yD50oKdj5UlRYW0c/"", ""Сводка!A:AA""), 11, FALSE)"),"978-101-342-327-2")</f>
        <v>978-101-342-327-2</v>
      </c>
      <c r="E1761" s="11" t="s">
        <v>7346</v>
      </c>
      <c r="F1761" s="11" t="s">
        <v>7353</v>
      </c>
      <c r="G1761" s="12">
        <v>140</v>
      </c>
      <c r="H1761" s="12" t="s">
        <v>47</v>
      </c>
      <c r="I1761" s="10">
        <f ca="1">IFERROR(__xludf.DUMMYFUNCTION(" VLOOKUP(A1758, IMPORTRANGE(""https://docs.google.com/spreadsheets/d/1QNLbnkR_AongFt22vMfNzfpjZ0CjpI8QI-w0wBnYA1w/"", ""Инфа!A:AA""), 6, FALSE)"),2024)</f>
        <v>2024</v>
      </c>
      <c r="J1761" s="5">
        <f t="shared" si="61"/>
        <v>9200</v>
      </c>
      <c r="K1761" s="12" t="s">
        <v>148</v>
      </c>
      <c r="L1761" s="15" t="s">
        <v>7354</v>
      </c>
    </row>
    <row r="1762" spans="1:12" ht="63.75">
      <c r="A1762" s="8" t="s">
        <v>7355</v>
      </c>
      <c r="B1762" s="9" t="s">
        <v>12</v>
      </c>
      <c r="C1762" s="10" t="s">
        <v>151</v>
      </c>
      <c r="D1762" s="10" t="str">
        <f ca="1">IFERROR(__xludf.DUMMYFUNCTION(" VLOOKUP(A1759, IMPORTRANGE(""https://docs.google.com/spreadsheets/d/1fj_Bhi2XPL3siwIh4sx4VRLAe31yD50oKdj5UlRYW0c/"", ""Сводка!A:AA""), 11, FALSE)"),"978-601-310-552-9")</f>
        <v>978-601-310-552-9</v>
      </c>
      <c r="E1762" s="11" t="s">
        <v>7356</v>
      </c>
      <c r="F1762" s="11" t="s">
        <v>7357</v>
      </c>
      <c r="G1762" s="12">
        <f ca="1">IFERROR(__xludf.DUMMYFUNCTION(" VLOOKUP(A1759, IMPORTRANGE(""https://docs.google.com/spreadsheets/d/1fj_Bhi2XPL3siwIh4sx4VRLAe31yD50oKdj5UlRYW0c/"", ""Сводка!A:AA""), 5, FALSE)"),76)</f>
        <v>76</v>
      </c>
      <c r="H1762" s="12" t="s">
        <v>282</v>
      </c>
      <c r="I1762" s="10">
        <f ca="1">IFERROR(__xludf.DUMMYFUNCTION(" VLOOKUP(A1759, IMPORTRANGE(""https://docs.google.com/spreadsheets/d/1QNLbnkR_AongFt22vMfNzfpjZ0CjpI8QI-w0wBnYA1w/"", ""Инфа!A:AA""), 6, FALSE)"),2024)</f>
        <v>2024</v>
      </c>
      <c r="J1762" s="5">
        <f t="shared" ca="1" si="61"/>
        <v>7300</v>
      </c>
      <c r="K1762" s="12" t="s">
        <v>570</v>
      </c>
      <c r="L1762" s="15"/>
    </row>
    <row r="1763" spans="1:12" ht="51">
      <c r="A1763" s="8" t="s">
        <v>7358</v>
      </c>
      <c r="B1763" s="9" t="s">
        <v>12</v>
      </c>
      <c r="C1763" s="10" t="s">
        <v>151</v>
      </c>
      <c r="D1763" s="10" t="str">
        <f ca="1">IFERROR(__xludf.DUMMYFUNCTION(" VLOOKUP(A1760, IMPORTRANGE(""https://docs.google.com/spreadsheets/d/1fj_Bhi2XPL3siwIh4sx4VRLAe31yD50oKdj5UlRYW0c/"", ""Сводка!A:AA""), 11, FALSE)"),"978-601-310-625-0")</f>
        <v>978-601-310-625-0</v>
      </c>
      <c r="E1763" s="11" t="s">
        <v>7356</v>
      </c>
      <c r="F1763" s="11" t="s">
        <v>7359</v>
      </c>
      <c r="G1763" s="12">
        <f ca="1">IFERROR(__xludf.DUMMYFUNCTION(" VLOOKUP(A1760, IMPORTRANGE(""https://docs.google.com/spreadsheets/d/1fj_Bhi2XPL3siwIh4sx4VRLAe31yD50oKdj5UlRYW0c/"", ""Сводка!A:AA""), 5, FALSE)"),72)</f>
        <v>72</v>
      </c>
      <c r="H1763" s="12" t="s">
        <v>282</v>
      </c>
      <c r="I1763" s="10">
        <f ca="1">IFERROR(__xludf.DUMMYFUNCTION(" VLOOKUP(A1760, IMPORTRANGE(""https://docs.google.com/spreadsheets/d/1QNLbnkR_AongFt22vMfNzfpjZ0CjpI8QI-w0wBnYA1w/"", ""Инфа!A:AA""), 6, FALSE)"),2024)</f>
        <v>2024</v>
      </c>
      <c r="J1763" s="5">
        <f t="shared" ca="1" si="61"/>
        <v>7200</v>
      </c>
      <c r="K1763" s="12" t="s">
        <v>570</v>
      </c>
      <c r="L1763" s="15"/>
    </row>
    <row r="1764" spans="1:12" ht="225">
      <c r="A1764" s="8" t="s">
        <v>7360</v>
      </c>
      <c r="B1764" s="9" t="s">
        <v>12</v>
      </c>
      <c r="C1764" s="10" t="s">
        <v>151</v>
      </c>
      <c r="D1764" s="10" t="str">
        <f ca="1">IFERROR(__xludf.DUMMYFUNCTION(" VLOOKUP(A1761, IMPORTRANGE(""https://docs.google.com/spreadsheets/d/1fj_Bhi2XPL3siwIh4sx4VRLAe31yD50oKdj5UlRYW0c/"", ""Сводка!A:AA""), 11, FALSE)"),"978-601-342-363-2")</f>
        <v>978-601-342-363-2</v>
      </c>
      <c r="E1764" s="11" t="s">
        <v>7361</v>
      </c>
      <c r="F1764" s="11" t="s">
        <v>7362</v>
      </c>
      <c r="G1764" s="12">
        <f ca="1">IFERROR(__xludf.DUMMYFUNCTION(" VLOOKUP(A1761, IMPORTRANGE(""https://docs.google.com/spreadsheets/d/1fj_Bhi2XPL3siwIh4sx4VRLAe31yD50oKdj5UlRYW0c/"", ""Сводка!A:AA""), 5, FALSE)"),220)</f>
        <v>220</v>
      </c>
      <c r="H1764" s="12" t="s">
        <v>24</v>
      </c>
      <c r="I1764" s="10">
        <f ca="1">IFERROR(__xludf.DUMMYFUNCTION(" VLOOKUP(A1761, IMPORTRANGE(""https://docs.google.com/spreadsheets/d/1QNLbnkR_AongFt22vMfNzfpjZ0CjpI8QI-w0wBnYA1w/"", ""Инфа!A:AA""), 6, FALSE)"),2024)</f>
        <v>2024</v>
      </c>
      <c r="J1764" s="5">
        <f t="shared" ca="1" si="61"/>
        <v>11600</v>
      </c>
      <c r="K1764" s="12" t="s">
        <v>7363</v>
      </c>
      <c r="L1764" s="15" t="s">
        <v>7364</v>
      </c>
    </row>
    <row r="1765" spans="1:12" ht="225">
      <c r="A1765" s="8" t="s">
        <v>7365</v>
      </c>
      <c r="B1765" s="9" t="s">
        <v>12</v>
      </c>
      <c r="C1765" s="10" t="s">
        <v>151</v>
      </c>
      <c r="D1765" s="10" t="str">
        <f ca="1">IFERROR(__xludf.DUMMYFUNCTION(" VLOOKUP(A1762, IMPORTRANGE(""https://docs.google.com/spreadsheets/d/1fj_Bhi2XPL3siwIh4sx4VRLAe31yD50oKdj5UlRYW0c/"", ""Сводка!A:AA""), 11, FALSE)"),"978-601-310-935-0")</f>
        <v>978-601-310-935-0</v>
      </c>
      <c r="E1765" s="11" t="s">
        <v>7366</v>
      </c>
      <c r="F1765" s="11" t="s">
        <v>7367</v>
      </c>
      <c r="G1765" s="12">
        <f ca="1">IFERROR(__xludf.DUMMYFUNCTION(" VLOOKUP(A1762, IMPORTRANGE(""https://docs.google.com/spreadsheets/d/1fj_Bhi2XPL3siwIh4sx4VRLAe31yD50oKdj5UlRYW0c/"", ""Сводка!A:AA""), 5, FALSE)"),336)</f>
        <v>336</v>
      </c>
      <c r="H1765" s="12" t="s">
        <v>24</v>
      </c>
      <c r="I1765" s="10">
        <f ca="1">IFERROR(__xludf.DUMMYFUNCTION(" VLOOKUP(A1762, IMPORTRANGE(""https://docs.google.com/spreadsheets/d/1QNLbnkR_AongFt22vMfNzfpjZ0CjpI8QI-w0wBnYA1w/"", ""Инфа!A:AA""), 6, FALSE)"),2024)</f>
        <v>2024</v>
      </c>
      <c r="J1765" s="5">
        <f t="shared" ca="1" si="61"/>
        <v>15100</v>
      </c>
      <c r="K1765" s="9" t="s">
        <v>63</v>
      </c>
      <c r="L1765" s="15" t="s">
        <v>7368</v>
      </c>
    </row>
    <row r="1766" spans="1:12" ht="281.25">
      <c r="A1766" s="8" t="s">
        <v>7369</v>
      </c>
      <c r="B1766" s="9" t="s">
        <v>12</v>
      </c>
      <c r="C1766" s="10" t="s">
        <v>151</v>
      </c>
      <c r="D1766" s="10" t="str">
        <f ca="1">IFERROR(__xludf.DUMMYFUNCTION(" VLOOKUP(A1763, IMPORTRANGE(""https://docs.google.com/spreadsheets/d/1fj_Bhi2XPL3siwIh4sx4VRLAe31yD50oKdj5UlRYW0c/"", ""Сводка!A:AA""), 11, FALSE)"),"978-601-342-363-1")</f>
        <v>978-601-342-363-1</v>
      </c>
      <c r="E1766" s="11" t="s">
        <v>7370</v>
      </c>
      <c r="F1766" s="11" t="s">
        <v>7371</v>
      </c>
      <c r="G1766" s="12">
        <f ca="1">IFERROR(__xludf.DUMMYFUNCTION(" VLOOKUP(A1763, IMPORTRANGE(""https://docs.google.com/spreadsheets/d/1fj_Bhi2XPL3siwIh4sx4VRLAe31yD50oKdj5UlRYW0c/"", ""Сводка!A:AA""), 5, FALSE)"),312)</f>
        <v>312</v>
      </c>
      <c r="H1766" s="12" t="s">
        <v>24</v>
      </c>
      <c r="I1766" s="10">
        <f ca="1">IFERROR(__xludf.DUMMYFUNCTION(" VLOOKUP(A1763, IMPORTRANGE(""https://docs.google.com/spreadsheets/d/1QNLbnkR_AongFt22vMfNzfpjZ0CjpI8QI-w0wBnYA1w/"", ""Инфа!A:AA""), 6, FALSE)"),2024)</f>
        <v>2024</v>
      </c>
      <c r="J1766" s="5">
        <f t="shared" ca="1" si="61"/>
        <v>14400</v>
      </c>
      <c r="K1766" s="12" t="s">
        <v>7363</v>
      </c>
      <c r="L1766" s="15" t="s">
        <v>7372</v>
      </c>
    </row>
    <row r="1767" spans="1:12" ht="25.5">
      <c r="A1767" s="8" t="s">
        <v>7373</v>
      </c>
      <c r="B1767" s="9" t="s">
        <v>12</v>
      </c>
      <c r="C1767" s="10" t="s">
        <v>443</v>
      </c>
      <c r="D1767" s="10" t="str">
        <f ca="1">IFERROR(__xludf.DUMMYFUNCTION(" VLOOKUP(A1764, IMPORTRANGE(""https://docs.google.com/spreadsheets/d/1fj_Bhi2XPL3siwIh4sx4VRLAe31yD50oKdj5UlRYW0c/"", ""Сводка!A:AA""), 11, FALSE)"),"978-601-640-209-5")</f>
        <v>978-601-640-209-5</v>
      </c>
      <c r="E1767" s="11" t="s">
        <v>7374</v>
      </c>
      <c r="F1767" s="11" t="s">
        <v>7375</v>
      </c>
      <c r="G1767" s="12">
        <f ca="1">IFERROR(__xludf.DUMMYFUNCTION(" VLOOKUP(A1764, IMPORTRANGE(""https://docs.google.com/spreadsheets/d/1fj_Bhi2XPL3siwIh4sx4VRLAe31yD50oKdj5UlRYW0c/"", ""Сводка!A:AA""), 5, FALSE)"),324)</f>
        <v>324</v>
      </c>
      <c r="H1767" s="12" t="s">
        <v>511</v>
      </c>
      <c r="I1767" s="10">
        <f ca="1">IFERROR(__xludf.DUMMYFUNCTION(" VLOOKUP(A1764, IMPORTRANGE(""https://docs.google.com/spreadsheets/d/1QNLbnkR_AongFt22vMfNzfpjZ0CjpI8QI-w0wBnYA1w/"", ""Инфа!A:AA""), 6, FALSE)"),2024)</f>
        <v>2024</v>
      </c>
      <c r="J1767" s="5">
        <f ca="1">ROUND((5000+G1767*60),-2)</f>
        <v>24400</v>
      </c>
      <c r="K1767" s="12" t="s">
        <v>961</v>
      </c>
      <c r="L1767" s="15"/>
    </row>
    <row r="1768" spans="1:12" ht="38.25">
      <c r="A1768" s="8" t="s">
        <v>7376</v>
      </c>
      <c r="B1768" s="9" t="s">
        <v>12</v>
      </c>
      <c r="C1768" s="10" t="s">
        <v>443</v>
      </c>
      <c r="D1768" s="10" t="str">
        <f ca="1">IFERROR(__xludf.DUMMYFUNCTION(" VLOOKUP(A1765, IMPORTRANGE(""https://docs.google.com/spreadsheets/d/1fj_Bhi2XPL3siwIh4sx4VRLAe31yD50oKdj5UlRYW0c/"", ""Сводка!A:AA""), 11, FALSE)"),"978-601-240-166-0")</f>
        <v>978-601-240-166-0</v>
      </c>
      <c r="E1768" s="11" t="s">
        <v>7374</v>
      </c>
      <c r="F1768" s="11" t="s">
        <v>7377</v>
      </c>
      <c r="G1768" s="12">
        <v>328</v>
      </c>
      <c r="H1768" s="12" t="s">
        <v>538</v>
      </c>
      <c r="I1768" s="10">
        <f ca="1">IFERROR(__xludf.DUMMYFUNCTION(" VLOOKUP(A1765, IMPORTRANGE(""https://docs.google.com/spreadsheets/d/1QNLbnkR_AongFt22vMfNzfpjZ0CjpI8QI-w0wBnYA1w/"", ""Инфа!A:AA""), 6, FALSE)"),2024)</f>
        <v>2024</v>
      </c>
      <c r="J1768" s="5">
        <f>ROUND((5000+G1768*30),-2)</f>
        <v>14800</v>
      </c>
      <c r="K1768" s="12" t="s">
        <v>17</v>
      </c>
      <c r="L1768" s="15"/>
    </row>
    <row r="1769" spans="1:12" ht="56.25">
      <c r="A1769" s="8" t="s">
        <v>7378</v>
      </c>
      <c r="B1769" s="9" t="s">
        <v>12</v>
      </c>
      <c r="C1769" s="10" t="s">
        <v>443</v>
      </c>
      <c r="D1769" s="10" t="str">
        <f ca="1">IFERROR(__xludf.DUMMYFUNCTION(" VLOOKUP(A1766, IMPORTRANGE(""https://docs.google.com/spreadsheets/d/1fj_Bhi2XPL3siwIh4sx4VRLAe31yD50oKdj5UlRYW0c/"", ""Сводка!A:AA""), 11, FALSE)"),"9965-668-12-4")</f>
        <v>9965-668-12-4</v>
      </c>
      <c r="E1769" s="11" t="s">
        <v>7374</v>
      </c>
      <c r="F1769" s="11" t="s">
        <v>7379</v>
      </c>
      <c r="G1769" s="12">
        <v>260</v>
      </c>
      <c r="H1769" s="12" t="s">
        <v>538</v>
      </c>
      <c r="I1769" s="10">
        <f ca="1">IFERROR(__xludf.DUMMYFUNCTION(" VLOOKUP(A1766, IMPORTRANGE(""https://docs.google.com/spreadsheets/d/1QNLbnkR_AongFt22vMfNzfpjZ0CjpI8QI-w0wBnYA1w/"", ""Инфа!A:AA""), 6, FALSE)"),2024)</f>
        <v>2024</v>
      </c>
      <c r="J1769" s="5">
        <f>ROUND((5000+G1769*30),-2)</f>
        <v>12800</v>
      </c>
      <c r="K1769" s="12" t="s">
        <v>961</v>
      </c>
      <c r="L1769" s="15" t="s">
        <v>7380</v>
      </c>
    </row>
    <row r="1770" spans="1:12" ht="135">
      <c r="A1770" s="8" t="s">
        <v>7381</v>
      </c>
      <c r="B1770" s="9" t="s">
        <v>12</v>
      </c>
      <c r="C1770" s="10" t="s">
        <v>443</v>
      </c>
      <c r="D1770" s="10" t="str">
        <f ca="1">IFERROR(__xludf.DUMMYFUNCTION(" VLOOKUP(A1767, IMPORTRANGE(""https://docs.google.com/spreadsheets/d/1fj_Bhi2XPL3siwIh4sx4VRLAe31yD50oKdj5UlRYW0c/"", ""Сводка!A:AA""), 11, FALSE)"),"")</f>
        <v/>
      </c>
      <c r="E1770" s="11" t="s">
        <v>7382</v>
      </c>
      <c r="F1770" s="11" t="s">
        <v>7383</v>
      </c>
      <c r="G1770" s="12">
        <f ca="1">IFERROR(__xludf.DUMMYFUNCTION(" VLOOKUP(A1767, IMPORTRANGE(""https://docs.google.com/spreadsheets/d/1fj_Bhi2XPL3siwIh4sx4VRLAe31yD50oKdj5UlRYW0c/"", ""Сводка!A:AA""), 5, FALSE)"),208)</f>
        <v>208</v>
      </c>
      <c r="H1770" s="12" t="s">
        <v>538</v>
      </c>
      <c r="I1770" s="10">
        <f ca="1">IFERROR(__xludf.DUMMYFUNCTION(" VLOOKUP(A1767, IMPORTRANGE(""https://docs.google.com/spreadsheets/d/1QNLbnkR_AongFt22vMfNzfpjZ0CjpI8QI-w0wBnYA1w/"", ""Инфа!A:AA""), 6, FALSE)"),2024)</f>
        <v>2024</v>
      </c>
      <c r="J1770" s="5">
        <f ca="1">ROUND((5000+G1770*30),-2)</f>
        <v>11200</v>
      </c>
      <c r="K1770" s="12" t="s">
        <v>3208</v>
      </c>
      <c r="L1770" s="15" t="s">
        <v>7384</v>
      </c>
    </row>
    <row r="1771" spans="1:12" ht="135">
      <c r="A1771" s="8" t="s">
        <v>7385</v>
      </c>
      <c r="B1771" s="9" t="s">
        <v>12</v>
      </c>
      <c r="C1771" s="10" t="s">
        <v>443</v>
      </c>
      <c r="D1771" s="10" t="str">
        <f ca="1">IFERROR(__xludf.DUMMYFUNCTION(" VLOOKUP(A1768, IMPORTRANGE(""https://docs.google.com/spreadsheets/d/1fj_Bhi2XPL3siwIh4sx4VRLAe31yD50oKdj5UlRYW0c/"", ""Сводка!A:AA""), 11, FALSE)"),"978-601-246-320-8")</f>
        <v>978-601-246-320-8</v>
      </c>
      <c r="E1771" s="11" t="s">
        <v>7386</v>
      </c>
      <c r="F1771" s="11" t="s">
        <v>7387</v>
      </c>
      <c r="G1771" s="12">
        <f ca="1">IFERROR(__xludf.DUMMYFUNCTION(" VLOOKUP(A1768, IMPORTRANGE(""https://docs.google.com/spreadsheets/d/1fj_Bhi2XPL3siwIh4sx4VRLAe31yD50oKdj5UlRYW0c/"", ""Сводка!A:AA""), 5, FALSE)"),228)</f>
        <v>228</v>
      </c>
      <c r="H1771" s="12" t="s">
        <v>511</v>
      </c>
      <c r="I1771" s="10">
        <f ca="1">IFERROR(__xludf.DUMMYFUNCTION(" VLOOKUP(A1768, IMPORTRANGE(""https://docs.google.com/spreadsheets/d/1QNLbnkR_AongFt22vMfNzfpjZ0CjpI8QI-w0wBnYA1w/"", ""Инфа!A:AA""), 6, FALSE)"),2024)</f>
        <v>2024</v>
      </c>
      <c r="J1771" s="5">
        <f ca="1">ROUND((5000+G1771*60),-2)</f>
        <v>18700</v>
      </c>
      <c r="K1771" s="12" t="s">
        <v>243</v>
      </c>
      <c r="L1771" s="15" t="s">
        <v>7388</v>
      </c>
    </row>
    <row r="1772" spans="1:12" ht="25.5">
      <c r="A1772" s="8" t="s">
        <v>7389</v>
      </c>
      <c r="B1772" s="9" t="s">
        <v>12</v>
      </c>
      <c r="C1772" s="10" t="s">
        <v>151</v>
      </c>
      <c r="D1772" s="10" t="s">
        <v>7390</v>
      </c>
      <c r="E1772" s="11" t="s">
        <v>7386</v>
      </c>
      <c r="F1772" s="11" t="s">
        <v>7391</v>
      </c>
      <c r="G1772" s="12">
        <f ca="1">IFERROR(__xludf.DUMMYFUNCTION(" VLOOKUP(A1769, IMPORTRANGE(""https://docs.google.com/spreadsheets/d/1fj_Bhi2XPL3siwIh4sx4VRLAe31yD50oKdj5UlRYW0c/"", ""Сводка!A:AA""), 5, FALSE)"),232)</f>
        <v>232</v>
      </c>
      <c r="H1772" s="12" t="s">
        <v>511</v>
      </c>
      <c r="I1772" s="10">
        <f ca="1">IFERROR(__xludf.DUMMYFUNCTION(" VLOOKUP(A1769, IMPORTRANGE(""https://docs.google.com/spreadsheets/d/1QNLbnkR_AongFt22vMfNzfpjZ0CjpI8QI-w0wBnYA1w/"", ""Инфа!A:AA""), 6, FALSE)"),2024)</f>
        <v>2024</v>
      </c>
      <c r="J1772" s="5">
        <f ca="1">ROUND((5000+G1772*30),-2)</f>
        <v>12000</v>
      </c>
      <c r="K1772" s="12" t="s">
        <v>961</v>
      </c>
      <c r="L1772" s="15"/>
    </row>
    <row r="1773" spans="1:12" ht="135">
      <c r="A1773" s="8" t="s">
        <v>7392</v>
      </c>
      <c r="B1773" s="9" t="s">
        <v>12</v>
      </c>
      <c r="C1773" s="10" t="s">
        <v>151</v>
      </c>
      <c r="D1773" s="10" t="str">
        <f ca="1">IFERROR(__xludf.DUMMYFUNCTION(" VLOOKUP(A1770, IMPORTRANGE(""https://docs.google.com/spreadsheets/d/1fj_Bhi2XPL3siwIh4sx4VRLAe31yD50oKdj5UlRYW0c/"", ""Сводка!A:AA""), 11, FALSE)"),"978-601-310-104-0")</f>
        <v>978-601-310-104-0</v>
      </c>
      <c r="E1773" s="11" t="s">
        <v>7386</v>
      </c>
      <c r="F1773" s="11" t="s">
        <v>7393</v>
      </c>
      <c r="G1773" s="12">
        <f ca="1">IFERROR(__xludf.DUMMYFUNCTION(" VLOOKUP(A1770, IMPORTRANGE(""https://docs.google.com/spreadsheets/d/1fj_Bhi2XPL3siwIh4sx4VRLAe31yD50oKdj5UlRYW0c/"", ""Сводка!A:AA""), 5, FALSE)"),332)</f>
        <v>332</v>
      </c>
      <c r="H1773" s="12" t="s">
        <v>498</v>
      </c>
      <c r="I1773" s="10">
        <f ca="1">IFERROR(__xludf.DUMMYFUNCTION(" VLOOKUP(A1770, IMPORTRANGE(""https://docs.google.com/spreadsheets/d/1QNLbnkR_AongFt22vMfNzfpjZ0CjpI8QI-w0wBnYA1w/"", ""Инфа!A:AA""), 6, FALSE)"),2024)</f>
        <v>2024</v>
      </c>
      <c r="J1773" s="5">
        <f ca="1">ROUND((5000+G1773*30),-2)</f>
        <v>15000</v>
      </c>
      <c r="K1773" s="12" t="s">
        <v>961</v>
      </c>
      <c r="L1773" s="15" t="s">
        <v>7394</v>
      </c>
    </row>
    <row r="1774" spans="1:12" ht="38.25">
      <c r="A1774" s="8" t="s">
        <v>7395</v>
      </c>
      <c r="B1774" s="9" t="s">
        <v>12</v>
      </c>
      <c r="C1774" s="10" t="s">
        <v>151</v>
      </c>
      <c r="D1774" s="10" t="str">
        <f ca="1">IFERROR(__xludf.DUMMYFUNCTION(" VLOOKUP(A1771, IMPORTRANGE(""https://docs.google.com/spreadsheets/d/1fj_Bhi2XPL3siwIh4sx4VRLAe31yD50oKdj5UlRYW0c/"", ""Сводка!A:AA""), 11, FALSE)"),"978-601-7816-93-3")</f>
        <v>978-601-7816-93-3</v>
      </c>
      <c r="E1774" s="11" t="s">
        <v>7386</v>
      </c>
      <c r="F1774" s="11" t="s">
        <v>7396</v>
      </c>
      <c r="G1774" s="12">
        <v>250</v>
      </c>
      <c r="H1774" s="12" t="s">
        <v>47</v>
      </c>
      <c r="I1774" s="10">
        <f ca="1">IFERROR(__xludf.DUMMYFUNCTION(" VLOOKUP(A1771, IMPORTRANGE(""https://docs.google.com/spreadsheets/d/1QNLbnkR_AongFt22vMfNzfpjZ0CjpI8QI-w0wBnYA1w/"", ""Инфа!A:AA""), 6, FALSE)"),2024)</f>
        <v>2024</v>
      </c>
      <c r="J1774" s="5">
        <f>ROUND((5000+G1774*30),-2)</f>
        <v>12500</v>
      </c>
      <c r="K1774" s="12" t="s">
        <v>17</v>
      </c>
      <c r="L1774" s="15"/>
    </row>
    <row r="1775" spans="1:12" ht="236.25">
      <c r="A1775" s="8" t="s">
        <v>7397</v>
      </c>
      <c r="B1775" s="9" t="s">
        <v>12</v>
      </c>
      <c r="C1775" s="10" t="s">
        <v>151</v>
      </c>
      <c r="D1775" s="10" t="str">
        <f ca="1">IFERROR(__xludf.DUMMYFUNCTION(" VLOOKUP(A1772, IMPORTRANGE(""https://docs.google.com/spreadsheets/d/1fj_Bhi2XPL3siwIh4sx4VRLAe31yD50oKdj5UlRYW0c/"", ""Сводка!A:AA""), 11, FALSE)"),"978-601-342-891-8")</f>
        <v>978-601-342-891-8</v>
      </c>
      <c r="E1775" s="11" t="s">
        <v>7386</v>
      </c>
      <c r="F1775" s="11" t="s">
        <v>7398</v>
      </c>
      <c r="G1775" s="12">
        <f ca="1">IFERROR(__xludf.DUMMYFUNCTION(" VLOOKUP(A1772, IMPORTRANGE(""https://docs.google.com/spreadsheets/d/1fj_Bhi2XPL3siwIh4sx4VRLAe31yD50oKdj5UlRYW0c/"", ""Сводка!A:AA""), 5, FALSE)"),292)</f>
        <v>292</v>
      </c>
      <c r="H1775" s="12" t="s">
        <v>47</v>
      </c>
      <c r="I1775" s="10">
        <f ca="1">IFERROR(__xludf.DUMMYFUNCTION(" VLOOKUP(A1772, IMPORTRANGE(""https://docs.google.com/spreadsheets/d/1QNLbnkR_AongFt22vMfNzfpjZ0CjpI8QI-w0wBnYA1w/"", ""Инфа!A:AA""), 6, FALSE)"),2024)</f>
        <v>2024</v>
      </c>
      <c r="J1775" s="5">
        <f ca="1">ROUND((5000+G1775*30),-2)</f>
        <v>13800</v>
      </c>
      <c r="K1775" s="12" t="s">
        <v>3208</v>
      </c>
      <c r="L1775" s="15" t="s">
        <v>7399</v>
      </c>
    </row>
    <row r="1776" spans="1:12" ht="213.75">
      <c r="A1776" s="8" t="s">
        <v>7400</v>
      </c>
      <c r="B1776" s="9" t="s">
        <v>12</v>
      </c>
      <c r="C1776" s="10" t="s">
        <v>151</v>
      </c>
      <c r="D1776" s="10" t="str">
        <f ca="1">IFERROR(__xludf.DUMMYFUNCTION(" VLOOKUP(A1773, IMPORTRANGE(""https://docs.google.com/spreadsheets/d/1fj_Bhi2XPL3siwIh4sx4VRLAe31yD50oKdj5UlRYW0c/"", ""Сводка!A:AA""), 11, FALSE)"),"978-601-342-342-5")</f>
        <v>978-601-342-342-5</v>
      </c>
      <c r="E1776" s="11" t="s">
        <v>7386</v>
      </c>
      <c r="F1776" s="11" t="s">
        <v>7401</v>
      </c>
      <c r="G1776" s="12">
        <f ca="1">IFERROR(__xludf.DUMMYFUNCTION(" VLOOKUP(A1773, IMPORTRANGE(""https://docs.google.com/spreadsheets/d/1fj_Bhi2XPL3siwIh4sx4VRLAe31yD50oKdj5UlRYW0c/"", ""Сводка!A:AA""), 5, FALSE)"),248)</f>
        <v>248</v>
      </c>
      <c r="H1776" s="12" t="s">
        <v>47</v>
      </c>
      <c r="I1776" s="10">
        <f ca="1">IFERROR(__xludf.DUMMYFUNCTION(" VLOOKUP(A1773, IMPORTRANGE(""https://docs.google.com/spreadsheets/d/1QNLbnkR_AongFt22vMfNzfpjZ0CjpI8QI-w0wBnYA1w/"", ""Инфа!A:AA""), 6, FALSE)"),2024)</f>
        <v>2024</v>
      </c>
      <c r="J1776" s="5">
        <f ca="1">ROUND((5000+G1776*60),-2)</f>
        <v>19900</v>
      </c>
      <c r="K1776" s="12" t="s">
        <v>7402</v>
      </c>
      <c r="L1776" s="15" t="s">
        <v>7403</v>
      </c>
    </row>
    <row r="1777" spans="1:12" ht="247.5">
      <c r="A1777" s="8" t="s">
        <v>7404</v>
      </c>
      <c r="B1777" s="9" t="s">
        <v>12</v>
      </c>
      <c r="C1777" s="10" t="s">
        <v>443</v>
      </c>
      <c r="D1777" s="10" t="str">
        <f ca="1">IFERROR(__xludf.DUMMYFUNCTION(" VLOOKUP(A1774, IMPORTRANGE(""https://docs.google.com/spreadsheets/d/1fj_Bhi2XPL3siwIh4sx4VRLAe31yD50oKdj5UlRYW0c/"", ""Сводка!A:AA""), 11, FALSE)"),"978-601-327-432-4")</f>
        <v>978-601-327-432-4</v>
      </c>
      <c r="E1777" s="11" t="s">
        <v>7386</v>
      </c>
      <c r="F1777" s="11" t="s">
        <v>7405</v>
      </c>
      <c r="G1777" s="12">
        <f ca="1">IFERROR(__xludf.DUMMYFUNCTION(" VLOOKUP(A1774, IMPORTRANGE(""https://docs.google.com/spreadsheets/d/1fj_Bhi2XPL3siwIh4sx4VRLAe31yD50oKdj5UlRYW0c/"", ""Сводка!A:AA""), 5, FALSE)"),276)</f>
        <v>276</v>
      </c>
      <c r="H1777" s="12" t="s">
        <v>7406</v>
      </c>
      <c r="I1777" s="10">
        <f ca="1">IFERROR(__xludf.DUMMYFUNCTION(" VLOOKUP(A1774, IMPORTRANGE(""https://docs.google.com/spreadsheets/d/1QNLbnkR_AongFt22vMfNzfpjZ0CjpI8QI-w0wBnYA1w/"", ""Инфа!A:AA""), 6, FALSE)"),2024)</f>
        <v>2024</v>
      </c>
      <c r="J1777" s="5">
        <f ca="1">ROUND((5000+G1777*60),-2)</f>
        <v>21600</v>
      </c>
      <c r="K1777" s="12" t="s">
        <v>7402</v>
      </c>
      <c r="L1777" s="15" t="s">
        <v>7407</v>
      </c>
    </row>
    <row r="1778" spans="1:12" ht="112.5">
      <c r="A1778" s="8" t="s">
        <v>7408</v>
      </c>
      <c r="B1778" s="9" t="s">
        <v>12</v>
      </c>
      <c r="C1778" s="10" t="s">
        <v>443</v>
      </c>
      <c r="D1778" s="10" t="str">
        <f ca="1">IFERROR(__xludf.DUMMYFUNCTION(" VLOOKUP(A1775, IMPORTRANGE(""https://docs.google.com/spreadsheets/d/1fj_Bhi2XPL3siwIh4sx4VRLAe31yD50oKdj5UlRYW0c/"", ""Сводка!A:AA""), 11, FALSE)"),"978-601-310-143-2")</f>
        <v>978-601-310-143-2</v>
      </c>
      <c r="E1778" s="11" t="s">
        <v>7409</v>
      </c>
      <c r="F1778" s="11" t="s">
        <v>7410</v>
      </c>
      <c r="G1778" s="12">
        <f ca="1">IFERROR(__xludf.DUMMYFUNCTION(" VLOOKUP(A1775, IMPORTRANGE(""https://docs.google.com/spreadsheets/d/1fj_Bhi2XPL3siwIh4sx4VRLAe31yD50oKdj5UlRYW0c/"", ""Сводка!A:AA""), 5, FALSE)"),208)</f>
        <v>208</v>
      </c>
      <c r="H1778" s="12" t="s">
        <v>538</v>
      </c>
      <c r="I1778" s="10">
        <f ca="1">IFERROR(__xludf.DUMMYFUNCTION(" VLOOKUP(A1775, IMPORTRANGE(""https://docs.google.com/spreadsheets/d/1QNLbnkR_AongFt22vMfNzfpjZ0CjpI8QI-w0wBnYA1w/"", ""Инфа!A:AA""), 6, FALSE)"),2024)</f>
        <v>2024</v>
      </c>
      <c r="J1778" s="5">
        <f ca="1">ROUND((5000+G1778*30),-2)</f>
        <v>11200</v>
      </c>
      <c r="K1778" s="12" t="s">
        <v>1378</v>
      </c>
      <c r="L1778" s="15" t="s">
        <v>7411</v>
      </c>
    </row>
    <row r="1779" spans="1:12" ht="112.5">
      <c r="A1779" s="8" t="s">
        <v>7412</v>
      </c>
      <c r="B1779" s="9" t="s">
        <v>12</v>
      </c>
      <c r="C1779" s="10" t="s">
        <v>151</v>
      </c>
      <c r="D1779" s="10" t="str">
        <f ca="1">IFERROR(__xludf.DUMMYFUNCTION(" VLOOKUP(A1776, IMPORTRANGE(""https://docs.google.com/spreadsheets/d/1fj_Bhi2XPL3siwIh4sx4VRLAe31yD50oKdj5UlRYW0c/"", ""Сводка!A:AA""), 11, FALSE)"),"978-601-327-661-8")</f>
        <v>978-601-327-661-8</v>
      </c>
      <c r="E1779" s="62" t="s">
        <v>7413</v>
      </c>
      <c r="F1779" s="62" t="s">
        <v>7414</v>
      </c>
      <c r="G1779" s="12">
        <f ca="1">IFERROR(__xludf.DUMMYFUNCTION(" VLOOKUP(A1776, IMPORTRANGE(""https://docs.google.com/spreadsheets/d/1fj_Bhi2XPL3siwIh4sx4VRLAe31yD50oKdj5UlRYW0c/"", ""Сводка!A:AA""), 5, FALSE)"),192)</f>
        <v>192</v>
      </c>
      <c r="H1779" s="63" t="s">
        <v>47</v>
      </c>
      <c r="I1779" s="10">
        <f ca="1">IFERROR(__xludf.DUMMYFUNCTION(" VLOOKUP(A1776, IMPORTRANGE(""https://docs.google.com/spreadsheets/d/1QNLbnkR_AongFt22vMfNzfpjZ0CjpI8QI-w0wBnYA1w/"", ""Инфа!A:AA""), 6, FALSE)"),2024)</f>
        <v>2024</v>
      </c>
      <c r="J1779" s="5">
        <f ca="1">ROUND((5000+G1779*60),-2)</f>
        <v>16500</v>
      </c>
      <c r="K1779" s="63" t="s">
        <v>548</v>
      </c>
      <c r="L1779" s="64" t="s">
        <v>7415</v>
      </c>
    </row>
    <row r="1780" spans="1:12" ht="90">
      <c r="A1780" s="8" t="s">
        <v>7416</v>
      </c>
      <c r="B1780" s="9" t="s">
        <v>12</v>
      </c>
      <c r="C1780" s="10" t="s">
        <v>151</v>
      </c>
      <c r="D1780" s="10" t="str">
        <f ca="1">IFERROR(__xludf.DUMMYFUNCTION(" VLOOKUP(A1777, IMPORTRANGE(""https://docs.google.com/spreadsheets/d/1fj_Bhi2XPL3siwIh4sx4VRLAe31yD50oKdj5UlRYW0c/"", ""Сводка!A:AA""), 11, FALSE)"),"")</f>
        <v/>
      </c>
      <c r="E1780" s="11" t="s">
        <v>7417</v>
      </c>
      <c r="F1780" s="11" t="s">
        <v>7418</v>
      </c>
      <c r="G1780" s="12">
        <f ca="1">IFERROR(__xludf.DUMMYFUNCTION(" VLOOKUP(A1777, IMPORTRANGE(""https://docs.google.com/spreadsheets/d/1fj_Bhi2XPL3siwIh4sx4VRLAe31yD50oKdj5UlRYW0c/"", ""Сводка!A:AA""), 5, FALSE)"),280)</f>
        <v>280</v>
      </c>
      <c r="H1780" s="12" t="s">
        <v>498</v>
      </c>
      <c r="I1780" s="10">
        <f ca="1">IFERROR(__xludf.DUMMYFUNCTION(" VLOOKUP(A1777, IMPORTRANGE(""https://docs.google.com/spreadsheets/d/1QNLbnkR_AongFt22vMfNzfpjZ0CjpI8QI-w0wBnYA1w/"", ""Инфа!A:AA""), 6, FALSE)"),2024)</f>
        <v>2024</v>
      </c>
      <c r="J1780" s="5">
        <f ca="1">ROUND((5000+G1780*60),-2)</f>
        <v>21800</v>
      </c>
      <c r="K1780" s="12" t="s">
        <v>961</v>
      </c>
      <c r="L1780" s="15" t="s">
        <v>7419</v>
      </c>
    </row>
    <row r="1781" spans="1:12" ht="135">
      <c r="A1781" s="8" t="s">
        <v>7420</v>
      </c>
      <c r="B1781" s="9" t="s">
        <v>12</v>
      </c>
      <c r="C1781" s="10" t="s">
        <v>151</v>
      </c>
      <c r="D1781" s="10" t="str">
        <f ca="1">IFERROR(__xludf.DUMMYFUNCTION(" VLOOKUP(A1778, IMPORTRANGE(""https://docs.google.com/spreadsheets/d/1fj_Bhi2XPL3siwIh4sx4VRLAe31yD50oKdj5UlRYW0c/"", ""Сводка!A:AA""), 11, FALSE)"),"996-856-235-258-3")</f>
        <v>996-856-235-258-3</v>
      </c>
      <c r="E1781" s="11" t="s">
        <v>7417</v>
      </c>
      <c r="F1781" s="11" t="s">
        <v>7421</v>
      </c>
      <c r="G1781" s="12">
        <f ca="1">IFERROR(__xludf.DUMMYFUNCTION(" VLOOKUP(A1778, IMPORTRANGE(""https://docs.google.com/spreadsheets/d/1fj_Bhi2XPL3siwIh4sx4VRLAe31yD50oKdj5UlRYW0c/"", ""Сводка!A:AA""), 5, FALSE)"),168)</f>
        <v>168</v>
      </c>
      <c r="H1781" s="12" t="s">
        <v>498</v>
      </c>
      <c r="I1781" s="10">
        <f ca="1">IFERROR(__xludf.DUMMYFUNCTION(" VLOOKUP(A1778, IMPORTRANGE(""https://docs.google.com/spreadsheets/d/1QNLbnkR_AongFt22vMfNzfpjZ0CjpI8QI-w0wBnYA1w/"", ""Инфа!A:AA""), 6, FALSE)"),2024)</f>
        <v>2024</v>
      </c>
      <c r="J1781" s="5">
        <f ca="1">ROUND((5000+G1781*30),-2)</f>
        <v>10000</v>
      </c>
      <c r="K1781" s="12" t="s">
        <v>961</v>
      </c>
      <c r="L1781" s="15" t="s">
        <v>7422</v>
      </c>
    </row>
    <row r="1782" spans="1:12" ht="25.5">
      <c r="A1782" s="8" t="s">
        <v>7423</v>
      </c>
      <c r="B1782" s="9" t="s">
        <v>12</v>
      </c>
      <c r="C1782" s="10" t="s">
        <v>151</v>
      </c>
      <c r="D1782" s="10" t="str">
        <f ca="1">IFERROR(__xludf.DUMMYFUNCTION(" VLOOKUP(A1779, IMPORTRANGE(""https://docs.google.com/spreadsheets/d/1fj_Bhi2XPL3siwIh4sx4VRLAe31yD50oKdj5UlRYW0c/"", ""Сводка!A:AA""), 11, FALSE)"),"958-685-574-553-7")</f>
        <v>958-685-574-553-7</v>
      </c>
      <c r="E1782" s="11" t="s">
        <v>7417</v>
      </c>
      <c r="F1782" s="11" t="s">
        <v>7424</v>
      </c>
      <c r="G1782" s="12">
        <v>200</v>
      </c>
      <c r="H1782" s="12" t="s">
        <v>498</v>
      </c>
      <c r="I1782" s="10">
        <f ca="1">IFERROR(__xludf.DUMMYFUNCTION(" VLOOKUP(A1779, IMPORTRANGE(""https://docs.google.com/spreadsheets/d/1QNLbnkR_AongFt22vMfNzfpjZ0CjpI8QI-w0wBnYA1w/"", ""Инфа!A:AA""), 6, FALSE)"),2024)</f>
        <v>2024</v>
      </c>
      <c r="J1782" s="5">
        <f>ROUND((5000+G1782*60),-2)</f>
        <v>17000</v>
      </c>
      <c r="K1782" s="12" t="s">
        <v>961</v>
      </c>
      <c r="L1782" s="15"/>
    </row>
    <row r="1783" spans="1:12" ht="25.5">
      <c r="A1783" s="8" t="s">
        <v>7425</v>
      </c>
      <c r="B1783" s="9" t="s">
        <v>12</v>
      </c>
      <c r="C1783" s="10" t="s">
        <v>151</v>
      </c>
      <c r="D1783" s="10" t="str">
        <f ca="1">IFERROR(__xludf.DUMMYFUNCTION(" VLOOKUP(A1780, IMPORTRANGE(""https://docs.google.com/spreadsheets/d/1fj_Bhi2XPL3siwIh4sx4VRLAe31yD50oKdj5UlRYW0c/"", ""Сводка!A:AA""), 11, FALSE)"),"985-357-994-518-4")</f>
        <v>985-357-994-518-4</v>
      </c>
      <c r="E1783" s="11" t="s">
        <v>7417</v>
      </c>
      <c r="F1783" s="11" t="s">
        <v>7426</v>
      </c>
      <c r="G1783" s="12">
        <v>216</v>
      </c>
      <c r="H1783" s="12" t="s">
        <v>498</v>
      </c>
      <c r="I1783" s="10">
        <f ca="1">IFERROR(__xludf.DUMMYFUNCTION(" VLOOKUP(A1780, IMPORTRANGE(""https://docs.google.com/spreadsheets/d/1QNLbnkR_AongFt22vMfNzfpjZ0CjpI8QI-w0wBnYA1w/"", ""Инфа!A:AA""), 6, FALSE)"),2024)</f>
        <v>2024</v>
      </c>
      <c r="J1783" s="5">
        <f>ROUND((5000+G1783*30),-2)</f>
        <v>11500</v>
      </c>
      <c r="K1783" s="12" t="s">
        <v>961</v>
      </c>
      <c r="L1783" s="15"/>
    </row>
    <row r="1784" spans="1:12" ht="25.5">
      <c r="A1784" s="8" t="s">
        <v>7427</v>
      </c>
      <c r="B1784" s="9" t="s">
        <v>12</v>
      </c>
      <c r="C1784" s="10" t="s">
        <v>151</v>
      </c>
      <c r="D1784" s="10" t="str">
        <f ca="1">IFERROR(__xludf.DUMMYFUNCTION(" VLOOKUP(A1781, IMPORTRANGE(""https://docs.google.com/spreadsheets/d/1fj_Bhi2XPL3siwIh4sx4VRLAe31yD50oKdj5UlRYW0c/"", ""Сводка!A:AA""), 11, FALSE)"),"978-601-240-265-0")</f>
        <v>978-601-240-265-0</v>
      </c>
      <c r="E1784" s="11" t="s">
        <v>7417</v>
      </c>
      <c r="F1784" s="11" t="s">
        <v>7428</v>
      </c>
      <c r="G1784" s="12">
        <f ca="1">IFERROR(__xludf.DUMMYFUNCTION(" VLOOKUP(A1781, IMPORTRANGE(""https://docs.google.com/spreadsheets/d/1fj_Bhi2XPL3siwIh4sx4VRLAe31yD50oKdj5UlRYW0c/"", ""Сводка!A:AA""), 5, FALSE)"),316)</f>
        <v>316</v>
      </c>
      <c r="H1784" s="12" t="s">
        <v>498</v>
      </c>
      <c r="I1784" s="10">
        <f ca="1">IFERROR(__xludf.DUMMYFUNCTION(" VLOOKUP(A1781, IMPORTRANGE(""https://docs.google.com/spreadsheets/d/1QNLbnkR_AongFt22vMfNzfpjZ0CjpI8QI-w0wBnYA1w/"", ""Инфа!A:AA""), 6, FALSE)"),2024)</f>
        <v>2024</v>
      </c>
      <c r="J1784" s="5">
        <f ca="1">ROUND((5000+G1784*60),-2)</f>
        <v>24000</v>
      </c>
      <c r="K1784" s="12" t="s">
        <v>961</v>
      </c>
      <c r="L1784" s="15"/>
    </row>
    <row r="1785" spans="1:12" ht="25.5">
      <c r="A1785" s="8" t="s">
        <v>7429</v>
      </c>
      <c r="B1785" s="9" t="s">
        <v>12</v>
      </c>
      <c r="C1785" s="10" t="s">
        <v>151</v>
      </c>
      <c r="D1785" s="10" t="str">
        <f ca="1">IFERROR(__xludf.DUMMYFUNCTION(" VLOOKUP(A1782, IMPORTRANGE(""https://docs.google.com/spreadsheets/d/1fj_Bhi2XPL3siwIh4sx4VRLAe31yD50oKdj5UlRYW0c/"", ""Сводка!A:AA""), 11, FALSE)"),"978-601-540-220-8")</f>
        <v>978-601-540-220-8</v>
      </c>
      <c r="E1785" s="11" t="s">
        <v>7417</v>
      </c>
      <c r="F1785" s="11" t="s">
        <v>7430</v>
      </c>
      <c r="G1785" s="12">
        <f ca="1">IFERROR(__xludf.DUMMYFUNCTION(" VLOOKUP(A1782, IMPORTRANGE(""https://docs.google.com/spreadsheets/d/1fj_Bhi2XPL3siwIh4sx4VRLAe31yD50oKdj5UlRYW0c/"", ""Сводка!A:AA""), 5, FALSE)"),152)</f>
        <v>152</v>
      </c>
      <c r="H1785" s="12" t="s">
        <v>498</v>
      </c>
      <c r="I1785" s="10">
        <f ca="1">IFERROR(__xludf.DUMMYFUNCTION(" VLOOKUP(A1782, IMPORTRANGE(""https://docs.google.com/spreadsheets/d/1QNLbnkR_AongFt22vMfNzfpjZ0CjpI8QI-w0wBnYA1w/"", ""Инфа!A:AA""), 6, FALSE)"),2024)</f>
        <v>2024</v>
      </c>
      <c r="J1785" s="5">
        <f ca="1">ROUND((5000+G1785*30),-2)</f>
        <v>9600</v>
      </c>
      <c r="K1785" s="12" t="s">
        <v>961</v>
      </c>
      <c r="L1785" s="15"/>
    </row>
    <row r="1786" spans="1:12" ht="146.25">
      <c r="A1786" s="8" t="s">
        <v>7431</v>
      </c>
      <c r="B1786" s="9" t="s">
        <v>12</v>
      </c>
      <c r="C1786" s="10" t="s">
        <v>151</v>
      </c>
      <c r="D1786" s="10" t="str">
        <f ca="1">IFERROR(__xludf.DUMMYFUNCTION(" VLOOKUP(A1783, IMPORTRANGE(""https://docs.google.com/spreadsheets/d/1fj_Bhi2XPL3siwIh4sx4VRLAe31yD50oKdj5UlRYW0c/"", ""Сводка!A:AA""), 11, FALSE)"),"985-357-994-518-4")</f>
        <v>985-357-994-518-4</v>
      </c>
      <c r="E1786" s="11" t="s">
        <v>7417</v>
      </c>
      <c r="F1786" s="11" t="s">
        <v>7432</v>
      </c>
      <c r="G1786" s="12">
        <f ca="1">IFERROR(__xludf.DUMMYFUNCTION(" VLOOKUP(A1783, IMPORTRANGE(""https://docs.google.com/spreadsheets/d/1fj_Bhi2XPL3siwIh4sx4VRLAe31yD50oKdj5UlRYW0c/"", ""Сводка!A:AA""), 5, FALSE)"),252)</f>
        <v>252</v>
      </c>
      <c r="H1786" s="12" t="s">
        <v>498</v>
      </c>
      <c r="I1786" s="10">
        <f ca="1">IFERROR(__xludf.DUMMYFUNCTION(" VLOOKUP(A1783, IMPORTRANGE(""https://docs.google.com/spreadsheets/d/1QNLbnkR_AongFt22vMfNzfpjZ0CjpI8QI-w0wBnYA1w/"", ""Инфа!A:AA""), 6, FALSE)"),2024)</f>
        <v>2024</v>
      </c>
      <c r="J1786" s="5">
        <f ca="1">ROUND((5000+G1786*60),-2)</f>
        <v>20100</v>
      </c>
      <c r="K1786" s="12" t="s">
        <v>961</v>
      </c>
      <c r="L1786" s="15" t="s">
        <v>7433</v>
      </c>
    </row>
    <row r="1787" spans="1:12" ht="56.25">
      <c r="A1787" s="8" t="s">
        <v>7434</v>
      </c>
      <c r="B1787" s="9" t="s">
        <v>12</v>
      </c>
      <c r="C1787" s="10" t="s">
        <v>151</v>
      </c>
      <c r="D1787" s="10" t="str">
        <f ca="1">IFERROR(__xludf.DUMMYFUNCTION(" VLOOKUP(A1784, IMPORTRANGE(""https://docs.google.com/spreadsheets/d/1fj_Bhi2XPL3siwIh4sx4VRLAe31yD50oKdj5UlRYW0c/"", ""Сводка!A:AA""), 11, FALSE)"),"978-601-342-889-5")</f>
        <v>978-601-342-889-5</v>
      </c>
      <c r="E1787" s="11" t="s">
        <v>7435</v>
      </c>
      <c r="F1787" s="11" t="s">
        <v>7436</v>
      </c>
      <c r="G1787" s="12">
        <f ca="1">IFERROR(__xludf.DUMMYFUNCTION(" VLOOKUP(A1784, IMPORTRANGE(""https://docs.google.com/spreadsheets/d/1fj_Bhi2XPL3siwIh4sx4VRLAe31yD50oKdj5UlRYW0c/"", ""Сводка!A:AA""), 5, FALSE)"),152)</f>
        <v>152</v>
      </c>
      <c r="H1787" s="12" t="s">
        <v>498</v>
      </c>
      <c r="I1787" s="10">
        <f ca="1">IFERROR(__xludf.DUMMYFUNCTION(" VLOOKUP(A1784, IMPORTRANGE(""https://docs.google.com/spreadsheets/d/1QNLbnkR_AongFt22vMfNzfpjZ0CjpI8QI-w0wBnYA1w/"", ""Инфа!A:AA""), 6, FALSE)"),2024)</f>
        <v>2024</v>
      </c>
      <c r="J1787" s="5">
        <f ca="1">ROUND((5000+G1787*30),-2)</f>
        <v>9600</v>
      </c>
      <c r="K1787" s="12" t="s">
        <v>961</v>
      </c>
      <c r="L1787" s="15" t="s">
        <v>7437</v>
      </c>
    </row>
    <row r="1788" spans="1:12" ht="292.5">
      <c r="A1788" s="8" t="s">
        <v>7438</v>
      </c>
      <c r="B1788" s="9" t="s">
        <v>12</v>
      </c>
      <c r="C1788" s="10" t="s">
        <v>151</v>
      </c>
      <c r="D1788" s="10" t="str">
        <f ca="1">IFERROR(__xludf.DUMMYFUNCTION(" VLOOKUP(A1785, IMPORTRANGE(""https://docs.google.com/spreadsheets/d/1fj_Bhi2XPL3siwIh4sx4VRLAe31yD50oKdj5UlRYW0c/"", ""Сводка!A:AA""), 11, FALSE)"),"978-601-207-497-0")</f>
        <v>978-601-207-497-0</v>
      </c>
      <c r="E1788" s="11" t="s">
        <v>7435</v>
      </c>
      <c r="F1788" s="11" t="s">
        <v>7439</v>
      </c>
      <c r="G1788" s="12">
        <f ca="1">IFERROR(__xludf.DUMMYFUNCTION(" VLOOKUP(A1785, IMPORTRANGE(""https://docs.google.com/spreadsheets/d/1fj_Bhi2XPL3siwIh4sx4VRLAe31yD50oKdj5UlRYW0c/"", ""Сводка!A:AA""), 5, FALSE)"),216)</f>
        <v>216</v>
      </c>
      <c r="H1788" s="12" t="s">
        <v>498</v>
      </c>
      <c r="I1788" s="10">
        <f ca="1">IFERROR(__xludf.DUMMYFUNCTION(" VLOOKUP(A1785, IMPORTRANGE(""https://docs.google.com/spreadsheets/d/1QNLbnkR_AongFt22vMfNzfpjZ0CjpI8QI-w0wBnYA1w/"", ""Инфа!A:AA""), 6, FALSE)"),2024)</f>
        <v>2024</v>
      </c>
      <c r="J1788" s="5">
        <f ca="1">ROUND((5000+G1788*30),-2)</f>
        <v>11500</v>
      </c>
      <c r="K1788" s="12" t="s">
        <v>961</v>
      </c>
      <c r="L1788" s="15" t="s">
        <v>7440</v>
      </c>
    </row>
    <row r="1789" spans="1:12" ht="135">
      <c r="A1789" s="8" t="s">
        <v>7441</v>
      </c>
      <c r="B1789" s="9" t="s">
        <v>12</v>
      </c>
      <c r="C1789" s="10" t="s">
        <v>151</v>
      </c>
      <c r="D1789" s="10" t="str">
        <f ca="1">IFERROR(__xludf.DUMMYFUNCTION(" VLOOKUP(A1786, IMPORTRANGE(""https://docs.google.com/spreadsheets/d/1fj_Bhi2XPL3siwIh4sx4VRLAe31yD50oKdj5UlRYW0c/"", ""Сводка!A:AA""), 11, FALSE)"),"978-601-342-343-2")</f>
        <v>978-601-342-343-2</v>
      </c>
      <c r="E1789" s="11" t="s">
        <v>7442</v>
      </c>
      <c r="F1789" s="11" t="s">
        <v>7443</v>
      </c>
      <c r="G1789" s="12">
        <f ca="1">IFERROR(__xludf.DUMMYFUNCTION(" VLOOKUP(A1786, IMPORTRANGE(""https://docs.google.com/spreadsheets/d/1fj_Bhi2XPL3siwIh4sx4VRLAe31yD50oKdj5UlRYW0c/"", ""Сводка!A:AA""), 5, FALSE)"),236)</f>
        <v>236</v>
      </c>
      <c r="H1789" s="12" t="s">
        <v>498</v>
      </c>
      <c r="I1789" s="10">
        <f ca="1">IFERROR(__xludf.DUMMYFUNCTION(" VLOOKUP(A1786, IMPORTRANGE(""https://docs.google.com/spreadsheets/d/1QNLbnkR_AongFt22vMfNzfpjZ0CjpI8QI-w0wBnYA1w/"", ""Инфа!A:AA""), 6, FALSE)"),2024)</f>
        <v>2024</v>
      </c>
      <c r="J1789" s="5">
        <f ca="1">ROUND((5000+G1789*60),-2)</f>
        <v>19200</v>
      </c>
      <c r="K1789" s="12" t="s">
        <v>2520</v>
      </c>
      <c r="L1789" s="15" t="s">
        <v>7444</v>
      </c>
    </row>
    <row r="1790" spans="1:12" ht="168.75">
      <c r="A1790" s="8" t="s">
        <v>7445</v>
      </c>
      <c r="B1790" s="9" t="s">
        <v>12</v>
      </c>
      <c r="C1790" s="10" t="s">
        <v>443</v>
      </c>
      <c r="D1790" s="10" t="str">
        <f ca="1">IFERROR(__xludf.DUMMYFUNCTION(" VLOOKUP(A1787, IMPORTRANGE(""https://docs.google.com/spreadsheets/d/1fj_Bhi2XPL3siwIh4sx4VRLAe31yD50oKdj5UlRYW0c/"", ""Сводка!A:AA""), 11, FALSE)"),"978-601-240-990-1")</f>
        <v>978-601-240-990-1</v>
      </c>
      <c r="E1790" s="11" t="s">
        <v>7446</v>
      </c>
      <c r="F1790" s="11" t="s">
        <v>7447</v>
      </c>
      <c r="G1790" s="12">
        <f ca="1">IFERROR(__xludf.DUMMYFUNCTION(" VLOOKUP(A1787, IMPORTRANGE(""https://docs.google.com/spreadsheets/d/1fj_Bhi2XPL3siwIh4sx4VRLAe31yD50oKdj5UlRYW0c/"", ""Сводка!A:AA""), 5, FALSE)"),308)</f>
        <v>308</v>
      </c>
      <c r="H1790" s="12" t="s">
        <v>511</v>
      </c>
      <c r="I1790" s="10">
        <f ca="1">IFERROR(__xludf.DUMMYFUNCTION(" VLOOKUP(A1787, IMPORTRANGE(""https://docs.google.com/spreadsheets/d/1QNLbnkR_AongFt22vMfNzfpjZ0CjpI8QI-w0wBnYA1w/"", ""Инфа!A:AA""), 6, FALSE)"),2024)</f>
        <v>2024</v>
      </c>
      <c r="J1790" s="5">
        <f ca="1">ROUND((5000+G1790*30),-2)</f>
        <v>14200</v>
      </c>
      <c r="K1790" s="9" t="s">
        <v>69</v>
      </c>
      <c r="L1790" s="15" t="s">
        <v>7448</v>
      </c>
    </row>
    <row r="1791" spans="1:12" ht="38.25">
      <c r="A1791" s="8" t="s">
        <v>7449</v>
      </c>
      <c r="B1791" s="9" t="s">
        <v>12</v>
      </c>
      <c r="C1791" s="10" t="s">
        <v>151</v>
      </c>
      <c r="D1791" s="10" t="str">
        <f ca="1">IFERROR(__xludf.DUMMYFUNCTION(" VLOOKUP(A1788, IMPORTRANGE(""https://docs.google.com/spreadsheets/d/1fj_Bhi2XPL3siwIh4sx4VRLAe31yD50oKdj5UlRYW0c/"", ""Сводка!A:AA""), 11, FALSE)"),"978-601-327-671-7")</f>
        <v>978-601-327-671-7</v>
      </c>
      <c r="E1791" s="62" t="s">
        <v>7450</v>
      </c>
      <c r="F1791" s="62" t="s">
        <v>7451</v>
      </c>
      <c r="G1791" s="12">
        <f ca="1">IFERROR(__xludf.DUMMYFUNCTION(" VLOOKUP(A1788, IMPORTRANGE(""https://docs.google.com/spreadsheets/d/1fj_Bhi2XPL3siwIh4sx4VRLAe31yD50oKdj5UlRYW0c/"", ""Сводка!A:AA""), 5, FALSE)"),284)</f>
        <v>284</v>
      </c>
      <c r="H1791" s="63" t="s">
        <v>498</v>
      </c>
      <c r="I1791" s="10">
        <f ca="1">IFERROR(__xludf.DUMMYFUNCTION(" VLOOKUP(A1788, IMPORTRANGE(""https://docs.google.com/spreadsheets/d/1QNLbnkR_AongFt22vMfNzfpjZ0CjpI8QI-w0wBnYA1w/"", ""Инфа!A:AA""), 6, FALSE)"),2024)</f>
        <v>2024</v>
      </c>
      <c r="J1791" s="5">
        <f ca="1">ROUND((5000+G1791*30),-2)</f>
        <v>13500</v>
      </c>
      <c r="K1791" s="63" t="s">
        <v>548</v>
      </c>
      <c r="L1791" s="64"/>
    </row>
    <row r="1792" spans="1:12" ht="38.25">
      <c r="A1792" s="8" t="s">
        <v>7452</v>
      </c>
      <c r="B1792" s="9" t="s">
        <v>12</v>
      </c>
      <c r="C1792" s="10" t="s">
        <v>151</v>
      </c>
      <c r="D1792" s="10" t="str">
        <f ca="1">IFERROR(__xludf.DUMMYFUNCTION(" VLOOKUP(A1789, IMPORTRANGE(""https://docs.google.com/spreadsheets/d/1fj_Bhi2XPL3siwIh4sx4VRLAe31yD50oKdj5UlRYW0c/"", ""Сводка!A:AA""), 11, FALSE)"),"978-601-327-671-7")</f>
        <v>978-601-327-671-7</v>
      </c>
      <c r="E1792" s="62" t="s">
        <v>7450</v>
      </c>
      <c r="F1792" s="62" t="s">
        <v>7453</v>
      </c>
      <c r="G1792" s="12">
        <f ca="1">IFERROR(__xludf.DUMMYFUNCTION(" VLOOKUP(A1789, IMPORTRANGE(""https://docs.google.com/spreadsheets/d/1fj_Bhi2XPL3siwIh4sx4VRLAe31yD50oKdj5UlRYW0c/"", ""Сводка!A:AA""), 5, FALSE)"),328)</f>
        <v>328</v>
      </c>
      <c r="H1792" s="63" t="s">
        <v>498</v>
      </c>
      <c r="I1792" s="10">
        <f ca="1">IFERROR(__xludf.DUMMYFUNCTION(" VLOOKUP(A1789, IMPORTRANGE(""https://docs.google.com/spreadsheets/d/1QNLbnkR_AongFt22vMfNzfpjZ0CjpI8QI-w0wBnYA1w/"", ""Инфа!A:AA""), 6, FALSE)"),2024)</f>
        <v>2024</v>
      </c>
      <c r="J1792" s="5">
        <f ca="1">ROUND((5000+G1792*60),-2)</f>
        <v>24700</v>
      </c>
      <c r="K1792" s="63" t="s">
        <v>548</v>
      </c>
      <c r="L1792" s="64"/>
    </row>
    <row r="1793" spans="1:12" ht="56.25">
      <c r="A1793" s="8" t="s">
        <v>7454</v>
      </c>
      <c r="B1793" s="9" t="s">
        <v>12</v>
      </c>
      <c r="C1793" s="10" t="s">
        <v>443</v>
      </c>
      <c r="D1793" s="10" t="str">
        <f ca="1">IFERROR(__xludf.DUMMYFUNCTION(" VLOOKUP(A1790, IMPORTRANGE(""https://docs.google.com/spreadsheets/d/1fj_Bhi2XPL3siwIh4sx4VRLAe31yD50oKdj5UlRYW0c/"", ""Сводка!A:AA""), 11, FALSE)"),"978-601-327-399-0")</f>
        <v>978-601-327-399-0</v>
      </c>
      <c r="E1793" s="11" t="s">
        <v>7455</v>
      </c>
      <c r="F1793" s="11" t="s">
        <v>7456</v>
      </c>
      <c r="G1793" s="12">
        <f ca="1">IFERROR(__xludf.DUMMYFUNCTION(" VLOOKUP(A1790, IMPORTRANGE(""https://docs.google.com/spreadsheets/d/1fj_Bhi2XPL3siwIh4sx4VRLAe31yD50oKdj5UlRYW0c/"", ""Сводка!A:AA""), 5, FALSE)"),188)</f>
        <v>188</v>
      </c>
      <c r="H1793" s="12" t="s">
        <v>538</v>
      </c>
      <c r="I1793" s="10">
        <f ca="1">IFERROR(__xludf.DUMMYFUNCTION(" VLOOKUP(A1790, IMPORTRANGE(""https://docs.google.com/spreadsheets/d/1QNLbnkR_AongFt22vMfNzfpjZ0CjpI8QI-w0wBnYA1w/"", ""Инфа!A:AA""), 6, FALSE)"),2024)</f>
        <v>2024</v>
      </c>
      <c r="J1793" s="5">
        <f ca="1">ROUND((5000+G1793*30),-2)</f>
        <v>10600</v>
      </c>
      <c r="K1793" s="12" t="s">
        <v>7402</v>
      </c>
      <c r="L1793" s="15" t="s">
        <v>7457</v>
      </c>
    </row>
    <row r="1794" spans="1:12" ht="146.25">
      <c r="A1794" s="8" t="s">
        <v>7458</v>
      </c>
      <c r="B1794" s="9" t="s">
        <v>12</v>
      </c>
      <c r="C1794" s="10" t="s">
        <v>151</v>
      </c>
      <c r="D1794" s="10" t="str">
        <f ca="1">IFERROR(__xludf.DUMMYFUNCTION(" VLOOKUP(A1791, IMPORTRANGE(""https://docs.google.com/spreadsheets/d/1fj_Bhi2XPL3siwIh4sx4VRLAe31yD50oKdj5UlRYW0c/"", ""Сводка!A:AA""), 11, FALSE)"),"5-283-010-86-4")</f>
        <v>5-283-010-86-4</v>
      </c>
      <c r="E1794" s="62" t="s">
        <v>7459</v>
      </c>
      <c r="F1794" s="62" t="s">
        <v>7460</v>
      </c>
      <c r="G1794" s="12">
        <f ca="1">IFERROR(__xludf.DUMMYFUNCTION(" VLOOKUP(A1791, IMPORTRANGE(""https://docs.google.com/spreadsheets/d/1fj_Bhi2XPL3siwIh4sx4VRLAe31yD50oKdj5UlRYW0c/"", ""Сводка!A:AA""), 5, FALSE)"),256)</f>
        <v>256</v>
      </c>
      <c r="H1794" s="63" t="s">
        <v>47</v>
      </c>
      <c r="I1794" s="10">
        <f ca="1">IFERROR(__xludf.DUMMYFUNCTION(" VLOOKUP(A1791, IMPORTRANGE(""https://docs.google.com/spreadsheets/d/1QNLbnkR_AongFt22vMfNzfpjZ0CjpI8QI-w0wBnYA1w/"", ""Инфа!A:AA""), 6, FALSE)"),2024)</f>
        <v>2024</v>
      </c>
      <c r="J1794" s="5">
        <f ca="1">ROUND(((5000+G1794*30)*1.3),-2)</f>
        <v>16500</v>
      </c>
      <c r="K1794" s="9" t="s">
        <v>619</v>
      </c>
      <c r="L1794" s="64" t="s">
        <v>7461</v>
      </c>
    </row>
    <row r="1795" spans="1:12" ht="112.5">
      <c r="A1795" s="8" t="s">
        <v>7462</v>
      </c>
      <c r="B1795" s="9" t="s">
        <v>12</v>
      </c>
      <c r="C1795" s="10" t="s">
        <v>151</v>
      </c>
      <c r="D1795" s="10" t="str">
        <f ca="1">IFERROR(__xludf.DUMMYFUNCTION(" VLOOKUP(A1792, IMPORTRANGE(""https://docs.google.com/spreadsheets/d/1fj_Bhi2XPL3siwIh4sx4VRLAe31yD50oKdj5UlRYW0c/"", ""Сводка!A:AA""), 11, FALSE)"),"978-601-240-991-8")</f>
        <v>978-601-240-991-8</v>
      </c>
      <c r="E1795" s="11" t="s">
        <v>7463</v>
      </c>
      <c r="F1795" s="11" t="s">
        <v>7464</v>
      </c>
      <c r="G1795" s="12">
        <f ca="1">IFERROR(__xludf.DUMMYFUNCTION(" VLOOKUP(A1792, IMPORTRANGE(""https://docs.google.com/spreadsheets/d/1fj_Bhi2XPL3siwIh4sx4VRLAe31yD50oKdj5UlRYW0c/"", ""Сводка!A:AA""), 5, FALSE)"),308)</f>
        <v>308</v>
      </c>
      <c r="H1795" s="12" t="s">
        <v>498</v>
      </c>
      <c r="I1795" s="10">
        <f ca="1">IFERROR(__xludf.DUMMYFUNCTION(" VLOOKUP(A1792, IMPORTRANGE(""https://docs.google.com/spreadsheets/d/1QNLbnkR_AongFt22vMfNzfpjZ0CjpI8QI-w0wBnYA1w/"", ""Инфа!A:AA""), 6, FALSE)"),2024)</f>
        <v>2024</v>
      </c>
      <c r="J1795" s="5">
        <f ca="1">ROUND((5000+G1795*30),-2)</f>
        <v>14200</v>
      </c>
      <c r="K1795" s="12" t="s">
        <v>287</v>
      </c>
      <c r="L1795" s="15" t="s">
        <v>7465</v>
      </c>
    </row>
    <row r="1796" spans="1:12" ht="112.5">
      <c r="A1796" s="8" t="s">
        <v>7466</v>
      </c>
      <c r="B1796" s="9" t="s">
        <v>12</v>
      </c>
      <c r="C1796" s="10" t="s">
        <v>443</v>
      </c>
      <c r="D1796" s="10" t="str">
        <f ca="1">IFERROR(__xludf.DUMMYFUNCTION(" VLOOKUP(A1793, IMPORTRANGE(""https://docs.google.com/spreadsheets/d/1fj_Bhi2XPL3siwIh4sx4VRLAe31yD50oKdj5UlRYW0c/"", ""Сводка!A:AA""), 11, FALSE)"),"978-601-241-109-3")</f>
        <v>978-601-241-109-3</v>
      </c>
      <c r="E1796" s="11" t="s">
        <v>7463</v>
      </c>
      <c r="F1796" s="11" t="s">
        <v>7467</v>
      </c>
      <c r="G1796" s="12">
        <f ca="1">IFERROR(__xludf.DUMMYFUNCTION(" VLOOKUP(A1793, IMPORTRANGE(""https://docs.google.com/spreadsheets/d/1fj_Bhi2XPL3siwIh4sx4VRLAe31yD50oKdj5UlRYW0c/"", ""Сводка!A:AA""), 5, FALSE)"),192)</f>
        <v>192</v>
      </c>
      <c r="H1796" s="12" t="s">
        <v>511</v>
      </c>
      <c r="I1796" s="10">
        <f ca="1">IFERROR(__xludf.DUMMYFUNCTION(" VLOOKUP(A1793, IMPORTRANGE(""https://docs.google.com/spreadsheets/d/1QNLbnkR_AongFt22vMfNzfpjZ0CjpI8QI-w0wBnYA1w/"", ""Инфа!A:AA""), 6, FALSE)"),2024)</f>
        <v>2024</v>
      </c>
      <c r="J1796" s="5">
        <f ca="1">ROUND((5000+G1796*30),-2)</f>
        <v>10800</v>
      </c>
      <c r="K1796" s="12" t="s">
        <v>287</v>
      </c>
      <c r="L1796" s="15" t="s">
        <v>7468</v>
      </c>
    </row>
    <row r="1797" spans="1:12" ht="135">
      <c r="A1797" s="8" t="s">
        <v>7469</v>
      </c>
      <c r="B1797" s="9" t="s">
        <v>12</v>
      </c>
      <c r="C1797" s="10" t="s">
        <v>443</v>
      </c>
      <c r="D1797" s="10" t="str">
        <f ca="1">IFERROR(__xludf.DUMMYFUNCTION(" VLOOKUP(A1794, IMPORTRANGE(""https://docs.google.com/spreadsheets/d/1fj_Bhi2XPL3siwIh4sx4VRLAe31yD50oKdj5UlRYW0c/"", ""Сводка!A:AA""), 11, FALSE)"),"978-601-240-344-8")</f>
        <v>978-601-240-344-8</v>
      </c>
      <c r="E1797" s="11" t="s">
        <v>7470</v>
      </c>
      <c r="F1797" s="11" t="s">
        <v>7471</v>
      </c>
      <c r="G1797" s="12">
        <f ca="1">IFERROR(__xludf.DUMMYFUNCTION(" VLOOKUP(A1794, IMPORTRANGE(""https://docs.google.com/spreadsheets/d/1fj_Bhi2XPL3siwIh4sx4VRLAe31yD50oKdj5UlRYW0c/"", ""Сводка!A:AA""), 5, FALSE)"),132)</f>
        <v>132</v>
      </c>
      <c r="H1797" s="12" t="s">
        <v>538</v>
      </c>
      <c r="I1797" s="10">
        <f ca="1">IFERROR(__xludf.DUMMYFUNCTION(" VLOOKUP(A1794, IMPORTRANGE(""https://docs.google.com/spreadsheets/d/1QNLbnkR_AongFt22vMfNzfpjZ0CjpI8QI-w0wBnYA1w/"", ""Инфа!A:AA""), 6, FALSE)"),2024)</f>
        <v>2024</v>
      </c>
      <c r="J1797" s="5">
        <f ca="1">ROUND((5000+G1797*30),-2)</f>
        <v>9000</v>
      </c>
      <c r="K1797" s="12" t="s">
        <v>287</v>
      </c>
      <c r="L1797" s="15" t="s">
        <v>7472</v>
      </c>
    </row>
    <row r="1798" spans="1:12" ht="168.75">
      <c r="A1798" s="8" t="s">
        <v>7473</v>
      </c>
      <c r="B1798" s="9" t="s">
        <v>12</v>
      </c>
      <c r="C1798" s="10" t="s">
        <v>151</v>
      </c>
      <c r="D1798" s="10" t="str">
        <f ca="1">IFERROR(__xludf.DUMMYFUNCTION(" VLOOKUP(A1795, IMPORTRANGE(""https://docs.google.com/spreadsheets/d/1fj_Bhi2XPL3siwIh4sx4VRLAe31yD50oKdj5UlRYW0c/"", ""Сводка!A:AA""), 11, FALSE)"),"978-601-327-043-2")</f>
        <v>978-601-327-043-2</v>
      </c>
      <c r="E1798" s="62" t="s">
        <v>7474</v>
      </c>
      <c r="F1798" s="62" t="s">
        <v>7475</v>
      </c>
      <c r="G1798" s="12">
        <f ca="1">IFERROR(__xludf.DUMMYFUNCTION(" VLOOKUP(A1795, IMPORTRANGE(""https://docs.google.com/spreadsheets/d/1fj_Bhi2XPL3siwIh4sx4VRLAe31yD50oKdj5UlRYW0c/"", ""Сводка!A:AA""), 5, FALSE)"),168)</f>
        <v>168</v>
      </c>
      <c r="H1798" s="63" t="s">
        <v>498</v>
      </c>
      <c r="I1798" s="10">
        <f ca="1">IFERROR(__xludf.DUMMYFUNCTION(" VLOOKUP(A1795, IMPORTRANGE(""https://docs.google.com/spreadsheets/d/1QNLbnkR_AongFt22vMfNzfpjZ0CjpI8QI-w0wBnYA1w/"", ""Инфа!A:AA""), 6, FALSE)"),2024)</f>
        <v>2024</v>
      </c>
      <c r="J1798" s="5">
        <f ca="1">ROUND((5000+G1798*60),-2)</f>
        <v>15100</v>
      </c>
      <c r="K1798" s="12" t="s">
        <v>3208</v>
      </c>
      <c r="L1798" s="64" t="s">
        <v>7476</v>
      </c>
    </row>
    <row r="1799" spans="1:12" ht="281.25">
      <c r="A1799" s="8" t="s">
        <v>7477</v>
      </c>
      <c r="B1799" s="9" t="s">
        <v>12</v>
      </c>
      <c r="C1799" s="10" t="s">
        <v>151</v>
      </c>
      <c r="D1799" s="10" t="str">
        <f ca="1">IFERROR(__xludf.DUMMYFUNCTION(" VLOOKUP(A1796, IMPORTRANGE(""https://docs.google.com/spreadsheets/d/1fj_Bhi2XPL3siwIh4sx4VRLAe31yD50oKdj5UlRYW0c/"", ""Сводка!A:AA""), 11, FALSE)"),"99658-826-27-7")</f>
        <v>99658-826-27-7</v>
      </c>
      <c r="E1799" s="11" t="s">
        <v>7478</v>
      </c>
      <c r="F1799" s="11" t="s">
        <v>7479</v>
      </c>
      <c r="G1799" s="12">
        <f ca="1">IFERROR(__xludf.DUMMYFUNCTION(" VLOOKUP(A1796, IMPORTRANGE(""https://docs.google.com/spreadsheets/d/1fj_Bhi2XPL3siwIh4sx4VRLAe31yD50oKdj5UlRYW0c/"", ""Сводка!A:AA""), 5, FALSE)"),348)</f>
        <v>348</v>
      </c>
      <c r="H1799" s="12" t="s">
        <v>498</v>
      </c>
      <c r="I1799" s="10">
        <f ca="1">IFERROR(__xludf.DUMMYFUNCTION(" VLOOKUP(A1796, IMPORTRANGE(""https://docs.google.com/spreadsheets/d/1QNLbnkR_AongFt22vMfNzfpjZ0CjpI8QI-w0wBnYA1w/"", ""Инфа!A:AA""), 6, FALSE)"),2024)</f>
        <v>2024</v>
      </c>
      <c r="J1799" s="5">
        <f ca="1">ROUND((5000+G1799*30),-2)</f>
        <v>15400</v>
      </c>
      <c r="K1799" s="12" t="s">
        <v>440</v>
      </c>
      <c r="L1799" s="15" t="s">
        <v>7480</v>
      </c>
    </row>
    <row r="1800" spans="1:12" ht="157.5">
      <c r="A1800" s="8" t="s">
        <v>7481</v>
      </c>
      <c r="B1800" s="9" t="s">
        <v>12</v>
      </c>
      <c r="C1800" s="10" t="s">
        <v>151</v>
      </c>
      <c r="D1800" s="10" t="str">
        <f ca="1">IFERROR(__xludf.DUMMYFUNCTION(" VLOOKUP(A1797, IMPORTRANGE(""https://docs.google.com/spreadsheets/d/1fj_Bhi2XPL3siwIh4sx4VRLAe31yD50oKdj5UlRYW0c/"", ""Сводка!A:AA""), 11, FALSE)"),"978-601-327-386-0")</f>
        <v>978-601-327-386-0</v>
      </c>
      <c r="E1800" s="11" t="s">
        <v>7482</v>
      </c>
      <c r="F1800" s="11" t="s">
        <v>7483</v>
      </c>
      <c r="G1800" s="12">
        <f ca="1">IFERROR(__xludf.DUMMYFUNCTION(" VLOOKUP(A1797, IMPORTRANGE(""https://docs.google.com/spreadsheets/d/1fj_Bhi2XPL3siwIh4sx4VRLAe31yD50oKdj5UlRYW0c/"", ""Сводка!A:AA""), 5, FALSE)"),212)</f>
        <v>212</v>
      </c>
      <c r="H1800" s="12" t="s">
        <v>47</v>
      </c>
      <c r="I1800" s="10">
        <f ca="1">IFERROR(__xludf.DUMMYFUNCTION(" VLOOKUP(A1797, IMPORTRANGE(""https://docs.google.com/spreadsheets/d/1QNLbnkR_AongFt22vMfNzfpjZ0CjpI8QI-w0wBnYA1w/"", ""Инфа!A:AA""), 6, FALSE)"),2024)</f>
        <v>2024</v>
      </c>
      <c r="J1800" s="5">
        <f ca="1">ROUND((5000+G1800*60),-2)</f>
        <v>17700</v>
      </c>
      <c r="K1800" s="12" t="s">
        <v>447</v>
      </c>
      <c r="L1800" s="15" t="s">
        <v>7484</v>
      </c>
    </row>
    <row r="1801" spans="1:12" ht="146.25">
      <c r="A1801" s="8" t="s">
        <v>7485</v>
      </c>
      <c r="B1801" s="9" t="s">
        <v>12</v>
      </c>
      <c r="C1801" s="10" t="s">
        <v>2342</v>
      </c>
      <c r="D1801" s="10" t="str">
        <f ca="1">IFERROR(__xludf.DUMMYFUNCTION(" VLOOKUP(A1798, IMPORTRANGE(""https://docs.google.com/spreadsheets/d/1fj_Bhi2XPL3siwIh4sx4VRLAe31yD50oKdj5UlRYW0c/"", ""Сводка!A:AA""), 11, FALSE)"),"978-601-342-855-0")</f>
        <v>978-601-342-855-0</v>
      </c>
      <c r="E1801" s="11" t="s">
        <v>7486</v>
      </c>
      <c r="F1801" s="11" t="s">
        <v>7487</v>
      </c>
      <c r="G1801" s="12">
        <f ca="1">IFERROR(__xludf.DUMMYFUNCTION(" VLOOKUP(A1798, IMPORTRANGE(""https://docs.google.com/spreadsheets/d/1fj_Bhi2XPL3siwIh4sx4VRLAe31yD50oKdj5UlRYW0c/"", ""Сводка!A:AA""), 5, FALSE)"),144)</f>
        <v>144</v>
      </c>
      <c r="H1801" s="12" t="s">
        <v>7488</v>
      </c>
      <c r="I1801" s="10">
        <f ca="1">IFERROR(__xludf.DUMMYFUNCTION(" VLOOKUP(A1798, IMPORTRANGE(""https://docs.google.com/spreadsheets/d/1QNLbnkR_AongFt22vMfNzfpjZ0CjpI8QI-w0wBnYA1w/"", ""Инфа!A:AA""), 6, FALSE)"),2024)</f>
        <v>2024</v>
      </c>
      <c r="J1801" s="5">
        <f ca="1">ROUND((5000+G1801*60),-2)</f>
        <v>13600</v>
      </c>
      <c r="K1801" s="12" t="s">
        <v>961</v>
      </c>
      <c r="L1801" s="15" t="s">
        <v>7489</v>
      </c>
    </row>
    <row r="1802" spans="1:12" ht="157.5">
      <c r="A1802" s="8" t="s">
        <v>7490</v>
      </c>
      <c r="B1802" s="9" t="s">
        <v>12</v>
      </c>
      <c r="C1802" s="10" t="s">
        <v>443</v>
      </c>
      <c r="D1802" s="10" t="str">
        <f ca="1">IFERROR(__xludf.DUMMYFUNCTION(" VLOOKUP(A1799, IMPORTRANGE(""https://docs.google.com/spreadsheets/d/1fj_Bhi2XPL3siwIh4sx4VRLAe31yD50oKdj5UlRYW0c/"", ""Сводка!A:AA""), 11, FALSE)"),"978-601-310-142-2")</f>
        <v>978-601-310-142-2</v>
      </c>
      <c r="E1802" s="11" t="s">
        <v>7491</v>
      </c>
      <c r="F1802" s="11" t="s">
        <v>7492</v>
      </c>
      <c r="G1802" s="12">
        <f ca="1">IFERROR(__xludf.DUMMYFUNCTION(" VLOOKUP(A1799, IMPORTRANGE(""https://docs.google.com/spreadsheets/d/1fj_Bhi2XPL3siwIh4sx4VRLAe31yD50oKdj5UlRYW0c/"", ""Сводка!A:AA""), 5, FALSE)"),176)</f>
        <v>176</v>
      </c>
      <c r="H1802" s="12" t="s">
        <v>777</v>
      </c>
      <c r="I1802" s="10">
        <f ca="1">IFERROR(__xludf.DUMMYFUNCTION(" VLOOKUP(A1799, IMPORTRANGE(""https://docs.google.com/spreadsheets/d/1QNLbnkR_AongFt22vMfNzfpjZ0CjpI8QI-w0wBnYA1w/"", ""Инфа!A:AA""), 6, FALSE)"),2024)</f>
        <v>2024</v>
      </c>
      <c r="J1802" s="5">
        <f ca="1">ROUND((5000+G1802*30),-2)</f>
        <v>10300</v>
      </c>
      <c r="K1802" s="12" t="s">
        <v>961</v>
      </c>
      <c r="L1802" s="15" t="s">
        <v>7493</v>
      </c>
    </row>
    <row r="1803" spans="1:12" ht="38.25">
      <c r="A1803" s="8" t="s">
        <v>7494</v>
      </c>
      <c r="B1803" s="9" t="s">
        <v>12</v>
      </c>
      <c r="C1803" s="10" t="s">
        <v>443</v>
      </c>
      <c r="D1803" s="10" t="str">
        <f ca="1">IFERROR(__xludf.DUMMYFUNCTION(" VLOOKUP(A1800, IMPORTRANGE(""https://docs.google.com/spreadsheets/d/1fj_Bhi2XPL3siwIh4sx4VRLAe31yD50oKdj5UlRYW0c/"", ""Сводка!A:AA""), 11, FALSE)"),"978-601-245-116-7")</f>
        <v>978-601-245-116-7</v>
      </c>
      <c r="E1803" s="11" t="s">
        <v>7491</v>
      </c>
      <c r="F1803" s="11" t="s">
        <v>7495</v>
      </c>
      <c r="G1803" s="12">
        <v>230</v>
      </c>
      <c r="H1803" s="12" t="s">
        <v>511</v>
      </c>
      <c r="I1803" s="10">
        <f ca="1">IFERROR(__xludf.DUMMYFUNCTION(" VLOOKUP(A1800, IMPORTRANGE(""https://docs.google.com/spreadsheets/d/1QNLbnkR_AongFt22vMfNzfpjZ0CjpI8QI-w0wBnYA1w/"", ""Инфа!A:AA""), 6, FALSE)"),2024)</f>
        <v>2024</v>
      </c>
      <c r="J1803" s="5">
        <f>ROUND((5000+G1803*60),-2)</f>
        <v>18800</v>
      </c>
      <c r="K1803" s="12" t="s">
        <v>17</v>
      </c>
      <c r="L1803" s="15"/>
    </row>
    <row r="1804" spans="1:12" ht="180">
      <c r="A1804" s="8" t="s">
        <v>7496</v>
      </c>
      <c r="B1804" s="9" t="s">
        <v>12</v>
      </c>
      <c r="C1804" s="10" t="s">
        <v>443</v>
      </c>
      <c r="D1804" s="10" t="str">
        <f ca="1">IFERROR(__xludf.DUMMYFUNCTION(" VLOOKUP(A1801, IMPORTRANGE(""https://docs.google.com/spreadsheets/d/1fj_Bhi2XPL3siwIh4sx4VRLAe31yD50oKdj5UlRYW0c/"", ""Сводка!A:AA""), 11, FALSE)"),"978-608-242-523-4")</f>
        <v>978-608-242-523-4</v>
      </c>
      <c r="E1804" s="11" t="s">
        <v>7491</v>
      </c>
      <c r="F1804" s="11" t="s">
        <v>7497</v>
      </c>
      <c r="G1804" s="12">
        <f ca="1">IFERROR(__xludf.DUMMYFUNCTION(" VLOOKUP(A1801, IMPORTRANGE(""https://docs.google.com/spreadsheets/d/1fj_Bhi2XPL3siwIh4sx4VRLAe31yD50oKdj5UlRYW0c/"", ""Сводка!A:AA""), 5, FALSE)"),336)</f>
        <v>336</v>
      </c>
      <c r="H1804" s="12" t="s">
        <v>511</v>
      </c>
      <c r="I1804" s="10">
        <f ca="1">IFERROR(__xludf.DUMMYFUNCTION(" VLOOKUP(A1801, IMPORTRANGE(""https://docs.google.com/spreadsheets/d/1QNLbnkR_AongFt22vMfNzfpjZ0CjpI8QI-w0wBnYA1w/"", ""Инфа!A:AA""), 6, FALSE)"),2024)</f>
        <v>2024</v>
      </c>
      <c r="J1804" s="5">
        <f ca="1">ROUND((5000+G1804*30),-2)</f>
        <v>15100</v>
      </c>
      <c r="K1804" s="12" t="s">
        <v>17</v>
      </c>
      <c r="L1804" s="15" t="s">
        <v>7498</v>
      </c>
    </row>
    <row r="1805" spans="1:12" ht="326.25">
      <c r="A1805" s="8" t="s">
        <v>7499</v>
      </c>
      <c r="B1805" s="9" t="s">
        <v>12</v>
      </c>
      <c r="C1805" s="10" t="s">
        <v>443</v>
      </c>
      <c r="D1805" s="10" t="str">
        <f ca="1">IFERROR(__xludf.DUMMYFUNCTION(" VLOOKUP(A1802, IMPORTRANGE(""https://docs.google.com/spreadsheets/d/1fj_Bhi2XPL3siwIh4sx4VRLAe31yD50oKdj5UlRYW0c/"", ""Сводка!A:AA""), 11, FALSE)"),"978-601-327-824-7")</f>
        <v>978-601-327-824-7</v>
      </c>
      <c r="E1805" s="11" t="s">
        <v>7491</v>
      </c>
      <c r="F1805" s="11" t="s">
        <v>7500</v>
      </c>
      <c r="G1805" s="12">
        <f ca="1">IFERROR(__xludf.DUMMYFUNCTION(" VLOOKUP(A1802, IMPORTRANGE(""https://docs.google.com/spreadsheets/d/1fj_Bhi2XPL3siwIh4sx4VRLAe31yD50oKdj5UlRYW0c/"", ""Сводка!A:AA""), 5, FALSE)"),328)</f>
        <v>328</v>
      </c>
      <c r="H1805" s="12" t="s">
        <v>511</v>
      </c>
      <c r="I1805" s="10">
        <f ca="1">IFERROR(__xludf.DUMMYFUNCTION(" VLOOKUP(A1802, IMPORTRANGE(""https://docs.google.com/spreadsheets/d/1QNLbnkR_AongFt22vMfNzfpjZ0CjpI8QI-w0wBnYA1w/"", ""Инфа!A:AA""), 6, FALSE)"),2024)</f>
        <v>2024</v>
      </c>
      <c r="J1805" s="5">
        <f ca="1">ROUND((5000+G1805*30),-2)</f>
        <v>14800</v>
      </c>
      <c r="K1805" s="12" t="s">
        <v>1378</v>
      </c>
      <c r="L1805" s="15" t="s">
        <v>7501</v>
      </c>
    </row>
    <row r="1806" spans="1:12" ht="247.5">
      <c r="A1806" s="8" t="s">
        <v>7502</v>
      </c>
      <c r="B1806" s="9" t="s">
        <v>12</v>
      </c>
      <c r="C1806" s="10" t="s">
        <v>443</v>
      </c>
      <c r="D1806" s="10" t="str">
        <f ca="1">IFERROR(__xludf.DUMMYFUNCTION(" VLOOKUP(A1803, IMPORTRANGE(""https://docs.google.com/spreadsheets/d/1fj_Bhi2XPL3siwIh4sx4VRLAe31yD50oKdj5UlRYW0c/"", ""Сводка!A:AA""), 11, FALSE)"),"978-601-327-416-4")</f>
        <v>978-601-327-416-4</v>
      </c>
      <c r="E1806" s="11" t="s">
        <v>7491</v>
      </c>
      <c r="F1806" s="11" t="s">
        <v>7503</v>
      </c>
      <c r="G1806" s="12">
        <f ca="1">IFERROR(__xludf.DUMMYFUNCTION(" VLOOKUP(A1803, IMPORTRANGE(""https://docs.google.com/spreadsheets/d/1fj_Bhi2XPL3siwIh4sx4VRLAe31yD50oKdj5UlRYW0c/"", ""Сводка!A:AA""), 5, FALSE)"),120)</f>
        <v>120</v>
      </c>
      <c r="H1806" s="12" t="s">
        <v>777</v>
      </c>
      <c r="I1806" s="10">
        <f ca="1">IFERROR(__xludf.DUMMYFUNCTION(" VLOOKUP(A1803, IMPORTRANGE(""https://docs.google.com/spreadsheets/d/1QNLbnkR_AongFt22vMfNzfpjZ0CjpI8QI-w0wBnYA1w/"", ""Инфа!A:AA""), 6, FALSE)"),2024)</f>
        <v>2024</v>
      </c>
      <c r="J1806" s="5">
        <f ca="1">ROUND((5000+G1806*30),-2)</f>
        <v>8600</v>
      </c>
      <c r="K1806" s="12" t="s">
        <v>447</v>
      </c>
      <c r="L1806" s="15" t="s">
        <v>7504</v>
      </c>
    </row>
    <row r="1807" spans="1:12" ht="225">
      <c r="A1807" s="8" t="s">
        <v>7505</v>
      </c>
      <c r="B1807" s="9" t="s">
        <v>12</v>
      </c>
      <c r="C1807" s="10" t="s">
        <v>2342</v>
      </c>
      <c r="D1807" s="10" t="str">
        <f ca="1">IFERROR(__xludf.DUMMYFUNCTION(" VLOOKUP(A1804, IMPORTRANGE(""https://docs.google.com/spreadsheets/d/1fj_Bhi2XPL3siwIh4sx4VRLAe31yD50oKdj5UlRYW0c/"", ""Сводка!A:AA""), 11, FALSE)"),"978-601-327-455-3")</f>
        <v>978-601-327-455-3</v>
      </c>
      <c r="E1807" s="11" t="s">
        <v>7491</v>
      </c>
      <c r="F1807" s="11" t="s">
        <v>7506</v>
      </c>
      <c r="G1807" s="12">
        <f ca="1">IFERROR(__xludf.DUMMYFUNCTION(" VLOOKUP(A1804, IMPORTRANGE(""https://docs.google.com/spreadsheets/d/1fj_Bhi2XPL3siwIh4sx4VRLAe31yD50oKdj5UlRYW0c/"", ""Сводка!A:AA""), 5, FALSE)"),196)</f>
        <v>196</v>
      </c>
      <c r="H1807" s="12" t="s">
        <v>498</v>
      </c>
      <c r="I1807" s="10">
        <f ca="1">IFERROR(__xludf.DUMMYFUNCTION(" VLOOKUP(A1804, IMPORTRANGE(""https://docs.google.com/spreadsheets/d/1QNLbnkR_AongFt22vMfNzfpjZ0CjpI8QI-w0wBnYA1w/"", ""Инфа!A:AA""), 6, FALSE)"),2024)</f>
        <v>2024</v>
      </c>
      <c r="J1807" s="5">
        <f ca="1">ROUND((5000+G1807*60),-2)</f>
        <v>16800</v>
      </c>
      <c r="K1807" s="12" t="s">
        <v>7507</v>
      </c>
      <c r="L1807" s="15" t="s">
        <v>7508</v>
      </c>
    </row>
    <row r="1808" spans="1:12" ht="146.25">
      <c r="A1808" s="8" t="s">
        <v>7509</v>
      </c>
      <c r="B1808" s="9" t="s">
        <v>12</v>
      </c>
      <c r="C1808" s="10" t="s">
        <v>443</v>
      </c>
      <c r="D1808" s="10" t="str">
        <f ca="1">IFERROR(__xludf.DUMMYFUNCTION(" VLOOKUP(A1805, IMPORTRANGE(""https://docs.google.com/spreadsheets/d/1fj_Bhi2XPL3siwIh4sx4VRLAe31yD50oKdj5UlRYW0c/"", ""Сводка!A:AA""), 11, FALSE)"),"978-601-327-505-5")</f>
        <v>978-601-327-505-5</v>
      </c>
      <c r="E1808" s="11" t="s">
        <v>7491</v>
      </c>
      <c r="F1808" s="11" t="s">
        <v>7510</v>
      </c>
      <c r="G1808" s="12">
        <f ca="1">IFERROR(__xludf.DUMMYFUNCTION(" VLOOKUP(A1805, IMPORTRANGE(""https://docs.google.com/spreadsheets/d/1fj_Bhi2XPL3siwIh4sx4VRLAe31yD50oKdj5UlRYW0c/"", ""Сводка!A:AA""), 5, FALSE)"),244)</f>
        <v>244</v>
      </c>
      <c r="H1808" s="12" t="s">
        <v>538</v>
      </c>
      <c r="I1808" s="10">
        <f ca="1">IFERROR(__xludf.DUMMYFUNCTION(" VLOOKUP(A1805, IMPORTRANGE(""https://docs.google.com/spreadsheets/d/1QNLbnkR_AongFt22vMfNzfpjZ0CjpI8QI-w0wBnYA1w/"", ""Инфа!A:AA""), 6, FALSE)"),2024)</f>
        <v>2024</v>
      </c>
      <c r="J1808" s="5">
        <f ca="1">ROUND(((5000+G1808*30)*1.3),-2)</f>
        <v>16000</v>
      </c>
      <c r="K1808" s="12" t="s">
        <v>1603</v>
      </c>
      <c r="L1808" s="15" t="s">
        <v>7511</v>
      </c>
    </row>
    <row r="1809" spans="1:12" ht="38.25">
      <c r="A1809" s="8" t="s">
        <v>7512</v>
      </c>
      <c r="B1809" s="9" t="s">
        <v>12</v>
      </c>
      <c r="C1809" s="10" t="s">
        <v>443</v>
      </c>
      <c r="D1809" s="10" t="str">
        <f ca="1">IFERROR(__xludf.DUMMYFUNCTION(" VLOOKUP(A1806, IMPORTRANGE(""https://docs.google.com/spreadsheets/d/1fj_Bhi2XPL3siwIh4sx4VRLAe31yD50oKdj5UlRYW0c/"", ""Сводка!A:AA""), 11, FALSE)"),"978-601-240-335-0")</f>
        <v>978-601-240-335-0</v>
      </c>
      <c r="E1809" s="11" t="s">
        <v>7513</v>
      </c>
      <c r="F1809" s="11" t="s">
        <v>7514</v>
      </c>
      <c r="G1809" s="12">
        <f ca="1">IFERROR(__xludf.DUMMYFUNCTION(" VLOOKUP(A1806, IMPORTRANGE(""https://docs.google.com/spreadsheets/d/1fj_Bhi2XPL3siwIh4sx4VRLAe31yD50oKdj5UlRYW0c/"", ""Сводка!A:AA""), 5, FALSE)"),296)</f>
        <v>296</v>
      </c>
      <c r="H1809" s="12" t="s">
        <v>47</v>
      </c>
      <c r="I1809" s="10">
        <f ca="1">IFERROR(__xludf.DUMMYFUNCTION(" VLOOKUP(A1806, IMPORTRANGE(""https://docs.google.com/spreadsheets/d/1QNLbnkR_AongFt22vMfNzfpjZ0CjpI8QI-w0wBnYA1w/"", ""Инфа!A:AA""), 6, FALSE)"),2024)</f>
        <v>2024</v>
      </c>
      <c r="J1809" s="5">
        <f ca="1">ROUND(((5000+G1809*30)*1.3),-2)</f>
        <v>18000</v>
      </c>
      <c r="K1809" s="9" t="s">
        <v>619</v>
      </c>
      <c r="L1809" s="15"/>
    </row>
    <row r="1810" spans="1:12" ht="157.5">
      <c r="A1810" s="8" t="s">
        <v>7515</v>
      </c>
      <c r="B1810" s="9" t="s">
        <v>12</v>
      </c>
      <c r="C1810" s="10" t="s">
        <v>443</v>
      </c>
      <c r="D1810" s="10" t="str">
        <f ca="1">IFERROR(__xludf.DUMMYFUNCTION(" VLOOKUP(A1807, IMPORTRANGE(""https://docs.google.com/spreadsheets/d/1fj_Bhi2XPL3siwIh4sx4VRLAe31yD50oKdj5UlRYW0c/"", ""Сводка!A:AA""), 11, FALSE)"),"978-601-342-340-1")</f>
        <v>978-601-342-340-1</v>
      </c>
      <c r="E1810" s="11" t="s">
        <v>7516</v>
      </c>
      <c r="F1810" s="11" t="s">
        <v>7517</v>
      </c>
      <c r="G1810" s="12">
        <f ca="1">IFERROR(__xludf.DUMMYFUNCTION(" VLOOKUP(A1807, IMPORTRANGE(""https://docs.google.com/spreadsheets/d/1fj_Bhi2XPL3siwIh4sx4VRLAe31yD50oKdj5UlRYW0c/"", ""Сводка!A:AA""), 5, FALSE)"),196)</f>
        <v>196</v>
      </c>
      <c r="H1810" s="12" t="s">
        <v>538</v>
      </c>
      <c r="I1810" s="10">
        <f ca="1">IFERROR(__xludf.DUMMYFUNCTION(" VLOOKUP(A1807, IMPORTRANGE(""https://docs.google.com/spreadsheets/d/1QNLbnkR_AongFt22vMfNzfpjZ0CjpI8QI-w0wBnYA1w/"", ""Инфа!A:AA""), 6, FALSE)"),2024)</f>
        <v>2024</v>
      </c>
      <c r="J1810" s="5">
        <f ca="1">ROUND((5000+G1810*60),-2)</f>
        <v>16800</v>
      </c>
      <c r="K1810" s="9" t="s">
        <v>4314</v>
      </c>
      <c r="L1810" s="15" t="s">
        <v>7518</v>
      </c>
    </row>
    <row r="1811" spans="1:12" ht="191.25">
      <c r="A1811" s="8" t="s">
        <v>7519</v>
      </c>
      <c r="B1811" s="9" t="s">
        <v>12</v>
      </c>
      <c r="C1811" s="10" t="s">
        <v>443</v>
      </c>
      <c r="D1811" s="10" t="str">
        <f ca="1">IFERROR(__xludf.DUMMYFUNCTION(" VLOOKUP(A1808, IMPORTRANGE(""https://docs.google.com/spreadsheets/d/1fj_Bhi2XPL3siwIh4sx4VRLAe31yD50oKdj5UlRYW0c/"", ""Сводка!A:AA""), 11, FALSE)"),"978-601-342-153-7")</f>
        <v>978-601-342-153-7</v>
      </c>
      <c r="E1811" s="11" t="s">
        <v>7520</v>
      </c>
      <c r="F1811" s="11" t="s">
        <v>7521</v>
      </c>
      <c r="G1811" s="12">
        <v>92</v>
      </c>
      <c r="H1811" s="12" t="s">
        <v>446</v>
      </c>
      <c r="I1811" s="10">
        <f ca="1">IFERROR(__xludf.DUMMYFUNCTION(" VLOOKUP(A1808, IMPORTRANGE(""https://docs.google.com/spreadsheets/d/1QNLbnkR_AongFt22vMfNzfpjZ0CjpI8QI-w0wBnYA1w/"", ""Инфа!A:AA""), 6, FALSE)"),2024)</f>
        <v>2024</v>
      </c>
      <c r="J1811" s="5">
        <f>ROUND((5000+G1811*60),-2)</f>
        <v>10500</v>
      </c>
      <c r="K1811" s="12" t="s">
        <v>69</v>
      </c>
      <c r="L1811" s="15" t="s">
        <v>7522</v>
      </c>
    </row>
    <row r="1812" spans="1:12" ht="135">
      <c r="A1812" s="8" t="s">
        <v>7523</v>
      </c>
      <c r="B1812" s="9" t="s">
        <v>12</v>
      </c>
      <c r="C1812" s="10" t="s">
        <v>151</v>
      </c>
      <c r="D1812" s="10" t="str">
        <f ca="1">IFERROR(__xludf.DUMMYFUNCTION(" VLOOKUP(A1809, IMPORTRANGE(""https://docs.google.com/spreadsheets/d/1fj_Bhi2XPL3siwIh4sx4VRLAe31yD50oKdj5UlRYW0c/"", ""Сводка!A:AA""), 11, FALSE)"),"978-601-342-144-5")</f>
        <v>978-601-342-144-5</v>
      </c>
      <c r="E1812" s="11" t="s">
        <v>7520</v>
      </c>
      <c r="F1812" s="11" t="s">
        <v>7524</v>
      </c>
      <c r="G1812" s="12">
        <f ca="1">IFERROR(__xludf.DUMMYFUNCTION(" VLOOKUP(A1809, IMPORTRANGE(""https://docs.google.com/spreadsheets/d/1fj_Bhi2XPL3siwIh4sx4VRLAe31yD50oKdj5UlRYW0c/"", ""Сводка!A:AA""), 5, FALSE)"),116)</f>
        <v>116</v>
      </c>
      <c r="H1812" s="12" t="s">
        <v>47</v>
      </c>
      <c r="I1812" s="10">
        <f ca="1">IFERROR(__xludf.DUMMYFUNCTION(" VLOOKUP(A1809, IMPORTRANGE(""https://docs.google.com/spreadsheets/d/1QNLbnkR_AongFt22vMfNzfpjZ0CjpI8QI-w0wBnYA1w/"", ""Инфа!A:AA""), 6, FALSE)"),2024)</f>
        <v>2024</v>
      </c>
      <c r="J1812" s="5">
        <f ca="1">ROUND((5000+G1812*60),-2)</f>
        <v>12000</v>
      </c>
      <c r="K1812" s="12" t="s">
        <v>69</v>
      </c>
      <c r="L1812" s="15" t="s">
        <v>7525</v>
      </c>
    </row>
    <row r="1813" spans="1:12" ht="67.5">
      <c r="A1813" s="8" t="s">
        <v>7526</v>
      </c>
      <c r="B1813" s="9" t="s">
        <v>12</v>
      </c>
      <c r="C1813" s="10" t="s">
        <v>443</v>
      </c>
      <c r="D1813" s="10" t="str">
        <f ca="1">IFERROR(__xludf.DUMMYFUNCTION(" VLOOKUP(A1810, IMPORTRANGE(""https://docs.google.com/spreadsheets/d/1fj_Bhi2XPL3siwIh4sx4VRLAe31yD50oKdj5UlRYW0c/"", ""Сводка!A:AA""), 11, FALSE)"),"9965-728-68-2")</f>
        <v>9965-728-68-2</v>
      </c>
      <c r="E1813" s="11" t="s">
        <v>7527</v>
      </c>
      <c r="F1813" s="11" t="s">
        <v>7528</v>
      </c>
      <c r="G1813" s="12">
        <f ca="1">IFERROR(__xludf.DUMMYFUNCTION(" VLOOKUP(A1810, IMPORTRANGE(""https://docs.google.com/spreadsheets/d/1fj_Bhi2XPL3siwIh4sx4VRLAe31yD50oKdj5UlRYW0c/"", ""Сводка!A:AA""), 5, FALSE)"),124)</f>
        <v>124</v>
      </c>
      <c r="H1813" s="12" t="s">
        <v>538</v>
      </c>
      <c r="I1813" s="10">
        <f ca="1">IFERROR(__xludf.DUMMYFUNCTION(" VLOOKUP(A1810, IMPORTRANGE(""https://docs.google.com/spreadsheets/d/1QNLbnkR_AongFt22vMfNzfpjZ0CjpI8QI-w0wBnYA1w/"", ""Инфа!A:AA""), 6, FALSE)"),2024)</f>
        <v>2024</v>
      </c>
      <c r="J1813" s="5">
        <f ca="1">ROUND((5000+G1813*60),-2)</f>
        <v>12400</v>
      </c>
      <c r="K1813" s="12" t="s">
        <v>248</v>
      </c>
      <c r="L1813" s="15" t="s">
        <v>7529</v>
      </c>
    </row>
    <row r="1814" spans="1:12" ht="213.75">
      <c r="A1814" s="8" t="s">
        <v>7530</v>
      </c>
      <c r="B1814" s="9" t="s">
        <v>12</v>
      </c>
      <c r="C1814" s="10" t="s">
        <v>151</v>
      </c>
      <c r="D1814" s="10" t="str">
        <f ca="1">IFERROR(__xludf.DUMMYFUNCTION(" VLOOKUP(A1811, IMPORTRANGE(""https://docs.google.com/spreadsheets/d/1fj_Bhi2XPL3siwIh4sx4VRLAe31yD50oKdj5UlRYW0c/"", ""Сводка!A:AA""), 11, FALSE)"),"978-610-252-285-5")</f>
        <v>978-610-252-285-5</v>
      </c>
      <c r="E1814" s="11" t="s">
        <v>7531</v>
      </c>
      <c r="F1814" s="11" t="s">
        <v>7532</v>
      </c>
      <c r="G1814" s="12">
        <f ca="1">IFERROR(__xludf.DUMMYFUNCTION(" VLOOKUP(A1811, IMPORTRANGE(""https://docs.google.com/spreadsheets/d/1fj_Bhi2XPL3siwIh4sx4VRLAe31yD50oKdj5UlRYW0c/"", ""Сводка!A:AA""), 5, FALSE)"),204)</f>
        <v>204</v>
      </c>
      <c r="H1814" s="12" t="s">
        <v>47</v>
      </c>
      <c r="I1814" s="10">
        <f ca="1">IFERROR(__xludf.DUMMYFUNCTION(" VLOOKUP(A1811, IMPORTRANGE(""https://docs.google.com/spreadsheets/d/1QNLbnkR_AongFt22vMfNzfpjZ0CjpI8QI-w0wBnYA1w/"", ""Инфа!A:AA""), 6, FALSE)"),2024)</f>
        <v>2024</v>
      </c>
      <c r="J1814" s="5">
        <f ca="1">ROUND((5000+G1814*30),-2)</f>
        <v>11100</v>
      </c>
      <c r="K1814" s="12" t="s">
        <v>302</v>
      </c>
      <c r="L1814" s="15" t="s">
        <v>7533</v>
      </c>
    </row>
    <row r="1815" spans="1:12" ht="281.25">
      <c r="A1815" s="8" t="s">
        <v>7534</v>
      </c>
      <c r="B1815" s="9" t="s">
        <v>12</v>
      </c>
      <c r="C1815" s="10" t="s">
        <v>443</v>
      </c>
      <c r="D1815" s="10" t="str">
        <f ca="1">IFERROR(__xludf.DUMMYFUNCTION(" VLOOKUP(A1812, IMPORTRANGE(""https://docs.google.com/spreadsheets/d/1fj_Bhi2XPL3siwIh4sx4VRLAe31yD50oKdj5UlRYW0c/"", ""Сводка!A:AA""), 11, FALSE)"),"978-601-243-456-9")</f>
        <v>978-601-243-456-9</v>
      </c>
      <c r="E1815" s="11" t="s">
        <v>7535</v>
      </c>
      <c r="F1815" s="11" t="s">
        <v>7536</v>
      </c>
      <c r="G1815" s="12">
        <f ca="1">IFERROR(__xludf.DUMMYFUNCTION(" VLOOKUP(A1812, IMPORTRANGE(""https://docs.google.com/spreadsheets/d/1fj_Bhi2XPL3siwIh4sx4VRLAe31yD50oKdj5UlRYW0c/"", ""Сводка!A:AA""), 5, FALSE)"),224)</f>
        <v>224</v>
      </c>
      <c r="H1815" s="12" t="s">
        <v>538</v>
      </c>
      <c r="I1815" s="10">
        <f ca="1">IFERROR(__xludf.DUMMYFUNCTION(" VLOOKUP(A1812, IMPORTRANGE(""https://docs.google.com/spreadsheets/d/1QNLbnkR_AongFt22vMfNzfpjZ0CjpI8QI-w0wBnYA1w/"", ""Инфа!A:AA""), 6, FALSE)"),2024)</f>
        <v>2024</v>
      </c>
      <c r="J1815" s="5">
        <f ca="1">ROUND((5000+G1815*60),-2)</f>
        <v>18400</v>
      </c>
      <c r="K1815" s="12" t="s">
        <v>3445</v>
      </c>
      <c r="L1815" s="15" t="s">
        <v>7537</v>
      </c>
    </row>
    <row r="1816" spans="1:12" ht="78.75">
      <c r="A1816" s="8" t="s">
        <v>7538</v>
      </c>
      <c r="B1816" s="9" t="s">
        <v>12</v>
      </c>
      <c r="C1816" s="10" t="s">
        <v>443</v>
      </c>
      <c r="D1816" s="10" t="str">
        <f ca="1">IFERROR(__xludf.DUMMYFUNCTION(" VLOOKUP(A1813, IMPORTRANGE(""https://docs.google.com/spreadsheets/d/1fj_Bhi2XPL3siwIh4sx4VRLAe31yD50oKdj5UlRYW0c/"", ""Сводка!A:AA""), 11, FALSE)"),"978-601-342-184-2")</f>
        <v>978-601-342-184-2</v>
      </c>
      <c r="E1816" s="11" t="s">
        <v>7535</v>
      </c>
      <c r="F1816" s="11" t="s">
        <v>7539</v>
      </c>
      <c r="G1816" s="12">
        <f ca="1">IFERROR(__xludf.DUMMYFUNCTION(" VLOOKUP(A1813, IMPORTRANGE(""https://docs.google.com/spreadsheets/d/1fj_Bhi2XPL3siwIh4sx4VRLAe31yD50oKdj5UlRYW0c/"", ""Сводка!A:AA""), 5, FALSE)"),132)</f>
        <v>132</v>
      </c>
      <c r="H1816" s="12" t="s">
        <v>1016</v>
      </c>
      <c r="I1816" s="10">
        <f ca="1">IFERROR(__xludf.DUMMYFUNCTION(" VLOOKUP(A1813, IMPORTRANGE(""https://docs.google.com/spreadsheets/d/1QNLbnkR_AongFt22vMfNzfpjZ0CjpI8QI-w0wBnYA1w/"", ""Инфа!A:AA""), 6, FALSE)"),2024)</f>
        <v>2024</v>
      </c>
      <c r="J1816" s="5">
        <f ca="1">ROUND((5000+G1816*30),-2)</f>
        <v>9000</v>
      </c>
      <c r="K1816" s="12" t="s">
        <v>3445</v>
      </c>
      <c r="L1816" s="15" t="s">
        <v>7540</v>
      </c>
    </row>
    <row r="1817" spans="1:12" ht="168.75">
      <c r="A1817" s="8" t="s">
        <v>7541</v>
      </c>
      <c r="B1817" s="9" t="s">
        <v>12</v>
      </c>
      <c r="C1817" s="10" t="s">
        <v>443</v>
      </c>
      <c r="D1817" s="10" t="str">
        <f ca="1">IFERROR(__xludf.DUMMYFUNCTION(" VLOOKUP(A1814, IMPORTRANGE(""https://docs.google.com/spreadsheets/d/1fj_Bhi2XPL3siwIh4sx4VRLAe31yD50oKdj5UlRYW0c/"", ""Сводка!A:AA""), 11, FALSE)"),"978-601-243-292-3")</f>
        <v>978-601-243-292-3</v>
      </c>
      <c r="E1817" s="11" t="s">
        <v>7535</v>
      </c>
      <c r="F1817" s="11" t="s">
        <v>7542</v>
      </c>
      <c r="G1817" s="12">
        <v>216</v>
      </c>
      <c r="H1817" s="12" t="s">
        <v>538</v>
      </c>
      <c r="I1817" s="10">
        <f ca="1">IFERROR(__xludf.DUMMYFUNCTION(" VLOOKUP(A1814, IMPORTRANGE(""https://docs.google.com/spreadsheets/d/1QNLbnkR_AongFt22vMfNzfpjZ0CjpI8QI-w0wBnYA1w/"", ""Инфа!A:AA""), 6, FALSE)"),2024)</f>
        <v>2024</v>
      </c>
      <c r="J1817" s="5">
        <f t="shared" ref="J1817:J1823" si="62">ROUND((5000+G1817*60),-2)</f>
        <v>18000</v>
      </c>
      <c r="K1817" s="12" t="s">
        <v>3445</v>
      </c>
      <c r="L1817" s="15" t="s">
        <v>7543</v>
      </c>
    </row>
    <row r="1818" spans="1:12" ht="292.5">
      <c r="A1818" s="8" t="s">
        <v>7544</v>
      </c>
      <c r="B1818" s="9" t="s">
        <v>12</v>
      </c>
      <c r="C1818" s="10" t="s">
        <v>443</v>
      </c>
      <c r="D1818" s="10" t="str">
        <f ca="1">IFERROR(__xludf.DUMMYFUNCTION(" VLOOKUP(A1815, IMPORTRANGE(""https://docs.google.com/spreadsheets/d/1fj_Bhi2XPL3siwIh4sx4VRLAe31yD50oKdj5UlRYW0c/"", ""Сводка!A:AA""), 11, FALSE)"),"978-601-243-292-3")</f>
        <v>978-601-243-292-3</v>
      </c>
      <c r="E1818" s="22" t="s">
        <v>7535</v>
      </c>
      <c r="F1818" s="22" t="s">
        <v>7545</v>
      </c>
      <c r="G1818" s="12">
        <f ca="1">IFERROR(__xludf.DUMMYFUNCTION(" VLOOKUP(A1815, IMPORTRANGE(""https://docs.google.com/spreadsheets/d/1fj_Bhi2XPL3siwIh4sx4VRLAe31yD50oKdj5UlRYW0c/"", ""Сводка!A:AA""), 5, FALSE)"),224)</f>
        <v>224</v>
      </c>
      <c r="H1818" s="10" t="s">
        <v>1016</v>
      </c>
      <c r="I1818" s="10">
        <f ca="1">IFERROR(__xludf.DUMMYFUNCTION(" VLOOKUP(A1815, IMPORTRANGE(""https://docs.google.com/spreadsheets/d/1QNLbnkR_AongFt22vMfNzfpjZ0CjpI8QI-w0wBnYA1w/"", ""Инфа!A:AA""), 6, FALSE)"),2024)</f>
        <v>2024</v>
      </c>
      <c r="J1818" s="5">
        <f t="shared" ca="1" si="62"/>
        <v>18400</v>
      </c>
      <c r="K1818" s="12" t="s">
        <v>3445</v>
      </c>
      <c r="L1818" s="15" t="s">
        <v>7546</v>
      </c>
    </row>
    <row r="1819" spans="1:12" ht="258.75">
      <c r="A1819" s="8" t="s">
        <v>7547</v>
      </c>
      <c r="B1819" s="9" t="s">
        <v>12</v>
      </c>
      <c r="C1819" s="10" t="s">
        <v>443</v>
      </c>
      <c r="D1819" s="10" t="str">
        <f ca="1">IFERROR(__xludf.DUMMYFUNCTION(" VLOOKUP(A1816, IMPORTRANGE(""https://docs.google.com/spreadsheets/d/1fj_Bhi2XPL3siwIh4sx4VRLAe31yD50oKdj5UlRYW0c/"", ""Сводка!A:AA""), 11, FALSE)"),"978-601-243-463-7")</f>
        <v>978-601-243-463-7</v>
      </c>
      <c r="E1819" s="11" t="s">
        <v>7535</v>
      </c>
      <c r="F1819" s="11" t="s">
        <v>7548</v>
      </c>
      <c r="G1819" s="12">
        <f ca="1">IFERROR(__xludf.DUMMYFUNCTION(" VLOOKUP(A1816, IMPORTRANGE(""https://docs.google.com/spreadsheets/d/1fj_Bhi2XPL3siwIh4sx4VRLAe31yD50oKdj5UlRYW0c/"", ""Сводка!A:AA""), 5, FALSE)"),228)</f>
        <v>228</v>
      </c>
      <c r="H1819" s="12" t="s">
        <v>1016</v>
      </c>
      <c r="I1819" s="10">
        <f ca="1">IFERROR(__xludf.DUMMYFUNCTION(" VLOOKUP(A1816, IMPORTRANGE(""https://docs.google.com/spreadsheets/d/1QNLbnkR_AongFt22vMfNzfpjZ0CjpI8QI-w0wBnYA1w/"", ""Инфа!A:AA""), 6, FALSE)"),2024)</f>
        <v>2024</v>
      </c>
      <c r="J1819" s="5">
        <f t="shared" ca="1" si="62"/>
        <v>18700</v>
      </c>
      <c r="K1819" s="12" t="s">
        <v>3445</v>
      </c>
      <c r="L1819" s="15" t="s">
        <v>7549</v>
      </c>
    </row>
    <row r="1820" spans="1:12" ht="168.75">
      <c r="A1820" s="8" t="s">
        <v>7550</v>
      </c>
      <c r="B1820" s="9" t="s">
        <v>12</v>
      </c>
      <c r="C1820" s="10" t="s">
        <v>443</v>
      </c>
      <c r="D1820" s="10" t="str">
        <f ca="1">IFERROR(__xludf.DUMMYFUNCTION(" VLOOKUP(A1817, IMPORTRANGE(""https://docs.google.com/spreadsheets/d/1fj_Bhi2XPL3siwIh4sx4VRLAe31yD50oKdj5UlRYW0c/"", ""Сводка!A:AA""), 11, FALSE)"),"978-601-243-456-9")</f>
        <v>978-601-243-456-9</v>
      </c>
      <c r="E1820" s="11" t="s">
        <v>7535</v>
      </c>
      <c r="F1820" s="11" t="s">
        <v>7551</v>
      </c>
      <c r="G1820" s="12">
        <v>204</v>
      </c>
      <c r="H1820" s="12" t="s">
        <v>538</v>
      </c>
      <c r="I1820" s="10">
        <f ca="1">IFERROR(__xludf.DUMMYFUNCTION(" VLOOKUP(A1817, IMPORTRANGE(""https://docs.google.com/spreadsheets/d/1QNLbnkR_AongFt22vMfNzfpjZ0CjpI8QI-w0wBnYA1w/"", ""Инфа!A:AA""), 6, FALSE)"),2024)</f>
        <v>2024</v>
      </c>
      <c r="J1820" s="5">
        <f t="shared" si="62"/>
        <v>17200</v>
      </c>
      <c r="K1820" s="12" t="s">
        <v>3445</v>
      </c>
      <c r="L1820" s="15" t="s">
        <v>7552</v>
      </c>
    </row>
    <row r="1821" spans="1:12" ht="191.25">
      <c r="A1821" s="8" t="s">
        <v>7553</v>
      </c>
      <c r="B1821" s="9" t="s">
        <v>12</v>
      </c>
      <c r="C1821" s="10" t="s">
        <v>443</v>
      </c>
      <c r="D1821" s="10" t="str">
        <f ca="1">IFERROR(__xludf.DUMMYFUNCTION(" VLOOKUP(A1818, IMPORTRANGE(""https://docs.google.com/spreadsheets/d/1fj_Bhi2XPL3siwIh4sx4VRLAe31yD50oKdj5UlRYW0c/"", ""Сводка!A:AA""), 11, FALSE)"),"978-601-243-463-7")</f>
        <v>978-601-243-463-7</v>
      </c>
      <c r="E1821" s="11" t="s">
        <v>7535</v>
      </c>
      <c r="F1821" s="11" t="s">
        <v>7554</v>
      </c>
      <c r="G1821" s="12">
        <v>220</v>
      </c>
      <c r="H1821" s="12" t="s">
        <v>538</v>
      </c>
      <c r="I1821" s="10">
        <f ca="1">IFERROR(__xludf.DUMMYFUNCTION(" VLOOKUP(A1818, IMPORTRANGE(""https://docs.google.com/spreadsheets/d/1QNLbnkR_AongFt22vMfNzfpjZ0CjpI8QI-w0wBnYA1w/"", ""Инфа!A:AA""), 6, FALSE)"),2024)</f>
        <v>2024</v>
      </c>
      <c r="J1821" s="5">
        <f t="shared" si="62"/>
        <v>18200</v>
      </c>
      <c r="K1821" s="12" t="s">
        <v>3445</v>
      </c>
      <c r="L1821" s="15" t="s">
        <v>7555</v>
      </c>
    </row>
    <row r="1822" spans="1:12" ht="90">
      <c r="A1822" s="8" t="s">
        <v>7556</v>
      </c>
      <c r="B1822" s="9" t="s">
        <v>12</v>
      </c>
      <c r="C1822" s="10" t="s">
        <v>443</v>
      </c>
      <c r="D1822" s="10" t="str">
        <f ca="1">IFERROR(__xludf.DUMMYFUNCTION(" VLOOKUP(A1819, IMPORTRANGE(""https://docs.google.com/spreadsheets/d/1fj_Bhi2XPL3siwIh4sx4VRLAe31yD50oKdj5UlRYW0c/"", ""Сводка!A:AA""), 11, FALSE)"),"978-601-243-393-7")</f>
        <v>978-601-243-393-7</v>
      </c>
      <c r="E1822" s="11" t="s">
        <v>7535</v>
      </c>
      <c r="F1822" s="11" t="s">
        <v>7557</v>
      </c>
      <c r="G1822" s="12">
        <v>158</v>
      </c>
      <c r="H1822" s="12" t="s">
        <v>538</v>
      </c>
      <c r="I1822" s="10">
        <f ca="1">IFERROR(__xludf.DUMMYFUNCTION(" VLOOKUP(A1819, IMPORTRANGE(""https://docs.google.com/spreadsheets/d/1QNLbnkR_AongFt22vMfNzfpjZ0CjpI8QI-w0wBnYA1w/"", ""Инфа!A:AA""), 6, FALSE)"),2024)</f>
        <v>2024</v>
      </c>
      <c r="J1822" s="5">
        <f t="shared" si="62"/>
        <v>14500</v>
      </c>
      <c r="K1822" s="12" t="s">
        <v>3445</v>
      </c>
      <c r="L1822" s="15" t="s">
        <v>7558</v>
      </c>
    </row>
    <row r="1823" spans="1:12" ht="157.5">
      <c r="A1823" s="8" t="s">
        <v>7559</v>
      </c>
      <c r="B1823" s="9" t="s">
        <v>12</v>
      </c>
      <c r="C1823" s="10" t="s">
        <v>443</v>
      </c>
      <c r="D1823" s="10" t="str">
        <f ca="1">IFERROR(__xludf.DUMMYFUNCTION(" VLOOKUP(A1820, IMPORTRANGE(""https://docs.google.com/spreadsheets/d/1fj_Bhi2XPL3siwIh4sx4VRLAe31yD50oKdj5UlRYW0c/"", ""Сводка!A:AA""), 11, FALSE)"),"978-601-243-393-7")</f>
        <v>978-601-243-393-7</v>
      </c>
      <c r="E1823" s="11" t="s">
        <v>7535</v>
      </c>
      <c r="F1823" s="11" t="s">
        <v>7560</v>
      </c>
      <c r="G1823" s="12">
        <v>252</v>
      </c>
      <c r="H1823" s="12" t="s">
        <v>538</v>
      </c>
      <c r="I1823" s="10">
        <f ca="1">IFERROR(__xludf.DUMMYFUNCTION(" VLOOKUP(A1820, IMPORTRANGE(""https://docs.google.com/spreadsheets/d/1QNLbnkR_AongFt22vMfNzfpjZ0CjpI8QI-w0wBnYA1w/"", ""Инфа!A:AA""), 6, FALSE)"),2024)</f>
        <v>2024</v>
      </c>
      <c r="J1823" s="5">
        <f t="shared" si="62"/>
        <v>20100</v>
      </c>
      <c r="K1823" s="12" t="s">
        <v>3445</v>
      </c>
      <c r="L1823" s="15" t="s">
        <v>7561</v>
      </c>
    </row>
    <row r="1824" spans="1:12" ht="303.75">
      <c r="A1824" s="8" t="s">
        <v>7562</v>
      </c>
      <c r="B1824" s="9" t="s">
        <v>12</v>
      </c>
      <c r="C1824" s="10" t="s">
        <v>443</v>
      </c>
      <c r="D1824" s="10" t="str">
        <f ca="1">IFERROR(__xludf.DUMMYFUNCTION(" VLOOKUP(A1821, IMPORTRANGE(""https://docs.google.com/spreadsheets/d/1fj_Bhi2XPL3siwIh4sx4VRLAe31yD50oKdj5UlRYW0c/"", ""Сводка!A:AA""), 11, FALSE)"),"978-601-243-457-6")</f>
        <v>978-601-243-457-6</v>
      </c>
      <c r="E1824" s="11" t="s">
        <v>7535</v>
      </c>
      <c r="F1824" s="11" t="s">
        <v>7563</v>
      </c>
      <c r="G1824" s="12">
        <f ca="1">IFERROR(__xludf.DUMMYFUNCTION(" VLOOKUP(A1821, IMPORTRANGE(""https://docs.google.com/spreadsheets/d/1fj_Bhi2XPL3siwIh4sx4VRLAe31yD50oKdj5UlRYW0c/"", ""Сводка!A:AA""), 5, FALSE)"),336)</f>
        <v>336</v>
      </c>
      <c r="H1824" s="12" t="s">
        <v>538</v>
      </c>
      <c r="I1824" s="10">
        <f ca="1">IFERROR(__xludf.DUMMYFUNCTION(" VLOOKUP(A1821, IMPORTRANGE(""https://docs.google.com/spreadsheets/d/1QNLbnkR_AongFt22vMfNzfpjZ0CjpI8QI-w0wBnYA1w/"", ""Инфа!A:AA""), 6, FALSE)"),2024)</f>
        <v>2024</v>
      </c>
      <c r="J1824" s="5">
        <f ca="1">ROUND((5000+G1824*30),-2)</f>
        <v>15100</v>
      </c>
      <c r="K1824" s="12" t="s">
        <v>3445</v>
      </c>
      <c r="L1824" s="15" t="s">
        <v>7564</v>
      </c>
    </row>
    <row r="1825" spans="1:12" ht="225">
      <c r="A1825" s="8" t="s">
        <v>7565</v>
      </c>
      <c r="B1825" s="9" t="s">
        <v>12</v>
      </c>
      <c r="C1825" s="10" t="s">
        <v>443</v>
      </c>
      <c r="D1825" s="10" t="str">
        <f ca="1">IFERROR(__xludf.DUMMYFUNCTION(" VLOOKUP(A1822, IMPORTRANGE(""https://docs.google.com/spreadsheets/d/1fj_Bhi2XPL3siwIh4sx4VRLAe31yD50oKdj5UlRYW0c/"", ""Сводка!A:AA""), 11, FALSE)"),"978-692-344-268-2")</f>
        <v>978-692-344-268-2</v>
      </c>
      <c r="E1825" s="11" t="s">
        <v>4341</v>
      </c>
      <c r="F1825" s="11" t="s">
        <v>7566</v>
      </c>
      <c r="G1825" s="12">
        <f ca="1">IFERROR(__xludf.DUMMYFUNCTION(" VLOOKUP(A1822, IMPORTRANGE(""https://docs.google.com/spreadsheets/d/1fj_Bhi2XPL3siwIh4sx4VRLAe31yD50oKdj5UlRYW0c/"", ""Сводка!A:AA""), 5, FALSE)"),228)</f>
        <v>228</v>
      </c>
      <c r="H1825" s="13" t="s">
        <v>538</v>
      </c>
      <c r="I1825" s="10">
        <f ca="1">IFERROR(__xludf.DUMMYFUNCTION(" VLOOKUP(A1822, IMPORTRANGE(""https://docs.google.com/spreadsheets/d/1QNLbnkR_AongFt22vMfNzfpjZ0CjpI8QI-w0wBnYA1w/"", ""Инфа!A:AA""), 6, FALSE)"),2024)</f>
        <v>2024</v>
      </c>
      <c r="J1825" s="5">
        <f ca="1">ROUND((5000+G1825*30),-2)</f>
        <v>11800</v>
      </c>
      <c r="K1825" s="12" t="s">
        <v>4260</v>
      </c>
      <c r="L1825" s="15" t="s">
        <v>7567</v>
      </c>
    </row>
    <row r="1826" spans="1:12" ht="270">
      <c r="A1826" s="8" t="s">
        <v>7568</v>
      </c>
      <c r="B1826" s="9" t="s">
        <v>12</v>
      </c>
      <c r="C1826" s="10" t="s">
        <v>443</v>
      </c>
      <c r="D1826" s="10" t="str">
        <f ca="1">IFERROR(__xludf.DUMMYFUNCTION(" VLOOKUP(A1823, IMPORTRANGE(""https://docs.google.com/spreadsheets/d/1fj_Bhi2XPL3siwIh4sx4VRLAe31yD50oKdj5UlRYW0c/"", ""Сводка!A:AA""), 11, FALSE)"),"978-601-243-480-4")</f>
        <v>978-601-243-480-4</v>
      </c>
      <c r="E1826" s="11" t="s">
        <v>7569</v>
      </c>
      <c r="F1826" s="11" t="s">
        <v>7570</v>
      </c>
      <c r="G1826" s="12">
        <f ca="1">IFERROR(__xludf.DUMMYFUNCTION(" VLOOKUP(A1823, IMPORTRANGE(""https://docs.google.com/spreadsheets/d/1fj_Bhi2XPL3siwIh4sx4VRLAe31yD50oKdj5UlRYW0c/"", ""Сводка!A:AA""), 5, FALSE)"),248)</f>
        <v>248</v>
      </c>
      <c r="H1826" s="12" t="s">
        <v>538</v>
      </c>
      <c r="I1826" s="10">
        <f ca="1">IFERROR(__xludf.DUMMYFUNCTION(" VLOOKUP(A1823, IMPORTRANGE(""https://docs.google.com/spreadsheets/d/1QNLbnkR_AongFt22vMfNzfpjZ0CjpI8QI-w0wBnYA1w/"", ""Инфа!A:AA""), 6, FALSE)"),2024)</f>
        <v>2024</v>
      </c>
      <c r="J1826" s="5">
        <f ca="1">ROUND((5000+G1826*60),-2)</f>
        <v>19900</v>
      </c>
      <c r="K1826" s="12" t="s">
        <v>3445</v>
      </c>
      <c r="L1826" s="15" t="s">
        <v>7571</v>
      </c>
    </row>
    <row r="1827" spans="1:12" ht="101.25">
      <c r="A1827" s="8" t="s">
        <v>7572</v>
      </c>
      <c r="B1827" s="9" t="s">
        <v>12</v>
      </c>
      <c r="C1827" s="10" t="s">
        <v>443</v>
      </c>
      <c r="D1827" s="10" t="str">
        <f ca="1">IFERROR(__xludf.DUMMYFUNCTION(" VLOOKUP(A1824, IMPORTRANGE(""https://docs.google.com/spreadsheets/d/1fj_Bhi2XPL3siwIh4sx4VRLAe31yD50oKdj5UlRYW0c/"", ""Сводка!A:AA""), 11, FALSE)"),"978-601-342-186-5")</f>
        <v>978-601-342-186-5</v>
      </c>
      <c r="E1827" s="11" t="s">
        <v>7573</v>
      </c>
      <c r="F1827" s="11" t="s">
        <v>7574</v>
      </c>
      <c r="G1827" s="12">
        <f ca="1">IFERROR(__xludf.DUMMYFUNCTION(" VLOOKUP(A1824, IMPORTRANGE(""https://docs.google.com/spreadsheets/d/1fj_Bhi2XPL3siwIh4sx4VRLAe31yD50oKdj5UlRYW0c/"", ""Сводка!A:AA""), 5, FALSE)"),108)</f>
        <v>108</v>
      </c>
      <c r="H1827" s="12" t="s">
        <v>538</v>
      </c>
      <c r="I1827" s="10">
        <f ca="1">IFERROR(__xludf.DUMMYFUNCTION(" VLOOKUP(A1824, IMPORTRANGE(""https://docs.google.com/spreadsheets/d/1QNLbnkR_AongFt22vMfNzfpjZ0CjpI8QI-w0wBnYA1w/"", ""Инфа!A:AA""), 6, FALSE)"),2024)</f>
        <v>2024</v>
      </c>
      <c r="J1827" s="5">
        <f ca="1">ROUND((5000+G1827*60),-2)</f>
        <v>11500</v>
      </c>
      <c r="K1827" s="12" t="s">
        <v>3445</v>
      </c>
      <c r="L1827" s="15" t="s">
        <v>7575</v>
      </c>
    </row>
    <row r="1828" spans="1:12" ht="101.25">
      <c r="A1828" s="8" t="s">
        <v>7576</v>
      </c>
      <c r="B1828" s="9" t="s">
        <v>12</v>
      </c>
      <c r="C1828" s="10" t="s">
        <v>443</v>
      </c>
      <c r="D1828" s="10" t="str">
        <f ca="1">IFERROR(__xludf.DUMMYFUNCTION(" VLOOKUP(A1825, IMPORTRANGE(""https://docs.google.com/spreadsheets/d/1fj_Bhi2XPL3siwIh4sx4VRLAe31yD50oKdj5UlRYW0c/"", ""Сводка!A:AA""), 11, FALSE)"),"978-601-243-458-3")</f>
        <v>978-601-243-458-3</v>
      </c>
      <c r="E1828" s="11" t="s">
        <v>7577</v>
      </c>
      <c r="F1828" s="11" t="s">
        <v>7578</v>
      </c>
      <c r="G1828" s="12">
        <f ca="1">IFERROR(__xludf.DUMMYFUNCTION(" VLOOKUP(A1825, IMPORTRANGE(""https://docs.google.com/spreadsheets/d/1fj_Bhi2XPL3siwIh4sx4VRLAe31yD50oKdj5UlRYW0c/"", ""Сводка!A:AA""), 5, FALSE)"),208)</f>
        <v>208</v>
      </c>
      <c r="H1828" s="12" t="s">
        <v>538</v>
      </c>
      <c r="I1828" s="10">
        <f ca="1">IFERROR(__xludf.DUMMYFUNCTION(" VLOOKUP(A1825, IMPORTRANGE(""https://docs.google.com/spreadsheets/d/1QNLbnkR_AongFt22vMfNzfpjZ0CjpI8QI-w0wBnYA1w/"", ""Инфа!A:AA""), 6, FALSE)"),2024)</f>
        <v>2024</v>
      </c>
      <c r="J1828" s="5">
        <f ca="1">ROUND((5000+G1828*60),-2)</f>
        <v>17500</v>
      </c>
      <c r="K1828" s="12" t="s">
        <v>3445</v>
      </c>
      <c r="L1828" s="15" t="s">
        <v>7579</v>
      </c>
    </row>
    <row r="1829" spans="1:12" ht="25.5">
      <c r="A1829" s="8" t="s">
        <v>7580</v>
      </c>
      <c r="B1829" s="9" t="s">
        <v>12</v>
      </c>
      <c r="C1829" s="10" t="s">
        <v>151</v>
      </c>
      <c r="D1829" s="10" t="str">
        <f ca="1">IFERROR(__xludf.DUMMYFUNCTION(" VLOOKUP(A1826, IMPORTRANGE(""https://docs.google.com/spreadsheets/d/1fj_Bhi2XPL3siwIh4sx4VRLAe31yD50oKdj5UlRYW0c/"", ""Сводка!A:AA""), 11, FALSE)"),"978-9965-20-075-5")</f>
        <v>978-9965-20-075-5</v>
      </c>
      <c r="E1829" s="11" t="s">
        <v>7581</v>
      </c>
      <c r="F1829" s="11" t="s">
        <v>7582</v>
      </c>
      <c r="G1829" s="12">
        <f ca="1">IFERROR(__xludf.DUMMYFUNCTION(" VLOOKUP(A1826, IMPORTRANGE(""https://docs.google.com/spreadsheets/d/1fj_Bhi2XPL3siwIh4sx4VRLAe31yD50oKdj5UlRYW0c/"", ""Сводка!A:AA""), 5, FALSE)"),304)</f>
        <v>304</v>
      </c>
      <c r="H1829" s="12" t="s">
        <v>165</v>
      </c>
      <c r="I1829" s="10">
        <f ca="1">IFERROR(__xludf.DUMMYFUNCTION(" VLOOKUP(A1826, IMPORTRANGE(""https://docs.google.com/spreadsheets/d/1QNLbnkR_AongFt22vMfNzfpjZ0CjpI8QI-w0wBnYA1w/"", ""Инфа!A:AA""), 6, FALSE)"),2024)</f>
        <v>2024</v>
      </c>
      <c r="J1829" s="5">
        <f ca="1">ROUND((5000+G1829*30),-2)</f>
        <v>14100</v>
      </c>
      <c r="K1829" s="12" t="s">
        <v>3371</v>
      </c>
      <c r="L1829" s="15"/>
    </row>
    <row r="1830" spans="1:12" ht="112.5">
      <c r="A1830" s="8" t="s">
        <v>7583</v>
      </c>
      <c r="B1830" s="9" t="s">
        <v>12</v>
      </c>
      <c r="C1830" s="10" t="s">
        <v>151</v>
      </c>
      <c r="D1830" s="10" t="str">
        <f ca="1">IFERROR(__xludf.DUMMYFUNCTION(" VLOOKUP(A1827, IMPORTRANGE(""https://docs.google.com/spreadsheets/d/1fj_Bhi2XPL3siwIh4sx4VRLAe31yD50oKdj5UlRYW0c/"", ""Сводка!A:AA""), 11, FALSE)"),"978-601-310-687-8")</f>
        <v>978-601-310-687-8</v>
      </c>
      <c r="E1830" s="11" t="s">
        <v>7584</v>
      </c>
      <c r="F1830" s="11" t="s">
        <v>7585</v>
      </c>
      <c r="G1830" s="12">
        <f ca="1">IFERROR(__xludf.DUMMYFUNCTION(" VLOOKUP(A1827, IMPORTRANGE(""https://docs.google.com/spreadsheets/d/1fj_Bhi2XPL3siwIh4sx4VRLAe31yD50oKdj5UlRYW0c/"", ""Сводка!A:AA""), 5, FALSE)"),216)</f>
        <v>216</v>
      </c>
      <c r="H1830" s="12" t="s">
        <v>47</v>
      </c>
      <c r="I1830" s="10">
        <f ca="1">IFERROR(__xludf.DUMMYFUNCTION(" VLOOKUP(A1827, IMPORTRANGE(""https://docs.google.com/spreadsheets/d/1QNLbnkR_AongFt22vMfNzfpjZ0CjpI8QI-w0wBnYA1w/"", ""Инфа!A:AA""), 6, FALSE)"),2024)</f>
        <v>2024</v>
      </c>
      <c r="J1830" s="5">
        <f ca="1">ROUND(((5000+G1830*30)*1.3),-2)</f>
        <v>14900</v>
      </c>
      <c r="K1830" s="12" t="s">
        <v>3371</v>
      </c>
      <c r="L1830" s="15" t="s">
        <v>7586</v>
      </c>
    </row>
    <row r="1831" spans="1:12" ht="146.25">
      <c r="A1831" s="8" t="s">
        <v>7587</v>
      </c>
      <c r="B1831" s="9" t="s">
        <v>12</v>
      </c>
      <c r="C1831" s="10" t="s">
        <v>151</v>
      </c>
      <c r="D1831" s="10" t="str">
        <f ca="1">IFERROR(__xludf.DUMMYFUNCTION(" VLOOKUP(A1828, IMPORTRANGE(""https://docs.google.com/spreadsheets/d/1fj_Bhi2XPL3siwIh4sx4VRLAe31yD50oKdj5UlRYW0c/"", ""Сводка!A:AA""), 11, FALSE)"),"978-601-310-688-5")</f>
        <v>978-601-310-688-5</v>
      </c>
      <c r="E1831" s="11" t="s">
        <v>7588</v>
      </c>
      <c r="F1831" s="11" t="s">
        <v>7589</v>
      </c>
      <c r="G1831" s="12">
        <f ca="1">IFERROR(__xludf.DUMMYFUNCTION(" VLOOKUP(A1828, IMPORTRANGE(""https://docs.google.com/spreadsheets/d/1fj_Bhi2XPL3siwIh4sx4VRLAe31yD50oKdj5UlRYW0c/"", ""Сводка!A:AA""), 5, FALSE)"),268)</f>
        <v>268</v>
      </c>
      <c r="H1831" s="12" t="s">
        <v>47</v>
      </c>
      <c r="I1831" s="10">
        <f ca="1">IFERROR(__xludf.DUMMYFUNCTION(" VLOOKUP(A1828, IMPORTRANGE(""https://docs.google.com/spreadsheets/d/1QNLbnkR_AongFt22vMfNzfpjZ0CjpI8QI-w0wBnYA1w/"", ""Инфа!A:AA""), 6, FALSE)"),2024)</f>
        <v>2024</v>
      </c>
      <c r="J1831" s="5">
        <f ca="1">ROUND(((5000+G1831*30)*1.3),-2)</f>
        <v>17000</v>
      </c>
      <c r="K1831" s="12" t="s">
        <v>3371</v>
      </c>
      <c r="L1831" s="15" t="s">
        <v>7590</v>
      </c>
    </row>
    <row r="1832" spans="1:12" ht="78.75">
      <c r="A1832" s="8" t="s">
        <v>7591</v>
      </c>
      <c r="B1832" s="9" t="s">
        <v>12</v>
      </c>
      <c r="C1832" s="10" t="s">
        <v>151</v>
      </c>
      <c r="D1832" s="10" t="str">
        <f ca="1">IFERROR(__xludf.DUMMYFUNCTION(" VLOOKUP(A1829, IMPORTRANGE(""https://docs.google.com/spreadsheets/d/1fj_Bhi2XPL3siwIh4sx4VRLAe31yD50oKdj5UlRYW0c/"", ""Сводка!A:AA""), 11, FALSE)"),"978-601-310-686-1")</f>
        <v>978-601-310-686-1</v>
      </c>
      <c r="E1832" s="11" t="s">
        <v>7592</v>
      </c>
      <c r="F1832" s="11" t="s">
        <v>7593</v>
      </c>
      <c r="G1832" s="12">
        <f ca="1">IFERROR(__xludf.DUMMYFUNCTION(" VLOOKUP(A1829, IMPORTRANGE(""https://docs.google.com/spreadsheets/d/1fj_Bhi2XPL3siwIh4sx4VRLAe31yD50oKdj5UlRYW0c/"", ""Сводка!A:AA""), 5, FALSE)"),224)</f>
        <v>224</v>
      </c>
      <c r="H1832" s="12" t="s">
        <v>282</v>
      </c>
      <c r="I1832" s="10">
        <f ca="1">IFERROR(__xludf.DUMMYFUNCTION(" VLOOKUP(A1829, IMPORTRANGE(""https://docs.google.com/spreadsheets/d/1QNLbnkR_AongFt22vMfNzfpjZ0CjpI8QI-w0wBnYA1w/"", ""Инфа!A:AA""), 6, FALSE)"),2024)</f>
        <v>2024</v>
      </c>
      <c r="J1832" s="5">
        <f ca="1">ROUND((5000+G1832*30),-2)</f>
        <v>11700</v>
      </c>
      <c r="K1832" s="12" t="s">
        <v>3371</v>
      </c>
      <c r="L1832" s="15" t="s">
        <v>7594</v>
      </c>
    </row>
    <row r="1833" spans="1:12" ht="303.75">
      <c r="A1833" s="8" t="s">
        <v>7595</v>
      </c>
      <c r="B1833" s="9" t="s">
        <v>12</v>
      </c>
      <c r="C1833" s="10" t="s">
        <v>443</v>
      </c>
      <c r="D1833" s="10" t="str">
        <f ca="1">IFERROR(__xludf.DUMMYFUNCTION(" VLOOKUP(A1830, IMPORTRANGE(""https://docs.google.com/spreadsheets/d/1fj_Bhi2XPL3siwIh4sx4VRLAe31yD50oKdj5UlRYW0c/"", ""Сводка!A:AA""), 11, FALSE)"),"978-601-225-963-6")</f>
        <v>978-601-225-963-6</v>
      </c>
      <c r="E1833" s="11" t="s">
        <v>7596</v>
      </c>
      <c r="F1833" s="11" t="s">
        <v>7597</v>
      </c>
      <c r="G1833" s="12">
        <f ca="1">IFERROR(__xludf.DUMMYFUNCTION(" VLOOKUP(A1830, IMPORTRANGE(""https://docs.google.com/spreadsheets/d/1fj_Bhi2XPL3siwIh4sx4VRLAe31yD50oKdj5UlRYW0c/"", ""Сводка!A:AA""), 5, FALSE)"),272)</f>
        <v>272</v>
      </c>
      <c r="H1833" s="12" t="s">
        <v>511</v>
      </c>
      <c r="I1833" s="10">
        <f ca="1">IFERROR(__xludf.DUMMYFUNCTION(" VLOOKUP(A1830, IMPORTRANGE(""https://docs.google.com/spreadsheets/d/1QNLbnkR_AongFt22vMfNzfpjZ0CjpI8QI-w0wBnYA1w/"", ""Инфа!A:AA""), 6, FALSE)"),2024)</f>
        <v>2024</v>
      </c>
      <c r="J1833" s="5">
        <f ca="1">ROUND((5000+G1833*30),-2)</f>
        <v>13200</v>
      </c>
      <c r="K1833" s="12" t="s">
        <v>277</v>
      </c>
      <c r="L1833" s="15" t="s">
        <v>7598</v>
      </c>
    </row>
    <row r="1834" spans="1:12" ht="123.75">
      <c r="A1834" s="8" t="s">
        <v>7599</v>
      </c>
      <c r="B1834" s="9" t="s">
        <v>12</v>
      </c>
      <c r="C1834" s="10" t="s">
        <v>443</v>
      </c>
      <c r="D1834" s="10" t="str">
        <f ca="1">IFERROR(__xludf.DUMMYFUNCTION(" VLOOKUP(A1831, IMPORTRANGE(""https://docs.google.com/spreadsheets/d/1fj_Bhi2XPL3siwIh4sx4VRLAe31yD50oKdj5UlRYW0c/"", ""Сводка!A:AA""), 11, FALSE)"),"5-7404-0123-2")</f>
        <v>5-7404-0123-2</v>
      </c>
      <c r="E1834" s="11" t="s">
        <v>7600</v>
      </c>
      <c r="F1834" s="11" t="s">
        <v>7601</v>
      </c>
      <c r="G1834" s="12">
        <f ca="1">IFERROR(__xludf.DUMMYFUNCTION(" VLOOKUP(A1831, IMPORTRANGE(""https://docs.google.com/spreadsheets/d/1fj_Bhi2XPL3siwIh4sx4VRLAe31yD50oKdj5UlRYW0c/"", ""Сводка!A:AA""), 5, FALSE)"),344)</f>
        <v>344</v>
      </c>
      <c r="H1834" s="12" t="s">
        <v>538</v>
      </c>
      <c r="I1834" s="10">
        <f ca="1">IFERROR(__xludf.DUMMYFUNCTION(" VLOOKUP(A1831, IMPORTRANGE(""https://docs.google.com/spreadsheets/d/1QNLbnkR_AongFt22vMfNzfpjZ0CjpI8QI-w0wBnYA1w/"", ""Инфа!A:AA""), 6, FALSE)"),2024)</f>
        <v>2024</v>
      </c>
      <c r="J1834" s="5">
        <f ca="1">ROUND((5000+G1834*60),-2)</f>
        <v>25600</v>
      </c>
      <c r="K1834" s="12" t="s">
        <v>78</v>
      </c>
      <c r="L1834" s="15" t="s">
        <v>7602</v>
      </c>
    </row>
    <row r="1835" spans="1:12" ht="146.25">
      <c r="A1835" s="8" t="s">
        <v>7603</v>
      </c>
      <c r="B1835" s="9" t="s">
        <v>12</v>
      </c>
      <c r="C1835" s="10" t="s">
        <v>443</v>
      </c>
      <c r="D1835" s="10" t="str">
        <f ca="1">IFERROR(__xludf.DUMMYFUNCTION(" VLOOKUP(A1832, IMPORTRANGE(""https://docs.google.com/spreadsheets/d/1fj_Bhi2XPL3siwIh4sx4VRLAe31yD50oKdj5UlRYW0c/"", ""Сводка!A:AA""), 11, FALSE)"),"978-601-310-873-5")</f>
        <v>978-601-310-873-5</v>
      </c>
      <c r="E1835" s="11" t="s">
        <v>7604</v>
      </c>
      <c r="F1835" s="11" t="s">
        <v>7605</v>
      </c>
      <c r="G1835" s="12">
        <f ca="1">IFERROR(__xludf.DUMMYFUNCTION(" VLOOKUP(A1832, IMPORTRANGE(""https://docs.google.com/spreadsheets/d/1fj_Bhi2XPL3siwIh4sx4VRLAe31yD50oKdj5UlRYW0c/"", ""Сводка!A:AA""), 5, FALSE)"),144)</f>
        <v>144</v>
      </c>
      <c r="H1835" s="12" t="s">
        <v>538</v>
      </c>
      <c r="I1835" s="10">
        <f ca="1">IFERROR(__xludf.DUMMYFUNCTION(" VLOOKUP(A1832, IMPORTRANGE(""https://docs.google.com/spreadsheets/d/1QNLbnkR_AongFt22vMfNzfpjZ0CjpI8QI-w0wBnYA1w/"", ""Инфа!A:AA""), 6, FALSE)"),2024)</f>
        <v>2024</v>
      </c>
      <c r="J1835" s="5">
        <f ca="1">ROUND((5000+G1835*30),-2)</f>
        <v>9300</v>
      </c>
      <c r="K1835" s="9" t="s">
        <v>408</v>
      </c>
      <c r="L1835" s="15" t="s">
        <v>7606</v>
      </c>
    </row>
    <row r="1836" spans="1:12" ht="180">
      <c r="A1836" s="8" t="s">
        <v>7607</v>
      </c>
      <c r="B1836" s="9" t="s">
        <v>12</v>
      </c>
      <c r="C1836" s="10" t="s">
        <v>151</v>
      </c>
      <c r="D1836" s="10" t="str">
        <f ca="1">IFERROR(__xludf.DUMMYFUNCTION(" VLOOKUP(A1833, IMPORTRANGE(""https://docs.google.com/spreadsheets/d/1fj_Bhi2XPL3siwIh4sx4VRLAe31yD50oKdj5UlRYW0c/"", ""Сводка!A:AA""), 11, FALSE)"),"978-601-310-873-5")</f>
        <v>978-601-310-873-5</v>
      </c>
      <c r="E1836" s="11" t="s">
        <v>7604</v>
      </c>
      <c r="F1836" s="11" t="s">
        <v>7608</v>
      </c>
      <c r="G1836" s="12">
        <f ca="1">IFERROR(__xludf.DUMMYFUNCTION(" VLOOKUP(A1833, IMPORTRANGE(""https://docs.google.com/spreadsheets/d/1fj_Bhi2XPL3siwIh4sx4VRLAe31yD50oKdj5UlRYW0c/"", ""Сводка!A:AA""), 5, FALSE)"),108)</f>
        <v>108</v>
      </c>
      <c r="H1836" s="12" t="s">
        <v>538</v>
      </c>
      <c r="I1836" s="10">
        <f ca="1">IFERROR(__xludf.DUMMYFUNCTION(" VLOOKUP(A1833, IMPORTRANGE(""https://docs.google.com/spreadsheets/d/1QNLbnkR_AongFt22vMfNzfpjZ0CjpI8QI-w0wBnYA1w/"", ""Инфа!A:AA""), 6, FALSE)"),2024)</f>
        <v>2024</v>
      </c>
      <c r="J1836" s="5">
        <f ca="1">ROUND((5000+G1836*30),-2)</f>
        <v>8200</v>
      </c>
      <c r="K1836" s="9" t="s">
        <v>408</v>
      </c>
      <c r="L1836" s="15" t="s">
        <v>7609</v>
      </c>
    </row>
    <row r="1837" spans="1:12" ht="213.75">
      <c r="A1837" s="8" t="s">
        <v>7610</v>
      </c>
      <c r="B1837" s="9" t="s">
        <v>12</v>
      </c>
      <c r="C1837" s="10" t="s">
        <v>443</v>
      </c>
      <c r="D1837" s="10" t="str">
        <f ca="1">IFERROR(__xludf.DUMMYFUNCTION(" VLOOKUP(A1834, IMPORTRANGE(""https://docs.google.com/spreadsheets/d/1fj_Bhi2XPL3siwIh4sx4VRLAe31yD50oKdj5UlRYW0c/"", ""Сводка!A:AA""), 11, FALSE)"),"978-601-240-986-4")</f>
        <v>978-601-240-986-4</v>
      </c>
      <c r="E1837" s="11" t="s">
        <v>7611</v>
      </c>
      <c r="F1837" s="11" t="s">
        <v>7612</v>
      </c>
      <c r="G1837" s="12">
        <f ca="1">IFERROR(__xludf.DUMMYFUNCTION(" VLOOKUP(A1834, IMPORTRANGE(""https://docs.google.com/spreadsheets/d/1fj_Bhi2XPL3siwIh4sx4VRLAe31yD50oKdj5UlRYW0c/"", ""Сводка!A:AA""), 5, FALSE)"),280)</f>
        <v>280</v>
      </c>
      <c r="H1837" s="12" t="s">
        <v>952</v>
      </c>
      <c r="I1837" s="10">
        <f ca="1">IFERROR(__xludf.DUMMYFUNCTION(" VLOOKUP(A1834, IMPORTRANGE(""https://docs.google.com/spreadsheets/d/1QNLbnkR_AongFt22vMfNzfpjZ0CjpI8QI-w0wBnYA1w/"", ""Инфа!A:AA""), 6, FALSE)"),2024)</f>
        <v>2024</v>
      </c>
      <c r="J1837" s="5">
        <f ca="1">ROUND((5000+G1837*60),-2)</f>
        <v>21800</v>
      </c>
      <c r="K1837" s="12" t="s">
        <v>440</v>
      </c>
      <c r="L1837" s="15" t="s">
        <v>7613</v>
      </c>
    </row>
    <row r="1838" spans="1:12" ht="180">
      <c r="A1838" s="8" t="s">
        <v>7614</v>
      </c>
      <c r="B1838" s="9" t="s">
        <v>12</v>
      </c>
      <c r="C1838" s="10" t="s">
        <v>151</v>
      </c>
      <c r="D1838" s="10" t="str">
        <f ca="1">IFERROR(__xludf.DUMMYFUNCTION(" VLOOKUP(A1835, IMPORTRANGE(""https://docs.google.com/spreadsheets/d/1fj_Bhi2XPL3siwIh4sx4VRLAe31yD50oKdj5UlRYW0c/"", ""Сводка!A:AA""), 11, FALSE)"),"978-601-310-925-1")</f>
        <v>978-601-310-925-1</v>
      </c>
      <c r="E1838" s="11" t="s">
        <v>7615</v>
      </c>
      <c r="F1838" s="11" t="s">
        <v>7616</v>
      </c>
      <c r="G1838" s="12">
        <f ca="1">IFERROR(__xludf.DUMMYFUNCTION(" VLOOKUP(A1835, IMPORTRANGE(""https://docs.google.com/spreadsheets/d/1fj_Bhi2XPL3siwIh4sx4VRLAe31yD50oKdj5UlRYW0c/"", ""Сводка!A:AA""), 5, FALSE)"),96)</f>
        <v>96</v>
      </c>
      <c r="H1838" s="12" t="s">
        <v>47</v>
      </c>
      <c r="I1838" s="10">
        <f ca="1">IFERROR(__xludf.DUMMYFUNCTION(" VLOOKUP(A1835, IMPORTRANGE(""https://docs.google.com/spreadsheets/d/1QNLbnkR_AongFt22vMfNzfpjZ0CjpI8QI-w0wBnYA1w/"", ""Инфа!A:AA""), 6, FALSE)"),2024)</f>
        <v>2024</v>
      </c>
      <c r="J1838" s="5">
        <f ca="1">ROUND(((5000+G1838*30)*1.3),-2)</f>
        <v>10200</v>
      </c>
      <c r="K1838" s="12" t="s">
        <v>860</v>
      </c>
      <c r="L1838" s="15" t="s">
        <v>7617</v>
      </c>
    </row>
    <row r="1839" spans="1:12" ht="25.5">
      <c r="A1839" s="8" t="s">
        <v>7618</v>
      </c>
      <c r="B1839" s="9" t="s">
        <v>12</v>
      </c>
      <c r="C1839" s="10" t="s">
        <v>443</v>
      </c>
      <c r="D1839" s="10" t="str">
        <f ca="1">IFERROR(__xludf.DUMMYFUNCTION(" VLOOKUP(A1836, IMPORTRANGE(""https://docs.google.com/spreadsheets/d/1fj_Bhi2XPL3siwIh4sx4VRLAe31yD50oKdj5UlRYW0c/"", ""Сводка!A:AA""), 11, FALSE)"),"8956-52-454-3")</f>
        <v>8956-52-454-3</v>
      </c>
      <c r="E1839" s="11" t="s">
        <v>7619</v>
      </c>
      <c r="F1839" s="11" t="s">
        <v>7620</v>
      </c>
      <c r="G1839" s="12">
        <f ca="1">IFERROR(__xludf.DUMMYFUNCTION(" VLOOKUP(A1836, IMPORTRANGE(""https://docs.google.com/spreadsheets/d/1fj_Bhi2XPL3siwIh4sx4VRLAe31yD50oKdj5UlRYW0c/"", ""Сводка!A:AA""), 5, FALSE)"),76)</f>
        <v>76</v>
      </c>
      <c r="H1839" s="12" t="s">
        <v>511</v>
      </c>
      <c r="I1839" s="10">
        <f ca="1">IFERROR(__xludf.DUMMYFUNCTION(" VLOOKUP(A1836, IMPORTRANGE(""https://docs.google.com/spreadsheets/d/1QNLbnkR_AongFt22vMfNzfpjZ0CjpI8QI-w0wBnYA1w/"", ""Инфа!A:AA""), 6, FALSE)"),2024)</f>
        <v>2024</v>
      </c>
      <c r="J1839" s="5">
        <f ca="1">ROUND((5000+G1839*30),-2)</f>
        <v>7300</v>
      </c>
      <c r="K1839" s="12" t="s">
        <v>26</v>
      </c>
      <c r="L1839" s="15"/>
    </row>
    <row r="1840" spans="1:12" ht="78.75">
      <c r="A1840" s="8" t="s">
        <v>7621</v>
      </c>
      <c r="B1840" s="9" t="s">
        <v>12</v>
      </c>
      <c r="C1840" s="10" t="s">
        <v>443</v>
      </c>
      <c r="D1840" s="10" t="str">
        <f ca="1">IFERROR(__xludf.DUMMYFUNCTION(" VLOOKUP(A1837, IMPORTRANGE(""https://docs.google.com/spreadsheets/d/1fj_Bhi2XPL3siwIh4sx4VRLAe31yD50oKdj5UlRYW0c/"", ""Сводка!A:AA""), 11, FALSE)"),"9965-31-427-6")</f>
        <v>9965-31-427-6</v>
      </c>
      <c r="E1840" s="11" t="s">
        <v>7619</v>
      </c>
      <c r="F1840" s="11" t="s">
        <v>7622</v>
      </c>
      <c r="G1840" s="12">
        <f ca="1">IFERROR(__xludf.DUMMYFUNCTION(" VLOOKUP(A1837, IMPORTRANGE(""https://docs.google.com/spreadsheets/d/1fj_Bhi2XPL3siwIh4sx4VRLAe31yD50oKdj5UlRYW0c/"", ""Сводка!A:AA""), 5, FALSE)"),192)</f>
        <v>192</v>
      </c>
      <c r="H1840" s="12" t="s">
        <v>538</v>
      </c>
      <c r="I1840" s="10">
        <f ca="1">IFERROR(__xludf.DUMMYFUNCTION(" VLOOKUP(A1837, IMPORTRANGE(""https://docs.google.com/spreadsheets/d/1QNLbnkR_AongFt22vMfNzfpjZ0CjpI8QI-w0wBnYA1w/"", ""Инфа!A:AA""), 6, FALSE)"),2024)</f>
        <v>2024</v>
      </c>
      <c r="J1840" s="5">
        <f ca="1">ROUND((5000+G1840*60),-2)</f>
        <v>16500</v>
      </c>
      <c r="K1840" s="12" t="s">
        <v>860</v>
      </c>
      <c r="L1840" s="15" t="s">
        <v>7623</v>
      </c>
    </row>
    <row r="1841" spans="1:12" ht="140.25">
      <c r="A1841" s="8" t="s">
        <v>7624</v>
      </c>
      <c r="B1841" s="9" t="s">
        <v>12</v>
      </c>
      <c r="C1841" s="10" t="s">
        <v>443</v>
      </c>
      <c r="D1841" s="10" t="str">
        <f ca="1">IFERROR(__xludf.DUMMYFUNCTION(" VLOOKUP(A1838, IMPORTRANGE(""https://docs.google.com/spreadsheets/d/1fj_Bhi2XPL3siwIh4sx4VRLAe31yD50oKdj5UlRYW0c/"", ""Сводка!A:AA""), 11, FALSE)"),"978-601-240-383-1")</f>
        <v>978-601-240-383-1</v>
      </c>
      <c r="E1841" s="11" t="s">
        <v>7619</v>
      </c>
      <c r="F1841" s="11" t="s">
        <v>7625</v>
      </c>
      <c r="G1841" s="12">
        <f ca="1">IFERROR(__xludf.DUMMYFUNCTION(" VLOOKUP(A1838, IMPORTRANGE(""https://docs.google.com/spreadsheets/d/1fj_Bhi2XPL3siwIh4sx4VRLAe31yD50oKdj5UlRYW0c/"", ""Сводка!A:AA""), 5, FALSE)"),184)</f>
        <v>184</v>
      </c>
      <c r="H1841" s="12" t="s">
        <v>7626</v>
      </c>
      <c r="I1841" s="10">
        <f ca="1">IFERROR(__xludf.DUMMYFUNCTION(" VLOOKUP(A1838, IMPORTRANGE(""https://docs.google.com/spreadsheets/d/1QNLbnkR_AongFt22vMfNzfpjZ0CjpI8QI-w0wBnYA1w/"", ""Инфа!A:AA""), 6, FALSE)"),2024)</f>
        <v>2024</v>
      </c>
      <c r="J1841" s="5">
        <f ca="1">ROUND((5000+G1841*30),-2)</f>
        <v>10500</v>
      </c>
      <c r="K1841" s="12" t="s">
        <v>860</v>
      </c>
      <c r="L1841" s="15"/>
    </row>
    <row r="1842" spans="1:12" ht="63.75">
      <c r="A1842" s="8" t="s">
        <v>7627</v>
      </c>
      <c r="B1842" s="9" t="s">
        <v>12</v>
      </c>
      <c r="C1842" s="10" t="s">
        <v>443</v>
      </c>
      <c r="D1842" s="10" t="str">
        <f ca="1">IFERROR(__xludf.DUMMYFUNCTION(" VLOOKUP(A1839, IMPORTRANGE(""https://docs.google.com/spreadsheets/d/1fj_Bhi2XPL3siwIh4sx4VRLAe31yD50oKdj5UlRYW0c/"", ""Сводка!A:AA""), 11, FALSE)"),"978-601-240-383-1")</f>
        <v>978-601-240-383-1</v>
      </c>
      <c r="E1842" s="11" t="s">
        <v>7619</v>
      </c>
      <c r="F1842" s="11" t="s">
        <v>7628</v>
      </c>
      <c r="G1842" s="12">
        <f ca="1">IFERROR(__xludf.DUMMYFUNCTION(" VLOOKUP(A1839, IMPORTRANGE(""https://docs.google.com/spreadsheets/d/1fj_Bhi2XPL3siwIh4sx4VRLAe31yD50oKdj5UlRYW0c/"", ""Сводка!A:AA""), 5, FALSE)"),100)</f>
        <v>100</v>
      </c>
      <c r="H1842" s="12" t="s">
        <v>538</v>
      </c>
      <c r="I1842" s="10">
        <f ca="1">IFERROR(__xludf.DUMMYFUNCTION(" VLOOKUP(A1839, IMPORTRANGE(""https://docs.google.com/spreadsheets/d/1QNLbnkR_AongFt22vMfNzfpjZ0CjpI8QI-w0wBnYA1w/"", ""Инфа!A:AA""), 6, FALSE)"),2024)</f>
        <v>2024</v>
      </c>
      <c r="J1842" s="5">
        <f ca="1">ROUND((5000+G1842*30),-2)</f>
        <v>8000</v>
      </c>
      <c r="K1842" s="12" t="s">
        <v>860</v>
      </c>
      <c r="L1842" s="15"/>
    </row>
    <row r="1843" spans="1:12" ht="258.75">
      <c r="A1843" s="8" t="s">
        <v>7629</v>
      </c>
      <c r="B1843" s="9" t="s">
        <v>12</v>
      </c>
      <c r="C1843" s="10" t="s">
        <v>151</v>
      </c>
      <c r="D1843" s="10" t="str">
        <f ca="1">IFERROR(__xludf.DUMMYFUNCTION(" VLOOKUP(A1840, IMPORTRANGE(""https://docs.google.com/spreadsheets/d/1fj_Bhi2XPL3siwIh4sx4VRLAe31yD50oKdj5UlRYW0c/"", ""Сводка!A:AA""), 11, FALSE)"),"978-601-240-695-5")</f>
        <v>978-601-240-695-5</v>
      </c>
      <c r="E1843" s="11" t="s">
        <v>7619</v>
      </c>
      <c r="F1843" s="11" t="s">
        <v>7630</v>
      </c>
      <c r="G1843" s="12">
        <f ca="1">IFERROR(__xludf.DUMMYFUNCTION(" VLOOKUP(A1840, IMPORTRANGE(""https://docs.google.com/spreadsheets/d/1fj_Bhi2XPL3siwIh4sx4VRLAe31yD50oKdj5UlRYW0c/"", ""Сводка!A:AA""), 5, FALSE)"),160)</f>
        <v>160</v>
      </c>
      <c r="H1843" s="12" t="s">
        <v>47</v>
      </c>
      <c r="I1843" s="10">
        <f ca="1">IFERROR(__xludf.DUMMYFUNCTION(" VLOOKUP(A1840, IMPORTRANGE(""https://docs.google.com/spreadsheets/d/1QNLbnkR_AongFt22vMfNzfpjZ0CjpI8QI-w0wBnYA1w/"", ""Инфа!A:AA""), 6, FALSE)"),2024)</f>
        <v>2024</v>
      </c>
      <c r="J1843" s="5">
        <f ca="1">ROUND(((5000+G1843*30)*1.3),-2)</f>
        <v>12700</v>
      </c>
      <c r="K1843" s="12" t="s">
        <v>26</v>
      </c>
      <c r="L1843" s="15" t="s">
        <v>7631</v>
      </c>
    </row>
    <row r="1844" spans="1:12" ht="38.25">
      <c r="A1844" s="8" t="s">
        <v>7632</v>
      </c>
      <c r="B1844" s="9" t="s">
        <v>12</v>
      </c>
      <c r="C1844" s="10" t="s">
        <v>443</v>
      </c>
      <c r="D1844" s="10" t="str">
        <f ca="1">IFERROR(__xludf.DUMMYFUNCTION(" VLOOKUP(A1841, IMPORTRANGE(""https://docs.google.com/spreadsheets/d/1fj_Bhi2XPL3siwIh4sx4VRLAe31yD50oKdj5UlRYW0c/"", ""Сводка!A:AA""), 11, FALSE)"),"978-601-310-937-4")</f>
        <v>978-601-310-937-4</v>
      </c>
      <c r="E1844" s="11" t="s">
        <v>7619</v>
      </c>
      <c r="F1844" s="11" t="s">
        <v>7633</v>
      </c>
      <c r="G1844" s="12">
        <f ca="1">IFERROR(__xludf.DUMMYFUNCTION(" VLOOKUP(A1841, IMPORTRANGE(""https://docs.google.com/spreadsheets/d/1fj_Bhi2XPL3siwIh4sx4VRLAe31yD50oKdj5UlRYW0c/"", ""Сводка!A:AA""), 5, FALSE)"),116)</f>
        <v>116</v>
      </c>
      <c r="H1844" s="12"/>
      <c r="I1844" s="10">
        <f ca="1">IFERROR(__xludf.DUMMYFUNCTION(" VLOOKUP(A1841, IMPORTRANGE(""https://docs.google.com/spreadsheets/d/1QNLbnkR_AongFt22vMfNzfpjZ0CjpI8QI-w0wBnYA1w/"", ""Инфа!A:AA""), 6, FALSE)"),2024)</f>
        <v>2024</v>
      </c>
      <c r="J1844" s="5">
        <f ca="1">ROUND((5000+G1844*30),-2)</f>
        <v>8500</v>
      </c>
      <c r="K1844" s="12" t="s">
        <v>860</v>
      </c>
      <c r="L1844" s="15"/>
    </row>
    <row r="1845" spans="1:12" ht="38.25">
      <c r="A1845" s="8" t="s">
        <v>7634</v>
      </c>
      <c r="B1845" s="9" t="s">
        <v>12</v>
      </c>
      <c r="C1845" s="10" t="s">
        <v>151</v>
      </c>
      <c r="D1845" s="10" t="str">
        <f ca="1">IFERROR(__xludf.DUMMYFUNCTION(" VLOOKUP(A1842, IMPORTRANGE(""https://docs.google.com/spreadsheets/d/1fj_Bhi2XPL3siwIh4sx4VRLAe31yD50oKdj5UlRYW0c/"", ""Сводка!A:AA""), 11, FALSE)"),"978-601-240-386-2")</f>
        <v>978-601-240-386-2</v>
      </c>
      <c r="E1845" s="11" t="s">
        <v>7619</v>
      </c>
      <c r="F1845" s="11" t="s">
        <v>7635</v>
      </c>
      <c r="G1845" s="12">
        <f ca="1">IFERROR(__xludf.DUMMYFUNCTION(" VLOOKUP(A1842, IMPORTRANGE(""https://docs.google.com/spreadsheets/d/1fj_Bhi2XPL3siwIh4sx4VRLAe31yD50oKdj5UlRYW0c/"", ""Сводка!A:AA""), 5, FALSE)"),108)</f>
        <v>108</v>
      </c>
      <c r="H1845" s="12" t="s">
        <v>47</v>
      </c>
      <c r="I1845" s="10">
        <f ca="1">IFERROR(__xludf.DUMMYFUNCTION(" VLOOKUP(A1842, IMPORTRANGE(""https://docs.google.com/spreadsheets/d/1QNLbnkR_AongFt22vMfNzfpjZ0CjpI8QI-w0wBnYA1w/"", ""Инфа!A:AA""), 6, FALSE)"),2024)</f>
        <v>2024</v>
      </c>
      <c r="J1845" s="5">
        <f ca="1">ROUND((5000+G1845*60),-2)</f>
        <v>11500</v>
      </c>
      <c r="K1845" s="12" t="s">
        <v>860</v>
      </c>
      <c r="L1845" s="15"/>
    </row>
    <row r="1846" spans="1:12" ht="63.75">
      <c r="A1846" s="8" t="s">
        <v>7636</v>
      </c>
      <c r="B1846" s="9" t="s">
        <v>12</v>
      </c>
      <c r="C1846" s="10" t="s">
        <v>443</v>
      </c>
      <c r="D1846" s="10" t="str">
        <f ca="1">IFERROR(__xludf.DUMMYFUNCTION(" VLOOKUP(A1843, IMPORTRANGE(""https://docs.google.com/spreadsheets/d/1fj_Bhi2XPL3siwIh4sx4VRLAe31yD50oKdj5UlRYW0c/"", ""Сводка!A:AA""), 11, FALSE)"),"978-601-240-384-8")</f>
        <v>978-601-240-384-8</v>
      </c>
      <c r="E1846" s="11" t="s">
        <v>7637</v>
      </c>
      <c r="F1846" s="11" t="s">
        <v>7638</v>
      </c>
      <c r="G1846" s="12">
        <f ca="1">IFERROR(__xludf.DUMMYFUNCTION(" VLOOKUP(A1843, IMPORTRANGE(""https://docs.google.com/spreadsheets/d/1fj_Bhi2XPL3siwIh4sx4VRLAe31yD50oKdj5UlRYW0c/"", ""Сводка!A:AA""), 5, FALSE)"),104)</f>
        <v>104</v>
      </c>
      <c r="H1846" s="12" t="s">
        <v>538</v>
      </c>
      <c r="I1846" s="10">
        <f ca="1">IFERROR(__xludf.DUMMYFUNCTION(" VLOOKUP(A1843, IMPORTRANGE(""https://docs.google.com/spreadsheets/d/1QNLbnkR_AongFt22vMfNzfpjZ0CjpI8QI-w0wBnYA1w/"", ""Инфа!A:AA""), 6, FALSE)"),2024)</f>
        <v>2024</v>
      </c>
      <c r="J1846" s="5">
        <f ca="1">ROUND(((5000+G1846*30)*1.3),-2)</f>
        <v>10600</v>
      </c>
      <c r="K1846" s="9" t="s">
        <v>592</v>
      </c>
      <c r="L1846" s="15"/>
    </row>
    <row r="1847" spans="1:12" ht="51">
      <c r="A1847" s="8" t="s">
        <v>7639</v>
      </c>
      <c r="B1847" s="9" t="s">
        <v>12</v>
      </c>
      <c r="C1847" s="10" t="s">
        <v>443</v>
      </c>
      <c r="D1847" s="10" t="str">
        <f ca="1">IFERROR(__xludf.DUMMYFUNCTION(" VLOOKUP(A1844, IMPORTRANGE(""https://docs.google.com/spreadsheets/d/1fj_Bhi2XPL3siwIh4sx4VRLAe31yD50oKdj5UlRYW0c/"", ""Сводка!A:AA""), 11, FALSE)"),"978-601-240-385-5")</f>
        <v>978-601-240-385-5</v>
      </c>
      <c r="E1847" s="11" t="s">
        <v>7640</v>
      </c>
      <c r="F1847" s="11" t="s">
        <v>7641</v>
      </c>
      <c r="G1847" s="12">
        <f ca="1">IFERROR(__xludf.DUMMYFUNCTION(" VLOOKUP(A1844, IMPORTRANGE(""https://docs.google.com/spreadsheets/d/1fj_Bhi2XPL3siwIh4sx4VRLAe31yD50oKdj5UlRYW0c/"", ""Сводка!A:AA""), 5, FALSE)"),100)</f>
        <v>100</v>
      </c>
      <c r="H1847" s="12" t="s">
        <v>538</v>
      </c>
      <c r="I1847" s="10">
        <f ca="1">IFERROR(__xludf.DUMMYFUNCTION(" VLOOKUP(A1844, IMPORTRANGE(""https://docs.google.com/spreadsheets/d/1QNLbnkR_AongFt22vMfNzfpjZ0CjpI8QI-w0wBnYA1w/"", ""Инфа!A:AA""), 6, FALSE)"),2024)</f>
        <v>2024</v>
      </c>
      <c r="J1847" s="5">
        <f ca="1">ROUND(((5000+G1847*30)*1.3),-2)</f>
        <v>10400</v>
      </c>
      <c r="K1847" s="12" t="s">
        <v>860</v>
      </c>
      <c r="L1847" s="15"/>
    </row>
    <row r="1848" spans="1:12" ht="78.75">
      <c r="A1848" s="8" t="s">
        <v>7642</v>
      </c>
      <c r="B1848" s="9" t="s">
        <v>12</v>
      </c>
      <c r="C1848" s="10" t="s">
        <v>443</v>
      </c>
      <c r="D1848" s="10" t="str">
        <f ca="1">IFERROR(__xludf.DUMMYFUNCTION(" VLOOKUP(A1845, IMPORTRANGE(""https://docs.google.com/spreadsheets/d/1fj_Bhi2XPL3siwIh4sx4VRLAe31yD50oKdj5UlRYW0c/"", ""Сводка!A:AA""), 11, FALSE)"),"978-601-240-383-1")</f>
        <v>978-601-240-383-1</v>
      </c>
      <c r="E1848" s="11" t="s">
        <v>7643</v>
      </c>
      <c r="F1848" s="11" t="s">
        <v>7644</v>
      </c>
      <c r="G1848" s="12">
        <f ca="1">IFERROR(__xludf.DUMMYFUNCTION(" VLOOKUP(A1845, IMPORTRANGE(""https://docs.google.com/spreadsheets/d/1fj_Bhi2XPL3siwIh4sx4VRLAe31yD50oKdj5UlRYW0c/"", ""Сводка!A:AA""), 5, FALSE)"),184)</f>
        <v>184</v>
      </c>
      <c r="H1848" s="12" t="s">
        <v>106</v>
      </c>
      <c r="I1848" s="10">
        <f ca="1">IFERROR(__xludf.DUMMYFUNCTION(" VLOOKUP(A1845, IMPORTRANGE(""https://docs.google.com/spreadsheets/d/1QNLbnkR_AongFt22vMfNzfpjZ0CjpI8QI-w0wBnYA1w/"", ""Инфа!A:AA""), 6, FALSE)"),2024)</f>
        <v>2024</v>
      </c>
      <c r="J1848" s="5">
        <f ca="1">ROUND((5000+G1848*30),-2)</f>
        <v>10500</v>
      </c>
      <c r="K1848" s="12" t="s">
        <v>860</v>
      </c>
      <c r="L1848" s="15" t="s">
        <v>7645</v>
      </c>
    </row>
    <row r="1849" spans="1:12" ht="135">
      <c r="A1849" s="8" t="s">
        <v>7646</v>
      </c>
      <c r="B1849" s="9" t="s">
        <v>12</v>
      </c>
      <c r="C1849" s="10" t="s">
        <v>151</v>
      </c>
      <c r="D1849" s="10" t="str">
        <f ca="1">IFERROR(__xludf.DUMMYFUNCTION(" VLOOKUP(A1846, IMPORTRANGE(""https://docs.google.com/spreadsheets/d/1fj_Bhi2XPL3siwIh4sx4VRLAe31yD50oKdj5UlRYW0c/"", ""Сводка!A:AA""), 11, FALSE)"),"978-601-342-099-8")</f>
        <v>978-601-342-099-8</v>
      </c>
      <c r="E1849" s="11" t="s">
        <v>7647</v>
      </c>
      <c r="F1849" s="11" t="s">
        <v>2568</v>
      </c>
      <c r="G1849" s="12">
        <f ca="1">IFERROR(__xludf.DUMMYFUNCTION(" VLOOKUP(A1846, IMPORTRANGE(""https://docs.google.com/spreadsheets/d/1fj_Bhi2XPL3siwIh4sx4VRLAe31yD50oKdj5UlRYW0c/"", ""Сводка!A:AA""), 5, FALSE)"),168)</f>
        <v>168</v>
      </c>
      <c r="H1849" s="12" t="s">
        <v>47</v>
      </c>
      <c r="I1849" s="10">
        <f ca="1">IFERROR(__xludf.DUMMYFUNCTION(" VLOOKUP(A1846, IMPORTRANGE(""https://docs.google.com/spreadsheets/d/1QNLbnkR_AongFt22vMfNzfpjZ0CjpI8QI-w0wBnYA1w/"", ""Инфа!A:AA""), 6, FALSE)"),2024)</f>
        <v>2024</v>
      </c>
      <c r="J1849" s="5">
        <f ca="1">ROUND((5000+G1849*30),-2)</f>
        <v>10000</v>
      </c>
      <c r="K1849" s="12" t="s">
        <v>2568</v>
      </c>
      <c r="L1849" s="15" t="s">
        <v>7648</v>
      </c>
    </row>
    <row r="1850" spans="1:12" ht="157.5">
      <c r="A1850" s="8" t="s">
        <v>7649</v>
      </c>
      <c r="B1850" s="9" t="s">
        <v>12</v>
      </c>
      <c r="C1850" s="10" t="s">
        <v>443</v>
      </c>
      <c r="D1850" s="10" t="str">
        <f ca="1">IFERROR(__xludf.DUMMYFUNCTION(" VLOOKUP(A1847, IMPORTRANGE(""https://docs.google.com/spreadsheets/d/1fj_Bhi2XPL3siwIh4sx4VRLAe31yD50oKdj5UlRYW0c/"", ""Сводка!A:AA""), 11, FALSE)"),"978-601-310-776-9")</f>
        <v>978-601-310-776-9</v>
      </c>
      <c r="E1850" s="11" t="s">
        <v>7650</v>
      </c>
      <c r="F1850" s="11" t="s">
        <v>7651</v>
      </c>
      <c r="G1850" s="12">
        <f ca="1">IFERROR(__xludf.DUMMYFUNCTION(" VLOOKUP(A1847, IMPORTRANGE(""https://docs.google.com/spreadsheets/d/1fj_Bhi2XPL3siwIh4sx4VRLAe31yD50oKdj5UlRYW0c/"", ""Сводка!A:AA""), 5, FALSE)"),304)</f>
        <v>304</v>
      </c>
      <c r="H1850" s="12" t="s">
        <v>511</v>
      </c>
      <c r="I1850" s="10">
        <f ca="1">IFERROR(__xludf.DUMMYFUNCTION(" VLOOKUP(A1847, IMPORTRANGE(""https://docs.google.com/spreadsheets/d/1QNLbnkR_AongFt22vMfNzfpjZ0CjpI8QI-w0wBnYA1w/"", ""Инфа!A:AA""), 6, FALSE)"),2024)</f>
        <v>2024</v>
      </c>
      <c r="J1850" s="5">
        <f ca="1">ROUND((5000+G1850*30),-2)</f>
        <v>14100</v>
      </c>
      <c r="K1850" s="9" t="s">
        <v>1219</v>
      </c>
      <c r="L1850" s="15" t="s">
        <v>7652</v>
      </c>
    </row>
    <row r="1851" spans="1:12" ht="135">
      <c r="A1851" s="8" t="s">
        <v>7653</v>
      </c>
      <c r="B1851" s="9" t="s">
        <v>12</v>
      </c>
      <c r="C1851" s="10" t="s">
        <v>151</v>
      </c>
      <c r="D1851" s="10" t="str">
        <f ca="1">IFERROR(__xludf.DUMMYFUNCTION(" VLOOKUP(A1848, IMPORTRANGE(""https://docs.google.com/spreadsheets/d/1fj_Bhi2XPL3siwIh4sx4VRLAe31yD50oKdj5UlRYW0c/"", ""Сводка!A:AA""), 11, FALSE)"),"978-601-310-775-2")</f>
        <v>978-601-310-775-2</v>
      </c>
      <c r="E1851" s="11" t="s">
        <v>7650</v>
      </c>
      <c r="F1851" s="11" t="s">
        <v>7654</v>
      </c>
      <c r="G1851" s="12">
        <f ca="1">IFERROR(__xludf.DUMMYFUNCTION(" VLOOKUP(A1848, IMPORTRANGE(""https://docs.google.com/spreadsheets/d/1fj_Bhi2XPL3siwIh4sx4VRLAe31yD50oKdj5UlRYW0c/"", ""Сводка!A:AA""), 5, FALSE)"),316)</f>
        <v>316</v>
      </c>
      <c r="H1851" s="12" t="s">
        <v>498</v>
      </c>
      <c r="I1851" s="10">
        <f ca="1">IFERROR(__xludf.DUMMYFUNCTION(" VLOOKUP(A1848, IMPORTRANGE(""https://docs.google.com/spreadsheets/d/1QNLbnkR_AongFt22vMfNzfpjZ0CjpI8QI-w0wBnYA1w/"", ""Инфа!A:AA""), 6, FALSE)"),2024)</f>
        <v>2024</v>
      </c>
      <c r="J1851" s="5">
        <f ca="1">ROUND((5000+G1851*30),-2)</f>
        <v>14500</v>
      </c>
      <c r="K1851" s="12" t="s">
        <v>1219</v>
      </c>
      <c r="L1851" s="15" t="s">
        <v>7655</v>
      </c>
    </row>
    <row r="1852" spans="1:12" ht="225">
      <c r="A1852" s="8" t="s">
        <v>7656</v>
      </c>
      <c r="B1852" s="9" t="s">
        <v>12</v>
      </c>
      <c r="C1852" s="10" t="s">
        <v>443</v>
      </c>
      <c r="D1852" s="10" t="str">
        <f ca="1">IFERROR(__xludf.DUMMYFUNCTION(" VLOOKUP(A1849, IMPORTRANGE(""https://docs.google.com/spreadsheets/d/1fj_Bhi2XPL3siwIh4sx4VRLAe31yD50oKdj5UlRYW0c/"", ""Сводка!A:AA""), 11, FALSE)"),"978-601-327-349-5")</f>
        <v>978-601-327-349-5</v>
      </c>
      <c r="E1852" s="11" t="s">
        <v>7657</v>
      </c>
      <c r="F1852" s="11" t="s">
        <v>7658</v>
      </c>
      <c r="G1852" s="12">
        <f ca="1">IFERROR(__xludf.DUMMYFUNCTION(" VLOOKUP(A1849, IMPORTRANGE(""https://docs.google.com/spreadsheets/d/1fj_Bhi2XPL3siwIh4sx4VRLAe31yD50oKdj5UlRYW0c/"", ""Сводка!A:AA""), 5, FALSE)"),188)</f>
        <v>188</v>
      </c>
      <c r="H1852" s="12" t="s">
        <v>446</v>
      </c>
      <c r="I1852" s="10">
        <f ca="1">IFERROR(__xludf.DUMMYFUNCTION(" VLOOKUP(A1849, IMPORTRANGE(""https://docs.google.com/spreadsheets/d/1QNLbnkR_AongFt22vMfNzfpjZ0CjpI8QI-w0wBnYA1w/"", ""Инфа!A:AA""), 6, FALSE)"),2024)</f>
        <v>2024</v>
      </c>
      <c r="J1852" s="5">
        <f ca="1">ROUND((5000+G1852*30),-2)</f>
        <v>10600</v>
      </c>
      <c r="K1852" s="9" t="s">
        <v>539</v>
      </c>
      <c r="L1852" s="15" t="s">
        <v>7659</v>
      </c>
    </row>
    <row r="1853" spans="1:12" ht="63.75">
      <c r="A1853" s="8" t="s">
        <v>7660</v>
      </c>
      <c r="B1853" s="9" t="s">
        <v>12</v>
      </c>
      <c r="C1853" s="10" t="s">
        <v>151</v>
      </c>
      <c r="D1853" s="10" t="str">
        <f ca="1">IFERROR(__xludf.DUMMYFUNCTION(" VLOOKUP(A1850, IMPORTRANGE(""https://docs.google.com/spreadsheets/d/1fj_Bhi2XPL3siwIh4sx4VRLAe31yD50oKdj5UlRYW0c/"", ""Сводка!A:AA""), 11, FALSE)"),"978-601-7321-82-6")</f>
        <v>978-601-7321-82-6</v>
      </c>
      <c r="E1853" s="11" t="s">
        <v>7661</v>
      </c>
      <c r="F1853" s="11" t="s">
        <v>7662</v>
      </c>
      <c r="G1853" s="12">
        <f ca="1">IFERROR(__xludf.DUMMYFUNCTION(" VLOOKUP(A1850, IMPORTRANGE(""https://docs.google.com/spreadsheets/d/1fj_Bhi2XPL3siwIh4sx4VRLAe31yD50oKdj5UlRYW0c/"", ""Сводка!A:AA""), 5, FALSE)"),240)</f>
        <v>240</v>
      </c>
      <c r="H1853" s="12" t="s">
        <v>24</v>
      </c>
      <c r="I1853" s="10">
        <f ca="1">IFERROR(__xludf.DUMMYFUNCTION(" VLOOKUP(A1850, IMPORTRANGE(""https://docs.google.com/spreadsheets/d/1QNLbnkR_AongFt22vMfNzfpjZ0CjpI8QI-w0wBnYA1w/"", ""Инфа!A:AA""), 6, FALSE)"),2024)</f>
        <v>2024</v>
      </c>
      <c r="J1853" s="5">
        <f ca="1">ROUND(((5000+G1853*30)*1.3),-2)</f>
        <v>15900</v>
      </c>
      <c r="K1853" s="9" t="s">
        <v>408</v>
      </c>
      <c r="L1853" s="15"/>
    </row>
    <row r="1854" spans="1:12" ht="168.75">
      <c r="A1854" s="8" t="s">
        <v>7663</v>
      </c>
      <c r="B1854" s="9" t="s">
        <v>12</v>
      </c>
      <c r="C1854" s="10" t="s">
        <v>443</v>
      </c>
      <c r="D1854" s="10" t="str">
        <f ca="1">IFERROR(__xludf.DUMMYFUNCTION(" VLOOKUP(A1851, IMPORTRANGE(""https://docs.google.com/spreadsheets/d/1fj_Bhi2XPL3siwIh4sx4VRLAe31yD50oKdj5UlRYW0c/"", ""Сводка!A:AA""), 11, FALSE)"),"978-601-7799-53-3")</f>
        <v>978-601-7799-53-3</v>
      </c>
      <c r="E1854" s="11" t="s">
        <v>7664</v>
      </c>
      <c r="F1854" s="11" t="s">
        <v>7665</v>
      </c>
      <c r="G1854" s="12">
        <f ca="1">IFERROR(__xludf.DUMMYFUNCTION(" VLOOKUP(A1851, IMPORTRANGE(""https://docs.google.com/spreadsheets/d/1fj_Bhi2XPL3siwIh4sx4VRLAe31yD50oKdj5UlRYW0c/"", ""Сводка!A:AA""), 5, FALSE)"),140)</f>
        <v>140</v>
      </c>
      <c r="H1854" s="12" t="s">
        <v>671</v>
      </c>
      <c r="I1854" s="10">
        <f ca="1">IFERROR(__xludf.DUMMYFUNCTION(" VLOOKUP(A1851, IMPORTRANGE(""https://docs.google.com/spreadsheets/d/1QNLbnkR_AongFt22vMfNzfpjZ0CjpI8QI-w0wBnYA1w/"", ""Инфа!A:AA""), 6, FALSE)"),2024)</f>
        <v>2024</v>
      </c>
      <c r="J1854" s="5">
        <f ca="1">ROUND((5000+G1854*30),-2)</f>
        <v>9200</v>
      </c>
      <c r="K1854" s="9" t="s">
        <v>408</v>
      </c>
      <c r="L1854" s="15" t="s">
        <v>7666</v>
      </c>
    </row>
    <row r="1855" spans="1:12" ht="225">
      <c r="A1855" s="8" t="s">
        <v>7667</v>
      </c>
      <c r="B1855" s="9" t="s">
        <v>12</v>
      </c>
      <c r="C1855" s="10" t="s">
        <v>151</v>
      </c>
      <c r="D1855" s="10" t="str">
        <f ca="1">IFERROR(__xludf.DUMMYFUNCTION(" VLOOKUP(A1852, IMPORTRANGE(""https://docs.google.com/spreadsheets/d/1fj_Bhi2XPL3siwIh4sx4VRLAe31yD50oKdj5UlRYW0c/"", ""Сводка!A:AA""), 11, FALSE)"),"978-601-7321-83-3")</f>
        <v>978-601-7321-83-3</v>
      </c>
      <c r="E1855" s="11" t="s">
        <v>7664</v>
      </c>
      <c r="F1855" s="11" t="s">
        <v>7668</v>
      </c>
      <c r="G1855" s="12">
        <f ca="1">IFERROR(__xludf.DUMMYFUNCTION(" VLOOKUP(A1852, IMPORTRANGE(""https://docs.google.com/spreadsheets/d/1fj_Bhi2XPL3siwIh4sx4VRLAe31yD50oKdj5UlRYW0c/"", ""Сводка!A:AA""), 5, FALSE)"),148)</f>
        <v>148</v>
      </c>
      <c r="H1855" s="12" t="s">
        <v>24</v>
      </c>
      <c r="I1855" s="10">
        <f ca="1">IFERROR(__xludf.DUMMYFUNCTION(" VLOOKUP(A1852, IMPORTRANGE(""https://docs.google.com/spreadsheets/d/1QNLbnkR_AongFt22vMfNzfpjZ0CjpI8QI-w0wBnYA1w/"", ""Инфа!A:AA""), 6, FALSE)"),2024)</f>
        <v>2024</v>
      </c>
      <c r="J1855" s="5">
        <f ca="1">ROUND((5000+G1855*30),-2)</f>
        <v>9400</v>
      </c>
      <c r="K1855" s="9" t="s">
        <v>408</v>
      </c>
      <c r="L1855" s="15" t="s">
        <v>7669</v>
      </c>
    </row>
    <row r="1856" spans="1:12" ht="202.5">
      <c r="A1856" s="8" t="s">
        <v>7670</v>
      </c>
      <c r="B1856" s="9" t="s">
        <v>12</v>
      </c>
      <c r="C1856" s="10" t="s">
        <v>151</v>
      </c>
      <c r="D1856" s="10" t="s">
        <v>7671</v>
      </c>
      <c r="E1856" s="11" t="s">
        <v>7664</v>
      </c>
      <c r="F1856" s="11" t="s">
        <v>7672</v>
      </c>
      <c r="G1856" s="12">
        <f ca="1">IFERROR(__xludf.DUMMYFUNCTION(" VLOOKUP(A1853, IMPORTRANGE(""https://docs.google.com/spreadsheets/d/1fj_Bhi2XPL3siwIh4sx4VRLAe31yD50oKdj5UlRYW0c/"", ""Сводка!A:AA""), 5, FALSE)"),148)</f>
        <v>148</v>
      </c>
      <c r="H1856" s="12" t="s">
        <v>165</v>
      </c>
      <c r="I1856" s="10">
        <f ca="1">IFERROR(__xludf.DUMMYFUNCTION(" VLOOKUP(A1853, IMPORTRANGE(""https://docs.google.com/spreadsheets/d/1QNLbnkR_AongFt22vMfNzfpjZ0CjpI8QI-w0wBnYA1w/"", ""Инфа!A:AA""), 6, FALSE)"),2024)</f>
        <v>2024</v>
      </c>
      <c r="J1856" s="5">
        <f ca="1">ROUND((5000+G1856*30),-2)</f>
        <v>9400</v>
      </c>
      <c r="K1856" s="9" t="s">
        <v>408</v>
      </c>
      <c r="L1856" s="15" t="s">
        <v>7673</v>
      </c>
    </row>
    <row r="1857" spans="1:12" ht="135">
      <c r="A1857" s="8" t="s">
        <v>7674</v>
      </c>
      <c r="B1857" s="9" t="s">
        <v>12</v>
      </c>
      <c r="C1857" s="10" t="s">
        <v>443</v>
      </c>
      <c r="D1857" s="10" t="str">
        <f ca="1">IFERROR(__xludf.DUMMYFUNCTION(" VLOOKUP(A1854, IMPORTRANGE(""https://docs.google.com/spreadsheets/d/1fj_Bhi2XPL3siwIh4sx4VRLAe31yD50oKdj5UlRYW0c/"", ""Сводка!A:AA""), 11, FALSE)"),"978-601-240-566-8")</f>
        <v>978-601-240-566-8</v>
      </c>
      <c r="E1857" s="11" t="s">
        <v>7675</v>
      </c>
      <c r="F1857" s="11" t="s">
        <v>7676</v>
      </c>
      <c r="G1857" s="12">
        <f ca="1">IFERROR(__xludf.DUMMYFUNCTION(" VLOOKUP(A1854, IMPORTRANGE(""https://docs.google.com/spreadsheets/d/1fj_Bhi2XPL3siwIh4sx4VRLAe31yD50oKdj5UlRYW0c/"", ""Сводка!A:AA""), 5, FALSE)"),284)</f>
        <v>284</v>
      </c>
      <c r="H1857" s="12" t="s">
        <v>498</v>
      </c>
      <c r="I1857" s="10">
        <f ca="1">IFERROR(__xludf.DUMMYFUNCTION(" VLOOKUP(A1854, IMPORTRANGE(""https://docs.google.com/spreadsheets/d/1QNLbnkR_AongFt22vMfNzfpjZ0CjpI8QI-w0wBnYA1w/"", ""Инфа!A:AA""), 6, FALSE)"),2024)</f>
        <v>2024</v>
      </c>
      <c r="J1857" s="5">
        <f ca="1">ROUND((5000+G1857*30),-2)</f>
        <v>13500</v>
      </c>
      <c r="K1857" s="12" t="s">
        <v>139</v>
      </c>
      <c r="L1857" s="15" t="s">
        <v>7677</v>
      </c>
    </row>
    <row r="1858" spans="1:12" ht="146.25">
      <c r="A1858" s="8" t="s">
        <v>7678</v>
      </c>
      <c r="B1858" s="9" t="s">
        <v>12</v>
      </c>
      <c r="C1858" s="10" t="s">
        <v>443</v>
      </c>
      <c r="D1858" s="10" t="str">
        <f ca="1">IFERROR(__xludf.DUMMYFUNCTION(" VLOOKUP(A1855, IMPORTRANGE(""https://docs.google.com/spreadsheets/d/1fj_Bhi2XPL3siwIh4sx4VRLAe31yD50oKdj5UlRYW0c/"", ""Сводка!A:AA""), 11, FALSE)"),"978-601-329-037-2")</f>
        <v>978-601-329-037-2</v>
      </c>
      <c r="E1858" s="11" t="s">
        <v>7679</v>
      </c>
      <c r="F1858" s="11" t="s">
        <v>7680</v>
      </c>
      <c r="G1858" s="12">
        <f ca="1">IFERROR(__xludf.DUMMYFUNCTION(" VLOOKUP(A1855, IMPORTRANGE(""https://docs.google.com/spreadsheets/d/1fj_Bhi2XPL3siwIh4sx4VRLAe31yD50oKdj5UlRYW0c/"", ""Сводка!A:AA""), 5, FALSE)"),88)</f>
        <v>88</v>
      </c>
      <c r="H1858" s="12" t="s">
        <v>538</v>
      </c>
      <c r="I1858" s="10">
        <f ca="1">IFERROR(__xludf.DUMMYFUNCTION(" VLOOKUP(A1855, IMPORTRANGE(""https://docs.google.com/spreadsheets/d/1QNLbnkR_AongFt22vMfNzfpjZ0CjpI8QI-w0wBnYA1w/"", ""Инфа!A:AA""), 6, FALSE)"),2024)</f>
        <v>2024</v>
      </c>
      <c r="J1858" s="5">
        <f ca="1">ROUND((5000+G1858*30),-2)</f>
        <v>7600</v>
      </c>
      <c r="K1858" s="12" t="s">
        <v>447</v>
      </c>
      <c r="L1858" s="15" t="s">
        <v>7681</v>
      </c>
    </row>
    <row r="1859" spans="1:12" ht="191.25">
      <c r="A1859" s="8" t="s">
        <v>7682</v>
      </c>
      <c r="B1859" s="9" t="s">
        <v>12</v>
      </c>
      <c r="C1859" s="65" t="s">
        <v>535</v>
      </c>
      <c r="D1859" s="10" t="s">
        <v>7683</v>
      </c>
      <c r="E1859" s="34" t="s">
        <v>7684</v>
      </c>
      <c r="F1859" s="34" t="s">
        <v>7685</v>
      </c>
      <c r="G1859" s="12">
        <f ca="1">IFERROR(__xludf.DUMMYFUNCTION(" VLOOKUP(A1856, IMPORTRANGE(""https://docs.google.com/spreadsheets/d/1fj_Bhi2XPL3siwIh4sx4VRLAe31yD50oKdj5UlRYW0c/"", ""Сводка!A:AA""), 5, FALSE)"),188)</f>
        <v>188</v>
      </c>
      <c r="H1859" s="35" t="s">
        <v>538</v>
      </c>
      <c r="I1859" s="10">
        <f ca="1">IFERROR(__xludf.DUMMYFUNCTION(" VLOOKUP(A1856, IMPORTRANGE(""https://docs.google.com/spreadsheets/d/1QNLbnkR_AongFt22vMfNzfpjZ0CjpI8QI-w0wBnYA1w/"", ""Инфа!A:AA""), 6, FALSE)"),2024)</f>
        <v>2024</v>
      </c>
      <c r="J1859" s="5">
        <f ca="1">ROUND((5000+G1859*60),-2)</f>
        <v>16300</v>
      </c>
      <c r="K1859" s="35" t="s">
        <v>171</v>
      </c>
      <c r="L1859" s="66" t="s">
        <v>7686</v>
      </c>
    </row>
    <row r="1860" spans="1:12" ht="146.25">
      <c r="A1860" s="8" t="s">
        <v>7687</v>
      </c>
      <c r="B1860" s="9" t="s">
        <v>12</v>
      </c>
      <c r="C1860" s="10" t="s">
        <v>443</v>
      </c>
      <c r="D1860" s="10" t="str">
        <f ca="1">IFERROR(__xludf.DUMMYFUNCTION(" VLOOKUP(A1857, IMPORTRANGE(""https://docs.google.com/spreadsheets/d/1fj_Bhi2XPL3siwIh4sx4VRLAe31yD50oKdj5UlRYW0c/"", ""Сводка!A:AA""), 11, FALSE)"),"978-601-327-400-3")</f>
        <v>978-601-327-400-3</v>
      </c>
      <c r="E1860" s="67" t="s">
        <v>7688</v>
      </c>
      <c r="F1860" s="67" t="s">
        <v>7689</v>
      </c>
      <c r="G1860" s="12">
        <v>276</v>
      </c>
      <c r="H1860" s="12" t="s">
        <v>1908</v>
      </c>
      <c r="I1860" s="10">
        <f ca="1">IFERROR(__xludf.DUMMYFUNCTION(" VLOOKUP(A1857, IMPORTRANGE(""https://docs.google.com/spreadsheets/d/1QNLbnkR_AongFt22vMfNzfpjZ0CjpI8QI-w0wBnYA1w/"", ""Инфа!A:AA""), 6, FALSE)"),2024)</f>
        <v>2024</v>
      </c>
      <c r="J1860" s="5">
        <f>ROUND((5000+G1860*60),-2)</f>
        <v>21600</v>
      </c>
      <c r="K1860" s="12" t="s">
        <v>160</v>
      </c>
      <c r="L1860" s="68" t="s">
        <v>7690</v>
      </c>
    </row>
    <row r="1861" spans="1:12" ht="303.75">
      <c r="A1861" s="8" t="s">
        <v>7691</v>
      </c>
      <c r="B1861" s="9" t="s">
        <v>12</v>
      </c>
      <c r="C1861" s="10" t="s">
        <v>151</v>
      </c>
      <c r="D1861" s="10" t="str">
        <f ca="1">IFERROR(__xludf.DUMMYFUNCTION(" VLOOKUP(A1858, IMPORTRANGE(""https://docs.google.com/spreadsheets/d/1fj_Bhi2XPL3siwIh4sx4VRLAe31yD50oKdj5UlRYW0c/"", ""Сводка!A:AA""), 11, FALSE)"),"978-601-310-944-2")</f>
        <v>978-601-310-944-2</v>
      </c>
      <c r="E1861" s="11" t="s">
        <v>7692</v>
      </c>
      <c r="F1861" s="11" t="s">
        <v>7693</v>
      </c>
      <c r="G1861" s="12">
        <f ca="1">IFERROR(__xludf.DUMMYFUNCTION(" VLOOKUP(A1858, IMPORTRANGE(""https://docs.google.com/spreadsheets/d/1fj_Bhi2XPL3siwIh4sx4VRLAe31yD50oKdj5UlRYW0c/"", ""Сводка!A:AA""), 5, FALSE)"),220)</f>
        <v>220</v>
      </c>
      <c r="H1861" s="12" t="s">
        <v>47</v>
      </c>
      <c r="I1861" s="10">
        <f ca="1">IFERROR(__xludf.DUMMYFUNCTION(" VLOOKUP(A1858, IMPORTRANGE(""https://docs.google.com/spreadsheets/d/1QNLbnkR_AongFt22vMfNzfpjZ0CjpI8QI-w0wBnYA1w/"", ""Инфа!A:AA""), 6, FALSE)"),2024)</f>
        <v>2024</v>
      </c>
      <c r="J1861" s="5">
        <f ca="1">ROUND((5000+G1861*60),-2)</f>
        <v>18200</v>
      </c>
      <c r="K1861" s="12" t="s">
        <v>160</v>
      </c>
      <c r="L1861" s="15" t="s">
        <v>7694</v>
      </c>
    </row>
    <row r="1862" spans="1:12" ht="247.5">
      <c r="A1862" s="8" t="s">
        <v>7695</v>
      </c>
      <c r="B1862" s="9" t="s">
        <v>12</v>
      </c>
      <c r="C1862" s="10" t="s">
        <v>443</v>
      </c>
      <c r="D1862" s="10" t="str">
        <f ca="1">IFERROR(__xludf.DUMMYFUNCTION(" VLOOKUP(A1859, IMPORTRANGE(""https://docs.google.com/spreadsheets/d/1fj_Bhi2XPL3siwIh4sx4VRLAe31yD50oKdj5UlRYW0c/"", ""Сводка!A:AA""), 11, FALSE)"),"978-601-327-331-0")</f>
        <v>978-601-327-331-0</v>
      </c>
      <c r="E1862" s="11" t="s">
        <v>7692</v>
      </c>
      <c r="F1862" s="11" t="s">
        <v>7696</v>
      </c>
      <c r="G1862" s="12">
        <f ca="1">IFERROR(__xludf.DUMMYFUNCTION(" VLOOKUP(A1859, IMPORTRANGE(""https://docs.google.com/spreadsheets/d/1fj_Bhi2XPL3siwIh4sx4VRLAe31yD50oKdj5UlRYW0c/"", ""Сводка!A:AA""), 5, FALSE)"),224)</f>
        <v>224</v>
      </c>
      <c r="H1862" s="12" t="s">
        <v>1908</v>
      </c>
      <c r="I1862" s="10">
        <f ca="1">IFERROR(__xludf.DUMMYFUNCTION(" VLOOKUP(A1859, IMPORTRANGE(""https://docs.google.com/spreadsheets/d/1QNLbnkR_AongFt22vMfNzfpjZ0CjpI8QI-w0wBnYA1w/"", ""Инфа!A:AA""), 6, FALSE)"),2024)</f>
        <v>2024</v>
      </c>
      <c r="J1862" s="5">
        <f ca="1">ROUND((5000+G1862*30),-2)</f>
        <v>11700</v>
      </c>
      <c r="K1862" s="12" t="s">
        <v>160</v>
      </c>
      <c r="L1862" s="15" t="s">
        <v>7697</v>
      </c>
    </row>
    <row r="1863" spans="1:12" ht="146.25">
      <c r="A1863" s="8" t="s">
        <v>7698</v>
      </c>
      <c r="B1863" s="9" t="s">
        <v>12</v>
      </c>
      <c r="C1863" s="10" t="s">
        <v>151</v>
      </c>
      <c r="D1863" s="10" t="str">
        <f ca="1">IFERROR(__xludf.DUMMYFUNCTION(" VLOOKUP(A1860, IMPORTRANGE(""https://docs.google.com/spreadsheets/d/1fj_Bhi2XPL3siwIh4sx4VRLAe31yD50oKdj5UlRYW0c/"", ""Сводка!A:AA""), 11, FALSE)"),"978-601-342-264-0")</f>
        <v>978-601-342-264-0</v>
      </c>
      <c r="E1863" s="11" t="s">
        <v>7699</v>
      </c>
      <c r="F1863" s="11" t="s">
        <v>7700</v>
      </c>
      <c r="G1863" s="12">
        <v>200</v>
      </c>
      <c r="H1863" s="12" t="s">
        <v>106</v>
      </c>
      <c r="I1863" s="10">
        <f ca="1">IFERROR(__xludf.DUMMYFUNCTION(" VLOOKUP(A1860, IMPORTRANGE(""https://docs.google.com/spreadsheets/d/1QNLbnkR_AongFt22vMfNzfpjZ0CjpI8QI-w0wBnYA1w/"", ""Инфа!A:AA""), 6, FALSE)"),2024)</f>
        <v>2024</v>
      </c>
      <c r="J1863" s="5">
        <f>ROUND((5000+G1863*60),-2)</f>
        <v>17000</v>
      </c>
      <c r="K1863" s="12" t="s">
        <v>160</v>
      </c>
      <c r="L1863" s="15" t="s">
        <v>7701</v>
      </c>
    </row>
    <row r="1864" spans="1:12" ht="135">
      <c r="A1864" s="8" t="s">
        <v>7702</v>
      </c>
      <c r="B1864" s="9" t="s">
        <v>12</v>
      </c>
      <c r="C1864" s="10" t="s">
        <v>443</v>
      </c>
      <c r="D1864" s="10" t="str">
        <f ca="1">IFERROR(__xludf.DUMMYFUNCTION(" VLOOKUP(A1861, IMPORTRANGE(""https://docs.google.com/spreadsheets/d/1fj_Bhi2XPL3siwIh4sx4VRLAe31yD50oKdj5UlRYW0c/"", ""Сводка!A:AA""), 11, FALSE)"),"978-601-240-724-2")</f>
        <v>978-601-240-724-2</v>
      </c>
      <c r="E1864" s="11" t="s">
        <v>7703</v>
      </c>
      <c r="F1864" s="11" t="s">
        <v>3378</v>
      </c>
      <c r="G1864" s="12">
        <f ca="1">IFERROR(__xludf.DUMMYFUNCTION(" VLOOKUP(A1861, IMPORTRANGE(""https://docs.google.com/spreadsheets/d/1fj_Bhi2XPL3siwIh4sx4VRLAe31yD50oKdj5UlRYW0c/"", ""Сводка!A:AA""), 5, FALSE)"),160)</f>
        <v>160</v>
      </c>
      <c r="H1864" s="12" t="s">
        <v>511</v>
      </c>
      <c r="I1864" s="10">
        <f ca="1">IFERROR(__xludf.DUMMYFUNCTION(" VLOOKUP(A1861, IMPORTRANGE(""https://docs.google.com/spreadsheets/d/1QNLbnkR_AongFt22vMfNzfpjZ0CjpI8QI-w0wBnYA1w/"", ""Инфа!A:AA""), 6, FALSE)"),2024)</f>
        <v>2024</v>
      </c>
      <c r="J1864" s="5">
        <f t="shared" ref="J1864:J1869" ca="1" si="63">ROUND((5000+G1864*30),-2)</f>
        <v>9800</v>
      </c>
      <c r="K1864" s="9" t="s">
        <v>69</v>
      </c>
      <c r="L1864" s="15" t="s">
        <v>7704</v>
      </c>
    </row>
    <row r="1865" spans="1:12" ht="135">
      <c r="A1865" s="8" t="s">
        <v>7705</v>
      </c>
      <c r="B1865" s="9" t="s">
        <v>12</v>
      </c>
      <c r="C1865" s="10" t="s">
        <v>443</v>
      </c>
      <c r="D1865" s="10" t="str">
        <f ca="1">IFERROR(__xludf.DUMMYFUNCTION(" VLOOKUP(A1862, IMPORTRANGE(""https://docs.google.com/spreadsheets/d/1fj_Bhi2XPL3siwIh4sx4VRLAe31yD50oKdj5UlRYW0c/"", ""Сводка!A:AA""), 11, FALSE)"),"978-601-240-294-0")</f>
        <v>978-601-240-294-0</v>
      </c>
      <c r="E1865" s="11" t="s">
        <v>7703</v>
      </c>
      <c r="F1865" s="11" t="s">
        <v>7706</v>
      </c>
      <c r="G1865" s="12">
        <f ca="1">IFERROR(__xludf.DUMMYFUNCTION(" VLOOKUP(A1862, IMPORTRANGE(""https://docs.google.com/spreadsheets/d/1fj_Bhi2XPL3siwIh4sx4VRLAe31yD50oKdj5UlRYW0c/"", ""Сводка!A:AA""), 5, FALSE)"),148)</f>
        <v>148</v>
      </c>
      <c r="H1865" s="12"/>
      <c r="I1865" s="10">
        <f ca="1">IFERROR(__xludf.DUMMYFUNCTION(" VLOOKUP(A1862, IMPORTRANGE(""https://docs.google.com/spreadsheets/d/1QNLbnkR_AongFt22vMfNzfpjZ0CjpI8QI-w0wBnYA1w/"", ""Инфа!A:AA""), 6, FALSE)"),2024)</f>
        <v>2024</v>
      </c>
      <c r="J1865" s="5">
        <f t="shared" ca="1" si="63"/>
        <v>9400</v>
      </c>
      <c r="K1865" s="9" t="s">
        <v>69</v>
      </c>
      <c r="L1865" s="15" t="s">
        <v>7704</v>
      </c>
    </row>
    <row r="1866" spans="1:12" ht="38.25">
      <c r="A1866" s="8" t="s">
        <v>7707</v>
      </c>
      <c r="B1866" s="9" t="s">
        <v>12</v>
      </c>
      <c r="C1866" s="10" t="s">
        <v>151</v>
      </c>
      <c r="D1866" s="10" t="str">
        <f ca="1">IFERROR(__xludf.DUMMYFUNCTION(" VLOOKUP(A1863, IMPORTRANGE(""https://docs.google.com/spreadsheets/d/1fj_Bhi2XPL3siwIh4sx4VRLAe31yD50oKdj5UlRYW0c/"", ""Сводка!A:AA""), 11, FALSE)"),"978-601-310-689-2")</f>
        <v>978-601-310-689-2</v>
      </c>
      <c r="E1866" s="11" t="s">
        <v>7708</v>
      </c>
      <c r="F1866" s="11" t="s">
        <v>7709</v>
      </c>
      <c r="G1866" s="12">
        <f ca="1">IFERROR(__xludf.DUMMYFUNCTION(" VLOOKUP(A1863, IMPORTRANGE(""https://docs.google.com/spreadsheets/d/1fj_Bhi2XPL3siwIh4sx4VRLAe31yD50oKdj5UlRYW0c/"", ""Сводка!A:AA""), 5, FALSE)"),188)</f>
        <v>188</v>
      </c>
      <c r="H1866" s="12" t="s">
        <v>538</v>
      </c>
      <c r="I1866" s="10">
        <f ca="1">IFERROR(__xludf.DUMMYFUNCTION(" VLOOKUP(A1863, IMPORTRANGE(""https://docs.google.com/spreadsheets/d/1QNLbnkR_AongFt22vMfNzfpjZ0CjpI8QI-w0wBnYA1w/"", ""Инфа!A:AA""), 6, FALSE)"),2024)</f>
        <v>2024</v>
      </c>
      <c r="J1866" s="5">
        <f t="shared" ca="1" si="63"/>
        <v>10600</v>
      </c>
      <c r="K1866" s="9" t="s">
        <v>69</v>
      </c>
      <c r="L1866" s="15"/>
    </row>
    <row r="1867" spans="1:12" ht="78.75">
      <c r="A1867" s="8" t="s">
        <v>7710</v>
      </c>
      <c r="B1867" s="9" t="s">
        <v>12</v>
      </c>
      <c r="C1867" s="10" t="s">
        <v>151</v>
      </c>
      <c r="D1867" s="10" t="str">
        <f ca="1">IFERROR(__xludf.DUMMYFUNCTION(" VLOOKUP(A1864, IMPORTRANGE(""https://docs.google.com/spreadsheets/d/1fj_Bhi2XPL3siwIh4sx4VRLAe31yD50oKdj5UlRYW0c/"", ""Сводка!A:AA""), 11, FALSE)"),"978-601-240-643-6")</f>
        <v>978-601-240-643-6</v>
      </c>
      <c r="E1867" s="11" t="s">
        <v>7711</v>
      </c>
      <c r="F1867" s="11" t="s">
        <v>7712</v>
      </c>
      <c r="G1867" s="12">
        <f ca="1">IFERROR(__xludf.DUMMYFUNCTION(" VLOOKUP(A1864, IMPORTRANGE(""https://docs.google.com/spreadsheets/d/1fj_Bhi2XPL3siwIh4sx4VRLAe31yD50oKdj5UlRYW0c/"", ""Сводка!A:AA""), 5, FALSE)"),184)</f>
        <v>184</v>
      </c>
      <c r="H1867" s="12" t="s">
        <v>498</v>
      </c>
      <c r="I1867" s="10">
        <f ca="1">IFERROR(__xludf.DUMMYFUNCTION(" VLOOKUP(A1864, IMPORTRANGE(""https://docs.google.com/spreadsheets/d/1QNLbnkR_AongFt22vMfNzfpjZ0CjpI8QI-w0wBnYA1w/"", ""Инфа!A:AA""), 6, FALSE)"),2024)</f>
        <v>2024</v>
      </c>
      <c r="J1867" s="5">
        <f t="shared" ca="1" si="63"/>
        <v>10500</v>
      </c>
      <c r="K1867" s="12" t="s">
        <v>69</v>
      </c>
      <c r="L1867" s="15" t="s">
        <v>7713</v>
      </c>
    </row>
    <row r="1868" spans="1:12" ht="90">
      <c r="A1868" s="8" t="s">
        <v>7714</v>
      </c>
      <c r="B1868" s="9" t="s">
        <v>12</v>
      </c>
      <c r="C1868" s="10" t="s">
        <v>443</v>
      </c>
      <c r="D1868" s="10" t="str">
        <f ca="1">IFERROR(__xludf.DUMMYFUNCTION(" VLOOKUP(A1865, IMPORTRANGE(""https://docs.google.com/spreadsheets/d/1fj_Bhi2XPL3siwIh4sx4VRLAe31yD50oKdj5UlRYW0c/"", ""Сводка!A:AA""), 11, FALSE)"),"978-601-342-188-9")</f>
        <v>978-601-342-188-9</v>
      </c>
      <c r="E1868" s="11" t="s">
        <v>7715</v>
      </c>
      <c r="F1868" s="11" t="s">
        <v>7716</v>
      </c>
      <c r="G1868" s="12">
        <f ca="1">IFERROR(__xludf.DUMMYFUNCTION(" VLOOKUP(A1865, IMPORTRANGE(""https://docs.google.com/spreadsheets/d/1fj_Bhi2XPL3siwIh4sx4VRLAe31yD50oKdj5UlRYW0c/"", ""Сводка!A:AA""), 5, FALSE)"),176)</f>
        <v>176</v>
      </c>
      <c r="H1868" s="12" t="s">
        <v>538</v>
      </c>
      <c r="I1868" s="10">
        <f ca="1">IFERROR(__xludf.DUMMYFUNCTION(" VLOOKUP(A1865, IMPORTRANGE(""https://docs.google.com/spreadsheets/d/1QNLbnkR_AongFt22vMfNzfpjZ0CjpI8QI-w0wBnYA1w/"", ""Инфа!A:AA""), 6, FALSE)"),2024)</f>
        <v>2024</v>
      </c>
      <c r="J1868" s="5">
        <f t="shared" ca="1" si="63"/>
        <v>10300</v>
      </c>
      <c r="K1868" s="12" t="s">
        <v>69</v>
      </c>
      <c r="L1868" s="15" t="s">
        <v>7717</v>
      </c>
    </row>
    <row r="1869" spans="1:12" ht="168.75">
      <c r="A1869" s="8" t="s">
        <v>7718</v>
      </c>
      <c r="B1869" s="9" t="s">
        <v>12</v>
      </c>
      <c r="C1869" s="10" t="s">
        <v>443</v>
      </c>
      <c r="D1869" s="10" t="str">
        <f ca="1">IFERROR(__xludf.DUMMYFUNCTION(" VLOOKUP(A1866, IMPORTRANGE(""https://docs.google.com/spreadsheets/d/1fj_Bhi2XPL3siwIh4sx4VRLAe31yD50oKdj5UlRYW0c/"", ""Сводка!A:AA""), 11, FALSE)"),"978-601-310-286-3")</f>
        <v>978-601-310-286-3</v>
      </c>
      <c r="E1869" s="11" t="s">
        <v>7719</v>
      </c>
      <c r="F1869" s="11" t="s">
        <v>7720</v>
      </c>
      <c r="G1869" s="12">
        <f ca="1">IFERROR(__xludf.DUMMYFUNCTION(" VLOOKUP(A1866, IMPORTRANGE(""https://docs.google.com/spreadsheets/d/1fj_Bhi2XPL3siwIh4sx4VRLAe31yD50oKdj5UlRYW0c/"", ""Сводка!A:AA""), 5, FALSE)"),172)</f>
        <v>172</v>
      </c>
      <c r="H1869" s="12" t="s">
        <v>106</v>
      </c>
      <c r="I1869" s="10">
        <f ca="1">IFERROR(__xludf.DUMMYFUNCTION(" VLOOKUP(A1866, IMPORTRANGE(""https://docs.google.com/spreadsheets/d/1QNLbnkR_AongFt22vMfNzfpjZ0CjpI8QI-w0wBnYA1w/"", ""Инфа!A:AA""), 6, FALSE)"),2024)</f>
        <v>2024</v>
      </c>
      <c r="J1869" s="5">
        <f t="shared" ca="1" si="63"/>
        <v>10200</v>
      </c>
      <c r="K1869" s="9" t="s">
        <v>539</v>
      </c>
      <c r="L1869" s="15" t="s">
        <v>7721</v>
      </c>
    </row>
    <row r="1870" spans="1:12" ht="157.5">
      <c r="A1870" s="8" t="s">
        <v>7722</v>
      </c>
      <c r="B1870" s="9" t="s">
        <v>12</v>
      </c>
      <c r="C1870" s="10" t="s">
        <v>443</v>
      </c>
      <c r="D1870" s="10" t="str">
        <f ca="1">IFERROR(__xludf.DUMMYFUNCTION(" VLOOKUP(A1867, IMPORTRANGE(""https://docs.google.com/spreadsheets/d/1fj_Bhi2XPL3siwIh4sx4VRLAe31yD50oKdj5UlRYW0c/"", ""Сводка!A:AA""), 11, FALSE)"),"9965-769-11-7")</f>
        <v>9965-769-11-7</v>
      </c>
      <c r="E1870" s="11" t="s">
        <v>7723</v>
      </c>
      <c r="F1870" s="11" t="s">
        <v>7724</v>
      </c>
      <c r="G1870" s="12">
        <f ca="1">IFERROR(__xludf.DUMMYFUNCTION(" VLOOKUP(A1867, IMPORTRANGE(""https://docs.google.com/spreadsheets/d/1fj_Bhi2XPL3siwIh4sx4VRLAe31yD50oKdj5UlRYW0c/"", ""Сводка!A:AA""), 5, FALSE)"),348)</f>
        <v>348</v>
      </c>
      <c r="H1870" s="12" t="s">
        <v>511</v>
      </c>
      <c r="I1870" s="10">
        <f ca="1">IFERROR(__xludf.DUMMYFUNCTION(" VLOOKUP(A1867, IMPORTRANGE(""https://docs.google.com/spreadsheets/d/1QNLbnkR_AongFt22vMfNzfpjZ0CjpI8QI-w0wBnYA1w/"", ""Инфа!A:AA""), 6, FALSE)"),2024)</f>
        <v>2024</v>
      </c>
      <c r="J1870" s="5">
        <f ca="1">ROUND(((5000+G1870*30)*1.3),-2)</f>
        <v>20100</v>
      </c>
      <c r="K1870" s="9" t="s">
        <v>619</v>
      </c>
      <c r="L1870" s="15" t="s">
        <v>7725</v>
      </c>
    </row>
    <row r="1871" spans="1:12" ht="236.25">
      <c r="A1871" s="8" t="s">
        <v>7726</v>
      </c>
      <c r="B1871" s="9" t="s">
        <v>12</v>
      </c>
      <c r="C1871" s="10" t="s">
        <v>443</v>
      </c>
      <c r="D1871" s="10" t="str">
        <f ca="1">IFERROR(__xludf.DUMMYFUNCTION(" VLOOKUP(A1868, IMPORTRANGE(""https://docs.google.com/spreadsheets/d/1fj_Bhi2XPL3siwIh4sx4VRLAe31yD50oKdj5UlRYW0c/"", ""Сводка!A:AA""), 11, FALSE)"),"978-601-327-374-7")</f>
        <v>978-601-327-374-7</v>
      </c>
      <c r="E1871" s="11" t="s">
        <v>7727</v>
      </c>
      <c r="F1871" s="11" t="s">
        <v>7728</v>
      </c>
      <c r="G1871" s="12">
        <f ca="1">IFERROR(__xludf.DUMMYFUNCTION(" VLOOKUP(A1868, IMPORTRANGE(""https://docs.google.com/spreadsheets/d/1fj_Bhi2XPL3siwIh4sx4VRLAe31yD50oKdj5UlRYW0c/"", ""Сводка!A:AA""), 5, FALSE)"),184)</f>
        <v>184</v>
      </c>
      <c r="H1871" s="12" t="s">
        <v>538</v>
      </c>
      <c r="I1871" s="10">
        <f ca="1">IFERROR(__xludf.DUMMYFUNCTION(" VLOOKUP(A1868, IMPORTRANGE(""https://docs.google.com/spreadsheets/d/1QNLbnkR_AongFt22vMfNzfpjZ0CjpI8QI-w0wBnYA1w/"", ""Инфа!A:AA""), 6, FALSE)"),2024)</f>
        <v>2024</v>
      </c>
      <c r="J1871" s="5">
        <f ca="1">ROUND(((5000+G1871*30)*1.3),-2)</f>
        <v>13700</v>
      </c>
      <c r="K1871" s="9" t="s">
        <v>619</v>
      </c>
      <c r="L1871" s="15" t="s">
        <v>7729</v>
      </c>
    </row>
    <row r="1872" spans="1:12" ht="236.25">
      <c r="A1872" s="8" t="s">
        <v>7730</v>
      </c>
      <c r="B1872" s="9" t="s">
        <v>12</v>
      </c>
      <c r="C1872" s="10" t="s">
        <v>443</v>
      </c>
      <c r="D1872" s="10" t="str">
        <f ca="1">IFERROR(__xludf.DUMMYFUNCTION(" VLOOKUP(A1869, IMPORTRANGE(""https://docs.google.com/spreadsheets/d/1fj_Bhi2XPL3siwIh4sx4VRLAe31yD50oKdj5UlRYW0c/"", ""Сводка!A:AA""), 11, FALSE)"),"978-601-327-694-6")</f>
        <v>978-601-327-694-6</v>
      </c>
      <c r="E1872" s="22" t="s">
        <v>7731</v>
      </c>
      <c r="F1872" s="22" t="s">
        <v>7732</v>
      </c>
      <c r="G1872" s="12">
        <f ca="1">IFERROR(__xludf.DUMMYFUNCTION(" VLOOKUP(A1869, IMPORTRANGE(""https://docs.google.com/spreadsheets/d/1fj_Bhi2XPL3siwIh4sx4VRLAe31yD50oKdj5UlRYW0c/"", ""Сводка!A:AA""), 5, FALSE)"),156)</f>
        <v>156</v>
      </c>
      <c r="H1872" s="10" t="s">
        <v>538</v>
      </c>
      <c r="I1872" s="10">
        <f ca="1">IFERROR(__xludf.DUMMYFUNCTION(" VLOOKUP(A1869, IMPORTRANGE(""https://docs.google.com/spreadsheets/d/1QNLbnkR_AongFt22vMfNzfpjZ0CjpI8QI-w0wBnYA1w/"", ""Инфа!A:AA""), 6, FALSE)"),2024)</f>
        <v>2024</v>
      </c>
      <c r="J1872" s="5">
        <f ca="1">ROUND((5000+G1872*30),-2)</f>
        <v>9700</v>
      </c>
      <c r="K1872" s="9" t="s">
        <v>408</v>
      </c>
      <c r="L1872" s="15" t="s">
        <v>7733</v>
      </c>
    </row>
    <row r="1873" spans="1:12" ht="213.75">
      <c r="A1873" s="8" t="s">
        <v>7734</v>
      </c>
      <c r="B1873" s="9" t="s">
        <v>12</v>
      </c>
      <c r="C1873" s="10" t="s">
        <v>151</v>
      </c>
      <c r="D1873" s="10" t="str">
        <f ca="1">IFERROR(__xludf.DUMMYFUNCTION(" VLOOKUP(A1870, IMPORTRANGE(""https://docs.google.com/spreadsheets/d/1fj_Bhi2XPL3siwIh4sx4VRLAe31yD50oKdj5UlRYW0c/"", ""Сводка!A:AA""), 11, FALSE)"),"978-601-228-119-4")</f>
        <v>978-601-228-119-4</v>
      </c>
      <c r="E1873" s="11" t="s">
        <v>7735</v>
      </c>
      <c r="F1873" s="11" t="s">
        <v>7736</v>
      </c>
      <c r="G1873" s="12">
        <f ca="1">IFERROR(__xludf.DUMMYFUNCTION(" VLOOKUP(A1870, IMPORTRANGE(""https://docs.google.com/spreadsheets/d/1fj_Bhi2XPL3siwIh4sx4VRLAe31yD50oKdj5UlRYW0c/"", ""Сводка!A:AA""), 5, FALSE)"),268)</f>
        <v>268</v>
      </c>
      <c r="H1873" s="12" t="s">
        <v>498</v>
      </c>
      <c r="I1873" s="10">
        <f ca="1">IFERROR(__xludf.DUMMYFUNCTION(" VLOOKUP(A1870, IMPORTRANGE(""https://docs.google.com/spreadsheets/d/1QNLbnkR_AongFt22vMfNzfpjZ0CjpI8QI-w0wBnYA1w/"", ""Инфа!A:AA""), 6, FALSE)"),2024)</f>
        <v>2024</v>
      </c>
      <c r="J1873" s="5">
        <f ca="1">ROUND((5000+G1873*30),-2)</f>
        <v>13000</v>
      </c>
      <c r="K1873" s="12" t="s">
        <v>248</v>
      </c>
      <c r="L1873" s="15" t="s">
        <v>7737</v>
      </c>
    </row>
    <row r="1874" spans="1:12" ht="315">
      <c r="A1874" s="8" t="s">
        <v>7738</v>
      </c>
      <c r="B1874" s="9" t="s">
        <v>12</v>
      </c>
      <c r="C1874" s="10" t="s">
        <v>151</v>
      </c>
      <c r="D1874" s="10" t="str">
        <f ca="1">IFERROR(__xludf.DUMMYFUNCTION(" VLOOKUP(A1871, IMPORTRANGE(""https://docs.google.com/spreadsheets/d/1fj_Bhi2XPL3siwIh4sx4VRLAe31yD50oKdj5UlRYW0c/"", ""Сводка!A:AA""), 11, FALSE)"),"978-601-310-241-2")</f>
        <v>978-601-310-241-2</v>
      </c>
      <c r="E1874" s="11" t="s">
        <v>7739</v>
      </c>
      <c r="F1874" s="11" t="s">
        <v>7740</v>
      </c>
      <c r="G1874" s="12">
        <f ca="1">IFERROR(__xludf.DUMMYFUNCTION(" VLOOKUP(A1871, IMPORTRANGE(""https://docs.google.com/spreadsheets/d/1fj_Bhi2XPL3siwIh4sx4VRLAe31yD50oKdj5UlRYW0c/"", ""Сводка!A:AA""), 5, FALSE)"),220)</f>
        <v>220</v>
      </c>
      <c r="H1874" s="12" t="s">
        <v>47</v>
      </c>
      <c r="I1874" s="10">
        <f ca="1">IFERROR(__xludf.DUMMYFUNCTION(" VLOOKUP(A1871, IMPORTRANGE(""https://docs.google.com/spreadsheets/d/1QNLbnkR_AongFt22vMfNzfpjZ0CjpI8QI-w0wBnYA1w/"", ""Инфа!A:AA""), 6, FALSE)"),2024)</f>
        <v>2024</v>
      </c>
      <c r="J1874" s="5">
        <f ca="1">ROUND((5000+G1874*30),-2)</f>
        <v>11600</v>
      </c>
      <c r="K1874" s="12" t="s">
        <v>248</v>
      </c>
      <c r="L1874" s="15" t="s">
        <v>7741</v>
      </c>
    </row>
    <row r="1875" spans="1:12" ht="303.75">
      <c r="A1875" s="8" t="s">
        <v>7742</v>
      </c>
      <c r="B1875" s="9" t="s">
        <v>12</v>
      </c>
      <c r="C1875" s="10" t="s">
        <v>443</v>
      </c>
      <c r="D1875" s="10" t="str">
        <f ca="1">IFERROR(__xludf.DUMMYFUNCTION(" VLOOKUP(A1872, IMPORTRANGE(""https://docs.google.com/spreadsheets/d/1fj_Bhi2XPL3siwIh4sx4VRLAe31yD50oKdj5UlRYW0c/"", ""Сводка!A:AA""), 11, FALSE)"),"978-601-342-019-6")</f>
        <v>978-601-342-019-6</v>
      </c>
      <c r="E1875" s="11" t="s">
        <v>7743</v>
      </c>
      <c r="F1875" s="11" t="s">
        <v>7744</v>
      </c>
      <c r="G1875" s="12">
        <f ca="1">IFERROR(__xludf.DUMMYFUNCTION(" VLOOKUP(A1872, IMPORTRANGE(""https://docs.google.com/spreadsheets/d/1fj_Bhi2XPL3siwIh4sx4VRLAe31yD50oKdj5UlRYW0c/"", ""Сводка!A:AA""), 5, FALSE)"),184)</f>
        <v>184</v>
      </c>
      <c r="H1875" s="12" t="s">
        <v>538</v>
      </c>
      <c r="I1875" s="10">
        <f ca="1">IFERROR(__xludf.DUMMYFUNCTION(" VLOOKUP(A1872, IMPORTRANGE(""https://docs.google.com/spreadsheets/d/1QNLbnkR_AongFt22vMfNzfpjZ0CjpI8QI-w0wBnYA1w/"", ""Инфа!A:AA""), 6, FALSE)"),2024)</f>
        <v>2024</v>
      </c>
      <c r="J1875" s="5">
        <f ca="1">ROUND((5000+G1875*60),-2)</f>
        <v>16000</v>
      </c>
      <c r="K1875" s="12" t="s">
        <v>2670</v>
      </c>
      <c r="L1875" s="15" t="s">
        <v>7745</v>
      </c>
    </row>
    <row r="1876" spans="1:12" ht="25.5">
      <c r="A1876" s="8" t="s">
        <v>7746</v>
      </c>
      <c r="B1876" s="9" t="s">
        <v>12</v>
      </c>
      <c r="C1876" s="10" t="s">
        <v>443</v>
      </c>
      <c r="D1876" s="10" t="str">
        <f ca="1">IFERROR(__xludf.DUMMYFUNCTION(" VLOOKUP(A1873, IMPORTRANGE(""https://docs.google.com/spreadsheets/d/1fj_Bhi2XPL3siwIh4sx4VRLAe31yD50oKdj5UlRYW0c/"", ""Сводка!A:AA""), 11, FALSE)"),"978-601-342-019-6")</f>
        <v>978-601-342-019-6</v>
      </c>
      <c r="E1876" s="11" t="s">
        <v>7743</v>
      </c>
      <c r="F1876" s="11" t="s">
        <v>7747</v>
      </c>
      <c r="G1876" s="12">
        <f ca="1">IFERROR(__xludf.DUMMYFUNCTION(" VLOOKUP(A1873, IMPORTRANGE(""https://docs.google.com/spreadsheets/d/1fj_Bhi2XPL3siwIh4sx4VRLAe31yD50oKdj5UlRYW0c/"", ""Сводка!A:AA""), 5, FALSE)"),292)</f>
        <v>292</v>
      </c>
      <c r="H1876" s="12" t="s">
        <v>538</v>
      </c>
      <c r="I1876" s="10">
        <f ca="1">IFERROR(__xludf.DUMMYFUNCTION(" VLOOKUP(A1873, IMPORTRANGE(""https://docs.google.com/spreadsheets/d/1QNLbnkR_AongFt22vMfNzfpjZ0CjpI8QI-w0wBnYA1w/"", ""Инфа!A:AA""), 6, FALSE)"),2024)</f>
        <v>2024</v>
      </c>
      <c r="J1876" s="5">
        <f ca="1">ROUND((5000+G1876*60),-2)</f>
        <v>22500</v>
      </c>
      <c r="K1876" s="12" t="s">
        <v>2670</v>
      </c>
      <c r="L1876" s="15"/>
    </row>
    <row r="1877" spans="1:12" ht="135">
      <c r="A1877" s="8" t="s">
        <v>7748</v>
      </c>
      <c r="B1877" s="9" t="s">
        <v>12</v>
      </c>
      <c r="C1877" s="10" t="s">
        <v>151</v>
      </c>
      <c r="D1877" s="10" t="str">
        <f ca="1">IFERROR(__xludf.DUMMYFUNCTION(" VLOOKUP(A1874, IMPORTRANGE(""https://docs.google.com/spreadsheets/d/1fj_Bhi2XPL3siwIh4sx4VRLAe31yD50oKdj5UlRYW0c/"", ""Сводка!A:AA""), 11, FALSE)"),"ISBN 978-601-327-861-2")</f>
        <v>ISBN 978-601-327-861-2</v>
      </c>
      <c r="E1877" s="11" t="s">
        <v>7749</v>
      </c>
      <c r="F1877" s="11" t="s">
        <v>7750</v>
      </c>
      <c r="G1877" s="12">
        <f ca="1">IFERROR(__xludf.DUMMYFUNCTION(" VLOOKUP(A1874, IMPORTRANGE(""https://docs.google.com/spreadsheets/d/1fj_Bhi2XPL3siwIh4sx4VRLAe31yD50oKdj5UlRYW0c/"", ""Сводка!A:AA""), 5, FALSE)"),168)</f>
        <v>168</v>
      </c>
      <c r="H1877" s="12" t="s">
        <v>47</v>
      </c>
      <c r="I1877" s="10">
        <f ca="1">IFERROR(__xludf.DUMMYFUNCTION(" VLOOKUP(A1874, IMPORTRANGE(""https://docs.google.com/spreadsheets/d/1QNLbnkR_AongFt22vMfNzfpjZ0CjpI8QI-w0wBnYA1w/"", ""Инфа!A:AA""), 6, FALSE)"),2024)</f>
        <v>2024</v>
      </c>
      <c r="J1877" s="5">
        <f ca="1">ROUND((5000+G1877*30),-2)</f>
        <v>10000</v>
      </c>
      <c r="K1877" s="12" t="s">
        <v>160</v>
      </c>
      <c r="L1877" s="15" t="s">
        <v>7751</v>
      </c>
    </row>
    <row r="1878" spans="1:12" ht="157.5">
      <c r="A1878" s="8" t="s">
        <v>7752</v>
      </c>
      <c r="B1878" s="9" t="s">
        <v>12</v>
      </c>
      <c r="C1878" s="10" t="s">
        <v>151</v>
      </c>
      <c r="D1878" s="10" t="str">
        <f ca="1">IFERROR(__xludf.DUMMYFUNCTION(" VLOOKUP(A1875, IMPORTRANGE(""https://docs.google.com/spreadsheets/d/1fj_Bhi2XPL3siwIh4sx4VRLAe31yD50oKdj5UlRYW0c/"", ""Сводка!A:AA""), 11, FALSE)"),"978-601-342-558-0")</f>
        <v>978-601-342-558-0</v>
      </c>
      <c r="E1878" s="11" t="s">
        <v>7753</v>
      </c>
      <c r="F1878" s="11" t="s">
        <v>7754</v>
      </c>
      <c r="G1878" s="12">
        <f ca="1">IFERROR(__xludf.DUMMYFUNCTION(" VLOOKUP(A1875, IMPORTRANGE(""https://docs.google.com/spreadsheets/d/1fj_Bhi2XPL3siwIh4sx4VRLAe31yD50oKdj5UlRYW0c/"", ""Сводка!A:AA""), 5, FALSE)"),328)</f>
        <v>328</v>
      </c>
      <c r="H1878" s="12" t="s">
        <v>47</v>
      </c>
      <c r="I1878" s="10">
        <f ca="1">IFERROR(__xludf.DUMMYFUNCTION(" VLOOKUP(A1875, IMPORTRANGE(""https://docs.google.com/spreadsheets/d/1QNLbnkR_AongFt22vMfNzfpjZ0CjpI8QI-w0wBnYA1w/"", ""Инфа!A:AA""), 6, FALSE)"),2024)</f>
        <v>2024</v>
      </c>
      <c r="J1878" s="5">
        <f ca="1">ROUND((5000+G1878*60),-2)</f>
        <v>24700</v>
      </c>
      <c r="K1878" s="12" t="s">
        <v>48</v>
      </c>
      <c r="L1878" s="15" t="s">
        <v>7755</v>
      </c>
    </row>
    <row r="1879" spans="1:12" ht="157.5">
      <c r="A1879" s="8" t="s">
        <v>7756</v>
      </c>
      <c r="B1879" s="9" t="s">
        <v>12</v>
      </c>
      <c r="C1879" s="10" t="s">
        <v>151</v>
      </c>
      <c r="D1879" s="10" t="str">
        <f ca="1">IFERROR(__xludf.DUMMYFUNCTION(" VLOOKUP(A1876, IMPORTRANGE(""https://docs.google.com/spreadsheets/d/1fj_Bhi2XPL3siwIh4sx4VRLAe31yD50oKdj5UlRYW0c/"", ""Сводка!A:AA""), 11, FALSE)"),"ISBN 978-601-342-607-5")</f>
        <v>ISBN 978-601-342-607-5</v>
      </c>
      <c r="E1879" s="11" t="s">
        <v>7757</v>
      </c>
      <c r="F1879" s="11" t="s">
        <v>7758</v>
      </c>
      <c r="G1879" s="12">
        <f ca="1">IFERROR(__xludf.DUMMYFUNCTION(" VLOOKUP(A1876, IMPORTRANGE(""https://docs.google.com/spreadsheets/d/1fj_Bhi2XPL3siwIh4sx4VRLAe31yD50oKdj5UlRYW0c/"", ""Сводка!A:AA""), 5, FALSE)"),244)</f>
        <v>244</v>
      </c>
      <c r="H1879" s="12" t="s">
        <v>47</v>
      </c>
      <c r="I1879" s="10">
        <f ca="1">IFERROR(__xludf.DUMMYFUNCTION(" VLOOKUP(A1876, IMPORTRANGE(""https://docs.google.com/spreadsheets/d/1QNLbnkR_AongFt22vMfNzfpjZ0CjpI8QI-w0wBnYA1w/"", ""Инфа!A:AA""), 6, FALSE)"),2024)</f>
        <v>2024</v>
      </c>
      <c r="J1879" s="5">
        <f ca="1">ROUND((5000+G1879*60),-2)</f>
        <v>19600</v>
      </c>
      <c r="K1879" s="12" t="s">
        <v>48</v>
      </c>
      <c r="L1879" s="15" t="s">
        <v>7755</v>
      </c>
    </row>
    <row r="1880" spans="1:12" ht="38.25">
      <c r="A1880" s="48" t="s">
        <v>7759</v>
      </c>
      <c r="B1880" s="9" t="s">
        <v>12</v>
      </c>
      <c r="C1880" s="13" t="s">
        <v>151</v>
      </c>
      <c r="D1880" s="13" t="str">
        <f ca="1">IFERROR(__xludf.DUMMYFUNCTION(" VLOOKUP(A1877, IMPORTRANGE(""https://docs.google.com/spreadsheets/d/1fj_Bhi2XPL3siwIh4sx4VRLAe31yD50oKdj5UlRYW0c/"", ""Сводка!A:AA""), 11, FALSE)"),"ISBN 9965-421-25-0")</f>
        <v>ISBN 9965-421-25-0</v>
      </c>
      <c r="E1880" s="38" t="s">
        <v>7760</v>
      </c>
      <c r="F1880" s="38" t="s">
        <v>7761</v>
      </c>
      <c r="G1880" s="9">
        <v>156</v>
      </c>
      <c r="H1880" s="9" t="s">
        <v>47</v>
      </c>
      <c r="I1880" s="13">
        <f ca="1">IFERROR(__xludf.DUMMYFUNCTION(" VLOOKUP(A1877, IMPORTRANGE(""https://docs.google.com/spreadsheets/d/1QNLbnkR_AongFt22vMfNzfpjZ0CjpI8QI-w0wBnYA1w/"", ""Инфа!A:AA""), 6, FALSE)"),2024)</f>
        <v>2024</v>
      </c>
      <c r="J1880" s="6">
        <f>ROUND((5000+G1880*30),-2)</f>
        <v>9700</v>
      </c>
      <c r="K1880" s="9" t="s">
        <v>302</v>
      </c>
      <c r="L1880" s="69"/>
    </row>
    <row r="1881" spans="1:12" ht="38.25">
      <c r="A1881" s="48" t="s">
        <v>7762</v>
      </c>
      <c r="B1881" s="9" t="s">
        <v>12</v>
      </c>
      <c r="C1881" s="13" t="s">
        <v>151</v>
      </c>
      <c r="D1881" s="13" t="str">
        <f ca="1">IFERROR(__xludf.DUMMYFUNCTION(" VLOOKUP(A1878, IMPORTRANGE(""https://docs.google.com/spreadsheets/d/1fj_Bhi2XPL3siwIh4sx4VRLAe31yD50oKdj5UlRYW0c/"", ""Сводка!A:AA""), 11, FALSE)"),"ISBN 9965-421-25-0")</f>
        <v>ISBN 9965-421-25-0</v>
      </c>
      <c r="E1881" s="38" t="s">
        <v>7760</v>
      </c>
      <c r="F1881" s="38" t="s">
        <v>7763</v>
      </c>
      <c r="G1881" s="9">
        <v>156</v>
      </c>
      <c r="H1881" s="9" t="s">
        <v>47</v>
      </c>
      <c r="I1881" s="13">
        <f ca="1">IFERROR(__xludf.DUMMYFUNCTION(" VLOOKUP(A1878, IMPORTRANGE(""https://docs.google.com/spreadsheets/d/1QNLbnkR_AongFt22vMfNzfpjZ0CjpI8QI-w0wBnYA1w/"", ""Инфа!A:AA""), 6, FALSE)"),2024)</f>
        <v>2024</v>
      </c>
      <c r="J1881" s="6">
        <f>ROUND((5000+G1881*30),-2)</f>
        <v>9700</v>
      </c>
      <c r="K1881" s="9" t="s">
        <v>302</v>
      </c>
      <c r="L1881" s="69"/>
    </row>
    <row r="1882" spans="1:12" ht="51">
      <c r="A1882" s="48" t="s">
        <v>7764</v>
      </c>
      <c r="B1882" s="9" t="s">
        <v>12</v>
      </c>
      <c r="C1882" s="13" t="s">
        <v>443</v>
      </c>
      <c r="D1882" s="13" t="str">
        <f ca="1">IFERROR(__xludf.DUMMYFUNCTION(" VLOOKUP(A1879, IMPORTRANGE(""https://docs.google.com/spreadsheets/d/1fj_Bhi2XPL3siwIh4sx4VRLAe31yD50oKdj5UlRYW0c/"", ""Сводка!A:AA""), 11, FALSE)"),"ISBN 978-601-207-560-1")</f>
        <v>ISBN 978-601-207-560-1</v>
      </c>
      <c r="E1882" s="38" t="s">
        <v>7760</v>
      </c>
      <c r="F1882" s="38" t="s">
        <v>7765</v>
      </c>
      <c r="G1882" s="9">
        <f ca="1">IFERROR(__xludf.DUMMYFUNCTION(" VLOOKUP(A1879, IMPORTRANGE(""https://docs.google.com/spreadsheets/d/1fj_Bhi2XPL3siwIh4sx4VRLAe31yD50oKdj5UlRYW0c/"", ""Сводка!A:AA""), 5, FALSE)"),192)</f>
        <v>192</v>
      </c>
      <c r="H1882" s="9" t="s">
        <v>538</v>
      </c>
      <c r="I1882" s="13">
        <f ca="1">IFERROR(__xludf.DUMMYFUNCTION(" VLOOKUP(A1879, IMPORTRANGE(""https://docs.google.com/spreadsheets/d/1QNLbnkR_AongFt22vMfNzfpjZ0CjpI8QI-w0wBnYA1w/"", ""Инфа!A:AA""), 6, FALSE)"),2024)</f>
        <v>2024</v>
      </c>
      <c r="J1882" s="6">
        <f ca="1">ROUND((5000+G1882*30),-2)</f>
        <v>10800</v>
      </c>
      <c r="K1882" s="9" t="s">
        <v>302</v>
      </c>
      <c r="L1882" s="69"/>
    </row>
    <row r="1883" spans="1:12" ht="51">
      <c r="A1883" s="48" t="s">
        <v>7766</v>
      </c>
      <c r="B1883" s="9" t="s">
        <v>12</v>
      </c>
      <c r="C1883" s="13" t="s">
        <v>443</v>
      </c>
      <c r="D1883" s="13" t="str">
        <f ca="1">IFERROR(__xludf.DUMMYFUNCTION(" VLOOKUP(A1880, IMPORTRANGE(""https://docs.google.com/spreadsheets/d/1fj_Bhi2XPL3siwIh4sx4VRLAe31yD50oKdj5UlRYW0c/"", ""Сводка!A:AA""), 11, FALSE)"),"ISBN 978-601-207-561-8")</f>
        <v>ISBN 978-601-207-561-8</v>
      </c>
      <c r="E1883" s="38" t="s">
        <v>7760</v>
      </c>
      <c r="F1883" s="38" t="s">
        <v>7767</v>
      </c>
      <c r="G1883" s="9">
        <f ca="1">IFERROR(__xludf.DUMMYFUNCTION(" VLOOKUP(A1880, IMPORTRANGE(""https://docs.google.com/spreadsheets/d/1fj_Bhi2XPL3siwIh4sx4VRLAe31yD50oKdj5UlRYW0c/"", ""Сводка!A:AA""), 5, FALSE)"),296)</f>
        <v>296</v>
      </c>
      <c r="H1883" s="9" t="s">
        <v>538</v>
      </c>
      <c r="I1883" s="13">
        <f ca="1">IFERROR(__xludf.DUMMYFUNCTION(" VLOOKUP(A1880, IMPORTRANGE(""https://docs.google.com/spreadsheets/d/1QNLbnkR_AongFt22vMfNzfpjZ0CjpI8QI-w0wBnYA1w/"", ""Инфа!A:AA""), 6, FALSE)"),2024)</f>
        <v>2024</v>
      </c>
      <c r="J1883" s="6">
        <f ca="1">ROUND((5000+G1883*30),-2)</f>
        <v>13900</v>
      </c>
      <c r="K1883" s="9" t="s">
        <v>302</v>
      </c>
      <c r="L1883" s="69"/>
    </row>
    <row r="1884" spans="1:12" ht="180">
      <c r="A1884" s="48" t="s">
        <v>7768</v>
      </c>
      <c r="B1884" s="9" t="s">
        <v>12</v>
      </c>
      <c r="C1884" s="13" t="s">
        <v>151</v>
      </c>
      <c r="D1884" s="13" t="str">
        <f ca="1">IFERROR(__xludf.DUMMYFUNCTION(" VLOOKUP(A1881, IMPORTRANGE(""https://docs.google.com/spreadsheets/d/1fj_Bhi2XPL3siwIh4sx4VRLAe31yD50oKdj5UlRYW0c/"", ""Сводка!A:AA""), 11, FALSE)"),"ISBN 9965-639-17-5")</f>
        <v>ISBN 9965-639-17-5</v>
      </c>
      <c r="E1884" s="38" t="s">
        <v>7760</v>
      </c>
      <c r="F1884" s="38" t="s">
        <v>7769</v>
      </c>
      <c r="G1884" s="9">
        <v>214</v>
      </c>
      <c r="H1884" s="9" t="s">
        <v>47</v>
      </c>
      <c r="I1884" s="13">
        <f ca="1">IFERROR(__xludf.DUMMYFUNCTION(" VLOOKUP(A1881, IMPORTRANGE(""https://docs.google.com/spreadsheets/d/1QNLbnkR_AongFt22vMfNzfpjZ0CjpI8QI-w0wBnYA1w/"", ""Инфа!A:AA""), 6, FALSE)"),2024)</f>
        <v>2024</v>
      </c>
      <c r="J1884" s="6">
        <f>ROUND((5000+G1884*60),-2)</f>
        <v>17800</v>
      </c>
      <c r="K1884" s="9" t="s">
        <v>302</v>
      </c>
      <c r="L1884" s="41" t="s">
        <v>7770</v>
      </c>
    </row>
    <row r="1885" spans="1:12" ht="51">
      <c r="A1885" s="48" t="s">
        <v>7771</v>
      </c>
      <c r="B1885" s="9" t="s">
        <v>12</v>
      </c>
      <c r="C1885" s="13" t="s">
        <v>443</v>
      </c>
      <c r="D1885" s="13" t="str">
        <f ca="1">IFERROR(__xludf.DUMMYFUNCTION(" VLOOKUP(A1882, IMPORTRANGE(""https://docs.google.com/spreadsheets/d/1fj_Bhi2XPL3siwIh4sx4VRLAe31yD50oKdj5UlRYW0c/"", ""Сводка!A:AA""), 11, FALSE)"),"978601-207410-9")</f>
        <v>978601-207410-9</v>
      </c>
      <c r="E1885" s="38" t="s">
        <v>7760</v>
      </c>
      <c r="F1885" s="38" t="s">
        <v>7772</v>
      </c>
      <c r="G1885" s="9">
        <f ca="1">IFERROR(__xludf.DUMMYFUNCTION(" VLOOKUP(A1882, IMPORTRANGE(""https://docs.google.com/spreadsheets/d/1fj_Bhi2XPL3siwIh4sx4VRLAe31yD50oKdj5UlRYW0c/"", ""Сводка!A:AA""), 5, FALSE)"),160)</f>
        <v>160</v>
      </c>
      <c r="H1885" s="9" t="s">
        <v>538</v>
      </c>
      <c r="I1885" s="13">
        <f ca="1">IFERROR(__xludf.DUMMYFUNCTION(" VLOOKUP(A1882, IMPORTRANGE(""https://docs.google.com/spreadsheets/d/1QNLbnkR_AongFt22vMfNzfpjZ0CjpI8QI-w0wBnYA1w/"", ""Инфа!A:AA""), 6, FALSE)"),2024)</f>
        <v>2024</v>
      </c>
      <c r="J1885" s="6">
        <f ca="1">ROUND((5000+G1885*30),-2)</f>
        <v>9800</v>
      </c>
      <c r="K1885" s="9" t="s">
        <v>302</v>
      </c>
      <c r="L1885" s="69"/>
    </row>
    <row r="1886" spans="1:12" ht="25.5">
      <c r="A1886" s="8" t="s">
        <v>7773</v>
      </c>
      <c r="B1886" s="9" t="s">
        <v>12</v>
      </c>
      <c r="C1886" s="10" t="s">
        <v>443</v>
      </c>
      <c r="D1886" s="10" t="str">
        <f ca="1">IFERROR(__xludf.DUMMYFUNCTION(" VLOOKUP(A1883, IMPORTRANGE(""https://docs.google.com/spreadsheets/d/1fj_Bhi2XPL3siwIh4sx4VRLAe31yD50oKdj5UlRYW0c/"", ""Сводка!A:AA""), 11, FALSE)"),"ISBN 9965-39-029-0")</f>
        <v>ISBN 9965-39-029-0</v>
      </c>
      <c r="E1886" s="11" t="s">
        <v>7774</v>
      </c>
      <c r="F1886" s="11" t="s">
        <v>7775</v>
      </c>
      <c r="G1886" s="12">
        <f ca="1">IFERROR(__xludf.DUMMYFUNCTION(" VLOOKUP(A1883, IMPORTRANGE(""https://docs.google.com/spreadsheets/d/1fj_Bhi2XPL3siwIh4sx4VRLAe31yD50oKdj5UlRYW0c/"", ""Сводка!A:AA""), 5, FALSE)"),232)</f>
        <v>232</v>
      </c>
      <c r="H1886" s="12" t="s">
        <v>538</v>
      </c>
      <c r="I1886" s="10">
        <f ca="1">IFERROR(__xludf.DUMMYFUNCTION(" VLOOKUP(A1883, IMPORTRANGE(""https://docs.google.com/spreadsheets/d/1QNLbnkR_AongFt22vMfNzfpjZ0CjpI8QI-w0wBnYA1w/"", ""Инфа!A:AA""), 6, FALSE)"),2024)</f>
        <v>2024</v>
      </c>
      <c r="J1886" s="5">
        <f ca="1">ROUND((5000+G1886*60),-2)</f>
        <v>18900</v>
      </c>
      <c r="K1886" s="9" t="s">
        <v>171</v>
      </c>
      <c r="L1886" s="15"/>
    </row>
    <row r="1887" spans="1:12" ht="38.25">
      <c r="A1887" s="8" t="s">
        <v>7776</v>
      </c>
      <c r="B1887" s="9" t="s">
        <v>12</v>
      </c>
      <c r="C1887" s="10" t="s">
        <v>443</v>
      </c>
      <c r="D1887" s="10" t="str">
        <f ca="1">IFERROR(__xludf.DUMMYFUNCTION(" VLOOKUP(A1884, IMPORTRANGE(""https://docs.google.com/spreadsheets/d/1fj_Bhi2XPL3siwIh4sx4VRLAe31yD50oKdj5UlRYW0c/"", ""Сводка!A:AA""), 11, FALSE)"),"ISBN 987-601-202-147-9")</f>
        <v>ISBN 987-601-202-147-9</v>
      </c>
      <c r="E1887" s="11" t="s">
        <v>7777</v>
      </c>
      <c r="F1887" s="11" t="s">
        <v>7778</v>
      </c>
      <c r="G1887" s="12">
        <f ca="1">IFERROR(__xludf.DUMMYFUNCTION(" VLOOKUP(A1884, IMPORTRANGE(""https://docs.google.com/spreadsheets/d/1fj_Bhi2XPL3siwIh4sx4VRLAe31yD50oKdj5UlRYW0c/"", ""Сводка!A:AA""), 5, FALSE)"),176)</f>
        <v>176</v>
      </c>
      <c r="H1887" s="12" t="s">
        <v>106</v>
      </c>
      <c r="I1887" s="10">
        <f ca="1">IFERROR(__xludf.DUMMYFUNCTION(" VLOOKUP(A1884, IMPORTRANGE(""https://docs.google.com/spreadsheets/d/1QNLbnkR_AongFt22vMfNzfpjZ0CjpI8QI-w0wBnYA1w/"", ""Инфа!A:AA""), 6, FALSE)"),2024)</f>
        <v>2024</v>
      </c>
      <c r="J1887" s="5">
        <f ca="1">ROUND((5000+G1887*30),-2)</f>
        <v>10300</v>
      </c>
      <c r="K1887" s="9" t="s">
        <v>69</v>
      </c>
      <c r="L1887" s="15"/>
    </row>
    <row r="1888" spans="1:12" ht="180">
      <c r="A1888" s="8" t="s">
        <v>7779</v>
      </c>
      <c r="B1888" s="9" t="s">
        <v>12</v>
      </c>
      <c r="C1888" s="10" t="s">
        <v>13</v>
      </c>
      <c r="D1888" s="10" t="str">
        <f ca="1">IFERROR(__xludf.DUMMYFUNCTION(" VLOOKUP(A1885, IMPORTRANGE(""https://docs.google.com/spreadsheets/d/1fj_Bhi2XPL3siwIh4sx4VRLAe31yD50oKdj5UlRYW0c/"", ""Сводка!A:AA""), 11, FALSE)"),"978-601-310-710-3")</f>
        <v>978-601-310-710-3</v>
      </c>
      <c r="E1888" s="11" t="s">
        <v>7780</v>
      </c>
      <c r="F1888" s="11" t="s">
        <v>7781</v>
      </c>
      <c r="G1888" s="12">
        <f ca="1">IFERROR(__xludf.DUMMYFUNCTION(" VLOOKUP(A1885, IMPORTRANGE(""https://docs.google.com/spreadsheets/d/1fj_Bhi2XPL3siwIh4sx4VRLAe31yD50oKdj5UlRYW0c/"", ""Сводка!A:AA""), 5, FALSE)"),172)</f>
        <v>172</v>
      </c>
      <c r="H1888" s="12" t="s">
        <v>538</v>
      </c>
      <c r="I1888" s="10">
        <f ca="1">IFERROR(__xludf.DUMMYFUNCTION(" VLOOKUP(A1885, IMPORTRANGE(""https://docs.google.com/spreadsheets/d/1QNLbnkR_AongFt22vMfNzfpjZ0CjpI8QI-w0wBnYA1w/"", ""Инфа!A:AA""), 6, FALSE)"),2024)</f>
        <v>2024</v>
      </c>
      <c r="J1888" s="5">
        <f ca="1">ROUND((5000+G1888*60),-2)</f>
        <v>15300</v>
      </c>
      <c r="K1888" s="12" t="s">
        <v>25</v>
      </c>
      <c r="L1888" s="15" t="s">
        <v>7782</v>
      </c>
    </row>
    <row r="1889" spans="1:12" ht="123.75">
      <c r="A1889" s="8" t="s">
        <v>7783</v>
      </c>
      <c r="B1889" s="9" t="s">
        <v>12</v>
      </c>
      <c r="C1889" s="10" t="s">
        <v>443</v>
      </c>
      <c r="D1889" s="10" t="str">
        <f ca="1">IFERROR(__xludf.DUMMYFUNCTION(" VLOOKUP(A1886, IMPORTRANGE(""https://docs.google.com/spreadsheets/d/1fj_Bhi2XPL3siwIh4sx4VRLAe31yD50oKdj5UlRYW0c/"", ""Сводка!A:AA""), 11, FALSE)"),"ISBN 396-856-216-150-6")</f>
        <v>ISBN 396-856-216-150-6</v>
      </c>
      <c r="E1889" s="19" t="s">
        <v>7784</v>
      </c>
      <c r="F1889" s="19" t="s">
        <v>7785</v>
      </c>
      <c r="G1889" s="12">
        <f ca="1">IFERROR(__xludf.DUMMYFUNCTION(" VLOOKUP(A1886, IMPORTRANGE(""https://docs.google.com/spreadsheets/d/1fj_Bhi2XPL3siwIh4sx4VRLAe31yD50oKdj5UlRYW0c/"", ""Сводка!A:AA""), 5, FALSE)"),112)</f>
        <v>112</v>
      </c>
      <c r="H1889" s="12" t="s">
        <v>538</v>
      </c>
      <c r="I1889" s="10">
        <f ca="1">IFERROR(__xludf.DUMMYFUNCTION(" VLOOKUP(A1886, IMPORTRANGE(""https://docs.google.com/spreadsheets/d/1QNLbnkR_AongFt22vMfNzfpjZ0CjpI8QI-w0wBnYA1w/"", ""Инфа!A:AA""), 6, FALSE)"),2024)</f>
        <v>2024</v>
      </c>
      <c r="J1889" s="5">
        <f t="shared" ref="J1889:J1894" ca="1" si="64">ROUND((5000+G1889*30),-2)</f>
        <v>8400</v>
      </c>
      <c r="K1889" s="9" t="s">
        <v>26</v>
      </c>
      <c r="L1889" s="15" t="s">
        <v>7786</v>
      </c>
    </row>
    <row r="1890" spans="1:12" ht="123.75">
      <c r="A1890" s="8" t="s">
        <v>7787</v>
      </c>
      <c r="B1890" s="9" t="s">
        <v>12</v>
      </c>
      <c r="C1890" s="10" t="s">
        <v>443</v>
      </c>
      <c r="D1890" s="10" t="str">
        <f ca="1">IFERROR(__xludf.DUMMYFUNCTION(" VLOOKUP(A1887, IMPORTRANGE(""https://docs.google.com/spreadsheets/d/1fj_Bhi2XPL3siwIh4sx4VRLAe31yD50oKdj5UlRYW0c/"", ""Сводка!A:AA""), 11, FALSE)"),"ISBN 978-601-327-912-1")</f>
        <v>ISBN 978-601-327-912-1</v>
      </c>
      <c r="E1890" s="11" t="s">
        <v>7788</v>
      </c>
      <c r="F1890" s="11" t="s">
        <v>7789</v>
      </c>
      <c r="G1890" s="12">
        <f ca="1">IFERROR(__xludf.DUMMYFUNCTION(" VLOOKUP(A1887, IMPORTRANGE(""https://docs.google.com/spreadsheets/d/1fj_Bhi2XPL3siwIh4sx4VRLAe31yD50oKdj5UlRYW0c/"", ""Сводка!A:AA""), 5, FALSE)"),132)</f>
        <v>132</v>
      </c>
      <c r="H1890" s="12" t="s">
        <v>446</v>
      </c>
      <c r="I1890" s="10">
        <f ca="1">IFERROR(__xludf.DUMMYFUNCTION(" VLOOKUP(A1887, IMPORTRANGE(""https://docs.google.com/spreadsheets/d/1QNLbnkR_AongFt22vMfNzfpjZ0CjpI8QI-w0wBnYA1w/"", ""Инфа!A:AA""), 6, FALSE)"),2024)</f>
        <v>2024</v>
      </c>
      <c r="J1890" s="5">
        <f t="shared" ca="1" si="64"/>
        <v>9000</v>
      </c>
      <c r="K1890" s="12" t="s">
        <v>277</v>
      </c>
      <c r="L1890" s="15" t="s">
        <v>7790</v>
      </c>
    </row>
    <row r="1891" spans="1:12" ht="90">
      <c r="A1891" s="8" t="s">
        <v>7791</v>
      </c>
      <c r="B1891" s="9" t="s">
        <v>12</v>
      </c>
      <c r="C1891" s="10" t="s">
        <v>151</v>
      </c>
      <c r="D1891" s="10" t="str">
        <f ca="1">IFERROR(__xludf.DUMMYFUNCTION(" VLOOKUP(A1888, IMPORTRANGE(""https://docs.google.com/spreadsheets/d/1fj_Bhi2XPL3siwIh4sx4VRLAe31yD50oKdj5UlRYW0c/"", ""Сводка!A:AA""), 11, FALSE)"),"ISBN 978-601-327-913-8")</f>
        <v>ISBN 978-601-327-913-8</v>
      </c>
      <c r="E1891" s="11" t="s">
        <v>7788</v>
      </c>
      <c r="F1891" s="11" t="s">
        <v>7792</v>
      </c>
      <c r="G1891" s="12">
        <f ca="1">IFERROR(__xludf.DUMMYFUNCTION(" VLOOKUP(A1888, IMPORTRANGE(""https://docs.google.com/spreadsheets/d/1fj_Bhi2XPL3siwIh4sx4VRLAe31yD50oKdj5UlRYW0c/"", ""Сводка!A:AA""), 5, FALSE)"),156)</f>
        <v>156</v>
      </c>
      <c r="H1891" s="12" t="s">
        <v>47</v>
      </c>
      <c r="I1891" s="10">
        <f ca="1">IFERROR(__xludf.DUMMYFUNCTION(" VLOOKUP(A1888, IMPORTRANGE(""https://docs.google.com/spreadsheets/d/1QNLbnkR_AongFt22vMfNzfpjZ0CjpI8QI-w0wBnYA1w/"", ""Инфа!A:AA""), 6, FALSE)"),2024)</f>
        <v>2024</v>
      </c>
      <c r="J1891" s="5">
        <f t="shared" ca="1" si="64"/>
        <v>9700</v>
      </c>
      <c r="K1891" s="12" t="s">
        <v>277</v>
      </c>
      <c r="L1891" s="15" t="s">
        <v>7793</v>
      </c>
    </row>
    <row r="1892" spans="1:12" ht="157.5">
      <c r="A1892" s="8" t="s">
        <v>7794</v>
      </c>
      <c r="B1892" s="9" t="s">
        <v>12</v>
      </c>
      <c r="C1892" s="10" t="s">
        <v>443</v>
      </c>
      <c r="D1892" s="10" t="str">
        <f ca="1">IFERROR(__xludf.DUMMYFUNCTION(" VLOOKUP(A1889, IMPORTRANGE(""https://docs.google.com/spreadsheets/d/1fj_Bhi2XPL3siwIh4sx4VRLAe31yD50oKdj5UlRYW0c/"", ""Сводка!A:AA""), 11, FALSE)"),"ISBN 978-601-327-046-3")</f>
        <v>ISBN 978-601-327-046-3</v>
      </c>
      <c r="E1892" s="11" t="s">
        <v>7795</v>
      </c>
      <c r="F1892" s="11" t="s">
        <v>7796</v>
      </c>
      <c r="G1892" s="12">
        <f ca="1">IFERROR(__xludf.DUMMYFUNCTION(" VLOOKUP(A1889, IMPORTRANGE(""https://docs.google.com/spreadsheets/d/1fj_Bhi2XPL3siwIh4sx4VRLAe31yD50oKdj5UlRYW0c/"", ""Сводка!A:AA""), 5, FALSE)"),212)</f>
        <v>212</v>
      </c>
      <c r="H1892" s="12" t="s">
        <v>446</v>
      </c>
      <c r="I1892" s="10">
        <f ca="1">IFERROR(__xludf.DUMMYFUNCTION(" VLOOKUP(A1889, IMPORTRANGE(""https://docs.google.com/spreadsheets/d/1QNLbnkR_AongFt22vMfNzfpjZ0CjpI8QI-w0wBnYA1w/"", ""Инфа!A:AA""), 6, FALSE)"),2024)</f>
        <v>2024</v>
      </c>
      <c r="J1892" s="5">
        <f t="shared" ca="1" si="64"/>
        <v>11400</v>
      </c>
      <c r="K1892" s="12" t="s">
        <v>1912</v>
      </c>
      <c r="L1892" s="15" t="s">
        <v>7797</v>
      </c>
    </row>
    <row r="1893" spans="1:12" ht="157.5">
      <c r="A1893" s="8" t="s">
        <v>7798</v>
      </c>
      <c r="B1893" s="9" t="s">
        <v>12</v>
      </c>
      <c r="C1893" s="10" t="s">
        <v>443</v>
      </c>
      <c r="D1893" s="10" t="str">
        <f ca="1">IFERROR(__xludf.DUMMYFUNCTION(" VLOOKUP(A1890, IMPORTRANGE(""https://docs.google.com/spreadsheets/d/1fj_Bhi2XPL3siwIh4sx4VRLAe31yD50oKdj5UlRYW0c/"", ""Сводка!A:AA""), 11, FALSE)"),"ISBN 978-601-240-543-9")</f>
        <v>ISBN 978-601-240-543-9</v>
      </c>
      <c r="E1893" s="11" t="s">
        <v>7795</v>
      </c>
      <c r="F1893" s="11" t="s">
        <v>7799</v>
      </c>
      <c r="G1893" s="12">
        <f ca="1">IFERROR(__xludf.DUMMYFUNCTION(" VLOOKUP(A1890, IMPORTRANGE(""https://docs.google.com/spreadsheets/d/1fj_Bhi2XPL3siwIh4sx4VRLAe31yD50oKdj5UlRYW0c/"", ""Сводка!A:AA""), 5, FALSE)"),216)</f>
        <v>216</v>
      </c>
      <c r="H1893" s="12" t="s">
        <v>511</v>
      </c>
      <c r="I1893" s="10">
        <f ca="1">IFERROR(__xludf.DUMMYFUNCTION(" VLOOKUP(A1890, IMPORTRANGE(""https://docs.google.com/spreadsheets/d/1QNLbnkR_AongFt22vMfNzfpjZ0CjpI8QI-w0wBnYA1w/"", ""Инфа!A:AA""), 6, FALSE)"),2024)</f>
        <v>2024</v>
      </c>
      <c r="J1893" s="5">
        <f t="shared" ca="1" si="64"/>
        <v>11500</v>
      </c>
      <c r="K1893" s="12" t="s">
        <v>7800</v>
      </c>
      <c r="L1893" s="15" t="s">
        <v>7801</v>
      </c>
    </row>
    <row r="1894" spans="1:12" ht="281.25">
      <c r="A1894" s="8" t="s">
        <v>7802</v>
      </c>
      <c r="B1894" s="9" t="s">
        <v>12</v>
      </c>
      <c r="C1894" s="10" t="s">
        <v>443</v>
      </c>
      <c r="D1894" s="10" t="str">
        <f ca="1">IFERROR(__xludf.DUMMYFUNCTION(" VLOOKUP(A1891, IMPORTRANGE(""https://docs.google.com/spreadsheets/d/1fj_Bhi2XPL3siwIh4sx4VRLAe31yD50oKdj5UlRYW0c/"", ""Сводка!A:AA""), 11, FALSE)"),"978-601-7816-26-1")</f>
        <v>978-601-7816-26-1</v>
      </c>
      <c r="E1894" s="11" t="s">
        <v>7803</v>
      </c>
      <c r="F1894" s="11" t="s">
        <v>7804</v>
      </c>
      <c r="G1894" s="12">
        <f ca="1">IFERROR(__xludf.DUMMYFUNCTION(" VLOOKUP(A1891, IMPORTRANGE(""https://docs.google.com/spreadsheets/d/1fj_Bhi2XPL3siwIh4sx4VRLAe31yD50oKdj5UlRYW0c/"", ""Сводка!A:AA""), 5, FALSE)"),124)</f>
        <v>124</v>
      </c>
      <c r="H1894" s="12" t="s">
        <v>538</v>
      </c>
      <c r="I1894" s="10">
        <f ca="1">IFERROR(__xludf.DUMMYFUNCTION(" VLOOKUP(A1891, IMPORTRANGE(""https://docs.google.com/spreadsheets/d/1QNLbnkR_AongFt22vMfNzfpjZ0CjpI8QI-w0wBnYA1w/"", ""Инфа!A:AA""), 6, FALSE)"),2024)</f>
        <v>2024</v>
      </c>
      <c r="J1894" s="5">
        <f t="shared" ca="1" si="64"/>
        <v>8700</v>
      </c>
      <c r="K1894" s="9" t="s">
        <v>539</v>
      </c>
      <c r="L1894" s="15" t="s">
        <v>7805</v>
      </c>
    </row>
    <row r="1895" spans="1:12" ht="315">
      <c r="A1895" s="8" t="s">
        <v>7806</v>
      </c>
      <c r="B1895" s="9" t="s">
        <v>12</v>
      </c>
      <c r="C1895" s="10" t="s">
        <v>151</v>
      </c>
      <c r="D1895" s="10" t="str">
        <f ca="1">IFERROR(__xludf.DUMMYFUNCTION(" VLOOKUP(A1892, IMPORTRANGE(""https://docs.google.com/spreadsheets/d/1fj_Bhi2XPL3siwIh4sx4VRLAe31yD50oKdj5UlRYW0c/"", ""Сводка!A:AA""), 11, FALSE)"),"ISBN 978-601-342-644-0")</f>
        <v>ISBN 978-601-342-644-0</v>
      </c>
      <c r="E1895" s="11" t="s">
        <v>7807</v>
      </c>
      <c r="F1895" s="11" t="s">
        <v>7808</v>
      </c>
      <c r="G1895" s="12">
        <f ca="1">IFERROR(__xludf.DUMMYFUNCTION(" VLOOKUP(A1892, IMPORTRANGE(""https://docs.google.com/spreadsheets/d/1fj_Bhi2XPL3siwIh4sx4VRLAe31yD50oKdj5UlRYW0c/"", ""Сводка!A:AA""), 5, FALSE)"),176)</f>
        <v>176</v>
      </c>
      <c r="H1895" s="12" t="s">
        <v>24</v>
      </c>
      <c r="I1895" s="10">
        <f ca="1">IFERROR(__xludf.DUMMYFUNCTION(" VLOOKUP(A1892, IMPORTRANGE(""https://docs.google.com/spreadsheets/d/1QNLbnkR_AongFt22vMfNzfpjZ0CjpI8QI-w0wBnYA1w/"", ""Инфа!A:AA""), 6, FALSE)"),2024)</f>
        <v>2024</v>
      </c>
      <c r="J1895" s="5">
        <f ca="1">ROUND((5000+G1895*60),-2)</f>
        <v>15600</v>
      </c>
      <c r="K1895" s="12" t="s">
        <v>3371</v>
      </c>
      <c r="L1895" s="15" t="s">
        <v>7809</v>
      </c>
    </row>
    <row r="1896" spans="1:12" ht="315">
      <c r="A1896" s="8" t="s">
        <v>7810</v>
      </c>
      <c r="B1896" s="9" t="s">
        <v>12</v>
      </c>
      <c r="C1896" s="10" t="s">
        <v>151</v>
      </c>
      <c r="D1896" s="10" t="str">
        <f ca="1">IFERROR(__xludf.DUMMYFUNCTION(" VLOOKUP(A1893, IMPORTRANGE(""https://docs.google.com/spreadsheets/d/1fj_Bhi2XPL3siwIh4sx4VRLAe31yD50oKdj5UlRYW0c/"", ""Сводка!A:AA""), 11, FALSE)"),"ISBN 978-601-342-644-0")</f>
        <v>ISBN 978-601-342-644-0</v>
      </c>
      <c r="E1896" s="11" t="s">
        <v>7807</v>
      </c>
      <c r="F1896" s="11" t="s">
        <v>7811</v>
      </c>
      <c r="G1896" s="12">
        <f ca="1">IFERROR(__xludf.DUMMYFUNCTION(" VLOOKUP(A1893, IMPORTRANGE(""https://docs.google.com/spreadsheets/d/1fj_Bhi2XPL3siwIh4sx4VRLAe31yD50oKdj5UlRYW0c/"", ""Сводка!A:AA""), 5, FALSE)"),168)</f>
        <v>168</v>
      </c>
      <c r="H1896" s="12" t="s">
        <v>24</v>
      </c>
      <c r="I1896" s="10">
        <f ca="1">IFERROR(__xludf.DUMMYFUNCTION(" VLOOKUP(A1893, IMPORTRANGE(""https://docs.google.com/spreadsheets/d/1QNLbnkR_AongFt22vMfNzfpjZ0CjpI8QI-w0wBnYA1w/"", ""Инфа!A:AA""), 6, FALSE)"),2024)</f>
        <v>2024</v>
      </c>
      <c r="J1896" s="5">
        <f ca="1">ROUND((5000+G1896*30),-2)</f>
        <v>10000</v>
      </c>
      <c r="K1896" s="12" t="s">
        <v>3371</v>
      </c>
      <c r="L1896" s="15" t="s">
        <v>7812</v>
      </c>
    </row>
    <row r="1897" spans="1:12" ht="303.75">
      <c r="A1897" s="8" t="s">
        <v>7813</v>
      </c>
      <c r="B1897" s="9" t="s">
        <v>12</v>
      </c>
      <c r="C1897" s="10" t="s">
        <v>151</v>
      </c>
      <c r="D1897" s="10" t="str">
        <f ca="1">IFERROR(__xludf.DUMMYFUNCTION(" VLOOKUP(A1894, IMPORTRANGE(""https://docs.google.com/spreadsheets/d/1fj_Bhi2XPL3siwIh4sx4VRLAe31yD50oKdj5UlRYW0c/"", ""Сводка!A:AA""), 11, FALSE)"),"978-601-342-546-7")</f>
        <v>978-601-342-546-7</v>
      </c>
      <c r="E1897" s="11" t="s">
        <v>7814</v>
      </c>
      <c r="F1897" s="11" t="s">
        <v>7815</v>
      </c>
      <c r="G1897" s="12">
        <f ca="1">IFERROR(__xludf.DUMMYFUNCTION(" VLOOKUP(A1894, IMPORTRANGE(""https://docs.google.com/spreadsheets/d/1fj_Bhi2XPL3siwIh4sx4VRLAe31yD50oKdj5UlRYW0c/"", ""Сводка!A:AA""), 5, FALSE)"),184)</f>
        <v>184</v>
      </c>
      <c r="H1897" s="12" t="s">
        <v>24</v>
      </c>
      <c r="I1897" s="10">
        <f ca="1">IFERROR(__xludf.DUMMYFUNCTION(" VLOOKUP(A1894, IMPORTRANGE(""https://docs.google.com/spreadsheets/d/1QNLbnkR_AongFt22vMfNzfpjZ0CjpI8QI-w0wBnYA1w/"", ""Инфа!A:AA""), 6, FALSE)"),2024)</f>
        <v>2024</v>
      </c>
      <c r="J1897" s="5">
        <f ca="1">ROUND((5000+G1897*60),-2)</f>
        <v>16000</v>
      </c>
      <c r="K1897" s="12" t="s">
        <v>3208</v>
      </c>
      <c r="L1897" s="15" t="s">
        <v>7816</v>
      </c>
    </row>
    <row r="1898" spans="1:12" ht="270">
      <c r="A1898" s="8" t="s">
        <v>7817</v>
      </c>
      <c r="B1898" s="9" t="s">
        <v>12</v>
      </c>
      <c r="C1898" s="10" t="s">
        <v>21</v>
      </c>
      <c r="D1898" s="10" t="str">
        <f ca="1">IFERROR(__xludf.DUMMYFUNCTION(" VLOOKUP(A1895, IMPORTRANGE(""https://docs.google.com/spreadsheets/d/1fj_Bhi2XPL3siwIh4sx4VRLAe31yD50oKdj5UlRYW0c/"", ""Сводка!A:AA""), 11, FALSE)"),"ISBN 978-601-342-503-0")</f>
        <v>ISBN 978-601-342-503-0</v>
      </c>
      <c r="E1898" s="11" t="s">
        <v>7818</v>
      </c>
      <c r="F1898" s="11" t="s">
        <v>7819</v>
      </c>
      <c r="G1898" s="12">
        <f ca="1">IFERROR(__xludf.DUMMYFUNCTION(" VLOOKUP(A1895, IMPORTRANGE(""https://docs.google.com/spreadsheets/d/1fj_Bhi2XPL3siwIh4sx4VRLAe31yD50oKdj5UlRYW0c/"", ""Сводка!A:AA""), 5, FALSE)"),180)</f>
        <v>180</v>
      </c>
      <c r="H1898" s="12" t="s">
        <v>165</v>
      </c>
      <c r="I1898" s="10">
        <f ca="1">IFERROR(__xludf.DUMMYFUNCTION(" VLOOKUP(A1895, IMPORTRANGE(""https://docs.google.com/spreadsheets/d/1QNLbnkR_AongFt22vMfNzfpjZ0CjpI8QI-w0wBnYA1w/"", ""Инфа!A:AA""), 6, FALSE)"),2024)</f>
        <v>2024</v>
      </c>
      <c r="J1898" s="5">
        <f t="shared" ref="J1898:J1904" ca="1" si="65">ROUND((5000+G1898*30),-2)</f>
        <v>10400</v>
      </c>
      <c r="K1898" s="12" t="s">
        <v>25</v>
      </c>
      <c r="L1898" s="16" t="s">
        <v>7820</v>
      </c>
    </row>
    <row r="1899" spans="1:12" ht="38.25">
      <c r="A1899" s="8" t="s">
        <v>7821</v>
      </c>
      <c r="B1899" s="9" t="s">
        <v>12</v>
      </c>
      <c r="C1899" s="10" t="s">
        <v>151</v>
      </c>
      <c r="D1899" s="10" t="str">
        <f ca="1">IFERROR(__xludf.DUMMYFUNCTION(" VLOOKUP(A1896, IMPORTRANGE(""https://docs.google.com/spreadsheets/d/1fj_Bhi2XPL3siwIh4sx4VRLAe31yD50oKdj5UlRYW0c/"", ""Сводка!A:AA""), 11, FALSE)"),"ISBN 978-601-7816-57-5")</f>
        <v>ISBN 978-601-7816-57-5</v>
      </c>
      <c r="E1899" s="70" t="s">
        <v>7822</v>
      </c>
      <c r="F1899" s="70" t="s">
        <v>7823</v>
      </c>
      <c r="G1899" s="12">
        <f ca="1">IFERROR(__xludf.DUMMYFUNCTION(" VLOOKUP(A1896, IMPORTRANGE(""https://docs.google.com/spreadsheets/d/1fj_Bhi2XPL3siwIh4sx4VRLAe31yD50oKdj5UlRYW0c/"", ""Сводка!A:AA""), 5, FALSE)"),184)</f>
        <v>184</v>
      </c>
      <c r="H1899" s="9" t="s">
        <v>5583</v>
      </c>
      <c r="I1899" s="10">
        <f ca="1">IFERROR(__xludf.DUMMYFUNCTION(" VLOOKUP(A1896, IMPORTRANGE(""https://docs.google.com/spreadsheets/d/1QNLbnkR_AongFt22vMfNzfpjZ0CjpI8QI-w0wBnYA1w/"", ""Инфа!A:AA""), 6, FALSE)"),2024)</f>
        <v>2024</v>
      </c>
      <c r="J1899" s="5">
        <f t="shared" ca="1" si="65"/>
        <v>10500</v>
      </c>
      <c r="K1899" s="9" t="s">
        <v>592</v>
      </c>
      <c r="L1899" s="15"/>
    </row>
    <row r="1900" spans="1:12" ht="303.75">
      <c r="A1900" s="8" t="s">
        <v>7824</v>
      </c>
      <c r="B1900" s="9" t="s">
        <v>12</v>
      </c>
      <c r="C1900" s="10" t="s">
        <v>151</v>
      </c>
      <c r="D1900" s="10" t="str">
        <f ca="1">IFERROR(__xludf.DUMMYFUNCTION(" VLOOKUP(A1897, IMPORTRANGE(""https://docs.google.com/spreadsheets/d/1fj_Bhi2XPL3siwIh4sx4VRLAe31yD50oKdj5UlRYW0c/"", ""Сводка!A:AA""), 11, FALSE)"),"ISBN 978-9965-31-886-3")</f>
        <v>ISBN 978-9965-31-886-3</v>
      </c>
      <c r="E1900" s="11" t="s">
        <v>7825</v>
      </c>
      <c r="F1900" s="11" t="s">
        <v>7826</v>
      </c>
      <c r="G1900" s="12">
        <f ca="1">IFERROR(__xludf.DUMMYFUNCTION(" VLOOKUP(A1897, IMPORTRANGE(""https://docs.google.com/spreadsheets/d/1fj_Bhi2XPL3siwIh4sx4VRLAe31yD50oKdj5UlRYW0c/"", ""Сводка!A:AA""), 5, FALSE)"),172)</f>
        <v>172</v>
      </c>
      <c r="H1900" s="12" t="s">
        <v>24</v>
      </c>
      <c r="I1900" s="10">
        <f ca="1">IFERROR(__xludf.DUMMYFUNCTION(" VLOOKUP(A1897, IMPORTRANGE(""https://docs.google.com/spreadsheets/d/1QNLbnkR_AongFt22vMfNzfpjZ0CjpI8QI-w0wBnYA1w/"", ""Инфа!A:AA""), 6, FALSE)"),2024)</f>
        <v>2024</v>
      </c>
      <c r="J1900" s="5">
        <f t="shared" ca="1" si="65"/>
        <v>10200</v>
      </c>
      <c r="K1900" s="12" t="s">
        <v>63</v>
      </c>
      <c r="L1900" s="15" t="s">
        <v>7827</v>
      </c>
    </row>
    <row r="1901" spans="1:12" ht="146.25">
      <c r="A1901" s="8" t="s">
        <v>7828</v>
      </c>
      <c r="B1901" s="9" t="s">
        <v>12</v>
      </c>
      <c r="C1901" s="10" t="s">
        <v>151</v>
      </c>
      <c r="D1901" s="10" t="str">
        <f ca="1">IFERROR(__xludf.DUMMYFUNCTION(" VLOOKUP(A1898, IMPORTRANGE(""https://docs.google.com/spreadsheets/d/1fj_Bhi2XPL3siwIh4sx4VRLAe31yD50oKdj5UlRYW0c/"", ""Сводка!A:AA""), 11, FALSE)"),"ISBN 978-601-327-887-2")</f>
        <v>ISBN 978-601-327-887-2</v>
      </c>
      <c r="E1901" s="11" t="s">
        <v>7825</v>
      </c>
      <c r="F1901" s="11" t="s">
        <v>7829</v>
      </c>
      <c r="G1901" s="12">
        <f ca="1">IFERROR(__xludf.DUMMYFUNCTION(" VLOOKUP(A1898, IMPORTRANGE(""https://docs.google.com/spreadsheets/d/1fj_Bhi2XPL3siwIh4sx4VRLAe31yD50oKdj5UlRYW0c/"", ""Сводка!A:AA""), 5, FALSE)"),264)</f>
        <v>264</v>
      </c>
      <c r="H1901" s="12" t="s">
        <v>47</v>
      </c>
      <c r="I1901" s="10">
        <f ca="1">IFERROR(__xludf.DUMMYFUNCTION(" VLOOKUP(A1898, IMPORTRANGE(""https://docs.google.com/spreadsheets/d/1QNLbnkR_AongFt22vMfNzfpjZ0CjpI8QI-w0wBnYA1w/"", ""Инфа!A:AA""), 6, FALSE)"),2024)</f>
        <v>2024</v>
      </c>
      <c r="J1901" s="5">
        <f t="shared" ca="1" si="65"/>
        <v>12900</v>
      </c>
      <c r="K1901" s="12" t="s">
        <v>63</v>
      </c>
      <c r="L1901" s="15" t="s">
        <v>7830</v>
      </c>
    </row>
    <row r="1902" spans="1:12" ht="157.5">
      <c r="A1902" s="8" t="s">
        <v>7831</v>
      </c>
      <c r="B1902" s="9" t="s">
        <v>12</v>
      </c>
      <c r="C1902" s="10" t="s">
        <v>443</v>
      </c>
      <c r="D1902" s="10" t="str">
        <f ca="1">IFERROR(__xludf.DUMMYFUNCTION(" VLOOKUP(A1899, IMPORTRANGE(""https://docs.google.com/spreadsheets/d/1fj_Bhi2XPL3siwIh4sx4VRLAe31yD50oKdj5UlRYW0c/"", ""Сводка!A:AA""), 11, FALSE)"),"ISBN 978-601-327-108-8")</f>
        <v>ISBN 978-601-327-108-8</v>
      </c>
      <c r="E1902" s="11" t="s">
        <v>7832</v>
      </c>
      <c r="F1902" s="11" t="s">
        <v>7833</v>
      </c>
      <c r="G1902" s="12">
        <f ca="1">IFERROR(__xludf.DUMMYFUNCTION(" VLOOKUP(A1899, IMPORTRANGE(""https://docs.google.com/spreadsheets/d/1fj_Bhi2XPL3siwIh4sx4VRLAe31yD50oKdj5UlRYW0c/"", ""Сводка!A:AA""), 5, FALSE)"),140)</f>
        <v>140</v>
      </c>
      <c r="H1902" s="12" t="s">
        <v>7834</v>
      </c>
      <c r="I1902" s="10">
        <f ca="1">IFERROR(__xludf.DUMMYFUNCTION(" VLOOKUP(A1899, IMPORTRANGE(""https://docs.google.com/spreadsheets/d/1QNLbnkR_AongFt22vMfNzfpjZ0CjpI8QI-w0wBnYA1w/"", ""Инфа!A:AA""), 6, FALSE)"),2024)</f>
        <v>2024</v>
      </c>
      <c r="J1902" s="5">
        <f t="shared" ca="1" si="65"/>
        <v>9200</v>
      </c>
      <c r="K1902" s="12" t="s">
        <v>2167</v>
      </c>
      <c r="L1902" s="15" t="s">
        <v>7835</v>
      </c>
    </row>
    <row r="1903" spans="1:12" ht="270">
      <c r="A1903" s="8" t="s">
        <v>7836</v>
      </c>
      <c r="B1903" s="9" t="s">
        <v>12</v>
      </c>
      <c r="C1903" s="10" t="s">
        <v>443</v>
      </c>
      <c r="D1903" s="10" t="str">
        <f ca="1">IFERROR(__xludf.DUMMYFUNCTION(" VLOOKUP(A1900, IMPORTRANGE(""https://docs.google.com/spreadsheets/d/1fj_Bhi2XPL3siwIh4sx4VRLAe31yD50oKdj5UlRYW0c/"", ""Сводка!A:AA""), 11, FALSE)"),"ISBN 978-601-310-372-3")</f>
        <v>ISBN 978-601-310-372-3</v>
      </c>
      <c r="E1903" s="11" t="s">
        <v>7837</v>
      </c>
      <c r="F1903" s="11" t="s">
        <v>7838</v>
      </c>
      <c r="G1903" s="12">
        <f ca="1">IFERROR(__xludf.DUMMYFUNCTION(" VLOOKUP(A1900, IMPORTRANGE(""https://docs.google.com/spreadsheets/d/1fj_Bhi2XPL3siwIh4sx4VRLAe31yD50oKdj5UlRYW0c/"", ""Сводка!A:AA""), 5, FALSE)"),284)</f>
        <v>284</v>
      </c>
      <c r="H1903" s="12" t="s">
        <v>952</v>
      </c>
      <c r="I1903" s="10">
        <f ca="1">IFERROR(__xludf.DUMMYFUNCTION(" VLOOKUP(A1900, IMPORTRANGE(""https://docs.google.com/spreadsheets/d/1QNLbnkR_AongFt22vMfNzfpjZ0CjpI8QI-w0wBnYA1w/"", ""Инфа!A:AA""), 6, FALSE)"),2023)</f>
        <v>2023</v>
      </c>
      <c r="J1903" s="5">
        <f t="shared" ca="1" si="65"/>
        <v>13500</v>
      </c>
      <c r="K1903" s="12" t="s">
        <v>139</v>
      </c>
      <c r="L1903" s="15" t="s">
        <v>7839</v>
      </c>
    </row>
    <row r="1904" spans="1:12" ht="180">
      <c r="A1904" s="8" t="s">
        <v>7840</v>
      </c>
      <c r="B1904" s="9" t="s">
        <v>12</v>
      </c>
      <c r="C1904" s="10" t="s">
        <v>443</v>
      </c>
      <c r="D1904" s="10" t="str">
        <f ca="1">IFERROR(__xludf.DUMMYFUNCTION(" VLOOKUP(A1901, IMPORTRANGE(""https://docs.google.com/spreadsheets/d/1fj_Bhi2XPL3siwIh4sx4VRLAe31yD50oKdj5UlRYW0c/"", ""Сводка!A:AA""), 11, FALSE)"),"9965-9535-6-2")</f>
        <v>9965-9535-6-2</v>
      </c>
      <c r="E1904" s="22" t="s">
        <v>7841</v>
      </c>
      <c r="F1904" s="22" t="s">
        <v>7842</v>
      </c>
      <c r="G1904" s="12">
        <f ca="1">IFERROR(__xludf.DUMMYFUNCTION(" VLOOKUP(A1901, IMPORTRANGE(""https://docs.google.com/spreadsheets/d/1fj_Bhi2XPL3siwIh4sx4VRLAe31yD50oKdj5UlRYW0c/"", ""Сводка!A:AA""), 5, FALSE)"),100)</f>
        <v>100</v>
      </c>
      <c r="H1904" s="10" t="s">
        <v>777</v>
      </c>
      <c r="I1904" s="10">
        <f ca="1">IFERROR(__xludf.DUMMYFUNCTION(" VLOOKUP(A1901, IMPORTRANGE(""https://docs.google.com/spreadsheets/d/1QNLbnkR_AongFt22vMfNzfpjZ0CjpI8QI-w0wBnYA1w/"", ""Инфа!A:AA""), 6, FALSE)"),2024)</f>
        <v>2024</v>
      </c>
      <c r="J1904" s="5">
        <f t="shared" ca="1" si="65"/>
        <v>8000</v>
      </c>
      <c r="K1904" s="10" t="s">
        <v>78</v>
      </c>
      <c r="L1904" s="23" t="s">
        <v>7843</v>
      </c>
    </row>
    <row r="1905" spans="1:12" ht="236.25">
      <c r="A1905" s="8" t="s">
        <v>7844</v>
      </c>
      <c r="B1905" s="9" t="s">
        <v>12</v>
      </c>
      <c r="C1905" s="10" t="s">
        <v>151</v>
      </c>
      <c r="D1905" s="10" t="str">
        <f ca="1">IFERROR(__xludf.DUMMYFUNCTION(" VLOOKUP(A1902, IMPORTRANGE(""https://docs.google.com/spreadsheets/d/1fj_Bhi2XPL3siwIh4sx4VRLAe31yD50oKdj5UlRYW0c/"", ""Сводка!A:AA""), 11, FALSE)"),"ISBN 978-601-342-645-7")</f>
        <v>ISBN 978-601-342-645-7</v>
      </c>
      <c r="E1905" s="11" t="s">
        <v>7845</v>
      </c>
      <c r="F1905" s="11" t="s">
        <v>7846</v>
      </c>
      <c r="G1905" s="12">
        <f ca="1">IFERROR(__xludf.DUMMYFUNCTION(" VLOOKUP(A1902, IMPORTRANGE(""https://docs.google.com/spreadsheets/d/1fj_Bhi2XPL3siwIh4sx4VRLAe31yD50oKdj5UlRYW0c/"", ""Сводка!A:AA""), 5, FALSE)"),124)</f>
        <v>124</v>
      </c>
      <c r="H1905" s="12" t="s">
        <v>47</v>
      </c>
      <c r="I1905" s="10">
        <f ca="1">IFERROR(__xludf.DUMMYFUNCTION(" VLOOKUP(A1902, IMPORTRANGE(""https://docs.google.com/spreadsheets/d/1QNLbnkR_AongFt22vMfNzfpjZ0CjpI8QI-w0wBnYA1w/"", ""Инфа!A:AA""), 6, FALSE)"),2024)</f>
        <v>2024</v>
      </c>
      <c r="J1905" s="5">
        <f ca="1">ROUND((5000+G1905*60),-2)</f>
        <v>12400</v>
      </c>
      <c r="K1905" s="12" t="s">
        <v>1892</v>
      </c>
      <c r="L1905" s="15" t="s">
        <v>7847</v>
      </c>
    </row>
    <row r="1906" spans="1:12" ht="168.75">
      <c r="A1906" s="8" t="s">
        <v>7848</v>
      </c>
      <c r="B1906" s="9" t="s">
        <v>12</v>
      </c>
      <c r="C1906" s="10" t="s">
        <v>151</v>
      </c>
      <c r="D1906" s="10" t="str">
        <f ca="1">IFERROR(__xludf.DUMMYFUNCTION(" VLOOKUP(A1903, IMPORTRANGE(""https://docs.google.com/spreadsheets/d/1fj_Bhi2XPL3siwIh4sx4VRLAe31yD50oKdj5UlRYW0c/"", ""Сводка!A:AA""), 11, FALSE)"),"ISBN 978-601-342-574-0")</f>
        <v>ISBN 978-601-342-574-0</v>
      </c>
      <c r="E1906" s="11" t="s">
        <v>7849</v>
      </c>
      <c r="F1906" s="11" t="s">
        <v>7850</v>
      </c>
      <c r="G1906" s="12">
        <f ca="1">IFERROR(__xludf.DUMMYFUNCTION(" VLOOKUP(A1903, IMPORTRANGE(""https://docs.google.com/spreadsheets/d/1fj_Bhi2XPL3siwIh4sx4VRLAe31yD50oKdj5UlRYW0c/"", ""Сводка!A:AA""), 5, FALSE)"),132)</f>
        <v>132</v>
      </c>
      <c r="H1906" s="12" t="s">
        <v>47</v>
      </c>
      <c r="I1906" s="10">
        <f ca="1">IFERROR(__xludf.DUMMYFUNCTION(" VLOOKUP(A1903, IMPORTRANGE(""https://docs.google.com/spreadsheets/d/1QNLbnkR_AongFt22vMfNzfpjZ0CjpI8QI-w0wBnYA1w/"", ""Инфа!A:AA""), 6, FALSE)"),2024)</f>
        <v>2024</v>
      </c>
      <c r="J1906" s="5">
        <f ca="1">ROUND((5000+G1906*60),-2)</f>
        <v>12900</v>
      </c>
      <c r="K1906" s="12" t="s">
        <v>7851</v>
      </c>
      <c r="L1906" s="15" t="s">
        <v>7852</v>
      </c>
    </row>
    <row r="1907" spans="1:12" ht="25.5">
      <c r="A1907" s="8" t="s">
        <v>7853</v>
      </c>
      <c r="B1907" s="9" t="s">
        <v>12</v>
      </c>
      <c r="C1907" s="10" t="s">
        <v>151</v>
      </c>
      <c r="D1907" s="10" t="str">
        <f ca="1">IFERROR(__xludf.DUMMYFUNCTION(" VLOOKUP(A1904, IMPORTRANGE(""https://docs.google.com/spreadsheets/d/1fj_Bhi2XPL3siwIh4sx4VRLAe31yD50oKdj5UlRYW0c/"", ""Сводка!A:AA""), 11, FALSE)"),"")</f>
        <v/>
      </c>
      <c r="E1907" s="11" t="s">
        <v>7854</v>
      </c>
      <c r="F1907" s="11" t="s">
        <v>7855</v>
      </c>
      <c r="G1907" s="12">
        <f ca="1">IFERROR(__xludf.DUMMYFUNCTION(" VLOOKUP(A1904, IMPORTRANGE(""https://docs.google.com/spreadsheets/d/1fj_Bhi2XPL3siwIh4sx4VRLAe31yD50oKdj5UlRYW0c/"", ""Сводка!A:AA""), 5, FALSE)"),136)</f>
        <v>136</v>
      </c>
      <c r="H1907" s="12" t="s">
        <v>511</v>
      </c>
      <c r="I1907" s="10">
        <f ca="1">IFERROR(__xludf.DUMMYFUNCTION(" VLOOKUP(A1904, IMPORTRANGE(""https://docs.google.com/spreadsheets/d/1QNLbnkR_AongFt22vMfNzfpjZ0CjpI8QI-w0wBnYA1w/"", ""Инфа!A:AA""), 6, FALSE)"),2024)</f>
        <v>2024</v>
      </c>
      <c r="J1907" s="5">
        <f ca="1">ROUND(((5000+G1907*60)*1.3),-2)</f>
        <v>17100</v>
      </c>
      <c r="K1907" s="9" t="s">
        <v>213</v>
      </c>
      <c r="L1907" s="15"/>
    </row>
    <row r="1908" spans="1:12" ht="25.5">
      <c r="A1908" s="8" t="s">
        <v>7856</v>
      </c>
      <c r="B1908" s="9" t="s">
        <v>12</v>
      </c>
      <c r="C1908" s="10" t="s">
        <v>443</v>
      </c>
      <c r="D1908" s="10" t="s">
        <v>7857</v>
      </c>
      <c r="E1908" s="11" t="s">
        <v>7854</v>
      </c>
      <c r="F1908" s="11" t="s">
        <v>7858</v>
      </c>
      <c r="G1908" s="12">
        <f ca="1">IFERROR(__xludf.DUMMYFUNCTION(" VLOOKUP(A1905, IMPORTRANGE(""https://docs.google.com/spreadsheets/d/1fj_Bhi2XPL3siwIh4sx4VRLAe31yD50oKdj5UlRYW0c/"", ""Сводка!A:AA""), 5, FALSE)"),128)</f>
        <v>128</v>
      </c>
      <c r="H1908" s="12" t="s">
        <v>511</v>
      </c>
      <c r="I1908" s="10">
        <f ca="1">IFERROR(__xludf.DUMMYFUNCTION(" VLOOKUP(A1905, IMPORTRANGE(""https://docs.google.com/spreadsheets/d/1QNLbnkR_AongFt22vMfNzfpjZ0CjpI8QI-w0wBnYA1w/"", ""Инфа!A:AA""), 6, FALSE)"),2024)</f>
        <v>2024</v>
      </c>
      <c r="J1908" s="5">
        <f ca="1">ROUND(((5000+G1908*60)*1.3),-2)</f>
        <v>16500</v>
      </c>
      <c r="K1908" s="12" t="s">
        <v>213</v>
      </c>
      <c r="L1908" s="15"/>
    </row>
    <row r="1909" spans="1:12" ht="25.5">
      <c r="A1909" s="8" t="s">
        <v>7859</v>
      </c>
      <c r="B1909" s="9" t="s">
        <v>12</v>
      </c>
      <c r="C1909" s="10" t="s">
        <v>151</v>
      </c>
      <c r="D1909" s="10" t="str">
        <f ca="1">IFERROR(__xludf.DUMMYFUNCTION(" VLOOKUP(A1906, IMPORTRANGE(""https://docs.google.com/spreadsheets/d/1fj_Bhi2XPL3siwIh4sx4VRLAe31yD50oKdj5UlRYW0c/"", ""Сводка!A:AA""), 11, FALSE)"),"")</f>
        <v/>
      </c>
      <c r="E1909" s="11" t="s">
        <v>7854</v>
      </c>
      <c r="F1909" s="11" t="s">
        <v>7860</v>
      </c>
      <c r="G1909" s="12">
        <f ca="1">IFERROR(__xludf.DUMMYFUNCTION(" VLOOKUP(A1906, IMPORTRANGE(""https://docs.google.com/spreadsheets/d/1fj_Bhi2XPL3siwIh4sx4VRLAe31yD50oKdj5UlRYW0c/"", ""Сводка!A:AA""), 5, FALSE)"),112)</f>
        <v>112</v>
      </c>
      <c r="H1909" s="12" t="s">
        <v>106</v>
      </c>
      <c r="I1909" s="10">
        <f ca="1">IFERROR(__xludf.DUMMYFUNCTION(" VLOOKUP(A1906, IMPORTRANGE(""https://docs.google.com/spreadsheets/d/1QNLbnkR_AongFt22vMfNzfpjZ0CjpI8QI-w0wBnYA1w/"", ""Инфа!A:AA""), 6, FALSE)"),2024)</f>
        <v>2024</v>
      </c>
      <c r="J1909" s="5">
        <f ca="1">ROUND(((5000+G1909*60)*1.3),-2)</f>
        <v>15200</v>
      </c>
      <c r="K1909" s="12" t="s">
        <v>213</v>
      </c>
      <c r="L1909" s="15"/>
    </row>
    <row r="1910" spans="1:12" ht="292.5">
      <c r="A1910" s="8" t="s">
        <v>7861</v>
      </c>
      <c r="B1910" s="9" t="s">
        <v>12</v>
      </c>
      <c r="C1910" s="10" t="s">
        <v>443</v>
      </c>
      <c r="D1910" s="10" t="str">
        <f ca="1">IFERROR(__xludf.DUMMYFUNCTION(" VLOOKUP(A1907, IMPORTRANGE(""https://docs.google.com/spreadsheets/d/1fj_Bhi2XPL3siwIh4sx4VRLAe31yD50oKdj5UlRYW0c/"", ""Сводка!A:AA""), 11, FALSE)"),"ISBN 978-601-310-755-4")</f>
        <v>ISBN 978-601-310-755-4</v>
      </c>
      <c r="E1910" s="11" t="s">
        <v>7862</v>
      </c>
      <c r="F1910" s="11" t="s">
        <v>7863</v>
      </c>
      <c r="G1910" s="12">
        <f ca="1">IFERROR(__xludf.DUMMYFUNCTION(" VLOOKUP(A1907, IMPORTRANGE(""https://docs.google.com/spreadsheets/d/1fj_Bhi2XPL3siwIh4sx4VRLAe31yD50oKdj5UlRYW0c/"", ""Сводка!A:AA""), 5, FALSE)"),248)</f>
        <v>248</v>
      </c>
      <c r="H1910" s="12" t="s">
        <v>538</v>
      </c>
      <c r="I1910" s="10">
        <f ca="1">IFERROR(__xludf.DUMMYFUNCTION(" VLOOKUP(A1907, IMPORTRANGE(""https://docs.google.com/spreadsheets/d/1QNLbnkR_AongFt22vMfNzfpjZ0CjpI8QI-w0wBnYA1w/"", ""Инфа!A:AA""), 6, FALSE)"),2024)</f>
        <v>2024</v>
      </c>
      <c r="J1910" s="5">
        <f ca="1">ROUND(((5000+G1910*30)*1.3),-2)</f>
        <v>16200</v>
      </c>
      <c r="K1910" s="12" t="s">
        <v>213</v>
      </c>
      <c r="L1910" s="15" t="s">
        <v>7864</v>
      </c>
    </row>
    <row r="1911" spans="1:12" ht="38.25">
      <c r="A1911" s="8" t="s">
        <v>7865</v>
      </c>
      <c r="B1911" s="9" t="s">
        <v>12</v>
      </c>
      <c r="C1911" s="10" t="s">
        <v>151</v>
      </c>
      <c r="D1911" s="10" t="s">
        <v>7866</v>
      </c>
      <c r="E1911" s="11" t="s">
        <v>7867</v>
      </c>
      <c r="F1911" s="11" t="s">
        <v>7868</v>
      </c>
      <c r="G1911" s="12">
        <f ca="1">IFERROR(__xludf.DUMMYFUNCTION(" VLOOKUP(A1908, IMPORTRANGE(""https://docs.google.com/spreadsheets/d/1fj_Bhi2XPL3siwIh4sx4VRLAe31yD50oKdj5UlRYW0c/"", ""Сводка!A:AA""), 5, FALSE)"),132)</f>
        <v>132</v>
      </c>
      <c r="H1911" s="12" t="s">
        <v>47</v>
      </c>
      <c r="I1911" s="10">
        <f ca="1">IFERROR(__xludf.DUMMYFUNCTION(" VLOOKUP(A1908, IMPORTRANGE(""https://docs.google.com/spreadsheets/d/1QNLbnkR_AongFt22vMfNzfpjZ0CjpI8QI-w0wBnYA1w/"", ""Инфа!A:AA""), 6, FALSE)"),2024)</f>
        <v>2024</v>
      </c>
      <c r="J1911" s="5">
        <f ca="1">ROUND(((5000+G1911*60)*1.3),-2)</f>
        <v>16800</v>
      </c>
      <c r="K1911" s="12" t="s">
        <v>213</v>
      </c>
      <c r="L1911" s="15"/>
    </row>
    <row r="1912" spans="1:12" ht="213.75">
      <c r="A1912" s="8" t="s">
        <v>7869</v>
      </c>
      <c r="B1912" s="9" t="s">
        <v>12</v>
      </c>
      <c r="C1912" s="10" t="s">
        <v>443</v>
      </c>
      <c r="D1912" s="10" t="str">
        <f ca="1">IFERROR(__xludf.DUMMYFUNCTION(" VLOOKUP(A1909, IMPORTRANGE(""https://docs.google.com/spreadsheets/d/1fj_Bhi2XPL3siwIh4sx4VRLAe31yD50oKdj5UlRYW0c/"", ""Сводка!A:AA""), 11, FALSE)"),"ISBN 978-601-342-645-7")</f>
        <v>ISBN 978-601-342-645-7</v>
      </c>
      <c r="E1912" s="11" t="s">
        <v>7870</v>
      </c>
      <c r="F1912" s="11" t="s">
        <v>7871</v>
      </c>
      <c r="G1912" s="12">
        <f ca="1">IFERROR(__xludf.DUMMYFUNCTION(" VLOOKUP(A1909, IMPORTRANGE(""https://docs.google.com/spreadsheets/d/1fj_Bhi2XPL3siwIh4sx4VRLAe31yD50oKdj5UlRYW0c/"", ""Сводка!A:AA""), 5, FALSE)"),124)</f>
        <v>124</v>
      </c>
      <c r="H1912" s="12" t="s">
        <v>538</v>
      </c>
      <c r="I1912" s="10">
        <f ca="1">IFERROR(__xludf.DUMMYFUNCTION(" VLOOKUP(A1909, IMPORTRANGE(""https://docs.google.com/spreadsheets/d/1QNLbnkR_AongFt22vMfNzfpjZ0CjpI8QI-w0wBnYA1w/"", ""Инфа!A:AA""), 6, FALSE)"),2024)</f>
        <v>2024</v>
      </c>
      <c r="J1912" s="5">
        <f ca="1">ROUND((5000+G1912*60),-2)</f>
        <v>12400</v>
      </c>
      <c r="K1912" s="12" t="s">
        <v>447</v>
      </c>
      <c r="L1912" s="15" t="s">
        <v>7872</v>
      </c>
    </row>
    <row r="1913" spans="1:12" ht="157.5">
      <c r="A1913" s="8" t="s">
        <v>7873</v>
      </c>
      <c r="B1913" s="9" t="s">
        <v>12</v>
      </c>
      <c r="C1913" s="10" t="s">
        <v>443</v>
      </c>
      <c r="D1913" s="10" t="str">
        <f ca="1">IFERROR(__xludf.DUMMYFUNCTION(" VLOOKUP(A1910, IMPORTRANGE(""https://docs.google.com/spreadsheets/d/1fj_Bhi2XPL3siwIh4sx4VRLAe31yD50oKdj5UlRYW0c/"", ""Сводка!A:AA""), 11, FALSE)"),"978-601-240-351-0")</f>
        <v>978-601-240-351-0</v>
      </c>
      <c r="E1913" s="19" t="s">
        <v>7874</v>
      </c>
      <c r="F1913" s="19" t="s">
        <v>7875</v>
      </c>
      <c r="G1913" s="12">
        <f ca="1">IFERROR(__xludf.DUMMYFUNCTION(" VLOOKUP(A1910, IMPORTRANGE(""https://docs.google.com/spreadsheets/d/1fj_Bhi2XPL3siwIh4sx4VRLAe31yD50oKdj5UlRYW0c/"", ""Сводка!A:AA""), 5, FALSE)"),276)</f>
        <v>276</v>
      </c>
      <c r="H1913" s="9" t="s">
        <v>538</v>
      </c>
      <c r="I1913" s="10">
        <f ca="1">IFERROR(__xludf.DUMMYFUNCTION(" VLOOKUP(A1910, IMPORTRANGE(""https://docs.google.com/spreadsheets/d/1QNLbnkR_AongFt22vMfNzfpjZ0CjpI8QI-w0wBnYA1w/"", ""Инфа!A:AA""), 6, FALSE)"),2024)</f>
        <v>2024</v>
      </c>
      <c r="J1913" s="5">
        <f ca="1">ROUND((5000+G1913*60),-2)</f>
        <v>21600</v>
      </c>
      <c r="K1913" s="9" t="s">
        <v>69</v>
      </c>
      <c r="L1913" s="15" t="s">
        <v>7876</v>
      </c>
    </row>
    <row r="1914" spans="1:12" ht="180">
      <c r="A1914" s="8" t="s">
        <v>7877</v>
      </c>
      <c r="B1914" s="9" t="s">
        <v>12</v>
      </c>
      <c r="C1914" s="10" t="s">
        <v>151</v>
      </c>
      <c r="D1914" s="10" t="str">
        <f ca="1">IFERROR(__xludf.DUMMYFUNCTION(" VLOOKUP(A1911, IMPORTRANGE(""https://docs.google.com/spreadsheets/d/1fj_Bhi2XPL3siwIh4sx4VRLAe31yD50oKdj5UlRYW0c/"", ""Сводка!A:AA""), 11, FALSE)"),"ISBN 978-601-240-247-6")</f>
        <v>ISBN 978-601-240-247-6</v>
      </c>
      <c r="E1914" s="19" t="s">
        <v>7874</v>
      </c>
      <c r="F1914" s="19" t="s">
        <v>7878</v>
      </c>
      <c r="G1914" s="12">
        <f ca="1">IFERROR(__xludf.DUMMYFUNCTION(" VLOOKUP(A1911, IMPORTRANGE(""https://docs.google.com/spreadsheets/d/1fj_Bhi2XPL3siwIh4sx4VRLAe31yD50oKdj5UlRYW0c/"", ""Сводка!A:AA""), 5, FALSE)"),320)</f>
        <v>320</v>
      </c>
      <c r="H1914" s="9" t="s">
        <v>538</v>
      </c>
      <c r="I1914" s="10">
        <f ca="1">IFERROR(__xludf.DUMMYFUNCTION(" VLOOKUP(A1911, IMPORTRANGE(""https://docs.google.com/spreadsheets/d/1QNLbnkR_AongFt22vMfNzfpjZ0CjpI8QI-w0wBnYA1w/"", ""Инфа!A:AA""), 6, FALSE)"),2024)</f>
        <v>2024</v>
      </c>
      <c r="J1914" s="5">
        <f ca="1">ROUND((5000+G1914*30),-2)</f>
        <v>14600</v>
      </c>
      <c r="K1914" s="9" t="s">
        <v>69</v>
      </c>
      <c r="L1914" s="15" t="s">
        <v>7770</v>
      </c>
    </row>
    <row r="1915" spans="1:12" ht="213.75">
      <c r="A1915" s="8" t="s">
        <v>7879</v>
      </c>
      <c r="B1915" s="9" t="s">
        <v>12</v>
      </c>
      <c r="C1915" s="10" t="s">
        <v>151</v>
      </c>
      <c r="D1915" s="10" t="str">
        <f ca="1">IFERROR(__xludf.DUMMYFUNCTION(" VLOOKUP(A1912, IMPORTRANGE(""https://docs.google.com/spreadsheets/d/1fj_Bhi2XPL3siwIh4sx4VRLAe31yD50oKdj5UlRYW0c/"", ""Сводка!A:AA""), 11, FALSE)"),"978-601-280-275-7")</f>
        <v>978-601-280-275-7</v>
      </c>
      <c r="E1915" s="11" t="s">
        <v>7874</v>
      </c>
      <c r="F1915" s="11" t="s">
        <v>7880</v>
      </c>
      <c r="G1915" s="12">
        <f ca="1">IFERROR(__xludf.DUMMYFUNCTION(" VLOOKUP(A1912, IMPORTRANGE(""https://docs.google.com/spreadsheets/d/1fj_Bhi2XPL3siwIh4sx4VRLAe31yD50oKdj5UlRYW0c/"", ""Сводка!A:AA""), 5, FALSE)"),216)</f>
        <v>216</v>
      </c>
      <c r="H1915" s="12" t="s">
        <v>56</v>
      </c>
      <c r="I1915" s="10">
        <f ca="1">IFERROR(__xludf.DUMMYFUNCTION(" VLOOKUP(A1912, IMPORTRANGE(""https://docs.google.com/spreadsheets/d/1QNLbnkR_AongFt22vMfNzfpjZ0CjpI8QI-w0wBnYA1w/"", ""Инфа!A:AA""), 6, FALSE)"),2023)</f>
        <v>2023</v>
      </c>
      <c r="J1915" s="5">
        <f ca="1">ROUND((5000+G1915*30),-2)</f>
        <v>11500</v>
      </c>
      <c r="K1915" s="12" t="s">
        <v>171</v>
      </c>
      <c r="L1915" s="15" t="s">
        <v>7881</v>
      </c>
    </row>
    <row r="1916" spans="1:12" ht="213.75">
      <c r="A1916" s="8" t="s">
        <v>7882</v>
      </c>
      <c r="B1916" s="9" t="s">
        <v>12</v>
      </c>
      <c r="C1916" s="10" t="s">
        <v>151</v>
      </c>
      <c r="D1916" s="10" t="s">
        <v>7883</v>
      </c>
      <c r="E1916" s="11" t="s">
        <v>7874</v>
      </c>
      <c r="F1916" s="11" t="s">
        <v>7884</v>
      </c>
      <c r="G1916" s="12">
        <f ca="1">IFERROR(__xludf.DUMMYFUNCTION(" VLOOKUP(A1913, IMPORTRANGE(""https://docs.google.com/spreadsheets/d/1fj_Bhi2XPL3siwIh4sx4VRLAe31yD50oKdj5UlRYW0c/"", ""Сводка!A:AA""), 5, FALSE)"),196)</f>
        <v>196</v>
      </c>
      <c r="H1916" s="12" t="s">
        <v>56</v>
      </c>
      <c r="I1916" s="10">
        <f ca="1">IFERROR(__xludf.DUMMYFUNCTION(" VLOOKUP(A1913, IMPORTRANGE(""https://docs.google.com/spreadsheets/d/1QNLbnkR_AongFt22vMfNzfpjZ0CjpI8QI-w0wBnYA1w/"", ""Инфа!A:AA""), 6, FALSE)"),2023)</f>
        <v>2023</v>
      </c>
      <c r="J1916" s="5">
        <f ca="1">ROUND((5000+G1916*30),-2)</f>
        <v>10900</v>
      </c>
      <c r="K1916" s="12" t="s">
        <v>171</v>
      </c>
      <c r="L1916" s="15" t="s">
        <v>7881</v>
      </c>
    </row>
    <row r="1917" spans="1:12" ht="213.75">
      <c r="A1917" s="8" t="s">
        <v>7885</v>
      </c>
      <c r="B1917" s="9" t="s">
        <v>12</v>
      </c>
      <c r="C1917" s="10" t="s">
        <v>151</v>
      </c>
      <c r="D1917" s="10" t="str">
        <f ca="1">IFERROR(__xludf.DUMMYFUNCTION(" VLOOKUP(A1914, IMPORTRANGE(""https://docs.google.com/spreadsheets/d/1fj_Bhi2XPL3siwIh4sx4VRLAe31yD50oKdj5UlRYW0c/"", ""Сводка!A:AA""), 11, FALSE)"),"ISBN 978-601-310-936-7")</f>
        <v>ISBN 978-601-310-936-7</v>
      </c>
      <c r="E1917" s="11" t="s">
        <v>7886</v>
      </c>
      <c r="F1917" s="11" t="s">
        <v>7887</v>
      </c>
      <c r="G1917" s="12">
        <f ca="1">IFERROR(__xludf.DUMMYFUNCTION(" VLOOKUP(A1914, IMPORTRANGE(""https://docs.google.com/spreadsheets/d/1fj_Bhi2XPL3siwIh4sx4VRLAe31yD50oKdj5UlRYW0c/"", ""Сводка!A:AA""), 5, FALSE)"),308)</f>
        <v>308</v>
      </c>
      <c r="H1917" s="12" t="s">
        <v>47</v>
      </c>
      <c r="I1917" s="10">
        <f ca="1">IFERROR(__xludf.DUMMYFUNCTION(" VLOOKUP(A1914, IMPORTRANGE(""https://docs.google.com/spreadsheets/d/1QNLbnkR_AongFt22vMfNzfpjZ0CjpI8QI-w0wBnYA1w/"", ""Инфа!A:AA""), 6, FALSE)"),2024)</f>
        <v>2024</v>
      </c>
      <c r="J1917" s="5">
        <f ca="1">ROUND((5000+G1917*60),-2)</f>
        <v>23500</v>
      </c>
      <c r="K1917" s="9" t="s">
        <v>625</v>
      </c>
      <c r="L1917" s="15" t="s">
        <v>7888</v>
      </c>
    </row>
    <row r="1918" spans="1:12" ht="157.5">
      <c r="A1918" s="8" t="s">
        <v>7889</v>
      </c>
      <c r="B1918" s="9" t="s">
        <v>12</v>
      </c>
      <c r="C1918" s="10" t="s">
        <v>151</v>
      </c>
      <c r="D1918" s="10" t="str">
        <f ca="1">IFERROR(__xludf.DUMMYFUNCTION(" VLOOKUP(A1915, IMPORTRANGE(""https://docs.google.com/spreadsheets/d/1fj_Bhi2XPL3siwIh4sx4VRLAe31yD50oKdj5UlRYW0c/"", ""Сводка!A:AA""), 11, FALSE)"),"ISBN 978-601-310-938-1")</f>
        <v>ISBN 978-601-310-938-1</v>
      </c>
      <c r="E1918" s="11" t="s">
        <v>7886</v>
      </c>
      <c r="F1918" s="11" t="s">
        <v>7890</v>
      </c>
      <c r="G1918" s="12">
        <f ca="1">IFERROR(__xludf.DUMMYFUNCTION(" VLOOKUP(A1915, IMPORTRANGE(""https://docs.google.com/spreadsheets/d/1fj_Bhi2XPL3siwIh4sx4VRLAe31yD50oKdj5UlRYW0c/"", ""Сводка!A:AA""), 5, FALSE)"),248)</f>
        <v>248</v>
      </c>
      <c r="H1918" s="12" t="s">
        <v>47</v>
      </c>
      <c r="I1918" s="10">
        <f ca="1">IFERROR(__xludf.DUMMYFUNCTION(" VLOOKUP(A1915, IMPORTRANGE(""https://docs.google.com/spreadsheets/d/1QNLbnkR_AongFt22vMfNzfpjZ0CjpI8QI-w0wBnYA1w/"", ""Инфа!A:AA""), 6, FALSE)"),2024)</f>
        <v>2024</v>
      </c>
      <c r="J1918" s="5">
        <f t="shared" ref="J1918:J1925" ca="1" si="66">ROUND((5000+G1918*30),-2)</f>
        <v>12400</v>
      </c>
      <c r="K1918" s="9" t="s">
        <v>625</v>
      </c>
      <c r="L1918" s="15" t="s">
        <v>7891</v>
      </c>
    </row>
    <row r="1919" spans="1:12" ht="101.25">
      <c r="A1919" s="8" t="s">
        <v>7892</v>
      </c>
      <c r="B1919" s="9" t="s">
        <v>12</v>
      </c>
      <c r="C1919" s="10" t="s">
        <v>151</v>
      </c>
      <c r="D1919" s="10" t="str">
        <f ca="1">IFERROR(__xludf.DUMMYFUNCTION(" VLOOKUP(A1916, IMPORTRANGE(""https://docs.google.com/spreadsheets/d/1fj_Bhi2XPL3siwIh4sx4VRLAe31yD50oKdj5UlRYW0c/"", ""Сводка!A:AA""), 11, FALSE)"),"ISBN 978-601-310-913-8")</f>
        <v>ISBN 978-601-310-913-8</v>
      </c>
      <c r="E1919" s="11" t="s">
        <v>7886</v>
      </c>
      <c r="F1919" s="11" t="s">
        <v>7893</v>
      </c>
      <c r="G1919" s="12">
        <f ca="1">IFERROR(__xludf.DUMMYFUNCTION(" VLOOKUP(A1916, IMPORTRANGE(""https://docs.google.com/spreadsheets/d/1fj_Bhi2XPL3siwIh4sx4VRLAe31yD50oKdj5UlRYW0c/"", ""Сводка!A:AA""), 5, FALSE)"),308)</f>
        <v>308</v>
      </c>
      <c r="H1919" s="12" t="s">
        <v>47</v>
      </c>
      <c r="I1919" s="10">
        <f ca="1">IFERROR(__xludf.DUMMYFUNCTION(" VLOOKUP(A1916, IMPORTRANGE(""https://docs.google.com/spreadsheets/d/1QNLbnkR_AongFt22vMfNzfpjZ0CjpI8QI-w0wBnYA1w/"", ""Инфа!A:AA""), 6, FALSE)"),2024)</f>
        <v>2024</v>
      </c>
      <c r="J1919" s="5">
        <f t="shared" ca="1" si="66"/>
        <v>14200</v>
      </c>
      <c r="K1919" s="9" t="s">
        <v>625</v>
      </c>
      <c r="L1919" s="15" t="s">
        <v>7894</v>
      </c>
    </row>
    <row r="1920" spans="1:12" ht="146.25">
      <c r="A1920" s="8" t="s">
        <v>7895</v>
      </c>
      <c r="B1920" s="9" t="s">
        <v>12</v>
      </c>
      <c r="C1920" s="10" t="s">
        <v>443</v>
      </c>
      <c r="D1920" s="10" t="str">
        <f ca="1">IFERROR(__xludf.DUMMYFUNCTION(" VLOOKUP(A1917, IMPORTRANGE(""https://docs.google.com/spreadsheets/d/1fj_Bhi2XPL3siwIh4sx4VRLAe31yD50oKdj5UlRYW0c/"", ""Сводка!A:AA""), 11, FALSE)"),"978-9965-859-39-7")</f>
        <v>978-9965-859-39-7</v>
      </c>
      <c r="E1920" s="11" t="s">
        <v>7896</v>
      </c>
      <c r="F1920" s="11" t="s">
        <v>7897</v>
      </c>
      <c r="G1920" s="12">
        <f ca="1">IFERROR(__xludf.DUMMYFUNCTION(" VLOOKUP(A1917, IMPORTRANGE(""https://docs.google.com/spreadsheets/d/1fj_Bhi2XPL3siwIh4sx4VRLAe31yD50oKdj5UlRYW0c/"", ""Сводка!A:AA""), 5, FALSE)"),256)</f>
        <v>256</v>
      </c>
      <c r="H1920" s="12" t="s">
        <v>4239</v>
      </c>
      <c r="I1920" s="10">
        <f ca="1">IFERROR(__xludf.DUMMYFUNCTION(" VLOOKUP(A1917, IMPORTRANGE(""https://docs.google.com/spreadsheets/d/1QNLbnkR_AongFt22vMfNzfpjZ0CjpI8QI-w0wBnYA1w/"", ""Инфа!A:AA""), 6, FALSE)"),2024)</f>
        <v>2024</v>
      </c>
      <c r="J1920" s="5">
        <f t="shared" ca="1" si="66"/>
        <v>12700</v>
      </c>
      <c r="K1920" s="12" t="s">
        <v>139</v>
      </c>
      <c r="L1920" s="15" t="s">
        <v>7898</v>
      </c>
    </row>
    <row r="1921" spans="1:12" ht="67.5">
      <c r="A1921" s="8" t="s">
        <v>7899</v>
      </c>
      <c r="B1921" s="9" t="s">
        <v>12</v>
      </c>
      <c r="C1921" s="13" t="s">
        <v>151</v>
      </c>
      <c r="D1921" s="10" t="str">
        <f ca="1">IFERROR(__xludf.DUMMYFUNCTION(" VLOOKUP(A1918, IMPORTRANGE(""https://docs.google.com/spreadsheets/d/1fj_Bhi2XPL3siwIh4sx4VRLAe31yD50oKdj5UlRYW0c/"", ""Сводка!A:AA""), 11, FALSE)"),"ISBN 978-601-279-007-8")</f>
        <v>ISBN 978-601-279-007-8</v>
      </c>
      <c r="E1921" s="19" t="s">
        <v>7900</v>
      </c>
      <c r="F1921" s="19" t="s">
        <v>7901</v>
      </c>
      <c r="G1921" s="12">
        <f ca="1">IFERROR(__xludf.DUMMYFUNCTION(" VLOOKUP(A1918, IMPORTRANGE(""https://docs.google.com/spreadsheets/d/1fj_Bhi2XPL3siwIh4sx4VRLAe31yD50oKdj5UlRYW0c/"", ""Сводка!A:AA""), 5, FALSE)"),128)</f>
        <v>128</v>
      </c>
      <c r="H1921" s="9" t="s">
        <v>24</v>
      </c>
      <c r="I1921" s="10">
        <f ca="1">IFERROR(__xludf.DUMMYFUNCTION(" VLOOKUP(A1918, IMPORTRANGE(""https://docs.google.com/spreadsheets/d/1QNLbnkR_AongFt22vMfNzfpjZ0CjpI8QI-w0wBnYA1w/"", ""Инфа!A:AA""), 6, FALSE)"),2024)</f>
        <v>2024</v>
      </c>
      <c r="J1921" s="5">
        <f t="shared" ca="1" si="66"/>
        <v>8800</v>
      </c>
      <c r="K1921" s="9" t="s">
        <v>78</v>
      </c>
      <c r="L1921" s="21" t="s">
        <v>7902</v>
      </c>
    </row>
    <row r="1922" spans="1:12" ht="89.25">
      <c r="A1922" s="8" t="s">
        <v>7903</v>
      </c>
      <c r="B1922" s="9" t="s">
        <v>12</v>
      </c>
      <c r="C1922" s="10" t="s">
        <v>443</v>
      </c>
      <c r="D1922" s="10" t="str">
        <f ca="1">IFERROR(__xludf.DUMMYFUNCTION(" VLOOKUP(A1919, IMPORTRANGE(""https://docs.google.com/spreadsheets/d/1fj_Bhi2XPL3siwIh4sx4VRLAe31yD50oKdj5UlRYW0c/"", ""Сводка!A:AA""), 11, FALSE)"),"ISBN 978-601-310-302-0")</f>
        <v>ISBN 978-601-310-302-0</v>
      </c>
      <c r="E1922" s="11" t="s">
        <v>7904</v>
      </c>
      <c r="F1922" s="11" t="s">
        <v>7905</v>
      </c>
      <c r="G1922" s="12">
        <f ca="1">IFERROR(__xludf.DUMMYFUNCTION(" VLOOKUP(A1919, IMPORTRANGE(""https://docs.google.com/spreadsheets/d/1fj_Bhi2XPL3siwIh4sx4VRLAe31yD50oKdj5UlRYW0c/"", ""Сводка!A:AA""), 5, FALSE)"),316)</f>
        <v>316</v>
      </c>
      <c r="H1922" s="12" t="s">
        <v>511</v>
      </c>
      <c r="I1922" s="10">
        <f ca="1">IFERROR(__xludf.DUMMYFUNCTION(" VLOOKUP(A1919, IMPORTRANGE(""https://docs.google.com/spreadsheets/d/1QNLbnkR_AongFt22vMfNzfpjZ0CjpI8QI-w0wBnYA1w/"", ""Инфа!A:AA""), 6, FALSE)"),2024)</f>
        <v>2024</v>
      </c>
      <c r="J1922" s="5">
        <f t="shared" ca="1" si="66"/>
        <v>14500</v>
      </c>
      <c r="K1922" s="12" t="s">
        <v>213</v>
      </c>
      <c r="L1922" s="15"/>
    </row>
    <row r="1923" spans="1:12" ht="89.25">
      <c r="A1923" s="8" t="s">
        <v>7906</v>
      </c>
      <c r="B1923" s="9" t="s">
        <v>12</v>
      </c>
      <c r="C1923" s="10" t="s">
        <v>443</v>
      </c>
      <c r="D1923" s="10" t="str">
        <f ca="1">IFERROR(__xludf.DUMMYFUNCTION(" VLOOKUP(A1920, IMPORTRANGE(""https://docs.google.com/spreadsheets/d/1fj_Bhi2XPL3siwIh4sx4VRLAe31yD50oKdj5UlRYW0c/"", ""Сводка!A:AA""), 11, FALSE)"),"ISBN 978-601-310-302-0")</f>
        <v>ISBN 978-601-310-302-0</v>
      </c>
      <c r="E1923" s="11" t="s">
        <v>7904</v>
      </c>
      <c r="F1923" s="11" t="s">
        <v>7907</v>
      </c>
      <c r="G1923" s="12">
        <f ca="1">IFERROR(__xludf.DUMMYFUNCTION(" VLOOKUP(A1920, IMPORTRANGE(""https://docs.google.com/spreadsheets/d/1fj_Bhi2XPL3siwIh4sx4VRLAe31yD50oKdj5UlRYW0c/"", ""Сводка!A:AA""), 5, FALSE)"),256)</f>
        <v>256</v>
      </c>
      <c r="H1923" s="12" t="s">
        <v>511</v>
      </c>
      <c r="I1923" s="10">
        <f ca="1">IFERROR(__xludf.DUMMYFUNCTION(" VLOOKUP(A1920, IMPORTRANGE(""https://docs.google.com/spreadsheets/d/1QNLbnkR_AongFt22vMfNzfpjZ0CjpI8QI-w0wBnYA1w/"", ""Инфа!A:AA""), 6, FALSE)"),2024)</f>
        <v>2024</v>
      </c>
      <c r="J1923" s="5">
        <f t="shared" ca="1" si="66"/>
        <v>12700</v>
      </c>
      <c r="K1923" s="12" t="s">
        <v>213</v>
      </c>
      <c r="L1923" s="15"/>
    </row>
    <row r="1924" spans="1:12" ht="146.25">
      <c r="A1924" s="8" t="s">
        <v>7908</v>
      </c>
      <c r="B1924" s="9" t="s">
        <v>12</v>
      </c>
      <c r="C1924" s="10" t="s">
        <v>443</v>
      </c>
      <c r="D1924" s="10" t="str">
        <f ca="1">IFERROR(__xludf.DUMMYFUNCTION(" VLOOKUP(A1921, IMPORTRANGE(""https://docs.google.com/spreadsheets/d/1fj_Bhi2XPL3siwIh4sx4VRLAe31yD50oKdj5UlRYW0c/"", ""Сводка!A:AA""), 11, FALSE)"),"ISBN 9965-13-433-2")</f>
        <v>ISBN 9965-13-433-2</v>
      </c>
      <c r="E1924" s="11" t="s">
        <v>7909</v>
      </c>
      <c r="F1924" s="11" t="s">
        <v>7910</v>
      </c>
      <c r="G1924" s="12">
        <f ca="1">IFERROR(__xludf.DUMMYFUNCTION(" VLOOKUP(A1921, IMPORTRANGE(""https://docs.google.com/spreadsheets/d/1fj_Bhi2XPL3siwIh4sx4VRLAe31yD50oKdj5UlRYW0c/"", ""Сводка!A:AA""), 5, FALSE)"),192)</f>
        <v>192</v>
      </c>
      <c r="H1924" s="12" t="s">
        <v>24</v>
      </c>
      <c r="I1924" s="10">
        <f ca="1">IFERROR(__xludf.DUMMYFUNCTION(" VLOOKUP(A1921, IMPORTRANGE(""https://docs.google.com/spreadsheets/d/1QNLbnkR_AongFt22vMfNzfpjZ0CjpI8QI-w0wBnYA1w/"", ""Инфа!A:AA""), 6, FALSE)"),2024)</f>
        <v>2024</v>
      </c>
      <c r="J1924" s="5">
        <f t="shared" ca="1" si="66"/>
        <v>10800</v>
      </c>
      <c r="K1924" s="12" t="s">
        <v>7911</v>
      </c>
      <c r="L1924" s="15" t="s">
        <v>7912</v>
      </c>
    </row>
    <row r="1925" spans="1:12" ht="225">
      <c r="A1925" s="8" t="s">
        <v>7913</v>
      </c>
      <c r="B1925" s="9" t="s">
        <v>12</v>
      </c>
      <c r="C1925" s="10" t="s">
        <v>151</v>
      </c>
      <c r="D1925" s="10" t="str">
        <f ca="1">IFERROR(__xludf.DUMMYFUNCTION(" VLOOKUP(A1922, IMPORTRANGE(""https://docs.google.com/spreadsheets/d/1fj_Bhi2XPL3siwIh4sx4VRLAe31yD50oKdj5UlRYW0c/"", ""Сводка!A:AA""), 11, FALSE)"),"ISBN 9965-821-93-3")</f>
        <v>ISBN 9965-821-93-3</v>
      </c>
      <c r="E1925" s="11" t="s">
        <v>7914</v>
      </c>
      <c r="F1925" s="11" t="s">
        <v>7915</v>
      </c>
      <c r="G1925" s="12">
        <f ca="1">IFERROR(__xludf.DUMMYFUNCTION(" VLOOKUP(A1922, IMPORTRANGE(""https://docs.google.com/spreadsheets/d/1fj_Bhi2XPL3siwIh4sx4VRLAe31yD50oKdj5UlRYW0c/"", ""Сводка!A:AA""), 5, FALSE)"),144)</f>
        <v>144</v>
      </c>
      <c r="H1925" s="12" t="s">
        <v>47</v>
      </c>
      <c r="I1925" s="10">
        <f ca="1">IFERROR(__xludf.DUMMYFUNCTION(" VLOOKUP(A1922, IMPORTRANGE(""https://docs.google.com/spreadsheets/d/1QNLbnkR_AongFt22vMfNzfpjZ0CjpI8QI-w0wBnYA1w/"", ""Инфа!A:AA""), 6, FALSE)"),2024)</f>
        <v>2024</v>
      </c>
      <c r="J1925" s="5">
        <f t="shared" ca="1" si="66"/>
        <v>9300</v>
      </c>
      <c r="K1925" s="12" t="s">
        <v>1387</v>
      </c>
      <c r="L1925" s="15" t="s">
        <v>7916</v>
      </c>
    </row>
    <row r="1926" spans="1:12" ht="168.75">
      <c r="A1926" s="8" t="s">
        <v>7917</v>
      </c>
      <c r="B1926" s="9" t="s">
        <v>12</v>
      </c>
      <c r="C1926" s="10" t="s">
        <v>151</v>
      </c>
      <c r="D1926" s="10" t="str">
        <f ca="1">IFERROR(__xludf.DUMMYFUNCTION(" VLOOKUP(A1923, IMPORTRANGE(""https://docs.google.com/spreadsheets/d/1fj_Bhi2XPL3siwIh4sx4VRLAe31yD50oKdj5UlRYW0c/"", ""Сводка!A:AA""), 11, FALSE)"),"978-601-7816-35-3")</f>
        <v>978-601-7816-35-3</v>
      </c>
      <c r="E1926" s="11" t="s">
        <v>7918</v>
      </c>
      <c r="F1926" s="11" t="s">
        <v>7919</v>
      </c>
      <c r="G1926" s="12">
        <f ca="1">IFERROR(__xludf.DUMMYFUNCTION(" VLOOKUP(A1923, IMPORTRANGE(""https://docs.google.com/spreadsheets/d/1fj_Bhi2XPL3siwIh4sx4VRLAe31yD50oKdj5UlRYW0c/"", ""Сводка!A:AA""), 5, FALSE)"),224)</f>
        <v>224</v>
      </c>
      <c r="H1926" s="12" t="s">
        <v>498</v>
      </c>
      <c r="I1926" s="10">
        <f ca="1">IFERROR(__xludf.DUMMYFUNCTION(" VLOOKUP(A1923, IMPORTRANGE(""https://docs.google.com/spreadsheets/d/1QNLbnkR_AongFt22vMfNzfpjZ0CjpI8QI-w0wBnYA1w/"", ""Инфа!A:AA""), 6, FALSE)"),2024)</f>
        <v>2024</v>
      </c>
      <c r="J1926" s="5">
        <f ca="1">ROUND((5000+G1926*60),-2)</f>
        <v>18400</v>
      </c>
      <c r="K1926" s="12" t="s">
        <v>78</v>
      </c>
      <c r="L1926" s="15" t="s">
        <v>7920</v>
      </c>
    </row>
    <row r="1927" spans="1:12" ht="202.5">
      <c r="A1927" s="8" t="s">
        <v>7921</v>
      </c>
      <c r="B1927" s="9" t="s">
        <v>12</v>
      </c>
      <c r="C1927" s="10" t="s">
        <v>443</v>
      </c>
      <c r="D1927" s="10" t="str">
        <f ca="1">IFERROR(__xludf.DUMMYFUNCTION(" VLOOKUP(A1924, IMPORTRANGE(""https://docs.google.com/spreadsheets/d/1fj_Bhi2XPL3siwIh4sx4VRLAe31yD50oKdj5UlRYW0c/"", ""Сводка!A:AA""), 11, FALSE)"),"ISBN 978-601-315-149-6")</f>
        <v>ISBN 978-601-315-149-6</v>
      </c>
      <c r="E1927" s="11" t="s">
        <v>7922</v>
      </c>
      <c r="F1927" s="11" t="s">
        <v>7923</v>
      </c>
      <c r="G1927" s="12">
        <f ca="1">IFERROR(__xludf.DUMMYFUNCTION(" VLOOKUP(A1924, IMPORTRANGE(""https://docs.google.com/spreadsheets/d/1fj_Bhi2XPL3siwIh4sx4VRLAe31yD50oKdj5UlRYW0c/"", ""Сводка!A:AA""), 5, FALSE)"),120)</f>
        <v>120</v>
      </c>
      <c r="H1927" s="12" t="s">
        <v>538</v>
      </c>
      <c r="I1927" s="10">
        <f ca="1">IFERROR(__xludf.DUMMYFUNCTION(" VLOOKUP(A1924, IMPORTRANGE(""https://docs.google.com/spreadsheets/d/1QNLbnkR_AongFt22vMfNzfpjZ0CjpI8QI-w0wBnYA1w/"", ""Инфа!A:AA""), 6, FALSE)"),2024)</f>
        <v>2024</v>
      </c>
      <c r="J1927" s="5">
        <f ca="1">ROUND((5000+G1927*30),-2)</f>
        <v>8600</v>
      </c>
      <c r="K1927" s="12" t="s">
        <v>1219</v>
      </c>
      <c r="L1927" s="15" t="s">
        <v>7924</v>
      </c>
    </row>
    <row r="1928" spans="1:12" ht="45">
      <c r="A1928" s="8" t="s">
        <v>7925</v>
      </c>
      <c r="B1928" s="9" t="s">
        <v>12</v>
      </c>
      <c r="C1928" s="10" t="s">
        <v>443</v>
      </c>
      <c r="D1928" s="10" t="str">
        <f ca="1">IFERROR(__xludf.DUMMYFUNCTION(" VLOOKUP(A1925, IMPORTRANGE(""https://docs.google.com/spreadsheets/d/1fj_Bhi2XPL3siwIh4sx4VRLAe31yD50oKdj5UlRYW0c/"", ""Сводка!A:AA""), 11, FALSE)"),"978-601-240-869-0")</f>
        <v>978-601-240-869-0</v>
      </c>
      <c r="E1928" s="11" t="s">
        <v>7926</v>
      </c>
      <c r="F1928" s="11" t="s">
        <v>7927</v>
      </c>
      <c r="G1928" s="12">
        <f ca="1">IFERROR(__xludf.DUMMYFUNCTION(" VLOOKUP(A1925, IMPORTRANGE(""https://docs.google.com/spreadsheets/d/1fj_Bhi2XPL3siwIh4sx4VRLAe31yD50oKdj5UlRYW0c/"", ""Сводка!A:AA""), 5, FALSE)"),104)</f>
        <v>104</v>
      </c>
      <c r="H1928" s="12" t="s">
        <v>538</v>
      </c>
      <c r="I1928" s="10">
        <f ca="1">IFERROR(__xludf.DUMMYFUNCTION(" VLOOKUP(A1925, IMPORTRANGE(""https://docs.google.com/spreadsheets/d/1QNLbnkR_AongFt22vMfNzfpjZ0CjpI8QI-w0wBnYA1w/"", ""Инфа!A:AA""), 6, FALSE)"),2024)</f>
        <v>2024</v>
      </c>
      <c r="J1928" s="5">
        <f ca="1">ROUND(((5000+G1928*30)*1.3),-2)</f>
        <v>10600</v>
      </c>
      <c r="K1928" s="12" t="s">
        <v>308</v>
      </c>
      <c r="L1928" s="15" t="s">
        <v>7928</v>
      </c>
    </row>
    <row r="1929" spans="1:12" ht="270">
      <c r="A1929" s="8" t="s">
        <v>7929</v>
      </c>
      <c r="B1929" s="9" t="s">
        <v>12</v>
      </c>
      <c r="C1929" s="10" t="s">
        <v>151</v>
      </c>
      <c r="D1929" s="10" t="str">
        <f ca="1">IFERROR(__xludf.DUMMYFUNCTION(" VLOOKUP(A1926, IMPORTRANGE(""https://docs.google.com/spreadsheets/d/1fj_Bhi2XPL3siwIh4sx4VRLAe31yD50oKdj5UlRYW0c/"", ""Сводка!A:AA""), 11, FALSE)"),"ISBN 978-601-296-571-1")</f>
        <v>ISBN 978-601-296-571-1</v>
      </c>
      <c r="E1929" s="11" t="s">
        <v>7930</v>
      </c>
      <c r="F1929" s="11" t="s">
        <v>7931</v>
      </c>
      <c r="G1929" s="12">
        <f ca="1">IFERROR(__xludf.DUMMYFUNCTION(" VLOOKUP(A1926, IMPORTRANGE(""https://docs.google.com/spreadsheets/d/1fj_Bhi2XPL3siwIh4sx4VRLAe31yD50oKdj5UlRYW0c/"", ""Сводка!A:AA""), 5, FALSE)"),144)</f>
        <v>144</v>
      </c>
      <c r="H1929" s="12" t="s">
        <v>106</v>
      </c>
      <c r="I1929" s="10">
        <f ca="1">IFERROR(__xludf.DUMMYFUNCTION(" VLOOKUP(A1926, IMPORTRANGE(""https://docs.google.com/spreadsheets/d/1QNLbnkR_AongFt22vMfNzfpjZ0CjpI8QI-w0wBnYA1w/"", ""Инфа!A:AA""), 6, FALSE)"),2024)</f>
        <v>2024</v>
      </c>
      <c r="J1929" s="5">
        <f ca="1">ROUND((5000+G1929*30),-2)</f>
        <v>9300</v>
      </c>
      <c r="K1929" s="12" t="s">
        <v>248</v>
      </c>
      <c r="L1929" s="15" t="s">
        <v>7932</v>
      </c>
    </row>
    <row r="1930" spans="1:12" ht="146.25">
      <c r="A1930" s="8" t="s">
        <v>7933</v>
      </c>
      <c r="B1930" s="9" t="s">
        <v>12</v>
      </c>
      <c r="C1930" s="10" t="s">
        <v>151</v>
      </c>
      <c r="D1930" s="10" t="str">
        <f ca="1">IFERROR(__xludf.DUMMYFUNCTION(" VLOOKUP(A1927, IMPORTRANGE(""https://docs.google.com/spreadsheets/d/1fj_Bhi2XPL3siwIh4sx4VRLAe31yD50oKdj5UlRYW0c/"", ""Сводка!A:AA""), 11, FALSE)"),"ISBN 978-601-310-824-7")</f>
        <v>ISBN 978-601-310-824-7</v>
      </c>
      <c r="E1930" s="11" t="s">
        <v>7934</v>
      </c>
      <c r="F1930" s="11" t="s">
        <v>7935</v>
      </c>
      <c r="G1930" s="12">
        <f ca="1">IFERROR(__xludf.DUMMYFUNCTION(" VLOOKUP(A1927, IMPORTRANGE(""https://docs.google.com/spreadsheets/d/1fj_Bhi2XPL3siwIh4sx4VRLAe31yD50oKdj5UlRYW0c/"", ""Сводка!A:AA""), 5, FALSE)"),344)</f>
        <v>344</v>
      </c>
      <c r="H1930" s="12" t="s">
        <v>106</v>
      </c>
      <c r="I1930" s="10">
        <f ca="1">IFERROR(__xludf.DUMMYFUNCTION(" VLOOKUP(A1927, IMPORTRANGE(""https://docs.google.com/spreadsheets/d/1QNLbnkR_AongFt22vMfNzfpjZ0CjpI8QI-w0wBnYA1w/"", ""Инфа!A:AA""), 6, FALSE)"),2024)</f>
        <v>2024</v>
      </c>
      <c r="J1930" s="5">
        <f ca="1">ROUND((5000+G1930*30),-2)</f>
        <v>15300</v>
      </c>
      <c r="K1930" s="12" t="s">
        <v>26</v>
      </c>
      <c r="L1930" s="15" t="s">
        <v>7936</v>
      </c>
    </row>
    <row r="1931" spans="1:12" ht="157.5">
      <c r="A1931" s="8" t="s">
        <v>7937</v>
      </c>
      <c r="B1931" s="9" t="s">
        <v>12</v>
      </c>
      <c r="C1931" s="10" t="s">
        <v>151</v>
      </c>
      <c r="D1931" s="10" t="str">
        <f ca="1">IFERROR(__xludf.DUMMYFUNCTION(" VLOOKUP(A1928, IMPORTRANGE(""https://docs.google.com/spreadsheets/d/1fj_Bhi2XPL3siwIh4sx4VRLAe31yD50oKdj5UlRYW0c/"", ""Сводка!A:AA""), 11, FALSE)"),"ISBN 978-601-327-803-2")</f>
        <v>ISBN 978-601-327-803-2</v>
      </c>
      <c r="E1931" s="11" t="s">
        <v>7938</v>
      </c>
      <c r="F1931" s="11" t="s">
        <v>7939</v>
      </c>
      <c r="G1931" s="12">
        <f ca="1">IFERROR(__xludf.DUMMYFUNCTION(" VLOOKUP(A1928, IMPORTRANGE(""https://docs.google.com/spreadsheets/d/1fj_Bhi2XPL3siwIh4sx4VRLAe31yD50oKdj5UlRYW0c/"", ""Сводка!A:AA""), 5, FALSE)"),164)</f>
        <v>164</v>
      </c>
      <c r="H1931" s="12" t="s">
        <v>24</v>
      </c>
      <c r="I1931" s="10">
        <f ca="1">IFERROR(__xludf.DUMMYFUNCTION(" VLOOKUP(A1928, IMPORTRANGE(""https://docs.google.com/spreadsheets/d/1QNLbnkR_AongFt22vMfNzfpjZ0CjpI8QI-w0wBnYA1w/"", ""Инфа!A:AA""), 6, FALSE)"),2024)</f>
        <v>2024</v>
      </c>
      <c r="J1931" s="5">
        <f ca="1">ROUND((5000+G1931*60),-2)</f>
        <v>14800</v>
      </c>
      <c r="K1931" s="12" t="s">
        <v>2136</v>
      </c>
      <c r="L1931" s="15" t="s">
        <v>7940</v>
      </c>
    </row>
    <row r="1932" spans="1:12" ht="90">
      <c r="A1932" s="8" t="s">
        <v>7941</v>
      </c>
      <c r="B1932" s="9" t="s">
        <v>12</v>
      </c>
      <c r="C1932" s="10" t="s">
        <v>443</v>
      </c>
      <c r="D1932" s="10" t="str">
        <f ca="1">IFERROR(__xludf.DUMMYFUNCTION(" VLOOKUP(A1929, IMPORTRANGE(""https://docs.google.com/spreadsheets/d/1fj_Bhi2XPL3siwIh4sx4VRLAe31yD50oKdj5UlRYW0c/"", ""Сводка!A:AA""), 11, FALSE)"),"ISBN 978-601-342-189-6")</f>
        <v>ISBN 978-601-342-189-6</v>
      </c>
      <c r="E1932" s="11" t="s">
        <v>7942</v>
      </c>
      <c r="F1932" s="11" t="s">
        <v>7943</v>
      </c>
      <c r="G1932" s="12">
        <f ca="1">IFERROR(__xludf.DUMMYFUNCTION(" VLOOKUP(A1929, IMPORTRANGE(""https://docs.google.com/spreadsheets/d/1fj_Bhi2XPL3siwIh4sx4VRLAe31yD50oKdj5UlRYW0c/"", ""Сводка!A:AA""), 5, FALSE)"),260)</f>
        <v>260</v>
      </c>
      <c r="H1932" s="10" t="s">
        <v>538</v>
      </c>
      <c r="I1932" s="10">
        <f ca="1">IFERROR(__xludf.DUMMYFUNCTION(" VLOOKUP(A1929, IMPORTRANGE(""https://docs.google.com/spreadsheets/d/1QNLbnkR_AongFt22vMfNzfpjZ0CjpI8QI-w0wBnYA1w/"", ""Инфа!A:AA""), 6, FALSE)"),2024)</f>
        <v>2024</v>
      </c>
      <c r="J1932" s="5">
        <f ca="1">ROUND((5000+G1932*30),-2)</f>
        <v>12800</v>
      </c>
      <c r="K1932" s="12" t="s">
        <v>2217</v>
      </c>
      <c r="L1932" s="15" t="s">
        <v>7944</v>
      </c>
    </row>
    <row r="1933" spans="1:12" ht="236.25">
      <c r="A1933" s="8" t="s">
        <v>7945</v>
      </c>
      <c r="B1933" s="9" t="s">
        <v>12</v>
      </c>
      <c r="C1933" s="10" t="s">
        <v>443</v>
      </c>
      <c r="D1933" s="10" t="str">
        <f ca="1">IFERROR(__xludf.DUMMYFUNCTION(" VLOOKUP(A1930, IMPORTRANGE(""https://docs.google.com/spreadsheets/d/1fj_Bhi2XPL3siwIh4sx4VRLAe31yD50oKdj5UlRYW0c/"", ""Сводка!A:AA""), 11, FALSE)"),"ISBN 978-601-327-245-0")</f>
        <v>ISBN 978-601-327-245-0</v>
      </c>
      <c r="E1933" s="11" t="s">
        <v>7946</v>
      </c>
      <c r="F1933" s="11" t="s">
        <v>7947</v>
      </c>
      <c r="G1933" s="12">
        <f ca="1">IFERROR(__xludf.DUMMYFUNCTION(" VLOOKUP(A1930, IMPORTRANGE(""https://docs.google.com/spreadsheets/d/1fj_Bhi2XPL3siwIh4sx4VRLAe31yD50oKdj5UlRYW0c/"", ""Сводка!A:AA""), 5, FALSE)"),252)</f>
        <v>252</v>
      </c>
      <c r="H1933" s="12" t="s">
        <v>777</v>
      </c>
      <c r="I1933" s="10">
        <f ca="1">IFERROR(__xludf.DUMMYFUNCTION(" VLOOKUP(A1930, IMPORTRANGE(""https://docs.google.com/spreadsheets/d/1QNLbnkR_AongFt22vMfNzfpjZ0CjpI8QI-w0wBnYA1w/"", ""Инфа!A:AA""), 6, FALSE)"),2024)</f>
        <v>2024</v>
      </c>
      <c r="J1933" s="5">
        <f ca="1">ROUND((5000+G1933*30),-2)</f>
        <v>12600</v>
      </c>
      <c r="K1933" s="12" t="s">
        <v>171</v>
      </c>
      <c r="L1933" s="15" t="s">
        <v>7948</v>
      </c>
    </row>
    <row r="1934" spans="1:12" ht="123.75">
      <c r="A1934" s="8" t="s">
        <v>7949</v>
      </c>
      <c r="B1934" s="9" t="s">
        <v>12</v>
      </c>
      <c r="C1934" s="10" t="s">
        <v>151</v>
      </c>
      <c r="D1934" s="10" t="str">
        <f ca="1">IFERROR(__xludf.DUMMYFUNCTION(" VLOOKUP(A1931, IMPORTRANGE(""https://docs.google.com/spreadsheets/d/1fj_Bhi2XPL3siwIh4sx4VRLAe31yD50oKdj5UlRYW0c/"", ""Сводка!A:AA""), 11, FALSE)"),"ISBN 978-60-327-317-4")</f>
        <v>ISBN 978-60-327-317-4</v>
      </c>
      <c r="E1934" s="11" t="s">
        <v>7950</v>
      </c>
      <c r="F1934" s="11" t="s">
        <v>7951</v>
      </c>
      <c r="G1934" s="12">
        <f ca="1">IFERROR(__xludf.DUMMYFUNCTION(" VLOOKUP(A1931, IMPORTRANGE(""https://docs.google.com/spreadsheets/d/1fj_Bhi2XPL3siwIh4sx4VRLAe31yD50oKdj5UlRYW0c/"", ""Сводка!A:AA""), 5, FALSE)"),332)</f>
        <v>332</v>
      </c>
      <c r="H1934" s="12" t="s">
        <v>165</v>
      </c>
      <c r="I1934" s="10">
        <f ca="1">IFERROR(__xludf.DUMMYFUNCTION(" VLOOKUP(A1931, IMPORTRANGE(""https://docs.google.com/spreadsheets/d/1QNLbnkR_AongFt22vMfNzfpjZ0CjpI8QI-w0wBnYA1w/"", ""Инфа!A:AA""), 6, FALSE)"),2024)</f>
        <v>2024</v>
      </c>
      <c r="J1934" s="5">
        <f ca="1">ROUND(((5000+G1934*30)*1.3),-2)</f>
        <v>19400</v>
      </c>
      <c r="K1934" s="12" t="s">
        <v>2167</v>
      </c>
      <c r="L1934" s="15" t="s">
        <v>7952</v>
      </c>
    </row>
    <row r="1935" spans="1:12" ht="123.75">
      <c r="A1935" s="8" t="s">
        <v>7953</v>
      </c>
      <c r="B1935" s="9" t="s">
        <v>12</v>
      </c>
      <c r="C1935" s="10" t="s">
        <v>151</v>
      </c>
      <c r="D1935" s="10" t="str">
        <f ca="1">IFERROR(__xludf.DUMMYFUNCTION(" VLOOKUP(A1932, IMPORTRANGE(""https://docs.google.com/spreadsheets/d/1fj_Bhi2XPL3siwIh4sx4VRLAe31yD50oKdj5UlRYW0c/"", ""Сводка!A:AA""), 11, FALSE)"),"ISBN 978-60-327-317-4")</f>
        <v>ISBN 978-60-327-317-4</v>
      </c>
      <c r="E1935" s="11" t="s">
        <v>7950</v>
      </c>
      <c r="F1935" s="11" t="s">
        <v>7954</v>
      </c>
      <c r="G1935" s="12">
        <f ca="1">IFERROR(__xludf.DUMMYFUNCTION(" VLOOKUP(A1932, IMPORTRANGE(""https://docs.google.com/spreadsheets/d/1fj_Bhi2XPL3siwIh4sx4VRLAe31yD50oKdj5UlRYW0c/"", ""Сводка!A:AA""), 5, FALSE)"),172)</f>
        <v>172</v>
      </c>
      <c r="H1935" s="12" t="s">
        <v>165</v>
      </c>
      <c r="I1935" s="10">
        <f ca="1">IFERROR(__xludf.DUMMYFUNCTION(" VLOOKUP(A1932, IMPORTRANGE(""https://docs.google.com/spreadsheets/d/1QNLbnkR_AongFt22vMfNzfpjZ0CjpI8QI-w0wBnYA1w/"", ""Инфа!A:AA""), 6, FALSE)"),2024)</f>
        <v>2024</v>
      </c>
      <c r="J1935" s="5">
        <f ca="1">ROUND(((5000+G1935*30)*1.3),-2)</f>
        <v>13200</v>
      </c>
      <c r="K1935" s="12" t="s">
        <v>2167</v>
      </c>
      <c r="L1935" s="15" t="s">
        <v>7952</v>
      </c>
    </row>
    <row r="1936" spans="1:12" ht="123.75">
      <c r="A1936" s="8" t="s">
        <v>7955</v>
      </c>
      <c r="B1936" s="9" t="s">
        <v>12</v>
      </c>
      <c r="C1936" s="10" t="s">
        <v>151</v>
      </c>
      <c r="D1936" s="10" t="str">
        <f ca="1">IFERROR(__xludf.DUMMYFUNCTION(" VLOOKUP(A1933, IMPORTRANGE(""https://docs.google.com/spreadsheets/d/1fj_Bhi2XPL3siwIh4sx4VRLAe31yD50oKdj5UlRYW0c/"", ""Сводка!A:AA""), 11, FALSE)"),"ISBN 978-60-327-317-4")</f>
        <v>ISBN 978-60-327-317-4</v>
      </c>
      <c r="E1936" s="11" t="s">
        <v>7950</v>
      </c>
      <c r="F1936" s="11" t="s">
        <v>7956</v>
      </c>
      <c r="G1936" s="12">
        <f ca="1">IFERROR(__xludf.DUMMYFUNCTION(" VLOOKUP(A1933, IMPORTRANGE(""https://docs.google.com/spreadsheets/d/1fj_Bhi2XPL3siwIh4sx4VRLAe31yD50oKdj5UlRYW0c/"", ""Сводка!A:AA""), 5, FALSE)"),328)</f>
        <v>328</v>
      </c>
      <c r="H1936" s="12" t="s">
        <v>165</v>
      </c>
      <c r="I1936" s="10">
        <f ca="1">IFERROR(__xludf.DUMMYFUNCTION(" VLOOKUP(A1933, IMPORTRANGE(""https://docs.google.com/spreadsheets/d/1QNLbnkR_AongFt22vMfNzfpjZ0CjpI8QI-w0wBnYA1w/"", ""Инфа!A:AA""), 6, FALSE)"),2024)</f>
        <v>2024</v>
      </c>
      <c r="J1936" s="5">
        <f ca="1">ROUND(((5000+G1936*30)*1.3),-2)</f>
        <v>19300</v>
      </c>
      <c r="K1936" s="12" t="s">
        <v>2167</v>
      </c>
      <c r="L1936" s="15" t="s">
        <v>7952</v>
      </c>
    </row>
    <row r="1937" spans="1:12" ht="281.25">
      <c r="A1937" s="8" t="s">
        <v>7957</v>
      </c>
      <c r="B1937" s="9" t="s">
        <v>12</v>
      </c>
      <c r="C1937" s="10" t="s">
        <v>443</v>
      </c>
      <c r="D1937" s="10" t="str">
        <f ca="1">IFERROR(__xludf.DUMMYFUNCTION(" VLOOKUP(A1934, IMPORTRANGE(""https://docs.google.com/spreadsheets/d/1fj_Bhi2XPL3siwIh4sx4VRLAe31yD50oKdj5UlRYW0c/"", ""Сводка!A:AA""), 11, FALSE)"),"978-601-240-872-0")</f>
        <v>978-601-240-872-0</v>
      </c>
      <c r="E1937" s="11" t="s">
        <v>7958</v>
      </c>
      <c r="F1937" s="11" t="s">
        <v>7959</v>
      </c>
      <c r="G1937" s="12">
        <f ca="1">IFERROR(__xludf.DUMMYFUNCTION(" VLOOKUP(A1934, IMPORTRANGE(""https://docs.google.com/spreadsheets/d/1fj_Bhi2XPL3siwIh4sx4VRLAe31yD50oKdj5UlRYW0c/"", ""Сводка!A:AA""), 5, FALSE)"),246)</f>
        <v>246</v>
      </c>
      <c r="H1937" s="12" t="s">
        <v>538</v>
      </c>
      <c r="I1937" s="10">
        <f ca="1">IFERROR(__xludf.DUMMYFUNCTION(" VLOOKUP(A1934, IMPORTRANGE(""https://docs.google.com/spreadsheets/d/1QNLbnkR_AongFt22vMfNzfpjZ0CjpI8QI-w0wBnYA1w/"", ""Инфа!A:AA""), 6, FALSE)"),2024)</f>
        <v>2024</v>
      </c>
      <c r="J1937" s="5">
        <f ca="1">ROUND((5000+G1937*60),-2)</f>
        <v>19800</v>
      </c>
      <c r="K1937" s="12" t="s">
        <v>1387</v>
      </c>
      <c r="L1937" s="15" t="s">
        <v>7960</v>
      </c>
    </row>
    <row r="1938" spans="1:12" ht="38.25">
      <c r="A1938" s="8" t="s">
        <v>7961</v>
      </c>
      <c r="B1938" s="9" t="s">
        <v>12</v>
      </c>
      <c r="C1938" s="10" t="s">
        <v>13</v>
      </c>
      <c r="D1938" s="10" t="str">
        <f ca="1">IFERROR(__xludf.DUMMYFUNCTION(" VLOOKUP(A1935, IMPORTRANGE(""https://docs.google.com/spreadsheets/d/1fj_Bhi2XPL3siwIh4sx4VRLAe31yD50oKdj5UlRYW0c/"", ""Сводка!A:AA""), 11, FALSE)"),"ISBN 978-601-310-613-7")</f>
        <v>ISBN 978-601-310-613-7</v>
      </c>
      <c r="E1938" s="11" t="s">
        <v>7962</v>
      </c>
      <c r="F1938" s="11" t="s">
        <v>7963</v>
      </c>
      <c r="G1938" s="12">
        <f ca="1">IFERROR(__xludf.DUMMYFUNCTION(" VLOOKUP(A1935, IMPORTRANGE(""https://docs.google.com/spreadsheets/d/1fj_Bhi2XPL3siwIh4sx4VRLAe31yD50oKdj5UlRYW0c/"", ""Сводка!A:AA""), 5, FALSE)"),80)</f>
        <v>80</v>
      </c>
      <c r="H1938" s="12" t="s">
        <v>47</v>
      </c>
      <c r="I1938" s="10">
        <f ca="1">IFERROR(__xludf.DUMMYFUNCTION(" VLOOKUP(A1935, IMPORTRANGE(""https://docs.google.com/spreadsheets/d/1QNLbnkR_AongFt22vMfNzfpjZ0CjpI8QI-w0wBnYA1w/"", ""Инфа!A:AA""), 6, FALSE)"),2024)</f>
        <v>2024</v>
      </c>
      <c r="J1938" s="5">
        <f ca="1">ROUND((5000+G1938*30),-2)</f>
        <v>7400</v>
      </c>
      <c r="K1938" s="12" t="s">
        <v>243</v>
      </c>
      <c r="L1938" s="15"/>
    </row>
    <row r="1939" spans="1:12" ht="303.75">
      <c r="A1939" s="8" t="s">
        <v>7964</v>
      </c>
      <c r="B1939" s="9" t="s">
        <v>12</v>
      </c>
      <c r="C1939" s="13" t="s">
        <v>443</v>
      </c>
      <c r="D1939" s="10" t="str">
        <f ca="1">IFERROR(__xludf.DUMMYFUNCTION(" VLOOKUP(A1936, IMPORTRANGE(""https://docs.google.com/spreadsheets/d/1fj_Bhi2XPL3siwIh4sx4VRLAe31yD50oKdj5UlRYW0c/"", ""Сводка!A:AA""), 11, FALSE)"),"ISBN 978-601-240-207-0")</f>
        <v>ISBN 978-601-240-207-0</v>
      </c>
      <c r="E1939" s="19" t="s">
        <v>7965</v>
      </c>
      <c r="F1939" s="19" t="s">
        <v>7966</v>
      </c>
      <c r="G1939" s="12">
        <f ca="1">IFERROR(__xludf.DUMMYFUNCTION(" VLOOKUP(A1936, IMPORTRANGE(""https://docs.google.com/spreadsheets/d/1fj_Bhi2XPL3siwIh4sx4VRLAe31yD50oKdj5UlRYW0c/"", ""Сводка!A:AA""), 5, FALSE)"),172)</f>
        <v>172</v>
      </c>
      <c r="H1939" s="9" t="s">
        <v>106</v>
      </c>
      <c r="I1939" s="10">
        <f ca="1">IFERROR(__xludf.DUMMYFUNCTION(" VLOOKUP(A1936, IMPORTRANGE(""https://docs.google.com/spreadsheets/d/1QNLbnkR_AongFt22vMfNzfpjZ0CjpI8QI-w0wBnYA1w/"", ""Инфа!A:AA""), 6, FALSE)"),2024)</f>
        <v>2024</v>
      </c>
      <c r="J1939" s="5">
        <f ca="1">ROUND((5000+G1939*30),-2)</f>
        <v>10200</v>
      </c>
      <c r="K1939" s="9" t="s">
        <v>7967</v>
      </c>
      <c r="L1939" s="21" t="s">
        <v>7968</v>
      </c>
    </row>
    <row r="1940" spans="1:12" ht="168.75">
      <c r="A1940" s="8" t="s">
        <v>7969</v>
      </c>
      <c r="B1940" s="9" t="s">
        <v>12</v>
      </c>
      <c r="C1940" s="10" t="s">
        <v>151</v>
      </c>
      <c r="D1940" s="10" t="str">
        <f ca="1">IFERROR(__xludf.DUMMYFUNCTION(" VLOOKUP(A1937, IMPORTRANGE(""https://docs.google.com/spreadsheets/d/1fj_Bhi2XPL3siwIh4sx4VRLAe31yD50oKdj5UlRYW0c/"", ""Сводка!A:AA""), 11, FALSE)"),"ISBN 978-965-876-82-0")</f>
        <v>ISBN 978-965-876-82-0</v>
      </c>
      <c r="E1940" s="11" t="s">
        <v>7970</v>
      </c>
      <c r="F1940" s="11" t="s">
        <v>7971</v>
      </c>
      <c r="G1940" s="12">
        <v>244</v>
      </c>
      <c r="H1940" s="12" t="s">
        <v>106</v>
      </c>
      <c r="I1940" s="10">
        <f ca="1">IFERROR(__xludf.DUMMYFUNCTION(" VLOOKUP(A1937, IMPORTRANGE(""https://docs.google.com/spreadsheets/d/1QNLbnkR_AongFt22vMfNzfpjZ0CjpI8QI-w0wBnYA1w/"", ""Инфа!A:AA""), 6, FALSE)"),2024)</f>
        <v>2024</v>
      </c>
      <c r="J1940" s="5">
        <f>ROUND((5000+G1940*60),-2)</f>
        <v>19600</v>
      </c>
      <c r="K1940" s="12" t="s">
        <v>1219</v>
      </c>
      <c r="L1940" s="15" t="s">
        <v>7972</v>
      </c>
    </row>
    <row r="1941" spans="1:12" ht="168.75">
      <c r="A1941" s="8" t="s">
        <v>7973</v>
      </c>
      <c r="B1941" s="9" t="s">
        <v>12</v>
      </c>
      <c r="C1941" s="10" t="s">
        <v>443</v>
      </c>
      <c r="D1941" s="10" t="str">
        <f ca="1">IFERROR(__xludf.DUMMYFUNCTION(" VLOOKUP(A1938, IMPORTRANGE(""https://docs.google.com/spreadsheets/d/1fj_Bhi2XPL3siwIh4sx4VRLAe31yD50oKdj5UlRYW0c/"", ""Сводка!A:AA""), 11, FALSE)"),"978-601-310-229-0")</f>
        <v>978-601-310-229-0</v>
      </c>
      <c r="E1941" s="11" t="s">
        <v>7974</v>
      </c>
      <c r="F1941" s="11" t="s">
        <v>7975</v>
      </c>
      <c r="G1941" s="12">
        <f ca="1">IFERROR(__xludf.DUMMYFUNCTION(" VLOOKUP(A1938, IMPORTRANGE(""https://docs.google.com/spreadsheets/d/1fj_Bhi2XPL3siwIh4sx4VRLAe31yD50oKdj5UlRYW0c/"", ""Сводка!A:AA""), 5, FALSE)"),272)</f>
        <v>272</v>
      </c>
      <c r="H1941" s="12" t="s">
        <v>538</v>
      </c>
      <c r="I1941" s="10">
        <f ca="1">IFERROR(__xludf.DUMMYFUNCTION(" VLOOKUP(A1938, IMPORTRANGE(""https://docs.google.com/spreadsheets/d/1QNLbnkR_AongFt22vMfNzfpjZ0CjpI8QI-w0wBnYA1w/"", ""Инфа!A:AA""), 6, FALSE)"),2024)</f>
        <v>2024</v>
      </c>
      <c r="J1941" s="5">
        <f ca="1">ROUND((5000+G1941*60),-2)</f>
        <v>21300</v>
      </c>
      <c r="K1941" s="12" t="s">
        <v>248</v>
      </c>
      <c r="L1941" s="15" t="s">
        <v>7976</v>
      </c>
    </row>
    <row r="1942" spans="1:12" ht="38.25">
      <c r="A1942" s="8" t="s">
        <v>7977</v>
      </c>
      <c r="B1942" s="9" t="s">
        <v>12</v>
      </c>
      <c r="C1942" s="10" t="s">
        <v>443</v>
      </c>
      <c r="D1942" s="10" t="str">
        <f ca="1">IFERROR(__xludf.DUMMYFUNCTION(" VLOOKUP(A1939, IMPORTRANGE(""https://docs.google.com/spreadsheets/d/1fj_Bhi2XPL3siwIh4sx4VRLAe31yD50oKdj5UlRYW0c/"", ""Сводка!A:AA""), 11, FALSE)"),"ISBN 978-601-310-671-7")</f>
        <v>ISBN 978-601-310-671-7</v>
      </c>
      <c r="E1942" s="11" t="s">
        <v>7978</v>
      </c>
      <c r="F1942" s="11" t="s">
        <v>7979</v>
      </c>
      <c r="G1942" s="12">
        <v>238</v>
      </c>
      <c r="H1942" s="12" t="s">
        <v>538</v>
      </c>
      <c r="I1942" s="10">
        <f ca="1">IFERROR(__xludf.DUMMYFUNCTION(" VLOOKUP(A1939, IMPORTRANGE(""https://docs.google.com/spreadsheets/d/1QNLbnkR_AongFt22vMfNzfpjZ0CjpI8QI-w0wBnYA1w/"", ""Инфа!A:AA""), 6, FALSE)"),2024)</f>
        <v>2024</v>
      </c>
      <c r="J1942" s="5">
        <f>ROUND((5000+G1942*30),-2)</f>
        <v>12100</v>
      </c>
      <c r="K1942" s="9" t="s">
        <v>7967</v>
      </c>
      <c r="L1942" s="15"/>
    </row>
    <row r="1943" spans="1:12" ht="258.75">
      <c r="A1943" s="8" t="s">
        <v>7980</v>
      </c>
      <c r="B1943" s="9" t="s">
        <v>12</v>
      </c>
      <c r="C1943" s="10" t="s">
        <v>151</v>
      </c>
      <c r="D1943" s="10" t="str">
        <f ca="1">IFERROR(__xludf.DUMMYFUNCTION(" VLOOKUP(A1940, IMPORTRANGE(""https://docs.google.com/spreadsheets/d/1fj_Bhi2XPL3siwIh4sx4VRLAe31yD50oKdj5UlRYW0c/"", ""Сводка!A:AA""), 11, FALSE)"),"ISBN 978-601-327-216-0")</f>
        <v>ISBN 978-601-327-216-0</v>
      </c>
      <c r="E1943" s="11" t="s">
        <v>7981</v>
      </c>
      <c r="F1943" s="11" t="s">
        <v>7982</v>
      </c>
      <c r="G1943" s="12">
        <f ca="1">IFERROR(__xludf.DUMMYFUNCTION(" VLOOKUP(A1940, IMPORTRANGE(""https://docs.google.com/spreadsheets/d/1fj_Bhi2XPL3siwIh4sx4VRLAe31yD50oKdj5UlRYW0c/"", ""Сводка!A:AA""), 5, FALSE)"),236)</f>
        <v>236</v>
      </c>
      <c r="H1943" s="12" t="s">
        <v>47</v>
      </c>
      <c r="I1943" s="10">
        <f ca="1">IFERROR(__xludf.DUMMYFUNCTION(" VLOOKUP(A1940, IMPORTRANGE(""https://docs.google.com/spreadsheets/d/1QNLbnkR_AongFt22vMfNzfpjZ0CjpI8QI-w0wBnYA1w/"", ""Инфа!A:AA""), 6, FALSE)"),2024)</f>
        <v>2024</v>
      </c>
      <c r="J1943" s="5">
        <f ca="1">ROUND((5000+G1943*30),-2)</f>
        <v>12100</v>
      </c>
      <c r="K1943" s="12" t="s">
        <v>160</v>
      </c>
      <c r="L1943" s="15" t="s">
        <v>7983</v>
      </c>
    </row>
    <row r="1944" spans="1:12" ht="292.5">
      <c r="A1944" s="8" t="s">
        <v>7984</v>
      </c>
      <c r="B1944" s="9" t="s">
        <v>12</v>
      </c>
      <c r="C1944" s="10" t="s">
        <v>443</v>
      </c>
      <c r="D1944" s="10" t="str">
        <f ca="1">IFERROR(__xludf.DUMMYFUNCTION(" VLOOKUP(A1941, IMPORTRANGE(""https://docs.google.com/spreadsheets/d/1fj_Bhi2XPL3siwIh4sx4VRLAe31yD50oKdj5UlRYW0c/"", ""Сводка!A:AA""), 11, FALSE)"),"ISBN 978-601-342-108-7")</f>
        <v>ISBN 978-601-342-108-7</v>
      </c>
      <c r="E1944" s="11" t="s">
        <v>7985</v>
      </c>
      <c r="F1944" s="11" t="s">
        <v>7986</v>
      </c>
      <c r="G1944" s="12">
        <v>198</v>
      </c>
      <c r="H1944" s="12" t="s">
        <v>538</v>
      </c>
      <c r="I1944" s="10">
        <f ca="1">IFERROR(__xludf.DUMMYFUNCTION(" VLOOKUP(A1941, IMPORTRANGE(""https://docs.google.com/spreadsheets/d/1QNLbnkR_AongFt22vMfNzfpjZ0CjpI8QI-w0wBnYA1w/"", ""Инфа!A:AA""), 6, FALSE)"),2024)</f>
        <v>2024</v>
      </c>
      <c r="J1944" s="5">
        <f>ROUND((5000+G1944*60),-2)</f>
        <v>16900</v>
      </c>
      <c r="K1944" s="10" t="s">
        <v>26</v>
      </c>
      <c r="L1944" s="15" t="s">
        <v>7987</v>
      </c>
    </row>
    <row r="1945" spans="1:12" ht="102">
      <c r="A1945" s="8" t="s">
        <v>7988</v>
      </c>
      <c r="B1945" s="9" t="s">
        <v>12</v>
      </c>
      <c r="C1945" s="10" t="s">
        <v>151</v>
      </c>
      <c r="D1945" s="10" t="str">
        <f ca="1">IFERROR(__xludf.DUMMYFUNCTION(" VLOOKUP(A1942, IMPORTRANGE(""https://docs.google.com/spreadsheets/d/1fj_Bhi2XPL3siwIh4sx4VRLAe31yD50oKdj5UlRYW0c/"", ""Сводка!A:AA""), 11, FALSE)"),"ISBN 978-601-342-391-3")</f>
        <v>ISBN 978-601-342-391-3</v>
      </c>
      <c r="E1945" s="11" t="s">
        <v>7989</v>
      </c>
      <c r="F1945" s="11" t="s">
        <v>7990</v>
      </c>
      <c r="G1945" s="12">
        <f ca="1">IFERROR(__xludf.DUMMYFUNCTION(" VLOOKUP(A1942, IMPORTRANGE(""https://docs.google.com/spreadsheets/d/1fj_Bhi2XPL3siwIh4sx4VRLAe31yD50oKdj5UlRYW0c/"", ""Сводка!A:AA""), 5, FALSE)"),300)</f>
        <v>300</v>
      </c>
      <c r="H1945" s="12" t="s">
        <v>24</v>
      </c>
      <c r="I1945" s="10">
        <f ca="1">IFERROR(__xludf.DUMMYFUNCTION(" VLOOKUP(A1942, IMPORTRANGE(""https://docs.google.com/spreadsheets/d/1QNLbnkR_AongFt22vMfNzfpjZ0CjpI8QI-w0wBnYA1w/"", ""Инфа!A:AA""), 6, FALSE)"),2024)</f>
        <v>2024</v>
      </c>
      <c r="J1945" s="5">
        <f ca="1">ROUND((5000+G1945*30),-2)</f>
        <v>14000</v>
      </c>
      <c r="K1945" s="12" t="s">
        <v>1075</v>
      </c>
      <c r="L1945" s="16" t="s">
        <v>7991</v>
      </c>
    </row>
    <row r="1946" spans="1:12" ht="112.5">
      <c r="A1946" s="8" t="s">
        <v>7992</v>
      </c>
      <c r="B1946" s="9" t="s">
        <v>12</v>
      </c>
      <c r="C1946" s="10" t="s">
        <v>151</v>
      </c>
      <c r="D1946" s="10" t="str">
        <f ca="1">IFERROR(__xludf.DUMMYFUNCTION(" VLOOKUP(A1943, IMPORTRANGE(""https://docs.google.com/spreadsheets/d/1fj_Bhi2XPL3siwIh4sx4VRLAe31yD50oKdj5UlRYW0c/"", ""Сводка!A:AA""), 11, FALSE)"),"ISBN 978-601-327-892-6")</f>
        <v>ISBN 978-601-327-892-6</v>
      </c>
      <c r="E1946" s="11" t="s">
        <v>7993</v>
      </c>
      <c r="F1946" s="11" t="s">
        <v>7994</v>
      </c>
      <c r="G1946" s="12">
        <f ca="1">IFERROR(__xludf.DUMMYFUNCTION(" VLOOKUP(A1943, IMPORTRANGE(""https://docs.google.com/spreadsheets/d/1fj_Bhi2XPL3siwIh4sx4VRLAe31yD50oKdj5UlRYW0c/"", ""Сводка!A:AA""), 5, FALSE)"),304)</f>
        <v>304</v>
      </c>
      <c r="H1946" s="12" t="s">
        <v>24</v>
      </c>
      <c r="I1946" s="10">
        <f ca="1">IFERROR(__xludf.DUMMYFUNCTION(" VLOOKUP(A1943, IMPORTRANGE(""https://docs.google.com/spreadsheets/d/1QNLbnkR_AongFt22vMfNzfpjZ0CjpI8QI-w0wBnYA1w/"", ""Инфа!A:AA""), 6, FALSE)"),2024)</f>
        <v>2024</v>
      </c>
      <c r="J1946" s="5">
        <f ca="1">ROUND((5000+G1946*30),-2)</f>
        <v>14100</v>
      </c>
      <c r="K1946" s="12" t="s">
        <v>1075</v>
      </c>
      <c r="L1946" s="15" t="s">
        <v>7995</v>
      </c>
    </row>
    <row r="1947" spans="1:12" ht="78.75">
      <c r="A1947" s="8" t="s">
        <v>7996</v>
      </c>
      <c r="B1947" s="9" t="s">
        <v>12</v>
      </c>
      <c r="C1947" s="10" t="s">
        <v>443</v>
      </c>
      <c r="D1947" s="10" t="str">
        <f ca="1">IFERROR(__xludf.DUMMYFUNCTION(" VLOOKUP(A1944, IMPORTRANGE(""https://docs.google.com/spreadsheets/d/1fj_Bhi2XPL3siwIh4sx4VRLAe31yD50oKdj5UlRYW0c/"", ""Сводка!A:AA""), 11, FALSE)"),"ISBN 978-601-342-564-1")</f>
        <v>ISBN 978-601-342-564-1</v>
      </c>
      <c r="E1947" s="11" t="s">
        <v>7997</v>
      </c>
      <c r="F1947" s="11" t="s">
        <v>7998</v>
      </c>
      <c r="G1947" s="12">
        <f ca="1">IFERROR(__xludf.DUMMYFUNCTION(" VLOOKUP(A1944, IMPORTRANGE(""https://docs.google.com/spreadsheets/d/1fj_Bhi2XPL3siwIh4sx4VRLAe31yD50oKdj5UlRYW0c/"", ""Сводка!A:AA""), 5, FALSE)"),296)</f>
        <v>296</v>
      </c>
      <c r="H1947" s="12" t="s">
        <v>952</v>
      </c>
      <c r="I1947" s="10">
        <f ca="1">IFERROR(__xludf.DUMMYFUNCTION(" VLOOKUP(A1944, IMPORTRANGE(""https://docs.google.com/spreadsheets/d/1QNLbnkR_AongFt22vMfNzfpjZ0CjpI8QI-w0wBnYA1w/"", ""Инфа!A:AA""), 6, FALSE)"),2024)</f>
        <v>2024</v>
      </c>
      <c r="J1947" s="5">
        <f ca="1">ROUND((5000+G1947*60),-2)</f>
        <v>22800</v>
      </c>
      <c r="K1947" s="12" t="s">
        <v>160</v>
      </c>
      <c r="L1947" s="15" t="s">
        <v>7999</v>
      </c>
    </row>
    <row r="1948" spans="1:12" ht="112.5">
      <c r="A1948" s="8" t="s">
        <v>8000</v>
      </c>
      <c r="B1948" s="9" t="s">
        <v>12</v>
      </c>
      <c r="C1948" s="10" t="s">
        <v>443</v>
      </c>
      <c r="D1948" s="10" t="str">
        <f ca="1">IFERROR(__xludf.DUMMYFUNCTION(" VLOOKUP(A1945, IMPORTRANGE(""https://docs.google.com/spreadsheets/d/1fj_Bhi2XPL3siwIh4sx4VRLAe31yD50oKdj5UlRYW0c/"", ""Сводка!A:AA""), 11, FALSE)"),"ISBN 978-601-327-165-1")</f>
        <v>ISBN 978-601-327-165-1</v>
      </c>
      <c r="E1948" s="11" t="s">
        <v>8001</v>
      </c>
      <c r="F1948" s="11" t="s">
        <v>8002</v>
      </c>
      <c r="G1948" s="12">
        <f ca="1">IFERROR(__xludf.DUMMYFUNCTION(" VLOOKUP(A1945, IMPORTRANGE(""https://docs.google.com/spreadsheets/d/1fj_Bhi2XPL3siwIh4sx4VRLAe31yD50oKdj5UlRYW0c/"", ""Сводка!A:AA""), 5, FALSE)"),240)</f>
        <v>240</v>
      </c>
      <c r="H1948" s="12" t="s">
        <v>538</v>
      </c>
      <c r="I1948" s="10">
        <f ca="1">IFERROR(__xludf.DUMMYFUNCTION(" VLOOKUP(A1945, IMPORTRANGE(""https://docs.google.com/spreadsheets/d/1QNLbnkR_AongFt22vMfNzfpjZ0CjpI8QI-w0wBnYA1w/"", ""Инфа!A:AA""), 6, FALSE)"),2024)</f>
        <v>2024</v>
      </c>
      <c r="J1948" s="5">
        <f ca="1">ROUND((5000+G1948*30),-2)</f>
        <v>12200</v>
      </c>
      <c r="K1948" s="12" t="s">
        <v>1075</v>
      </c>
      <c r="L1948" s="15" t="s">
        <v>8003</v>
      </c>
    </row>
    <row r="1949" spans="1:12" ht="202.5">
      <c r="A1949" s="8" t="s">
        <v>8004</v>
      </c>
      <c r="B1949" s="9" t="s">
        <v>12</v>
      </c>
      <c r="C1949" s="10" t="s">
        <v>151</v>
      </c>
      <c r="D1949" s="10" t="str">
        <f ca="1">IFERROR(__xludf.DUMMYFUNCTION(" VLOOKUP(A1946, IMPORTRANGE(""https://docs.google.com/spreadsheets/d/1fj_Bhi2XPL3siwIh4sx4VRLAe31yD50oKdj5UlRYW0c/"", ""Сводка!A:AA""), 11, FALSE)"),"ISBN 978-601-327-168-2")</f>
        <v>ISBN 978-601-327-168-2</v>
      </c>
      <c r="E1949" s="11" t="s">
        <v>8001</v>
      </c>
      <c r="F1949" s="11" t="s">
        <v>8005</v>
      </c>
      <c r="G1949" s="12">
        <f ca="1">IFERROR(__xludf.DUMMYFUNCTION(" VLOOKUP(A1946, IMPORTRANGE(""https://docs.google.com/spreadsheets/d/1fj_Bhi2XPL3siwIh4sx4VRLAe31yD50oKdj5UlRYW0c/"", ""Сводка!A:AA""), 5, FALSE)"),292)</f>
        <v>292</v>
      </c>
      <c r="H1949" s="12" t="s">
        <v>106</v>
      </c>
      <c r="I1949" s="10">
        <f ca="1">IFERROR(__xludf.DUMMYFUNCTION(" VLOOKUP(A1946, IMPORTRANGE(""https://docs.google.com/spreadsheets/d/1QNLbnkR_AongFt22vMfNzfpjZ0CjpI8QI-w0wBnYA1w/"", ""Инфа!A:AA""), 6, FALSE)"),2024)</f>
        <v>2024</v>
      </c>
      <c r="J1949" s="5">
        <f ca="1">ROUND((5000+G1949*60),-2)</f>
        <v>22500</v>
      </c>
      <c r="K1949" s="12" t="s">
        <v>1075</v>
      </c>
      <c r="L1949" s="15" t="s">
        <v>8006</v>
      </c>
    </row>
    <row r="1950" spans="1:12" ht="180">
      <c r="A1950" s="8" t="s">
        <v>8007</v>
      </c>
      <c r="B1950" s="9" t="s">
        <v>12</v>
      </c>
      <c r="C1950" s="10" t="s">
        <v>151</v>
      </c>
      <c r="D1950" s="10" t="str">
        <f ca="1">IFERROR(__xludf.DUMMYFUNCTION(" VLOOKUP(A1947, IMPORTRANGE(""https://docs.google.com/spreadsheets/d/1fj_Bhi2XPL3siwIh4sx4VRLAe31yD50oKdj5UlRYW0c/"", ""Сводка!A:AA""), 11, FALSE)"),"ISBN 978-9965-20-646-7")</f>
        <v>ISBN 978-9965-20-646-7</v>
      </c>
      <c r="E1950" s="11" t="s">
        <v>8008</v>
      </c>
      <c r="F1950" s="11" t="s">
        <v>8009</v>
      </c>
      <c r="G1950" s="12">
        <f ca="1">IFERROR(__xludf.DUMMYFUNCTION(" VLOOKUP(A1947, IMPORTRANGE(""https://docs.google.com/spreadsheets/d/1fj_Bhi2XPL3siwIh4sx4VRLAe31yD50oKdj5UlRYW0c/"", ""Сводка!A:AA""), 5, FALSE)"),272)</f>
        <v>272</v>
      </c>
      <c r="H1950" s="12" t="s">
        <v>106</v>
      </c>
      <c r="I1950" s="10">
        <f ca="1">IFERROR(__xludf.DUMMYFUNCTION(" VLOOKUP(A1947, IMPORTRANGE(""https://docs.google.com/spreadsheets/d/1QNLbnkR_AongFt22vMfNzfpjZ0CjpI8QI-w0wBnYA1w/"", ""Инфа!A:AA""), 6, FALSE)"),2024)</f>
        <v>2024</v>
      </c>
      <c r="J1950" s="5">
        <f t="shared" ref="J1950:J1956" ca="1" si="67">ROUND((5000+G1950*30),-2)</f>
        <v>13200</v>
      </c>
      <c r="K1950" s="12" t="s">
        <v>1075</v>
      </c>
      <c r="L1950" s="15" t="s">
        <v>8010</v>
      </c>
    </row>
    <row r="1951" spans="1:12" ht="146.25">
      <c r="A1951" s="8" t="s">
        <v>8011</v>
      </c>
      <c r="B1951" s="9" t="s">
        <v>12</v>
      </c>
      <c r="C1951" s="10" t="s">
        <v>151</v>
      </c>
      <c r="D1951" s="10" t="str">
        <f ca="1">IFERROR(__xludf.DUMMYFUNCTION(" VLOOKUP(A1948, IMPORTRANGE(""https://docs.google.com/spreadsheets/d/1fj_Bhi2XPL3siwIh4sx4VRLAe31yD50oKdj5UlRYW0c/"", ""Сводка!A:AA""), 11, FALSE)"),"978-601-327-195-8")</f>
        <v>978-601-327-195-8</v>
      </c>
      <c r="E1951" s="11" t="s">
        <v>8012</v>
      </c>
      <c r="F1951" s="11" t="s">
        <v>8013</v>
      </c>
      <c r="G1951" s="12">
        <f ca="1">IFERROR(__xludf.DUMMYFUNCTION(" VLOOKUP(A1948, IMPORTRANGE(""https://docs.google.com/spreadsheets/d/1fj_Bhi2XPL3siwIh4sx4VRLAe31yD50oKdj5UlRYW0c/"", ""Сводка!A:AA""), 5, FALSE)"),256)</f>
        <v>256</v>
      </c>
      <c r="H1951" s="12" t="s">
        <v>165</v>
      </c>
      <c r="I1951" s="10">
        <f ca="1">IFERROR(__xludf.DUMMYFUNCTION(" VLOOKUP(A1948, IMPORTRANGE(""https://docs.google.com/spreadsheets/d/1QNLbnkR_AongFt22vMfNzfpjZ0CjpI8QI-w0wBnYA1w/"", ""Инфа!A:AA""), 6, FALSE)"),2024)</f>
        <v>2024</v>
      </c>
      <c r="J1951" s="5">
        <f t="shared" ca="1" si="67"/>
        <v>12700</v>
      </c>
      <c r="K1951" s="12" t="s">
        <v>1075</v>
      </c>
      <c r="L1951" s="15" t="s">
        <v>8014</v>
      </c>
    </row>
    <row r="1952" spans="1:12" ht="135">
      <c r="A1952" s="8" t="s">
        <v>8015</v>
      </c>
      <c r="B1952" s="9" t="s">
        <v>12</v>
      </c>
      <c r="C1952" s="10" t="s">
        <v>443</v>
      </c>
      <c r="D1952" s="10" t="str">
        <f ca="1">IFERROR(__xludf.DUMMYFUNCTION(" VLOOKUP(A1949, IMPORTRANGE(""https://docs.google.com/spreadsheets/d/1fj_Bhi2XPL3siwIh4sx4VRLAe31yD50oKdj5UlRYW0c/"", ""Сводка!A:AA""), 11, FALSE)"),"ISBN 978-601-266-042-5")</f>
        <v>ISBN 978-601-266-042-5</v>
      </c>
      <c r="E1952" s="11" t="s">
        <v>8016</v>
      </c>
      <c r="F1952" s="11" t="s">
        <v>8017</v>
      </c>
      <c r="G1952" s="12">
        <f ca="1">IFERROR(__xludf.DUMMYFUNCTION(" VLOOKUP(A1949, IMPORTRANGE(""https://docs.google.com/spreadsheets/d/1fj_Bhi2XPL3siwIh4sx4VRLAe31yD50oKdj5UlRYW0c/"", ""Сводка!A:AA""), 5, FALSE)"),228)</f>
        <v>228</v>
      </c>
      <c r="H1952" s="12" t="s">
        <v>538</v>
      </c>
      <c r="I1952" s="10">
        <f ca="1">IFERROR(__xludf.DUMMYFUNCTION(" VLOOKUP(A1949, IMPORTRANGE(""https://docs.google.com/spreadsheets/d/1QNLbnkR_AongFt22vMfNzfpjZ0CjpI8QI-w0wBnYA1w/"", ""Инфа!A:AA""), 6, FALSE)"),2024)</f>
        <v>2024</v>
      </c>
      <c r="J1952" s="5">
        <f t="shared" ca="1" si="67"/>
        <v>11800</v>
      </c>
      <c r="K1952" s="12" t="s">
        <v>1075</v>
      </c>
      <c r="L1952" s="15" t="s">
        <v>8018</v>
      </c>
    </row>
    <row r="1953" spans="1:12" ht="135">
      <c r="A1953" s="8" t="s">
        <v>8019</v>
      </c>
      <c r="B1953" s="9" t="s">
        <v>12</v>
      </c>
      <c r="C1953" s="10" t="s">
        <v>443</v>
      </c>
      <c r="D1953" s="10" t="str">
        <f ca="1">IFERROR(__xludf.DUMMYFUNCTION(" VLOOKUP(A1950, IMPORTRANGE(""https://docs.google.com/spreadsheets/d/1fj_Bhi2XPL3siwIh4sx4VRLAe31yD50oKdj5UlRYW0c/"", ""Сводка!A:AA""), 11, FALSE)"),"ISBN 978-601-310-756-1")</f>
        <v>ISBN 978-601-310-756-1</v>
      </c>
      <c r="E1953" s="11" t="s">
        <v>8020</v>
      </c>
      <c r="F1953" s="11" t="s">
        <v>8021</v>
      </c>
      <c r="G1953" s="12">
        <f ca="1">IFERROR(__xludf.DUMMYFUNCTION(" VLOOKUP(A1950, IMPORTRANGE(""https://docs.google.com/spreadsheets/d/1fj_Bhi2XPL3siwIh4sx4VRLAe31yD50oKdj5UlRYW0c/"", ""Сводка!A:AA""), 5, FALSE)"),140)</f>
        <v>140</v>
      </c>
      <c r="H1953" s="12" t="s">
        <v>538</v>
      </c>
      <c r="I1953" s="10">
        <f ca="1">IFERROR(__xludf.DUMMYFUNCTION(" VLOOKUP(A1950, IMPORTRANGE(""https://docs.google.com/spreadsheets/d/1QNLbnkR_AongFt22vMfNzfpjZ0CjpI8QI-w0wBnYA1w/"", ""Инфа!A:AA""), 6, FALSE)"),2024)</f>
        <v>2024</v>
      </c>
      <c r="J1953" s="5">
        <f t="shared" ca="1" si="67"/>
        <v>9200</v>
      </c>
      <c r="K1953" s="9" t="s">
        <v>447</v>
      </c>
      <c r="L1953" s="15" t="s">
        <v>8022</v>
      </c>
    </row>
    <row r="1954" spans="1:12" ht="236.25">
      <c r="A1954" s="8" t="s">
        <v>8023</v>
      </c>
      <c r="B1954" s="9" t="s">
        <v>12</v>
      </c>
      <c r="C1954" s="10" t="s">
        <v>443</v>
      </c>
      <c r="D1954" s="10" t="str">
        <f ca="1">IFERROR(__xludf.DUMMYFUNCTION(" VLOOKUP(A1951, IMPORTRANGE(""https://docs.google.com/spreadsheets/d/1fj_Bhi2XPL3siwIh4sx4VRLAe31yD50oKdj5UlRYW0c/"", ""Сводка!A:AA""), 11, FALSE)"),"ISBN 978-601-240-388-6")</f>
        <v>ISBN 978-601-240-388-6</v>
      </c>
      <c r="E1954" s="11" t="s">
        <v>8024</v>
      </c>
      <c r="F1954" s="11" t="s">
        <v>8025</v>
      </c>
      <c r="G1954" s="12">
        <f ca="1">IFERROR(__xludf.DUMMYFUNCTION(" VLOOKUP(A1951, IMPORTRANGE(""https://docs.google.com/spreadsheets/d/1fj_Bhi2XPL3siwIh4sx4VRLAe31yD50oKdj5UlRYW0c/"", ""Сводка!A:AA""), 5, FALSE)"),348)</f>
        <v>348</v>
      </c>
      <c r="H1954" s="12" t="s">
        <v>538</v>
      </c>
      <c r="I1954" s="10">
        <f ca="1">IFERROR(__xludf.DUMMYFUNCTION(" VLOOKUP(A1951, IMPORTRANGE(""https://docs.google.com/spreadsheets/d/1QNLbnkR_AongFt22vMfNzfpjZ0CjpI8QI-w0wBnYA1w/"", ""Инфа!A:AA""), 6, FALSE)"),2024)</f>
        <v>2024</v>
      </c>
      <c r="J1954" s="5">
        <f t="shared" ca="1" si="67"/>
        <v>15400</v>
      </c>
      <c r="K1954" s="9" t="s">
        <v>758</v>
      </c>
      <c r="L1954" s="15" t="s">
        <v>8026</v>
      </c>
    </row>
    <row r="1955" spans="1:12" ht="258.75">
      <c r="A1955" s="8" t="s">
        <v>8027</v>
      </c>
      <c r="B1955" s="9" t="s">
        <v>12</v>
      </c>
      <c r="C1955" s="10" t="s">
        <v>151</v>
      </c>
      <c r="D1955" s="10" t="str">
        <f ca="1">IFERROR(__xludf.DUMMYFUNCTION(" VLOOKUP(A1952, IMPORTRANGE(""https://docs.google.com/spreadsheets/d/1fj_Bhi2XPL3siwIh4sx4VRLAe31yD50oKdj5UlRYW0c/"", ""Сводка!A:AA""), 11, FALSE)"),"978-601-327-360-0")</f>
        <v>978-601-327-360-0</v>
      </c>
      <c r="E1955" s="11" t="s">
        <v>8028</v>
      </c>
      <c r="F1955" s="11" t="s">
        <v>8029</v>
      </c>
      <c r="G1955" s="12">
        <f ca="1">IFERROR(__xludf.DUMMYFUNCTION(" VLOOKUP(A1952, IMPORTRANGE(""https://docs.google.com/spreadsheets/d/1fj_Bhi2XPL3siwIh4sx4VRLAe31yD50oKdj5UlRYW0c/"", ""Сводка!A:AA""), 5, FALSE)"),168)</f>
        <v>168</v>
      </c>
      <c r="H1955" s="12" t="s">
        <v>47</v>
      </c>
      <c r="I1955" s="10">
        <f ca="1">IFERROR(__xludf.DUMMYFUNCTION(" VLOOKUP(A1952, IMPORTRANGE(""https://docs.google.com/spreadsheets/d/1QNLbnkR_AongFt22vMfNzfpjZ0CjpI8QI-w0wBnYA1w/"", ""Инфа!A:AA""), 6, FALSE)"),2024)</f>
        <v>2024</v>
      </c>
      <c r="J1955" s="5">
        <f t="shared" ca="1" si="67"/>
        <v>10000</v>
      </c>
      <c r="K1955" s="9" t="s">
        <v>619</v>
      </c>
      <c r="L1955" s="15" t="s">
        <v>8030</v>
      </c>
    </row>
    <row r="1956" spans="1:12" ht="202.5">
      <c r="A1956" s="8" t="s">
        <v>8031</v>
      </c>
      <c r="B1956" s="9" t="s">
        <v>12</v>
      </c>
      <c r="C1956" s="10" t="s">
        <v>443</v>
      </c>
      <c r="D1956" s="10" t="str">
        <f ca="1">IFERROR(__xludf.DUMMYFUNCTION(" VLOOKUP(A1953, IMPORTRANGE(""https://docs.google.com/spreadsheets/d/1fj_Bhi2XPL3siwIh4sx4VRLAe31yD50oKdj5UlRYW0c/"", ""Сводка!A:AA""), 11, FALSE)"),"ISBN 978-601-327-738-7")</f>
        <v>ISBN 978-601-327-738-7</v>
      </c>
      <c r="E1956" s="11" t="s">
        <v>8032</v>
      </c>
      <c r="F1956" s="11" t="s">
        <v>8033</v>
      </c>
      <c r="G1956" s="12">
        <f ca="1">IFERROR(__xludf.DUMMYFUNCTION(" VLOOKUP(A1953, IMPORTRANGE(""https://docs.google.com/spreadsheets/d/1fj_Bhi2XPL3siwIh4sx4VRLAe31yD50oKdj5UlRYW0c/"", ""Сводка!A:AA""), 5, FALSE)"),92)</f>
        <v>92</v>
      </c>
      <c r="H1956" s="12" t="s">
        <v>538</v>
      </c>
      <c r="I1956" s="10">
        <f ca="1">IFERROR(__xludf.DUMMYFUNCTION(" VLOOKUP(A1953, IMPORTRANGE(""https://docs.google.com/spreadsheets/d/1QNLbnkR_AongFt22vMfNzfpjZ0CjpI8QI-w0wBnYA1w/"", ""Инфа!A:AA""), 6, FALSE)"),2024)</f>
        <v>2024</v>
      </c>
      <c r="J1956" s="5">
        <f t="shared" ca="1" si="67"/>
        <v>7800</v>
      </c>
      <c r="K1956" s="9" t="s">
        <v>619</v>
      </c>
      <c r="L1956" s="15" t="s">
        <v>8034</v>
      </c>
    </row>
    <row r="1957" spans="1:12" ht="146.25">
      <c r="A1957" s="8" t="s">
        <v>8035</v>
      </c>
      <c r="B1957" s="9" t="s">
        <v>12</v>
      </c>
      <c r="C1957" s="10" t="s">
        <v>151</v>
      </c>
      <c r="D1957" s="10" t="str">
        <f ca="1">IFERROR(__xludf.DUMMYFUNCTION(" VLOOKUP(A1954, IMPORTRANGE(""https://docs.google.com/spreadsheets/d/1fj_Bhi2XPL3siwIh4sx4VRLAe31yD50oKdj5UlRYW0c/"", ""Сводка!A:AA""), 11, FALSE)"),"ISBN 978-601-342-212-1")</f>
        <v>ISBN 978-601-342-212-1</v>
      </c>
      <c r="E1957" s="11" t="s">
        <v>8036</v>
      </c>
      <c r="F1957" s="11" t="s">
        <v>8037</v>
      </c>
      <c r="G1957" s="12">
        <f ca="1">IFERROR(__xludf.DUMMYFUNCTION(" VLOOKUP(A1954, IMPORTRANGE(""https://docs.google.com/spreadsheets/d/1fj_Bhi2XPL3siwIh4sx4VRLAe31yD50oKdj5UlRYW0c/"", ""Сводка!A:AA""), 5, FALSE)"),116)</f>
        <v>116</v>
      </c>
      <c r="H1957" s="12" t="s">
        <v>165</v>
      </c>
      <c r="I1957" s="10">
        <f ca="1">IFERROR(__xludf.DUMMYFUNCTION(" VLOOKUP(A1954, IMPORTRANGE(""https://docs.google.com/spreadsheets/d/1QNLbnkR_AongFt22vMfNzfpjZ0CjpI8QI-w0wBnYA1w/"", ""Инфа!A:AA""), 6, FALSE)"),2024)</f>
        <v>2024</v>
      </c>
      <c r="J1957" s="5">
        <f ca="1">ROUND((5000+G1957*60),-2)</f>
        <v>12000</v>
      </c>
      <c r="K1957" s="12" t="s">
        <v>8038</v>
      </c>
      <c r="L1957" s="15" t="s">
        <v>8039</v>
      </c>
    </row>
    <row r="1958" spans="1:12" ht="225">
      <c r="A1958" s="8" t="s">
        <v>8040</v>
      </c>
      <c r="B1958" s="9" t="s">
        <v>12</v>
      </c>
      <c r="C1958" s="10" t="s">
        <v>151</v>
      </c>
      <c r="D1958" s="10" t="str">
        <f ca="1">IFERROR(__xludf.DUMMYFUNCTION(" VLOOKUP(A1955, IMPORTRANGE(""https://docs.google.com/spreadsheets/d/1fj_Bhi2XPL3siwIh4sx4VRLAe31yD50oKdj5UlRYW0c/"", ""Сводка!A:AA""), 11, FALSE)"),"ISBN 978-601-310-519")</f>
        <v>ISBN 978-601-310-519</v>
      </c>
      <c r="E1958" s="11" t="s">
        <v>8028</v>
      </c>
      <c r="F1958" s="11" t="s">
        <v>8041</v>
      </c>
      <c r="G1958" s="12">
        <f ca="1">IFERROR(__xludf.DUMMYFUNCTION(" VLOOKUP(A1955, IMPORTRANGE(""https://docs.google.com/spreadsheets/d/1fj_Bhi2XPL3siwIh4sx4VRLAe31yD50oKdj5UlRYW0c/"", ""Сводка!A:AA""), 5, FALSE)"),124)</f>
        <v>124</v>
      </c>
      <c r="H1958" s="12" t="s">
        <v>47</v>
      </c>
      <c r="I1958" s="10">
        <f ca="1">IFERROR(__xludf.DUMMYFUNCTION(" VLOOKUP(A1955, IMPORTRANGE(""https://docs.google.com/spreadsheets/d/1QNLbnkR_AongFt22vMfNzfpjZ0CjpI8QI-w0wBnYA1w/"", ""Инфа!A:AA""), 6, FALSE)"),2024)</f>
        <v>2024</v>
      </c>
      <c r="J1958" s="5">
        <f ca="1">ROUND((5000+G1958*30),-2)</f>
        <v>8700</v>
      </c>
      <c r="K1958" s="9" t="s">
        <v>619</v>
      </c>
      <c r="L1958" s="15" t="s">
        <v>8042</v>
      </c>
    </row>
    <row r="1959" spans="1:12" ht="247.5">
      <c r="A1959" s="8" t="s">
        <v>8043</v>
      </c>
      <c r="B1959" s="9" t="s">
        <v>12</v>
      </c>
      <c r="C1959" s="10" t="s">
        <v>151</v>
      </c>
      <c r="D1959" s="10" t="str">
        <f ca="1">IFERROR(__xludf.DUMMYFUNCTION(" VLOOKUP(A1956, IMPORTRANGE(""https://docs.google.com/spreadsheets/d/1fj_Bhi2XPL3siwIh4sx4VRLAe31yD50oKdj5UlRYW0c/"", ""Сводка!A:AA""), 11, FALSE)"),"978-601-240-903-1")</f>
        <v>978-601-240-903-1</v>
      </c>
      <c r="E1959" s="11" t="s">
        <v>8044</v>
      </c>
      <c r="F1959" s="11" t="s">
        <v>8045</v>
      </c>
      <c r="G1959" s="12">
        <f ca="1">IFERROR(__xludf.DUMMYFUNCTION(" VLOOKUP(A1956, IMPORTRANGE(""https://docs.google.com/spreadsheets/d/1fj_Bhi2XPL3siwIh4sx4VRLAe31yD50oKdj5UlRYW0c/"", ""Сводка!A:AA""), 5, FALSE)"),204)</f>
        <v>204</v>
      </c>
      <c r="H1959" s="12" t="s">
        <v>952</v>
      </c>
      <c r="I1959" s="10">
        <f ca="1">IFERROR(__xludf.DUMMYFUNCTION(" VLOOKUP(A1956, IMPORTRANGE(""https://docs.google.com/spreadsheets/d/1QNLbnkR_AongFt22vMfNzfpjZ0CjpI8QI-w0wBnYA1w/"", ""Инфа!A:AA""), 6, FALSE)"),2024)</f>
        <v>2024</v>
      </c>
      <c r="J1959" s="5">
        <f ca="1">ROUND(((5000+G1959*60)*1.3),-2)</f>
        <v>22400</v>
      </c>
      <c r="K1959" s="12" t="s">
        <v>440</v>
      </c>
      <c r="L1959" s="15" t="s">
        <v>8046</v>
      </c>
    </row>
    <row r="1960" spans="1:12" ht="101.25">
      <c r="A1960" s="8" t="s">
        <v>8047</v>
      </c>
      <c r="B1960" s="9" t="s">
        <v>12</v>
      </c>
      <c r="C1960" s="10" t="s">
        <v>443</v>
      </c>
      <c r="D1960" s="10" t="str">
        <f ca="1">IFERROR(__xludf.DUMMYFUNCTION(" VLOOKUP(A1957, IMPORTRANGE(""https://docs.google.com/spreadsheets/d/1fj_Bhi2XPL3siwIh4sx4VRLAe31yD50oKdj5UlRYW0c/"", ""Сводка!A:AA""), 11, FALSE)"),"ISBN 978-601-342-033-2")</f>
        <v>ISBN 978-601-342-033-2</v>
      </c>
      <c r="E1960" s="11" t="s">
        <v>8048</v>
      </c>
      <c r="F1960" s="11" t="s">
        <v>8049</v>
      </c>
      <c r="G1960" s="12">
        <f ca="1">IFERROR(__xludf.DUMMYFUNCTION(" VLOOKUP(A1957, IMPORTRANGE(""https://docs.google.com/spreadsheets/d/1fj_Bhi2XPL3siwIh4sx4VRLAe31yD50oKdj5UlRYW0c/"", ""Сводка!A:AA""), 5, FALSE)"),224)</f>
        <v>224</v>
      </c>
      <c r="H1960" s="12" t="s">
        <v>8050</v>
      </c>
      <c r="I1960" s="10">
        <f ca="1">IFERROR(__xludf.DUMMYFUNCTION(" VLOOKUP(A1957, IMPORTRANGE(""https://docs.google.com/spreadsheets/d/1QNLbnkR_AongFt22vMfNzfpjZ0CjpI8QI-w0wBnYA1w/"", ""Инфа!A:AA""), 6, FALSE)"),2024)</f>
        <v>2024</v>
      </c>
      <c r="J1960" s="5">
        <f ca="1">ROUND((5000+G1960*30),-2)</f>
        <v>11700</v>
      </c>
      <c r="K1960" s="12" t="s">
        <v>1240</v>
      </c>
      <c r="L1960" s="16" t="s">
        <v>8051</v>
      </c>
    </row>
    <row r="1961" spans="1:12" ht="101.25">
      <c r="A1961" s="8" t="s">
        <v>8052</v>
      </c>
      <c r="B1961" s="9" t="s">
        <v>12</v>
      </c>
      <c r="C1961" s="10" t="s">
        <v>443</v>
      </c>
      <c r="D1961" s="10" t="str">
        <f ca="1">IFERROR(__xludf.DUMMYFUNCTION(" VLOOKUP(A1958, IMPORTRANGE(""https://docs.google.com/spreadsheets/d/1fj_Bhi2XPL3siwIh4sx4VRLAe31yD50oKdj5UlRYW0c/"", ""Сводка!A:AA""), 11, FALSE)"),"ISBN 978-601-226-162-2")</f>
        <v>ISBN 978-601-226-162-2</v>
      </c>
      <c r="E1961" s="11" t="s">
        <v>8048</v>
      </c>
      <c r="F1961" s="11" t="s">
        <v>8053</v>
      </c>
      <c r="G1961" s="12">
        <f ca="1">IFERROR(__xludf.DUMMYFUNCTION(" VLOOKUP(A1958, IMPORTRANGE(""https://docs.google.com/spreadsheets/d/1fj_Bhi2XPL3siwIh4sx4VRLAe31yD50oKdj5UlRYW0c/"", ""Сводка!A:AA""), 5, FALSE)"),184)</f>
        <v>184</v>
      </c>
      <c r="H1961" s="12" t="s">
        <v>8050</v>
      </c>
      <c r="I1961" s="10">
        <f ca="1">IFERROR(__xludf.DUMMYFUNCTION(" VLOOKUP(A1958, IMPORTRANGE(""https://docs.google.com/spreadsheets/d/1QNLbnkR_AongFt22vMfNzfpjZ0CjpI8QI-w0wBnYA1w/"", ""Инфа!A:AA""), 6, FALSE)"),2024)</f>
        <v>2024</v>
      </c>
      <c r="J1961" s="5">
        <f ca="1">ROUND((5000+G1961*30),-2)</f>
        <v>10500</v>
      </c>
      <c r="K1961" s="12" t="s">
        <v>1240</v>
      </c>
      <c r="L1961" s="16" t="s">
        <v>8054</v>
      </c>
    </row>
    <row r="1962" spans="1:12" ht="225">
      <c r="A1962" s="8" t="s">
        <v>8055</v>
      </c>
      <c r="B1962" s="9" t="s">
        <v>12</v>
      </c>
      <c r="C1962" s="10" t="s">
        <v>151</v>
      </c>
      <c r="D1962" s="10" t="str">
        <f ca="1">IFERROR(__xludf.DUMMYFUNCTION(" VLOOKUP(A1959, IMPORTRANGE(""https://docs.google.com/spreadsheets/d/1fj_Bhi2XPL3siwIh4sx4VRLAe31yD50oKdj5UlRYW0c/"", ""Сводка!A:AA""), 11, FALSE)"),"ISBN 978-601-233-296-4")</f>
        <v>ISBN 978-601-233-296-4</v>
      </c>
      <c r="E1962" s="22" t="s">
        <v>8056</v>
      </c>
      <c r="F1962" s="22" t="s">
        <v>8057</v>
      </c>
      <c r="G1962" s="12">
        <f ca="1">IFERROR(__xludf.DUMMYFUNCTION(" VLOOKUP(A1959, IMPORTRANGE(""https://docs.google.com/spreadsheets/d/1fj_Bhi2XPL3siwIh4sx4VRLAe31yD50oKdj5UlRYW0c/"", ""Сводка!A:AA""), 5, FALSE)"),220)</f>
        <v>220</v>
      </c>
      <c r="H1962" s="10" t="s">
        <v>106</v>
      </c>
      <c r="I1962" s="10">
        <f ca="1">IFERROR(__xludf.DUMMYFUNCTION(" VLOOKUP(A1959, IMPORTRANGE(""https://docs.google.com/spreadsheets/d/1QNLbnkR_AongFt22vMfNzfpjZ0CjpI8QI-w0wBnYA1w/"", ""Инфа!A:AA""), 6, FALSE)"),2024)</f>
        <v>2024</v>
      </c>
      <c r="J1962" s="5">
        <f ca="1">ROUND((5000+G1962*30),-2)</f>
        <v>11600</v>
      </c>
      <c r="K1962" s="12" t="s">
        <v>160</v>
      </c>
      <c r="L1962" s="23" t="s">
        <v>8058</v>
      </c>
    </row>
    <row r="1963" spans="1:12" ht="157.5">
      <c r="A1963" s="8" t="s">
        <v>8059</v>
      </c>
      <c r="B1963" s="9" t="s">
        <v>12</v>
      </c>
      <c r="C1963" s="10" t="s">
        <v>151</v>
      </c>
      <c r="D1963" s="10" t="str">
        <f ca="1">IFERROR(__xludf.DUMMYFUNCTION(" VLOOKUP(A1960, IMPORTRANGE(""https://docs.google.com/spreadsheets/d/1fj_Bhi2XPL3siwIh4sx4VRLAe31yD50oKdj5UlRYW0c/"", ""Сводка!A:AA""), 11, FALSE)"),"ISBN 978-601-342-134-6")</f>
        <v>ISBN 978-601-342-134-6</v>
      </c>
      <c r="E1963" s="11" t="s">
        <v>8060</v>
      </c>
      <c r="F1963" s="11" t="s">
        <v>8061</v>
      </c>
      <c r="G1963" s="12">
        <f ca="1">IFERROR(__xludf.DUMMYFUNCTION(" VLOOKUP(A1960, IMPORTRANGE(""https://docs.google.com/spreadsheets/d/1fj_Bhi2XPL3siwIh4sx4VRLAe31yD50oKdj5UlRYW0c/"", ""Сводка!A:AA""), 5, FALSE)"),104)</f>
        <v>104</v>
      </c>
      <c r="H1963" s="12" t="s">
        <v>282</v>
      </c>
      <c r="I1963" s="10">
        <f ca="1">IFERROR(__xludf.DUMMYFUNCTION(" VLOOKUP(A1960, IMPORTRANGE(""https://docs.google.com/spreadsheets/d/1QNLbnkR_AongFt22vMfNzfpjZ0CjpI8QI-w0wBnYA1w/"", ""Инфа!A:AA""), 6, FALSE)"),2024)</f>
        <v>2024</v>
      </c>
      <c r="J1963" s="5">
        <f ca="1">ROUND((5000+G1963*60),-2)</f>
        <v>11200</v>
      </c>
      <c r="K1963" s="12" t="s">
        <v>7911</v>
      </c>
      <c r="L1963" s="15" t="s">
        <v>8062</v>
      </c>
    </row>
    <row r="1964" spans="1:12" ht="236.25">
      <c r="A1964" s="8" t="s">
        <v>8063</v>
      </c>
      <c r="B1964" s="9" t="s">
        <v>12</v>
      </c>
      <c r="C1964" s="10" t="s">
        <v>151</v>
      </c>
      <c r="D1964" s="10" t="str">
        <f ca="1">IFERROR(__xludf.DUMMYFUNCTION(" VLOOKUP(A1961, IMPORTRANGE(""https://docs.google.com/spreadsheets/d/1fj_Bhi2XPL3siwIh4sx4VRLAe31yD50oKdj5UlRYW0c/"", ""Сводка!A:AA""), 11, FALSE)"),"ISBN 978-601-342-161-2")</f>
        <v>ISBN 978-601-342-161-2</v>
      </c>
      <c r="E1964" s="11" t="s">
        <v>8060</v>
      </c>
      <c r="F1964" s="11" t="s">
        <v>8064</v>
      </c>
      <c r="G1964" s="12">
        <f ca="1">IFERROR(__xludf.DUMMYFUNCTION(" VLOOKUP(A1961, IMPORTRANGE(""https://docs.google.com/spreadsheets/d/1fj_Bhi2XPL3siwIh4sx4VRLAe31yD50oKdj5UlRYW0c/"", ""Сводка!A:AA""), 5, FALSE)"),132)</f>
        <v>132</v>
      </c>
      <c r="H1964" s="12" t="s">
        <v>282</v>
      </c>
      <c r="I1964" s="10">
        <f ca="1">IFERROR(__xludf.DUMMYFUNCTION(" VLOOKUP(A1961, IMPORTRANGE(""https://docs.google.com/spreadsheets/d/1QNLbnkR_AongFt22vMfNzfpjZ0CjpI8QI-w0wBnYA1w/"", ""Инфа!A:AA""), 6, FALSE)"),2024)</f>
        <v>2024</v>
      </c>
      <c r="J1964" s="5">
        <f ca="1">ROUND((5000+G1964*60),-2)</f>
        <v>12900</v>
      </c>
      <c r="K1964" s="12" t="s">
        <v>7911</v>
      </c>
      <c r="L1964" s="16" t="s">
        <v>8065</v>
      </c>
    </row>
    <row r="1965" spans="1:12" ht="112.5">
      <c r="A1965" s="8" t="s">
        <v>8066</v>
      </c>
      <c r="B1965" s="9" t="s">
        <v>12</v>
      </c>
      <c r="C1965" s="10" t="s">
        <v>443</v>
      </c>
      <c r="D1965" s="10" t="str">
        <f ca="1">IFERROR(__xludf.DUMMYFUNCTION(" VLOOKUP(A1962, IMPORTRANGE(""https://docs.google.com/spreadsheets/d/1fj_Bhi2XPL3siwIh4sx4VRLAe31yD50oKdj5UlRYW0c/"", ""Сводка!A:AA""), 11, FALSE)"),"978-601-342-884-0")</f>
        <v>978-601-342-884-0</v>
      </c>
      <c r="E1965" s="11" t="s">
        <v>8067</v>
      </c>
      <c r="F1965" s="11" t="s">
        <v>8068</v>
      </c>
      <c r="G1965" s="12">
        <f ca="1">IFERROR(__xludf.DUMMYFUNCTION(" VLOOKUP(A1962, IMPORTRANGE(""https://docs.google.com/spreadsheets/d/1fj_Bhi2XPL3siwIh4sx4VRLAe31yD50oKdj5UlRYW0c/"", ""Сводка!A:AA""), 5, FALSE)"),104)</f>
        <v>104</v>
      </c>
      <c r="H1965" s="12" t="s">
        <v>538</v>
      </c>
      <c r="I1965" s="10">
        <f ca="1">IFERROR(__xludf.DUMMYFUNCTION(" VLOOKUP(A1962, IMPORTRANGE(""https://docs.google.com/spreadsheets/d/1QNLbnkR_AongFt22vMfNzfpjZ0CjpI8QI-w0wBnYA1w/"", ""Инфа!A:AA""), 6, FALSE)"),2024)</f>
        <v>2024</v>
      </c>
      <c r="J1965" s="5">
        <f ca="1">ROUND((5000+G1965*30),-2)</f>
        <v>8100</v>
      </c>
      <c r="K1965" s="12" t="s">
        <v>2520</v>
      </c>
      <c r="L1965" s="15" t="s">
        <v>8069</v>
      </c>
    </row>
    <row r="1966" spans="1:12" ht="76.5">
      <c r="A1966" s="8" t="s">
        <v>8070</v>
      </c>
      <c r="B1966" s="9" t="s">
        <v>12</v>
      </c>
      <c r="C1966" s="10" t="s">
        <v>151</v>
      </c>
      <c r="D1966" s="10" t="str">
        <f ca="1">IFERROR(__xludf.DUMMYFUNCTION(" VLOOKUP(A1963, IMPORTRANGE(""https://docs.google.com/spreadsheets/d/1fj_Bhi2XPL3siwIh4sx4VRLAe31yD50oKdj5UlRYW0c/"", ""Сводка!A:AA""), 11, FALSE)"),"ISBN 978-601-327-874-2")</f>
        <v>ISBN 978-601-327-874-2</v>
      </c>
      <c r="E1966" s="11" t="s">
        <v>8071</v>
      </c>
      <c r="F1966" s="11" t="s">
        <v>8072</v>
      </c>
      <c r="G1966" s="12">
        <f ca="1">IFERROR(__xludf.DUMMYFUNCTION(" VLOOKUP(A1963, IMPORTRANGE(""https://docs.google.com/spreadsheets/d/1fj_Bhi2XPL3siwIh4sx4VRLAe31yD50oKdj5UlRYW0c/"", ""Сводка!A:AA""), 5, FALSE)"),128)</f>
        <v>128</v>
      </c>
      <c r="H1966" s="12" t="s">
        <v>165</v>
      </c>
      <c r="I1966" s="10">
        <f ca="1">IFERROR(__xludf.DUMMYFUNCTION(" VLOOKUP(A1963, IMPORTRANGE(""https://docs.google.com/spreadsheets/d/1QNLbnkR_AongFt22vMfNzfpjZ0CjpI8QI-w0wBnYA1w/"", ""Инфа!A:AA""), 6, FALSE)"),2024)</f>
        <v>2024</v>
      </c>
      <c r="J1966" s="5">
        <f ca="1">ROUND((5000+G1966*30),-2)</f>
        <v>8800</v>
      </c>
      <c r="K1966" s="12" t="s">
        <v>213</v>
      </c>
      <c r="L1966" s="15" t="s">
        <v>8073</v>
      </c>
    </row>
    <row r="1967" spans="1:12" ht="123.75">
      <c r="A1967" s="8" t="s">
        <v>8074</v>
      </c>
      <c r="B1967" s="9" t="s">
        <v>12</v>
      </c>
      <c r="C1967" s="10" t="s">
        <v>443</v>
      </c>
      <c r="D1967" s="10" t="str">
        <f ca="1">IFERROR(__xludf.DUMMYFUNCTION(" VLOOKUP(A1964, IMPORTRANGE(""https://docs.google.com/spreadsheets/d/1fj_Bhi2XPL3siwIh4sx4VRLAe31yD50oKdj5UlRYW0c/"", ""Сводка!A:AA""), 11, FALSE)"),"ISBN 978-601-310-949-7")</f>
        <v>ISBN 978-601-310-949-7</v>
      </c>
      <c r="E1967" s="11" t="s">
        <v>8075</v>
      </c>
      <c r="F1967" s="11" t="s">
        <v>8076</v>
      </c>
      <c r="G1967" s="12">
        <f ca="1">IFERROR(__xludf.DUMMYFUNCTION(" VLOOKUP(A1964, IMPORTRANGE(""https://docs.google.com/spreadsheets/d/1fj_Bhi2XPL3siwIh4sx4VRLAe31yD50oKdj5UlRYW0c/"", ""Сводка!A:AA""), 5, FALSE)"),140)</f>
        <v>140</v>
      </c>
      <c r="H1967" s="12" t="s">
        <v>446</v>
      </c>
      <c r="I1967" s="10">
        <f ca="1">IFERROR(__xludf.DUMMYFUNCTION(" VLOOKUP(A1964, IMPORTRANGE(""https://docs.google.com/spreadsheets/d/1QNLbnkR_AongFt22vMfNzfpjZ0CjpI8QI-w0wBnYA1w/"", ""Инфа!A:AA""), 6, FALSE)"),2024)</f>
        <v>2024</v>
      </c>
      <c r="J1967" s="5">
        <f ca="1">ROUND((5000+G1967*30),-2)</f>
        <v>9200</v>
      </c>
      <c r="K1967" s="12" t="s">
        <v>139</v>
      </c>
      <c r="L1967" s="15" t="s">
        <v>8077</v>
      </c>
    </row>
    <row r="1968" spans="1:12" ht="123.75">
      <c r="A1968" s="8" t="s">
        <v>8078</v>
      </c>
      <c r="B1968" s="9" t="s">
        <v>12</v>
      </c>
      <c r="C1968" s="10" t="s">
        <v>443</v>
      </c>
      <c r="D1968" s="10" t="str">
        <f ca="1">IFERROR(__xludf.DUMMYFUNCTION(" VLOOKUP(A1965, IMPORTRANGE(""https://docs.google.com/spreadsheets/d/1fj_Bhi2XPL3siwIh4sx4VRLAe31yD50oKdj5UlRYW0c/"", ""Сводка!A:AA""), 11, FALSE)"),"978-601-240-581-1")</f>
        <v>978-601-240-581-1</v>
      </c>
      <c r="E1968" s="11" t="s">
        <v>8079</v>
      </c>
      <c r="F1968" s="11" t="s">
        <v>8080</v>
      </c>
      <c r="G1968" s="12">
        <f ca="1">IFERROR(__xludf.DUMMYFUNCTION(" VLOOKUP(A1965, IMPORTRANGE(""https://docs.google.com/spreadsheets/d/1fj_Bhi2XPL3siwIh4sx4VRLAe31yD50oKdj5UlRYW0c/"", ""Сводка!A:AA""), 5, FALSE)"),144)</f>
        <v>144</v>
      </c>
      <c r="H1968" s="12" t="s">
        <v>538</v>
      </c>
      <c r="I1968" s="10">
        <f ca="1">IFERROR(__xludf.DUMMYFUNCTION(" VLOOKUP(A1965, IMPORTRANGE(""https://docs.google.com/spreadsheets/d/1QNLbnkR_AongFt22vMfNzfpjZ0CjpI8QI-w0wBnYA1w/"", ""Инфа!A:AA""), 6, FALSE)"),2024)</f>
        <v>2024</v>
      </c>
      <c r="J1968" s="5">
        <f ca="1">ROUND((5000+G1968*60),-2)</f>
        <v>13600</v>
      </c>
      <c r="K1968" s="9" t="s">
        <v>592</v>
      </c>
      <c r="L1968" s="15" t="s">
        <v>8081</v>
      </c>
    </row>
    <row r="1969" spans="1:12" ht="56.25">
      <c r="A1969" s="8" t="s">
        <v>8082</v>
      </c>
      <c r="B1969" s="9" t="s">
        <v>12</v>
      </c>
      <c r="C1969" s="10" t="s">
        <v>443</v>
      </c>
      <c r="D1969" s="10" t="str">
        <f ca="1">IFERROR(__xludf.DUMMYFUNCTION(" VLOOKUP(A1966, IMPORTRANGE(""https://docs.google.com/spreadsheets/d/1fj_Bhi2XPL3siwIh4sx4VRLAe31yD50oKdj5UlRYW0c/"", ""Сводка!A:AA""), 11, FALSE)"),"978-601-240-859-1")</f>
        <v>978-601-240-859-1</v>
      </c>
      <c r="E1969" s="11" t="s">
        <v>8083</v>
      </c>
      <c r="F1969" s="11" t="s">
        <v>1508</v>
      </c>
      <c r="G1969" s="12">
        <f ca="1">IFERROR(__xludf.DUMMYFUNCTION(" VLOOKUP(A1966, IMPORTRANGE(""https://docs.google.com/spreadsheets/d/1fj_Bhi2XPL3siwIh4sx4VRLAe31yD50oKdj5UlRYW0c/"", ""Сводка!A:AA""), 5, FALSE)"),100)</f>
        <v>100</v>
      </c>
      <c r="H1969" s="12" t="s">
        <v>8084</v>
      </c>
      <c r="I1969" s="10">
        <f ca="1">IFERROR(__xludf.DUMMYFUNCTION(" VLOOKUP(A1966, IMPORTRANGE(""https://docs.google.com/spreadsheets/d/1QNLbnkR_AongFt22vMfNzfpjZ0CjpI8QI-w0wBnYA1w/"", ""Инфа!A:AA""), 6, FALSE)"),2024)</f>
        <v>2024</v>
      </c>
      <c r="J1969" s="5">
        <f ca="1">ROUND((5000+G1969*30),-2)</f>
        <v>8000</v>
      </c>
      <c r="K1969" s="12" t="s">
        <v>1947</v>
      </c>
      <c r="L1969" s="15" t="s">
        <v>8085</v>
      </c>
    </row>
    <row r="1970" spans="1:12" ht="247.5">
      <c r="A1970" s="8" t="s">
        <v>8086</v>
      </c>
      <c r="B1970" s="9" t="s">
        <v>12</v>
      </c>
      <c r="C1970" s="10" t="s">
        <v>443</v>
      </c>
      <c r="D1970" s="10" t="str">
        <f ca="1">IFERROR(__xludf.DUMMYFUNCTION(" VLOOKUP(A1967, IMPORTRANGE(""https://docs.google.com/spreadsheets/d/1fj_Bhi2XPL3siwIh4sx4VRLAe31yD50oKdj5UlRYW0c/"", ""Сводка!A:AA""), 11, FALSE)"),"ISBN 978-601-7199-18-0")</f>
        <v>ISBN 978-601-7199-18-0</v>
      </c>
      <c r="E1970" s="11" t="s">
        <v>8087</v>
      </c>
      <c r="F1970" s="11" t="s">
        <v>8088</v>
      </c>
      <c r="G1970" s="12">
        <v>164</v>
      </c>
      <c r="H1970" s="12" t="s">
        <v>538</v>
      </c>
      <c r="I1970" s="10">
        <f ca="1">IFERROR(__xludf.DUMMYFUNCTION(" VLOOKUP(A1967, IMPORTRANGE(""https://docs.google.com/spreadsheets/d/1QNLbnkR_AongFt22vMfNzfpjZ0CjpI8QI-w0wBnYA1w/"", ""Инфа!A:AA""), 6, FALSE)"),2024)</f>
        <v>2024</v>
      </c>
      <c r="J1970" s="5">
        <f>ROUND((5000+G1970*30),-2)</f>
        <v>9900</v>
      </c>
      <c r="K1970" s="12" t="s">
        <v>257</v>
      </c>
      <c r="L1970" s="15" t="s">
        <v>8089</v>
      </c>
    </row>
    <row r="1971" spans="1:12" ht="157.5">
      <c r="A1971" s="8" t="s">
        <v>8090</v>
      </c>
      <c r="B1971" s="9" t="s">
        <v>12</v>
      </c>
      <c r="C1971" s="10" t="s">
        <v>443</v>
      </c>
      <c r="D1971" s="10" t="str">
        <f ca="1">IFERROR(__xludf.DUMMYFUNCTION(" VLOOKUP(A1968, IMPORTRANGE(""https://docs.google.com/spreadsheets/d/1fj_Bhi2XPL3siwIh4sx4VRLAe31yD50oKdj5UlRYW0c/"", ""Сводка!A:AA""), 11, FALSE)"),"ISBN 978-601-342-688-4")</f>
        <v>ISBN 978-601-342-688-4</v>
      </c>
      <c r="E1971" s="11" t="s">
        <v>8091</v>
      </c>
      <c r="F1971" s="11" t="s">
        <v>8092</v>
      </c>
      <c r="G1971" s="12">
        <f ca="1">IFERROR(__xludf.DUMMYFUNCTION(" VLOOKUP(A1968, IMPORTRANGE(""https://docs.google.com/spreadsheets/d/1fj_Bhi2XPL3siwIh4sx4VRLAe31yD50oKdj5UlRYW0c/"", ""Сводка!A:AA""), 5, FALSE)"),88)</f>
        <v>88</v>
      </c>
      <c r="H1971" s="12" t="s">
        <v>538</v>
      </c>
      <c r="I1971" s="10">
        <f ca="1">IFERROR(__xludf.DUMMYFUNCTION(" VLOOKUP(A1968, IMPORTRANGE(""https://docs.google.com/spreadsheets/d/1QNLbnkR_AongFt22vMfNzfpjZ0CjpI8QI-w0wBnYA1w/"", ""Инфа!A:AA""), 6, FALSE)"),2024)</f>
        <v>2024</v>
      </c>
      <c r="J1971" s="5">
        <f ca="1">ROUND((5000+G1971*30),-2)</f>
        <v>7600</v>
      </c>
      <c r="K1971" s="12" t="s">
        <v>1483</v>
      </c>
      <c r="L1971" s="15" t="s">
        <v>8093</v>
      </c>
    </row>
    <row r="1972" spans="1:12" ht="112.5">
      <c r="A1972" s="8" t="s">
        <v>8094</v>
      </c>
      <c r="B1972" s="9" t="s">
        <v>12</v>
      </c>
      <c r="C1972" s="10" t="s">
        <v>151</v>
      </c>
      <c r="D1972" s="10" t="str">
        <f ca="1">IFERROR(__xludf.DUMMYFUNCTION(" VLOOKUP(A1969, IMPORTRANGE(""https://docs.google.com/spreadsheets/d/1fj_Bhi2XPL3siwIh4sx4VRLAe31yD50oKdj5UlRYW0c/"", ""Сводка!A:AA""), 11, FALSE)"),"ISBN 978-6017976-20-5")</f>
        <v>ISBN 978-6017976-20-5</v>
      </c>
      <c r="E1972" s="11" t="s">
        <v>8095</v>
      </c>
      <c r="F1972" s="11" t="s">
        <v>8096</v>
      </c>
      <c r="G1972" s="12">
        <v>204</v>
      </c>
      <c r="H1972" s="12" t="s">
        <v>56</v>
      </c>
      <c r="I1972" s="10">
        <f ca="1">IFERROR(__xludf.DUMMYFUNCTION(" VLOOKUP(A1969, IMPORTRANGE(""https://docs.google.com/spreadsheets/d/1QNLbnkR_AongFt22vMfNzfpjZ0CjpI8QI-w0wBnYA1w/"", ""Инфа!A:AA""), 6, FALSE)"),2024)</f>
        <v>2024</v>
      </c>
      <c r="J1972" s="5">
        <f>ROUND((5000+G1972*30),-2)</f>
        <v>11100</v>
      </c>
      <c r="K1972" s="12" t="s">
        <v>8097</v>
      </c>
      <c r="L1972" s="15" t="s">
        <v>8098</v>
      </c>
    </row>
    <row r="1973" spans="1:12" ht="191.25">
      <c r="A1973" s="8" t="s">
        <v>8099</v>
      </c>
      <c r="B1973" s="9" t="s">
        <v>12</v>
      </c>
      <c r="C1973" s="10" t="s">
        <v>443</v>
      </c>
      <c r="D1973" s="10" t="str">
        <f ca="1">IFERROR(__xludf.DUMMYFUNCTION(" VLOOKUP(A1970, IMPORTRANGE(""https://docs.google.com/spreadsheets/d/1fj_Bhi2XPL3siwIh4sx4VRLAe31yD50oKdj5UlRYW0c/"", ""Сводка!A:AA""), 11, FALSE)"),"978-601-240-178-3")</f>
        <v>978-601-240-178-3</v>
      </c>
      <c r="E1973" s="19" t="s">
        <v>8100</v>
      </c>
      <c r="F1973" s="19" t="s">
        <v>8101</v>
      </c>
      <c r="G1973" s="12">
        <f ca="1">IFERROR(__xludf.DUMMYFUNCTION(" VLOOKUP(A1970, IMPORTRANGE(""https://docs.google.com/spreadsheets/d/1fj_Bhi2XPL3siwIh4sx4VRLAe31yD50oKdj5UlRYW0c/"", ""Сводка!A:AA""), 5, FALSE)"),160)</f>
        <v>160</v>
      </c>
      <c r="H1973" s="9" t="s">
        <v>538</v>
      </c>
      <c r="I1973" s="10">
        <f ca="1">IFERROR(__xludf.DUMMYFUNCTION(" VLOOKUP(A1970, IMPORTRANGE(""https://docs.google.com/spreadsheets/d/1QNLbnkR_AongFt22vMfNzfpjZ0CjpI8QI-w0wBnYA1w/"", ""Инфа!A:AA""), 6, FALSE)"),2024)</f>
        <v>2024</v>
      </c>
      <c r="J1973" s="5">
        <f ca="1">ROUND((5000+G1973*60),-2)</f>
        <v>14600</v>
      </c>
      <c r="K1973" s="9" t="s">
        <v>69</v>
      </c>
      <c r="L1973" s="15" t="s">
        <v>8102</v>
      </c>
    </row>
    <row r="1974" spans="1:12" ht="202.5">
      <c r="A1974" s="8" t="s">
        <v>8103</v>
      </c>
      <c r="B1974" s="9" t="s">
        <v>12</v>
      </c>
      <c r="C1974" s="10" t="s">
        <v>443</v>
      </c>
      <c r="D1974" s="10" t="str">
        <f ca="1">IFERROR(__xludf.DUMMYFUNCTION(" VLOOKUP(A1971, IMPORTRANGE(""https://docs.google.com/spreadsheets/d/1fj_Bhi2XPL3siwIh4sx4VRLAe31yD50oKdj5UlRYW0c/"", ""Сводка!A:AA""), 11, FALSE)"),"ISBN 978-601-327-332-7")</f>
        <v>ISBN 978-601-327-332-7</v>
      </c>
      <c r="E1974" s="11" t="s">
        <v>8104</v>
      </c>
      <c r="F1974" s="11" t="s">
        <v>8105</v>
      </c>
      <c r="G1974" s="12">
        <f ca="1">IFERROR(__xludf.DUMMYFUNCTION(" VLOOKUP(A1971, IMPORTRANGE(""https://docs.google.com/spreadsheets/d/1fj_Bhi2XPL3siwIh4sx4VRLAe31yD50oKdj5UlRYW0c/"", ""Сводка!A:AA""), 5, FALSE)"),88)</f>
        <v>88</v>
      </c>
      <c r="H1974" s="12" t="s">
        <v>47</v>
      </c>
      <c r="I1974" s="10">
        <f ca="1">IFERROR(__xludf.DUMMYFUNCTION(" VLOOKUP(A1971, IMPORTRANGE(""https://docs.google.com/spreadsheets/d/1QNLbnkR_AongFt22vMfNzfpjZ0CjpI8QI-w0wBnYA1w/"", ""Инфа!A:AA""), 6, FALSE)"),2024)</f>
        <v>2024</v>
      </c>
      <c r="J1974" s="5">
        <f ca="1">ROUND((5000+G1974*30),-2)</f>
        <v>7600</v>
      </c>
      <c r="K1974" s="9" t="s">
        <v>408</v>
      </c>
      <c r="L1974" s="15" t="s">
        <v>8106</v>
      </c>
    </row>
    <row r="1975" spans="1:12" ht="168.75">
      <c r="A1975" s="8" t="s">
        <v>8107</v>
      </c>
      <c r="B1975" s="9" t="s">
        <v>12</v>
      </c>
      <c r="C1975" s="10" t="s">
        <v>443</v>
      </c>
      <c r="D1975" s="10" t="str">
        <f ca="1">IFERROR(__xludf.DUMMYFUNCTION(" VLOOKUP(A1972, IMPORTRANGE(""https://docs.google.com/spreadsheets/d/1fj_Bhi2XPL3siwIh4sx4VRLAe31yD50oKdj5UlRYW0c/"", ""Сводка!A:AA""), 11, FALSE)"),"ISBN 978-601-240-206-3")</f>
        <v>ISBN 978-601-240-206-3</v>
      </c>
      <c r="E1975" s="11" t="s">
        <v>8108</v>
      </c>
      <c r="F1975" s="11" t="s">
        <v>8109</v>
      </c>
      <c r="G1975" s="12">
        <f ca="1">IFERROR(__xludf.DUMMYFUNCTION(" VLOOKUP(A1972, IMPORTRANGE(""https://docs.google.com/spreadsheets/d/1fj_Bhi2XPL3siwIh4sx4VRLAe31yD50oKdj5UlRYW0c/"", ""Сводка!A:AA""), 5, FALSE)"),200)</f>
        <v>200</v>
      </c>
      <c r="H1975" s="12" t="s">
        <v>777</v>
      </c>
      <c r="I1975" s="10">
        <f ca="1">IFERROR(__xludf.DUMMYFUNCTION(" VLOOKUP(A1972, IMPORTRANGE(""https://docs.google.com/spreadsheets/d/1QNLbnkR_AongFt22vMfNzfpjZ0CjpI8QI-w0wBnYA1w/"", ""Инфа!A:AA""), 6, FALSE)"),2024)</f>
        <v>2024</v>
      </c>
      <c r="J1975" s="5">
        <f ca="1">ROUND((5000+G1975*30),-2)</f>
        <v>11000</v>
      </c>
      <c r="K1975" s="12" t="s">
        <v>4260</v>
      </c>
      <c r="L1975" s="15" t="s">
        <v>8110</v>
      </c>
    </row>
    <row r="1976" spans="1:12" ht="123.75">
      <c r="A1976" s="8" t="s">
        <v>8111</v>
      </c>
      <c r="B1976" s="9" t="s">
        <v>12</v>
      </c>
      <c r="C1976" s="10" t="s">
        <v>151</v>
      </c>
      <c r="D1976" s="10" t="str">
        <f ca="1">IFERROR(__xludf.DUMMYFUNCTION(" VLOOKUP(A1973, IMPORTRANGE(""https://docs.google.com/spreadsheets/d/1fj_Bhi2XPL3siwIh4sx4VRLAe31yD50oKdj5UlRYW0c/"", ""Сводка!A:AA""), 11, FALSE)"),"ISBN 978-601-310-563-5")</f>
        <v>ISBN 978-601-310-563-5</v>
      </c>
      <c r="E1976" s="11" t="s">
        <v>8112</v>
      </c>
      <c r="F1976" s="11" t="s">
        <v>8113</v>
      </c>
      <c r="G1976" s="12">
        <f ca="1">IFERROR(__xludf.DUMMYFUNCTION(" VLOOKUP(A1973, IMPORTRANGE(""https://docs.google.com/spreadsheets/d/1fj_Bhi2XPL3siwIh4sx4VRLAe31yD50oKdj5UlRYW0c/"", ""Сводка!A:AA""), 5, FALSE)"),176)</f>
        <v>176</v>
      </c>
      <c r="H1976" s="12" t="s">
        <v>952</v>
      </c>
      <c r="I1976" s="10">
        <f ca="1">IFERROR(__xludf.DUMMYFUNCTION(" VLOOKUP(A1973, IMPORTRANGE(""https://docs.google.com/spreadsheets/d/1QNLbnkR_AongFt22vMfNzfpjZ0CjpI8QI-w0wBnYA1w/"", ""Инфа!A:AA""), 6, FALSE)"),2024)</f>
        <v>2024</v>
      </c>
      <c r="J1976" s="5">
        <f ca="1">ROUND((5000+G1976*30),-2)</f>
        <v>10300</v>
      </c>
      <c r="K1976" s="12" t="s">
        <v>440</v>
      </c>
      <c r="L1976" s="15" t="s">
        <v>8114</v>
      </c>
    </row>
    <row r="1977" spans="1:12" ht="67.5">
      <c r="A1977" s="8" t="s">
        <v>8115</v>
      </c>
      <c r="B1977" s="9" t="s">
        <v>12</v>
      </c>
      <c r="C1977" s="10" t="s">
        <v>443</v>
      </c>
      <c r="D1977" s="10" t="str">
        <f ca="1">IFERROR(__xludf.DUMMYFUNCTION(" VLOOKUP(A1974, IMPORTRANGE(""https://docs.google.com/spreadsheets/d/1fj_Bhi2XPL3siwIh4sx4VRLAe31yD50oKdj5UlRYW0c/"", ""Сводка!A:AA""), 11, FALSE)"),"ISBN 978-601-310-564-2")</f>
        <v>ISBN 978-601-310-564-2</v>
      </c>
      <c r="E1977" s="11" t="s">
        <v>8116</v>
      </c>
      <c r="F1977" s="11" t="s">
        <v>8117</v>
      </c>
      <c r="G1977" s="12">
        <f ca="1">IFERROR(__xludf.DUMMYFUNCTION(" VLOOKUP(A1974, IMPORTRANGE(""https://docs.google.com/spreadsheets/d/1fj_Bhi2XPL3siwIh4sx4VRLAe31yD50oKdj5UlRYW0c/"", ""Сводка!A:AA""), 5, FALSE)"),172)</f>
        <v>172</v>
      </c>
      <c r="H1977" s="12" t="s">
        <v>952</v>
      </c>
      <c r="I1977" s="10">
        <f ca="1">IFERROR(__xludf.DUMMYFUNCTION(" VLOOKUP(A1974, IMPORTRANGE(""https://docs.google.com/spreadsheets/d/1QNLbnkR_AongFt22vMfNzfpjZ0CjpI8QI-w0wBnYA1w/"", ""Инфа!A:AA""), 6, FALSE)"),2024)</f>
        <v>2024</v>
      </c>
      <c r="J1977" s="5">
        <f ca="1">ROUND((5000+G1977*30),-2)</f>
        <v>10200</v>
      </c>
      <c r="K1977" s="12" t="s">
        <v>440</v>
      </c>
      <c r="L1977" s="15" t="s">
        <v>8118</v>
      </c>
    </row>
    <row r="1978" spans="1:12" ht="123.75">
      <c r="A1978" s="8" t="s">
        <v>8119</v>
      </c>
      <c r="B1978" s="9" t="s">
        <v>12</v>
      </c>
      <c r="C1978" s="10" t="s">
        <v>443</v>
      </c>
      <c r="D1978" s="10" t="str">
        <f ca="1">IFERROR(__xludf.DUMMYFUNCTION(" VLOOKUP(A1975, IMPORTRANGE(""https://docs.google.com/spreadsheets/d/1fj_Bhi2XPL3siwIh4sx4VRLAe31yD50oKdj5UlRYW0c/"", ""Сводка!A:AA""), 11, FALSE)"),"ISBN 978-601-327-241-2")</f>
        <v>ISBN 978-601-327-241-2</v>
      </c>
      <c r="E1978" s="11" t="s">
        <v>8120</v>
      </c>
      <c r="F1978" s="11" t="s">
        <v>8121</v>
      </c>
      <c r="G1978" s="12">
        <f ca="1">IFERROR(__xludf.DUMMYFUNCTION(" VLOOKUP(A1975, IMPORTRANGE(""https://docs.google.com/spreadsheets/d/1fj_Bhi2XPL3siwIh4sx4VRLAe31yD50oKdj5UlRYW0c/"", ""Сводка!A:AA""), 5, FALSE)"),220)</f>
        <v>220</v>
      </c>
      <c r="H1978" s="12" t="s">
        <v>538</v>
      </c>
      <c r="I1978" s="10">
        <f ca="1">IFERROR(__xludf.DUMMYFUNCTION(" VLOOKUP(A1975, IMPORTRANGE(""https://docs.google.com/spreadsheets/d/1QNLbnkR_AongFt22vMfNzfpjZ0CjpI8QI-w0wBnYA1w/"", ""Инфа!A:AA""), 6, FALSE)"),2024)</f>
        <v>2024</v>
      </c>
      <c r="J1978" s="5">
        <f ca="1">ROUND((5000+G1978*30),-2)</f>
        <v>11600</v>
      </c>
      <c r="K1978" s="12" t="s">
        <v>860</v>
      </c>
      <c r="L1978" s="15" t="s">
        <v>8122</v>
      </c>
    </row>
    <row r="1979" spans="1:12" ht="157.5">
      <c r="A1979" s="8" t="s">
        <v>8123</v>
      </c>
      <c r="B1979" s="9" t="s">
        <v>12</v>
      </c>
      <c r="C1979" s="10" t="s">
        <v>443</v>
      </c>
      <c r="D1979" s="10" t="str">
        <f ca="1">IFERROR(__xludf.DUMMYFUNCTION(" VLOOKUP(A1976, IMPORTRANGE(""https://docs.google.com/spreadsheets/d/1fj_Bhi2XPL3siwIh4sx4VRLAe31yD50oKdj5UlRYW0c/"", ""Сводка!A:AA""), 11, FALSE)"),"ISBN 978-601-327-430-0")</f>
        <v>ISBN 978-601-327-430-0</v>
      </c>
      <c r="E1979" s="11" t="s">
        <v>8124</v>
      </c>
      <c r="F1979" s="11" t="s">
        <v>8125</v>
      </c>
      <c r="G1979" s="12">
        <f ca="1">IFERROR(__xludf.DUMMYFUNCTION(" VLOOKUP(A1976, IMPORTRANGE(""https://docs.google.com/spreadsheets/d/1fj_Bhi2XPL3siwIh4sx4VRLAe31yD50oKdj5UlRYW0c/"", ""Сводка!A:AA""), 5, FALSE)"),120)</f>
        <v>120</v>
      </c>
      <c r="H1979" s="12" t="s">
        <v>538</v>
      </c>
      <c r="I1979" s="10">
        <f ca="1">IFERROR(__xludf.DUMMYFUNCTION(" VLOOKUP(A1976, IMPORTRANGE(""https://docs.google.com/spreadsheets/d/1QNLbnkR_AongFt22vMfNzfpjZ0CjpI8QI-w0wBnYA1w/"", ""Инфа!A:AA""), 6, FALSE)"),2024)</f>
        <v>2024</v>
      </c>
      <c r="J1979" s="5">
        <f ca="1">ROUND((5000+G1979*60),-2)</f>
        <v>12200</v>
      </c>
      <c r="K1979" s="12" t="s">
        <v>447</v>
      </c>
      <c r="L1979" s="15" t="s">
        <v>8126</v>
      </c>
    </row>
    <row r="1980" spans="1:12" ht="123.75">
      <c r="A1980" s="8" t="s">
        <v>8127</v>
      </c>
      <c r="B1980" s="9" t="s">
        <v>12</v>
      </c>
      <c r="C1980" s="10" t="s">
        <v>443</v>
      </c>
      <c r="D1980" s="10" t="str">
        <f ca="1">IFERROR(__xludf.DUMMYFUNCTION(" VLOOKUP(A1977, IMPORTRANGE(""https://docs.google.com/spreadsheets/d/1fj_Bhi2XPL3siwIh4sx4VRLAe31yD50oKdj5UlRYW0c/"", ""Сводка!A:AA""), 11, FALSE)"),"ISBN 978-601-327-431-7")</f>
        <v>ISBN 978-601-327-431-7</v>
      </c>
      <c r="E1980" s="11" t="s">
        <v>8128</v>
      </c>
      <c r="F1980" s="11" t="s">
        <v>8129</v>
      </c>
      <c r="G1980" s="12">
        <f ca="1">IFERROR(__xludf.DUMMYFUNCTION(" VLOOKUP(A1977, IMPORTRANGE(""https://docs.google.com/spreadsheets/d/1fj_Bhi2XPL3siwIh4sx4VRLAe31yD50oKdj5UlRYW0c/"", ""Сводка!A:AA""), 5, FALSE)"),224)</f>
        <v>224</v>
      </c>
      <c r="H1980" s="12" t="s">
        <v>538</v>
      </c>
      <c r="I1980" s="10">
        <f ca="1">IFERROR(__xludf.DUMMYFUNCTION(" VLOOKUP(A1977, IMPORTRANGE(""https://docs.google.com/spreadsheets/d/1QNLbnkR_AongFt22vMfNzfpjZ0CjpI8QI-w0wBnYA1w/"", ""Инфа!A:AA""), 6, FALSE)"),2024)</f>
        <v>2024</v>
      </c>
      <c r="J1980" s="5">
        <f ca="1">ROUND((5000+G1980*60),-2)</f>
        <v>18400</v>
      </c>
      <c r="K1980" s="12" t="s">
        <v>447</v>
      </c>
      <c r="L1980" s="15" t="s">
        <v>8130</v>
      </c>
    </row>
    <row r="1981" spans="1:12" ht="146.25">
      <c r="A1981" s="8" t="s">
        <v>8131</v>
      </c>
      <c r="B1981" s="9" t="s">
        <v>12</v>
      </c>
      <c r="C1981" s="10" t="s">
        <v>443</v>
      </c>
      <c r="D1981" s="10" t="str">
        <f ca="1">IFERROR(__xludf.DUMMYFUNCTION(" VLOOKUP(A1978, IMPORTRANGE(""https://docs.google.com/spreadsheets/d/1fj_Bhi2XPL3siwIh4sx4VRLAe31yD50oKdj5UlRYW0c/"", ""Сводка!A:AA""), 11, FALSE)"),"ISBN 978-601-327-742-4")</f>
        <v>ISBN 978-601-327-742-4</v>
      </c>
      <c r="E1981" s="11" t="s">
        <v>8132</v>
      </c>
      <c r="F1981" s="11" t="s">
        <v>8133</v>
      </c>
      <c r="G1981" s="12">
        <f ca="1">IFERROR(__xludf.DUMMYFUNCTION(" VLOOKUP(A1978, IMPORTRANGE(""https://docs.google.com/spreadsheets/d/1fj_Bhi2XPL3siwIh4sx4VRLAe31yD50oKdj5UlRYW0c/"", ""Сводка!A:AA""), 5, FALSE)"),112)</f>
        <v>112</v>
      </c>
      <c r="H1981" s="12" t="s">
        <v>538</v>
      </c>
      <c r="I1981" s="10">
        <f ca="1">IFERROR(__xludf.DUMMYFUNCTION(" VLOOKUP(A1978, IMPORTRANGE(""https://docs.google.com/spreadsheets/d/1QNLbnkR_AongFt22vMfNzfpjZ0CjpI8QI-w0wBnYA1w/"", ""Инфа!A:AA""), 6, FALSE)"),2024)</f>
        <v>2024</v>
      </c>
      <c r="J1981" s="5">
        <f ca="1">ROUND((5000+G1981*60),-2)</f>
        <v>11700</v>
      </c>
      <c r="K1981" s="12" t="s">
        <v>447</v>
      </c>
      <c r="L1981" s="15" t="s">
        <v>8134</v>
      </c>
    </row>
    <row r="1982" spans="1:12" ht="112.5">
      <c r="A1982" s="8" t="s">
        <v>8135</v>
      </c>
      <c r="B1982" s="9" t="s">
        <v>12</v>
      </c>
      <c r="C1982" s="10" t="s">
        <v>151</v>
      </c>
      <c r="D1982" s="10" t="str">
        <f ca="1">IFERROR(__xludf.DUMMYFUNCTION(" VLOOKUP(A1979, IMPORTRANGE(""https://docs.google.com/spreadsheets/d/1fj_Bhi2XPL3siwIh4sx4VRLAe31yD50oKdj5UlRYW0c/"", ""Сводка!A:AA""), 11, FALSE)"),"ISBN 978-601-327-434-8")</f>
        <v>ISBN 978-601-327-434-8</v>
      </c>
      <c r="E1982" s="11" t="s">
        <v>8136</v>
      </c>
      <c r="F1982" s="11" t="s">
        <v>8137</v>
      </c>
      <c r="G1982" s="12">
        <f ca="1">IFERROR(__xludf.DUMMYFUNCTION(" VLOOKUP(A1979, IMPORTRANGE(""https://docs.google.com/spreadsheets/d/1fj_Bhi2XPL3siwIh4sx4VRLAe31yD50oKdj5UlRYW0c/"", ""Сводка!A:AA""), 5, FALSE)"),176)</f>
        <v>176</v>
      </c>
      <c r="H1982" s="12" t="s">
        <v>47</v>
      </c>
      <c r="I1982" s="10">
        <f ca="1">IFERROR(__xludf.DUMMYFUNCTION(" VLOOKUP(A1979, IMPORTRANGE(""https://docs.google.com/spreadsheets/d/1QNLbnkR_AongFt22vMfNzfpjZ0CjpI8QI-w0wBnYA1w/"", ""Инфа!A:AA""), 6, FALSE)"),2024)</f>
        <v>2024</v>
      </c>
      <c r="J1982" s="5">
        <f ca="1">ROUND((5000+G1982*60),-2)</f>
        <v>15600</v>
      </c>
      <c r="K1982" s="12" t="s">
        <v>447</v>
      </c>
      <c r="L1982" s="15" t="s">
        <v>8138</v>
      </c>
    </row>
    <row r="1983" spans="1:12" ht="213.75">
      <c r="A1983" s="8" t="s">
        <v>8139</v>
      </c>
      <c r="B1983" s="9" t="s">
        <v>12</v>
      </c>
      <c r="C1983" s="10" t="s">
        <v>151</v>
      </c>
      <c r="D1983" s="10" t="str">
        <f ca="1">IFERROR(__xludf.DUMMYFUNCTION(" VLOOKUP(A1980, IMPORTRANGE(""https://docs.google.com/spreadsheets/d/1fj_Bhi2XPL3siwIh4sx4VRLAe31yD50oKdj5UlRYW0c/"", ""Сводка!A:AA""), 11, FALSE)"),"ISBN 978-601-327-746-2")</f>
        <v>ISBN 978-601-327-746-2</v>
      </c>
      <c r="E1983" s="11" t="s">
        <v>8140</v>
      </c>
      <c r="F1983" s="11" t="s">
        <v>8141</v>
      </c>
      <c r="G1983" s="12">
        <f ca="1">IFERROR(__xludf.DUMMYFUNCTION(" VLOOKUP(A1980, IMPORTRANGE(""https://docs.google.com/spreadsheets/d/1fj_Bhi2XPL3siwIh4sx4VRLAe31yD50oKdj5UlRYW0c/"", ""Сводка!A:AA""), 5, FALSE)"),140)</f>
        <v>140</v>
      </c>
      <c r="H1983" s="12" t="s">
        <v>138</v>
      </c>
      <c r="I1983" s="10">
        <f ca="1">IFERROR(__xludf.DUMMYFUNCTION(" VLOOKUP(A1980, IMPORTRANGE(""https://docs.google.com/spreadsheets/d/1QNLbnkR_AongFt22vMfNzfpjZ0CjpI8QI-w0wBnYA1w/"", ""Инфа!A:AA""), 6, FALSE)"),2024)</f>
        <v>2024</v>
      </c>
      <c r="J1983" s="5">
        <f ca="1">ROUND((5000+G1983*60),-2)</f>
        <v>13400</v>
      </c>
      <c r="K1983" s="12" t="s">
        <v>447</v>
      </c>
      <c r="L1983" s="15" t="s">
        <v>8142</v>
      </c>
    </row>
    <row r="1984" spans="1:12" ht="236.25">
      <c r="A1984" s="8" t="s">
        <v>8143</v>
      </c>
      <c r="B1984" s="9" t="s">
        <v>12</v>
      </c>
      <c r="C1984" s="10" t="s">
        <v>151</v>
      </c>
      <c r="D1984" s="10" t="str">
        <f ca="1">IFERROR(__xludf.DUMMYFUNCTION(" VLOOKUP(A1981, IMPORTRANGE(""https://docs.google.com/spreadsheets/d/1fj_Bhi2XPL3siwIh4sx4VRLAe31yD50oKdj5UlRYW0c/"", ""Сводка!A:AA""), 11, FALSE)"),"ISBN 978-601-327-559-8")</f>
        <v>ISBN 978-601-327-559-8</v>
      </c>
      <c r="E1984" s="11" t="s">
        <v>8144</v>
      </c>
      <c r="F1984" s="11" t="s">
        <v>6067</v>
      </c>
      <c r="G1984" s="12">
        <f ca="1">IFERROR(__xludf.DUMMYFUNCTION(" VLOOKUP(A1981, IMPORTRANGE(""https://docs.google.com/spreadsheets/d/1fj_Bhi2XPL3siwIh4sx4VRLAe31yD50oKdj5UlRYW0c/"", ""Сводка!A:AA""), 5, FALSE)"),340)</f>
        <v>340</v>
      </c>
      <c r="H1984" s="10" t="s">
        <v>165</v>
      </c>
      <c r="I1984" s="10">
        <f ca="1">IFERROR(__xludf.DUMMYFUNCTION(" VLOOKUP(A1981, IMPORTRANGE(""https://docs.google.com/spreadsheets/d/1QNLbnkR_AongFt22vMfNzfpjZ0CjpI8QI-w0wBnYA1w/"", ""Инфа!A:AA""), 6, FALSE)"),2024)</f>
        <v>2024</v>
      </c>
      <c r="J1984" s="5">
        <f ca="1">ROUND((5000+G1984*30),-2)</f>
        <v>15200</v>
      </c>
      <c r="K1984" s="10" t="s">
        <v>4043</v>
      </c>
      <c r="L1984" s="23" t="s">
        <v>8145</v>
      </c>
    </row>
    <row r="1985" spans="1:12" ht="213.75">
      <c r="A1985" s="8" t="s">
        <v>8146</v>
      </c>
      <c r="B1985" s="9" t="s">
        <v>12</v>
      </c>
      <c r="C1985" s="10" t="s">
        <v>443</v>
      </c>
      <c r="D1985" s="10" t="str">
        <f ca="1">IFERROR(__xludf.DUMMYFUNCTION(" VLOOKUP(A1982, IMPORTRANGE(""https://docs.google.com/spreadsheets/d/1fj_Bhi2XPL3siwIh4sx4VRLAe31yD50oKdj5UlRYW0c/"", ""Сводка!A:AA""), 11, FALSE)"),"ISBN 978-601-342-010-3")</f>
        <v>ISBN 978-601-342-010-3</v>
      </c>
      <c r="E1985" s="11" t="s">
        <v>8147</v>
      </c>
      <c r="F1985" s="11" t="s">
        <v>8148</v>
      </c>
      <c r="G1985" s="12">
        <f ca="1">IFERROR(__xludf.DUMMYFUNCTION(" VLOOKUP(A1982, IMPORTRANGE(""https://docs.google.com/spreadsheets/d/1fj_Bhi2XPL3siwIh4sx4VRLAe31yD50oKdj5UlRYW0c/"", ""Сводка!A:AA""), 5, FALSE)"),324)</f>
        <v>324</v>
      </c>
      <c r="H1985" s="12" t="s">
        <v>538</v>
      </c>
      <c r="I1985" s="10">
        <f ca="1">IFERROR(__xludf.DUMMYFUNCTION(" VLOOKUP(A1982, IMPORTRANGE(""https://docs.google.com/spreadsheets/d/1QNLbnkR_AongFt22vMfNzfpjZ0CjpI8QI-w0wBnYA1w/"", ""Инфа!A:AA""), 6, FALSE)"),2024)</f>
        <v>2024</v>
      </c>
      <c r="J1985" s="5">
        <f ca="1">ROUND((5000+G1985*30),-2)</f>
        <v>14700</v>
      </c>
      <c r="K1985" s="12" t="s">
        <v>6067</v>
      </c>
      <c r="L1985" s="15" t="s">
        <v>8149</v>
      </c>
    </row>
    <row r="1986" spans="1:12" ht="112.5">
      <c r="A1986" s="8" t="s">
        <v>8150</v>
      </c>
      <c r="B1986" s="9" t="s">
        <v>12</v>
      </c>
      <c r="C1986" s="10" t="s">
        <v>13</v>
      </c>
      <c r="D1986" s="10" t="str">
        <f ca="1">IFERROR(__xludf.DUMMYFUNCTION(" VLOOKUP(A1983, IMPORTRANGE(""https://docs.google.com/spreadsheets/d/1fj_Bhi2XPL3siwIh4sx4VRLAe31yD50oKdj5UlRYW0c/"", ""Сводка!A:AA""), 11, FALSE)"),"ISBN 978-601-310-119-4")</f>
        <v>ISBN 978-601-310-119-4</v>
      </c>
      <c r="E1986" s="11" t="s">
        <v>8151</v>
      </c>
      <c r="F1986" s="11" t="s">
        <v>8152</v>
      </c>
      <c r="G1986" s="12">
        <f ca="1">IFERROR(__xludf.DUMMYFUNCTION(" VLOOKUP(A1983, IMPORTRANGE(""https://docs.google.com/spreadsheets/d/1fj_Bhi2XPL3siwIh4sx4VRLAe31yD50oKdj5UlRYW0c/"", ""Сводка!A:AA""), 5, FALSE)"),160)</f>
        <v>160</v>
      </c>
      <c r="H1986" s="12" t="s">
        <v>47</v>
      </c>
      <c r="I1986" s="10">
        <f ca="1">IFERROR(__xludf.DUMMYFUNCTION(" VLOOKUP(A1983, IMPORTRANGE(""https://docs.google.com/spreadsheets/d/1QNLbnkR_AongFt22vMfNzfpjZ0CjpI8QI-w0wBnYA1w/"", ""Инфа!A:AA""), 6, FALSE)"),2024)</f>
        <v>2024</v>
      </c>
      <c r="J1986" s="5">
        <f ca="1">ROUND((5000+G1986*30),-2)</f>
        <v>9800</v>
      </c>
      <c r="K1986" s="12" t="s">
        <v>25</v>
      </c>
      <c r="L1986" s="15" t="s">
        <v>8153</v>
      </c>
    </row>
    <row r="1987" spans="1:12" ht="236.25">
      <c r="A1987" s="8" t="s">
        <v>8154</v>
      </c>
      <c r="B1987" s="9" t="s">
        <v>12</v>
      </c>
      <c r="C1987" s="10" t="s">
        <v>443</v>
      </c>
      <c r="D1987" s="10" t="str">
        <f ca="1">IFERROR(__xludf.DUMMYFUNCTION(" VLOOKUP(A1984, IMPORTRANGE(""https://docs.google.com/spreadsheets/d/1fj_Bhi2XPL3siwIh4sx4VRLAe31yD50oKdj5UlRYW0c/"", ""Сводка!A:AA""), 11, FALSE)"),"978-601-310-177-4")</f>
        <v>978-601-310-177-4</v>
      </c>
      <c r="E1987" s="11" t="s">
        <v>8155</v>
      </c>
      <c r="F1987" s="11" t="s">
        <v>8156</v>
      </c>
      <c r="G1987" s="12">
        <f ca="1">IFERROR(__xludf.DUMMYFUNCTION(" VLOOKUP(A1984, IMPORTRANGE(""https://docs.google.com/spreadsheets/d/1fj_Bhi2XPL3siwIh4sx4VRLAe31yD50oKdj5UlRYW0c/"", ""Сводка!A:AA""), 5, FALSE)"),240)</f>
        <v>240</v>
      </c>
      <c r="H1987" s="12" t="s">
        <v>511</v>
      </c>
      <c r="I1987" s="10">
        <f ca="1">IFERROR(__xludf.DUMMYFUNCTION(" VLOOKUP(A1984, IMPORTRANGE(""https://docs.google.com/spreadsheets/d/1QNLbnkR_AongFt22vMfNzfpjZ0CjpI8QI-w0wBnYA1w/"", ""Инфа!A:AA""), 6, FALSE)"),2023)</f>
        <v>2023</v>
      </c>
      <c r="J1987" s="5">
        <f ca="1">ROUND((5000+G1987*60),-2)</f>
        <v>19400</v>
      </c>
      <c r="K1987" s="9" t="s">
        <v>171</v>
      </c>
      <c r="L1987" s="15" t="s">
        <v>8157</v>
      </c>
    </row>
    <row r="1988" spans="1:12" ht="202.5">
      <c r="A1988" s="8" t="s">
        <v>8158</v>
      </c>
      <c r="B1988" s="9" t="s">
        <v>12</v>
      </c>
      <c r="C1988" s="10" t="s">
        <v>151</v>
      </c>
      <c r="D1988" s="10" t="str">
        <f ca="1">IFERROR(__xludf.DUMMYFUNCTION(" VLOOKUP(A1985, IMPORTRANGE(""https://docs.google.com/spreadsheets/d/1fj_Bhi2XPL3siwIh4sx4VRLAe31yD50oKdj5UlRYW0c/"", ""Сводка!A:AA""), 11, FALSE)"),"ISBN 978-601-327-798-1")</f>
        <v>ISBN 978-601-327-798-1</v>
      </c>
      <c r="E1988" s="11" t="s">
        <v>8159</v>
      </c>
      <c r="F1988" s="11" t="s">
        <v>8160</v>
      </c>
      <c r="G1988" s="12">
        <f ca="1">IFERROR(__xludf.DUMMYFUNCTION(" VLOOKUP(A1985, IMPORTRANGE(""https://docs.google.com/spreadsheets/d/1fj_Bhi2XPL3siwIh4sx4VRLAe31yD50oKdj5UlRYW0c/"", ""Сводка!A:AA""), 5, FALSE)"),240)</f>
        <v>240</v>
      </c>
      <c r="H1988" s="12" t="s">
        <v>165</v>
      </c>
      <c r="I1988" s="10">
        <f ca="1">IFERROR(__xludf.DUMMYFUNCTION(" VLOOKUP(A1985, IMPORTRANGE(""https://docs.google.com/spreadsheets/d/1QNLbnkR_AongFt22vMfNzfpjZ0CjpI8QI-w0wBnYA1w/"", ""Инфа!A:AA""), 6, FALSE)"),2024)</f>
        <v>2024</v>
      </c>
      <c r="J1988" s="5">
        <f ca="1">ROUND((5000+G1988*30),-2)</f>
        <v>12200</v>
      </c>
      <c r="K1988" s="12" t="s">
        <v>1603</v>
      </c>
      <c r="L1988" s="15" t="s">
        <v>8161</v>
      </c>
    </row>
    <row r="1989" spans="1:12" ht="202.5">
      <c r="A1989" s="8" t="s">
        <v>8162</v>
      </c>
      <c r="B1989" s="9" t="s">
        <v>12</v>
      </c>
      <c r="C1989" s="10" t="s">
        <v>151</v>
      </c>
      <c r="D1989" s="10" t="str">
        <f ca="1">IFERROR(__xludf.DUMMYFUNCTION(" VLOOKUP(A1986, IMPORTRANGE(""https://docs.google.com/spreadsheets/d/1fj_Bhi2XPL3siwIh4sx4VRLAe31yD50oKdj5UlRYW0c/"", ""Сводка!A:AA""), 11, FALSE)"),"ISBN 978-601-240-625-2")</f>
        <v>ISBN 978-601-240-625-2</v>
      </c>
      <c r="E1989" s="11" t="s">
        <v>8163</v>
      </c>
      <c r="F1989" s="11" t="s">
        <v>8164</v>
      </c>
      <c r="G1989" s="12">
        <f ca="1">IFERROR(__xludf.DUMMYFUNCTION(" VLOOKUP(A1986, IMPORTRANGE(""https://docs.google.com/spreadsheets/d/1fj_Bhi2XPL3siwIh4sx4VRLAe31yD50oKdj5UlRYW0c/"", ""Сводка!A:AA""), 5, FALSE)"),248)</f>
        <v>248</v>
      </c>
      <c r="H1989" s="12" t="s">
        <v>47</v>
      </c>
      <c r="I1989" s="10">
        <f ca="1">IFERROR(__xludf.DUMMYFUNCTION(" VLOOKUP(A1986, IMPORTRANGE(""https://docs.google.com/spreadsheets/d/1QNLbnkR_AongFt22vMfNzfpjZ0CjpI8QI-w0wBnYA1w/"", ""Инфа!A:AA""), 6, FALSE)"),2024)</f>
        <v>2024</v>
      </c>
      <c r="J1989" s="5">
        <f ca="1">ROUND((5000+G1989*30),-2)</f>
        <v>12400</v>
      </c>
      <c r="K1989" s="12" t="s">
        <v>277</v>
      </c>
      <c r="L1989" s="15" t="s">
        <v>8165</v>
      </c>
    </row>
    <row r="1990" spans="1:12" ht="38.25">
      <c r="A1990" s="8" t="s">
        <v>8166</v>
      </c>
      <c r="B1990" s="9" t="s">
        <v>12</v>
      </c>
      <c r="C1990" s="10" t="s">
        <v>151</v>
      </c>
      <c r="D1990" s="10" t="str">
        <f ca="1">IFERROR(__xludf.DUMMYFUNCTION(" VLOOKUP(A1987, IMPORTRANGE(""https://docs.google.com/spreadsheets/d/1fj_Bhi2XPL3siwIh4sx4VRLAe31yD50oKdj5UlRYW0c/"", ""Сводка!A:AA""), 11, FALSE)"),"ISBN 978-601-240-772-3")</f>
        <v>ISBN 978-601-240-772-3</v>
      </c>
      <c r="E1990" s="11" t="s">
        <v>8167</v>
      </c>
      <c r="F1990" s="11" t="s">
        <v>8168</v>
      </c>
      <c r="G1990" s="12">
        <f ca="1">IFERROR(__xludf.DUMMYFUNCTION(" VLOOKUP(A1987, IMPORTRANGE(""https://docs.google.com/spreadsheets/d/1fj_Bhi2XPL3siwIh4sx4VRLAe31yD50oKdj5UlRYW0c/"", ""Сводка!A:AA""), 5, FALSE)"),252)</f>
        <v>252</v>
      </c>
      <c r="H1990" s="12" t="s">
        <v>498</v>
      </c>
      <c r="I1990" s="10">
        <f ca="1">IFERROR(__xludf.DUMMYFUNCTION(" VLOOKUP(A1987, IMPORTRANGE(""https://docs.google.com/spreadsheets/d/1QNLbnkR_AongFt22vMfNzfpjZ0CjpI8QI-w0wBnYA1w/"", ""Инфа!A:AA""), 6, FALSE)"),2024)</f>
        <v>2024</v>
      </c>
      <c r="J1990" s="5">
        <f ca="1">ROUND((5000+G1990*30),-2)</f>
        <v>12600</v>
      </c>
      <c r="K1990" s="12" t="s">
        <v>961</v>
      </c>
      <c r="L1990" s="15"/>
    </row>
    <row r="1991" spans="1:12" ht="213.75">
      <c r="A1991" s="8" t="s">
        <v>8169</v>
      </c>
      <c r="B1991" s="9" t="s">
        <v>12</v>
      </c>
      <c r="C1991" s="10" t="s">
        <v>151</v>
      </c>
      <c r="D1991" s="10" t="str">
        <f ca="1">IFERROR(__xludf.DUMMYFUNCTION(" VLOOKUP(A1988, IMPORTRANGE(""https://docs.google.com/spreadsheets/d/1fj_Bhi2XPL3siwIh4sx4VRLAe31yD50oKdj5UlRYW0c/"", ""Сводка!A:AA""), 11, FALSE)"),"ІSВN 978-601-228-640-3")</f>
        <v>ІSВN 978-601-228-640-3</v>
      </c>
      <c r="E1991" s="11" t="s">
        <v>8170</v>
      </c>
      <c r="F1991" s="11" t="s">
        <v>8171</v>
      </c>
      <c r="G1991" s="12">
        <f ca="1">IFERROR(__xludf.DUMMYFUNCTION(" VLOOKUP(A1988, IMPORTRANGE(""https://docs.google.com/spreadsheets/d/1fj_Bhi2XPL3siwIh4sx4VRLAe31yD50oKdj5UlRYW0c/"", ""Сводка!A:AA""), 5, FALSE)"),312)</f>
        <v>312</v>
      </c>
      <c r="H1991" s="12" t="s">
        <v>47</v>
      </c>
      <c r="I1991" s="10">
        <f ca="1">IFERROR(__xludf.DUMMYFUNCTION(" VLOOKUP(A1988, IMPORTRANGE(""https://docs.google.com/spreadsheets/d/1QNLbnkR_AongFt22vMfNzfpjZ0CjpI8QI-w0wBnYA1w/"", ""Инфа!A:AA""), 6, FALSE)"),2024)</f>
        <v>2024</v>
      </c>
      <c r="J1991" s="5">
        <f ca="1">ROUND((5000+G1991*30),-2)</f>
        <v>14400</v>
      </c>
      <c r="K1991" s="12" t="s">
        <v>961</v>
      </c>
      <c r="L1991" s="15" t="s">
        <v>8172</v>
      </c>
    </row>
    <row r="1992" spans="1:12" ht="326.25">
      <c r="A1992" s="8" t="s">
        <v>8173</v>
      </c>
      <c r="B1992" s="9" t="s">
        <v>12</v>
      </c>
      <c r="C1992" s="10" t="s">
        <v>151</v>
      </c>
      <c r="D1992" s="10" t="str">
        <f ca="1">IFERROR(__xludf.DUMMYFUNCTION(" VLOOKUP(A1989, IMPORTRANGE(""https://docs.google.com/spreadsheets/d/1fj_Bhi2XPL3siwIh4sx4VRLAe31yD50oKdj5UlRYW0c/"", ""Сводка!A:AA""), 11, FALSE)"),"ISBN 978-601-327-802-5")</f>
        <v>ISBN 978-601-327-802-5</v>
      </c>
      <c r="E1992" s="11" t="s">
        <v>8174</v>
      </c>
      <c r="F1992" s="11" t="s">
        <v>8175</v>
      </c>
      <c r="G1992" s="12">
        <f ca="1">IFERROR(__xludf.DUMMYFUNCTION(" VLOOKUP(A1989, IMPORTRANGE(""https://docs.google.com/spreadsheets/d/1fj_Bhi2XPL3siwIh4sx4VRLAe31yD50oKdj5UlRYW0c/"", ""Сводка!A:AA""), 5, FALSE)"),252)</f>
        <v>252</v>
      </c>
      <c r="H1992" s="12" t="s">
        <v>47</v>
      </c>
      <c r="I1992" s="10">
        <f ca="1">IFERROR(__xludf.DUMMYFUNCTION(" VLOOKUP(A1989, IMPORTRANGE(""https://docs.google.com/spreadsheets/d/1QNLbnkR_AongFt22vMfNzfpjZ0CjpI8QI-w0wBnYA1w/"", ""Инфа!A:AA""), 6, FALSE)"),2024)</f>
        <v>2024</v>
      </c>
      <c r="J1992" s="5">
        <f ca="1">ROUND((5000+G1992*60),-2)</f>
        <v>20100</v>
      </c>
      <c r="K1992" s="12" t="s">
        <v>243</v>
      </c>
      <c r="L1992" s="15" t="s">
        <v>8176</v>
      </c>
    </row>
    <row r="1993" spans="1:12" ht="258.75">
      <c r="A1993" s="8" t="s">
        <v>8177</v>
      </c>
      <c r="B1993" s="9" t="s">
        <v>12</v>
      </c>
      <c r="C1993" s="10" t="s">
        <v>151</v>
      </c>
      <c r="D1993" s="10" t="str">
        <f ca="1">IFERROR(__xludf.DUMMYFUNCTION(" VLOOKUP(A1990, IMPORTRANGE(""https://docs.google.com/spreadsheets/d/1fj_Bhi2XPL3siwIh4sx4VRLAe31yD50oKdj5UlRYW0c/"", ""Сводка!A:AA""), 11, FALSE)"),"978-601-327-662-5")</f>
        <v>978-601-327-662-5</v>
      </c>
      <c r="E1993" s="11" t="s">
        <v>8178</v>
      </c>
      <c r="F1993" s="11" t="s">
        <v>8179</v>
      </c>
      <c r="G1993" s="12">
        <f ca="1">IFERROR(__xludf.DUMMYFUNCTION(" VLOOKUP(A1990, IMPORTRANGE(""https://docs.google.com/spreadsheets/d/1fj_Bhi2XPL3siwIh4sx4VRLAe31yD50oKdj5UlRYW0c/"", ""Сводка!A:AA""), 5, FALSE)"),328)</f>
        <v>328</v>
      </c>
      <c r="H1993" s="12" t="s">
        <v>498</v>
      </c>
      <c r="I1993" s="10">
        <f ca="1">IFERROR(__xludf.DUMMYFUNCTION(" VLOOKUP(A1990, IMPORTRANGE(""https://docs.google.com/spreadsheets/d/1QNLbnkR_AongFt22vMfNzfpjZ0CjpI8QI-w0wBnYA1w/"", ""Инфа!A:AA""), 6, FALSE)"),2023)</f>
        <v>2023</v>
      </c>
      <c r="J1993" s="5">
        <f ca="1">ROUND((5000+G1993*30),-2)</f>
        <v>14800</v>
      </c>
      <c r="K1993" s="12" t="s">
        <v>78</v>
      </c>
      <c r="L1993" s="15" t="s">
        <v>8180</v>
      </c>
    </row>
    <row r="1994" spans="1:12" ht="213.75">
      <c r="A1994" s="8" t="s">
        <v>8181</v>
      </c>
      <c r="B1994" s="9" t="s">
        <v>12</v>
      </c>
      <c r="C1994" s="10" t="s">
        <v>151</v>
      </c>
      <c r="D1994" s="10" t="str">
        <f ca="1">IFERROR(__xludf.DUMMYFUNCTION(" VLOOKUP(A1991, IMPORTRANGE(""https://docs.google.com/spreadsheets/d/1fj_Bhi2XPL3siwIh4sx4VRLAe31yD50oKdj5UlRYW0c/"", ""Сводка!A:AA""), 11, FALSE)"),"ISBN 978-601-7385-33-0")</f>
        <v>ISBN 978-601-7385-33-0</v>
      </c>
      <c r="E1994" s="11" t="s">
        <v>8182</v>
      </c>
      <c r="F1994" s="11" t="s">
        <v>8183</v>
      </c>
      <c r="G1994" s="12">
        <v>220</v>
      </c>
      <c r="H1994" s="12" t="s">
        <v>47</v>
      </c>
      <c r="I1994" s="10">
        <f ca="1">IFERROR(__xludf.DUMMYFUNCTION(" VLOOKUP(A1991, IMPORTRANGE(""https://docs.google.com/spreadsheets/d/1QNLbnkR_AongFt22vMfNzfpjZ0CjpI8QI-w0wBnYA1w/"", ""Инфа!A:AA""), 6, FALSE)"),2024)</f>
        <v>2024</v>
      </c>
      <c r="J1994" s="5">
        <f>ROUND((5000+G1994*60),-2)</f>
        <v>18200</v>
      </c>
      <c r="K1994" s="12" t="s">
        <v>160</v>
      </c>
      <c r="L1994" s="15" t="s">
        <v>8184</v>
      </c>
    </row>
    <row r="1995" spans="1:12" ht="76.5">
      <c r="A1995" s="8" t="s">
        <v>8185</v>
      </c>
      <c r="B1995" s="9" t="s">
        <v>12</v>
      </c>
      <c r="C1995" s="10" t="s">
        <v>151</v>
      </c>
      <c r="D1995" s="10" t="str">
        <f ca="1">IFERROR(__xludf.DUMMYFUNCTION(" VLOOKUP(A1992, IMPORTRANGE(""https://docs.google.com/spreadsheets/d/1fj_Bhi2XPL3siwIh4sx4VRLAe31yD50oKdj5UlRYW0c/"", ""Сводка!A:AA""), 11, FALSE)"),"ISBN 978-601-240-942-0 ISBN 978-601-240-943-7 (ч.1)")</f>
        <v>ISBN 978-601-240-942-0 ISBN 978-601-240-943-7 (ч.1)</v>
      </c>
      <c r="E1995" s="11" t="s">
        <v>8182</v>
      </c>
      <c r="F1995" s="11" t="s">
        <v>8186</v>
      </c>
      <c r="G1995" s="12">
        <f ca="1">IFERROR(__xludf.DUMMYFUNCTION(" VLOOKUP(A1992, IMPORTRANGE(""https://docs.google.com/spreadsheets/d/1fj_Bhi2XPL3siwIh4sx4VRLAe31yD50oKdj5UlRYW0c/"", ""Сводка!A:AA""), 5, FALSE)"),200)</f>
        <v>200</v>
      </c>
      <c r="H1995" s="12" t="s">
        <v>47</v>
      </c>
      <c r="I1995" s="10">
        <f ca="1">IFERROR(__xludf.DUMMYFUNCTION(" VLOOKUP(A1992, IMPORTRANGE(""https://docs.google.com/spreadsheets/d/1QNLbnkR_AongFt22vMfNzfpjZ0CjpI8QI-w0wBnYA1w/"", ""Инфа!A:AA""), 6, FALSE)"),2024)</f>
        <v>2024</v>
      </c>
      <c r="J1995" s="5">
        <f ca="1">ROUND((5000+G1995*30),-2)</f>
        <v>11000</v>
      </c>
      <c r="K1995" s="12" t="s">
        <v>139</v>
      </c>
      <c r="L1995" s="15"/>
    </row>
    <row r="1996" spans="1:12" ht="76.5">
      <c r="A1996" s="8" t="s">
        <v>8187</v>
      </c>
      <c r="B1996" s="9" t="s">
        <v>12</v>
      </c>
      <c r="C1996" s="10" t="s">
        <v>151</v>
      </c>
      <c r="D1996" s="10" t="str">
        <f ca="1">IFERROR(__xludf.DUMMYFUNCTION(" VLOOKUP(A1993, IMPORTRANGE(""https://docs.google.com/spreadsheets/d/1fj_Bhi2XPL3siwIh4sx4VRLAe31yD50oKdj5UlRYW0c/"", ""Сводка!A:AA""), 11, FALSE)"),"ISBN 978-601-240-942-0 ISBN 978-601-240-952-9 (ч.2)")</f>
        <v>ISBN 978-601-240-942-0 ISBN 978-601-240-952-9 (ч.2)</v>
      </c>
      <c r="E1996" s="11" t="s">
        <v>8182</v>
      </c>
      <c r="F1996" s="11" t="s">
        <v>8188</v>
      </c>
      <c r="G1996" s="12">
        <f ca="1">IFERROR(__xludf.DUMMYFUNCTION(" VLOOKUP(A1993, IMPORTRANGE(""https://docs.google.com/spreadsheets/d/1fj_Bhi2XPL3siwIh4sx4VRLAe31yD50oKdj5UlRYW0c/"", ""Сводка!A:AA""), 5, FALSE)"),100)</f>
        <v>100</v>
      </c>
      <c r="H1996" s="12" t="s">
        <v>47</v>
      </c>
      <c r="I1996" s="10">
        <f ca="1">IFERROR(__xludf.DUMMYFUNCTION(" VLOOKUP(A1993, IMPORTRANGE(""https://docs.google.com/spreadsheets/d/1QNLbnkR_AongFt22vMfNzfpjZ0CjpI8QI-w0wBnYA1w/"", ""Инфа!A:AA""), 6, FALSE)"),2024)</f>
        <v>2024</v>
      </c>
      <c r="J1996" s="5">
        <f ca="1">ROUND((5000+G1996*30),-2)</f>
        <v>8000</v>
      </c>
      <c r="K1996" s="12" t="s">
        <v>139</v>
      </c>
      <c r="L1996" s="15"/>
    </row>
    <row r="1997" spans="1:12" ht="51">
      <c r="A1997" s="8" t="s">
        <v>8189</v>
      </c>
      <c r="B1997" s="9" t="s">
        <v>12</v>
      </c>
      <c r="C1997" s="10" t="s">
        <v>151</v>
      </c>
      <c r="D1997" s="10" t="str">
        <f ca="1">IFERROR(__xludf.DUMMYFUNCTION(" VLOOKUP(A1994, IMPORTRANGE(""https://docs.google.com/spreadsheets/d/1fj_Bhi2XPL3siwIh4sx4VRLAe31yD50oKdj5UlRYW0c/"", ""Сводка!A:AA""), 11, FALSE)"),"978-601-240-942-0")</f>
        <v>978-601-240-942-0</v>
      </c>
      <c r="E1997" s="11" t="s">
        <v>8182</v>
      </c>
      <c r="F1997" s="11" t="s">
        <v>8190</v>
      </c>
      <c r="G1997" s="12">
        <f ca="1">IFERROR(__xludf.DUMMYFUNCTION(" VLOOKUP(A1994, IMPORTRANGE(""https://docs.google.com/spreadsheets/d/1fj_Bhi2XPL3siwIh4sx4VRLAe31yD50oKdj5UlRYW0c/"", ""Сводка!A:AA""), 5, FALSE)"),100)</f>
        <v>100</v>
      </c>
      <c r="H1997" s="12" t="s">
        <v>47</v>
      </c>
      <c r="I1997" s="10">
        <f ca="1">IFERROR(__xludf.DUMMYFUNCTION(" VLOOKUP(A1994, IMPORTRANGE(""https://docs.google.com/spreadsheets/d/1QNLbnkR_AongFt22vMfNzfpjZ0CjpI8QI-w0wBnYA1w/"", ""Инфа!A:AA""), 6, FALSE)"),2024)</f>
        <v>2024</v>
      </c>
      <c r="J1997" s="5">
        <f ca="1">ROUND((5000+G1997*30),-2)</f>
        <v>8000</v>
      </c>
      <c r="K1997" s="12" t="s">
        <v>139</v>
      </c>
      <c r="L1997" s="15"/>
    </row>
    <row r="1998" spans="1:12" ht="135">
      <c r="A1998" s="8" t="s">
        <v>8191</v>
      </c>
      <c r="B1998" s="9" t="s">
        <v>12</v>
      </c>
      <c r="C1998" s="10" t="s">
        <v>151</v>
      </c>
      <c r="D1998" s="10" t="str">
        <f ca="1">IFERROR(__xludf.DUMMYFUNCTION(" VLOOKUP(A1995, IMPORTRANGE(""https://docs.google.com/spreadsheets/d/1fj_Bhi2XPL3siwIh4sx4VRLAe31yD50oKdj5UlRYW0c/"", ""Сводка!A:AA""), 11, FALSE)"),"ISBN 978-601-310-671-7")</f>
        <v>ISBN 978-601-310-671-7</v>
      </c>
      <c r="E1998" s="11" t="s">
        <v>8192</v>
      </c>
      <c r="F1998" s="11" t="s">
        <v>8193</v>
      </c>
      <c r="G1998" s="12">
        <v>276</v>
      </c>
      <c r="H1998" s="12" t="s">
        <v>47</v>
      </c>
      <c r="I1998" s="10">
        <f ca="1">IFERROR(__xludf.DUMMYFUNCTION(" VLOOKUP(A1995, IMPORTRANGE(""https://docs.google.com/spreadsheets/d/1QNLbnkR_AongFt22vMfNzfpjZ0CjpI8QI-w0wBnYA1w/"", ""Инфа!A:AA""), 6, FALSE)"),2024)</f>
        <v>2024</v>
      </c>
      <c r="J1998" s="5">
        <f>ROUND((5000+G1998*30),-2)</f>
        <v>13300</v>
      </c>
      <c r="K1998" s="12" t="s">
        <v>243</v>
      </c>
      <c r="L1998" s="15" t="s">
        <v>8194</v>
      </c>
    </row>
    <row r="1999" spans="1:12" ht="180">
      <c r="A1999" s="8" t="s">
        <v>8195</v>
      </c>
      <c r="B1999" s="9" t="s">
        <v>12</v>
      </c>
      <c r="C1999" s="10" t="s">
        <v>151</v>
      </c>
      <c r="D1999" s="10" t="str">
        <f ca="1">IFERROR(__xludf.DUMMYFUNCTION(" VLOOKUP(A1996, IMPORTRANGE(""https://docs.google.com/spreadsheets/d/1fj_Bhi2XPL3siwIh4sx4VRLAe31yD50oKdj5UlRYW0c/"", ""Сводка!A:AA""), 11, FALSE)"),"ISBN 978-601-342-294-7")</f>
        <v>ISBN 978-601-342-294-7</v>
      </c>
      <c r="E1999" s="11" t="s">
        <v>8196</v>
      </c>
      <c r="F1999" s="11" t="s">
        <v>8197</v>
      </c>
      <c r="G1999" s="12">
        <f ca="1">IFERROR(__xludf.DUMMYFUNCTION(" VLOOKUP(A1996, IMPORTRANGE(""https://docs.google.com/spreadsheets/d/1fj_Bhi2XPL3siwIh4sx4VRLAe31yD50oKdj5UlRYW0c/"", ""Сводка!A:AA""), 5, FALSE)"),292)</f>
        <v>292</v>
      </c>
      <c r="H1999" s="12" t="s">
        <v>282</v>
      </c>
      <c r="I1999" s="10">
        <f ca="1">IFERROR(__xludf.DUMMYFUNCTION(" VLOOKUP(A1996, IMPORTRANGE(""https://docs.google.com/spreadsheets/d/1QNLbnkR_AongFt22vMfNzfpjZ0CjpI8QI-w0wBnYA1w/"", ""Инфа!A:AA""), 6, FALSE)"),2024)</f>
        <v>2024</v>
      </c>
      <c r="J1999" s="5">
        <f ca="1">ROUND((5000+G1999*60),-2)</f>
        <v>22500</v>
      </c>
      <c r="K1999" s="12" t="s">
        <v>2421</v>
      </c>
      <c r="L1999" s="15" t="s">
        <v>8198</v>
      </c>
    </row>
    <row r="2000" spans="1:12" ht="63.75">
      <c r="A2000" s="8" t="s">
        <v>8199</v>
      </c>
      <c r="B2000" s="9" t="s">
        <v>12</v>
      </c>
      <c r="C2000" s="10" t="s">
        <v>151</v>
      </c>
      <c r="D2000" s="10" t="str">
        <f ca="1">IFERROR(__xludf.DUMMYFUNCTION(" VLOOKUP(A1997, IMPORTRANGE(""https://docs.google.com/spreadsheets/d/1fj_Bhi2XPL3siwIh4sx4VRLAe31yD50oKdj5UlRYW0c/"", ""Сводка!A:AA""), 11, FALSE)"),"ISBN 978-601-207-211-2")</f>
        <v>ISBN 978-601-207-211-2</v>
      </c>
      <c r="E2000" s="11" t="s">
        <v>8200</v>
      </c>
      <c r="F2000" s="11" t="s">
        <v>8201</v>
      </c>
      <c r="G2000" s="12">
        <f ca="1">IFERROR(__xludf.DUMMYFUNCTION(" VLOOKUP(A1997, IMPORTRANGE(""https://docs.google.com/spreadsheets/d/1fj_Bhi2XPL3siwIh4sx4VRLAe31yD50oKdj5UlRYW0c/"", ""Сводка!A:AA""), 5, FALSE)"),156)</f>
        <v>156</v>
      </c>
      <c r="H2000" s="12" t="s">
        <v>47</v>
      </c>
      <c r="I2000" s="10">
        <f ca="1">IFERROR(__xludf.DUMMYFUNCTION(" VLOOKUP(A1997, IMPORTRANGE(""https://docs.google.com/spreadsheets/d/1QNLbnkR_AongFt22vMfNzfpjZ0CjpI8QI-w0wBnYA1w/"", ""Инфа!A:AA""), 6, FALSE)"),2024)</f>
        <v>2024</v>
      </c>
      <c r="J2000" s="5">
        <f ca="1">ROUND((5000+G2000*30),-2)</f>
        <v>9700</v>
      </c>
      <c r="K2000" s="12" t="s">
        <v>8202</v>
      </c>
      <c r="L2000" s="15"/>
    </row>
    <row r="2001" spans="1:12" ht="90">
      <c r="A2001" s="8" t="s">
        <v>8203</v>
      </c>
      <c r="B2001" s="9" t="s">
        <v>12</v>
      </c>
      <c r="C2001" s="10" t="s">
        <v>151</v>
      </c>
      <c r="D2001" s="10" t="str">
        <f ca="1">IFERROR(__xludf.DUMMYFUNCTION(" VLOOKUP(A1998, IMPORTRANGE(""https://docs.google.com/spreadsheets/d/1fj_Bhi2XPL3siwIh4sx4VRLAe31yD50oKdj5UlRYW0c/"", ""Сводка!A:AA""), 11, FALSE)"),"ISBN 978-601-240-635-1")</f>
        <v>ISBN 978-601-240-635-1</v>
      </c>
      <c r="E2001" s="19" t="s">
        <v>8204</v>
      </c>
      <c r="F2001" s="19" t="s">
        <v>8205</v>
      </c>
      <c r="G2001" s="12">
        <f ca="1">IFERROR(__xludf.DUMMYFUNCTION(" VLOOKUP(A1998, IMPORTRANGE(""https://docs.google.com/spreadsheets/d/1fj_Bhi2XPL3siwIh4sx4VRLAe31yD50oKdj5UlRYW0c/"", ""Сводка!A:AA""), 5, FALSE)"),152)</f>
        <v>152</v>
      </c>
      <c r="H2001" s="9" t="s">
        <v>47</v>
      </c>
      <c r="I2001" s="10">
        <f ca="1">IFERROR(__xludf.DUMMYFUNCTION(" VLOOKUP(A1998, IMPORTRANGE(""https://docs.google.com/spreadsheets/d/1QNLbnkR_AongFt22vMfNzfpjZ0CjpI8QI-w0wBnYA1w/"", ""Инфа!A:AA""), 6, FALSE)"),2024)</f>
        <v>2024</v>
      </c>
      <c r="J2001" s="5">
        <f ca="1">ROUND((5000+G2001*30),-2)</f>
        <v>9600</v>
      </c>
      <c r="K2001" s="12" t="s">
        <v>160</v>
      </c>
      <c r="L2001" s="15" t="s">
        <v>8206</v>
      </c>
    </row>
    <row r="2002" spans="1:12" ht="101.25">
      <c r="A2002" s="8" t="s">
        <v>8207</v>
      </c>
      <c r="B2002" s="9" t="s">
        <v>12</v>
      </c>
      <c r="C2002" s="10" t="s">
        <v>443</v>
      </c>
      <c r="D2002" s="10" t="str">
        <f ca="1">IFERROR(__xludf.DUMMYFUNCTION(" VLOOKUP(A1999, IMPORTRANGE(""https://docs.google.com/spreadsheets/d/1fj_Bhi2XPL3siwIh4sx4VRLAe31yD50oKdj5UlRYW0c/"", ""Сводка!A:AA""), 11, FALSE)"),"978-601-7816-19-3")</f>
        <v>978-601-7816-19-3</v>
      </c>
      <c r="E2002" s="19" t="s">
        <v>8208</v>
      </c>
      <c r="F2002" s="19" t="s">
        <v>8209</v>
      </c>
      <c r="G2002" s="12">
        <f ca="1">IFERROR(__xludf.DUMMYFUNCTION(" VLOOKUP(A1999, IMPORTRANGE(""https://docs.google.com/spreadsheets/d/1fj_Bhi2XPL3siwIh4sx4VRLAe31yD50oKdj5UlRYW0c/"", ""Сводка!A:AA""), 5, FALSE)"),200)</f>
        <v>200</v>
      </c>
      <c r="H2002" s="9" t="s">
        <v>538</v>
      </c>
      <c r="I2002" s="10">
        <f ca="1">IFERROR(__xludf.DUMMYFUNCTION(" VLOOKUP(A1999, IMPORTRANGE(""https://docs.google.com/spreadsheets/d/1QNLbnkR_AongFt22vMfNzfpjZ0CjpI8QI-w0wBnYA1w/"", ""Инфа!A:AA""), 6, FALSE)"),2024)</f>
        <v>2024</v>
      </c>
      <c r="J2002" s="5">
        <f ca="1">ROUND((5000+G2002*30),-2)</f>
        <v>11000</v>
      </c>
      <c r="K2002" s="12" t="s">
        <v>139</v>
      </c>
      <c r="L2002" s="15" t="s">
        <v>8210</v>
      </c>
    </row>
    <row r="2003" spans="1:12" ht="101.25">
      <c r="A2003" s="8" t="s">
        <v>8211</v>
      </c>
      <c r="B2003" s="9" t="s">
        <v>12</v>
      </c>
      <c r="C2003" s="10" t="s">
        <v>151</v>
      </c>
      <c r="D2003" s="10" t="str">
        <f ca="1">IFERROR(__xludf.DUMMYFUNCTION(" VLOOKUP(A2000, IMPORTRANGE(""https://docs.google.com/spreadsheets/d/1fj_Bhi2XPL3siwIh4sx4VRLAe31yD50oKdj5UlRYW0c/"", ""Сводка!A:AA""), 11, FALSE)"),"ISBN 978-601-310-080-7")</f>
        <v>ISBN 978-601-310-080-7</v>
      </c>
      <c r="E2003" s="19" t="s">
        <v>8212</v>
      </c>
      <c r="F2003" s="19" t="s">
        <v>8213</v>
      </c>
      <c r="G2003" s="12">
        <f ca="1">IFERROR(__xludf.DUMMYFUNCTION(" VLOOKUP(A2000, IMPORTRANGE(""https://docs.google.com/spreadsheets/d/1fj_Bhi2XPL3siwIh4sx4VRLAe31yD50oKdj5UlRYW0c/"", ""Сводка!A:AA""), 5, FALSE)"),232)</f>
        <v>232</v>
      </c>
      <c r="H2003" s="9" t="s">
        <v>47</v>
      </c>
      <c r="I2003" s="10">
        <f ca="1">IFERROR(__xludf.DUMMYFUNCTION(" VLOOKUP(A2000, IMPORTRANGE(""https://docs.google.com/spreadsheets/d/1QNLbnkR_AongFt22vMfNzfpjZ0CjpI8QI-w0wBnYA1w/"", ""Инфа!A:AA""), 6, FALSE)"),2024)</f>
        <v>2024</v>
      </c>
      <c r="J2003" s="5">
        <f ca="1">ROUND((5000+G2003*30),-2)</f>
        <v>12000</v>
      </c>
      <c r="K2003" s="12" t="s">
        <v>2520</v>
      </c>
      <c r="L2003" s="15" t="s">
        <v>8214</v>
      </c>
    </row>
    <row r="2004" spans="1:12" ht="191.25">
      <c r="A2004" s="8" t="s">
        <v>8215</v>
      </c>
      <c r="B2004" s="9" t="s">
        <v>12</v>
      </c>
      <c r="C2004" s="10" t="s">
        <v>151</v>
      </c>
      <c r="D2004" s="10" t="str">
        <f ca="1">IFERROR(__xludf.DUMMYFUNCTION(" VLOOKUP(A2001, IMPORTRANGE(""https://docs.google.com/spreadsheets/d/1fj_Bhi2XPL3siwIh4sx4VRLAe31yD50oKdj5UlRYW0c/"", ""Сводка!A:AA""), 11, FALSE)"),"ISBN 978-601-310-079-1")</f>
        <v>ISBN 978-601-310-079-1</v>
      </c>
      <c r="E2004" s="19" t="s">
        <v>8212</v>
      </c>
      <c r="F2004" s="19" t="s">
        <v>8216</v>
      </c>
      <c r="G2004" s="12">
        <f ca="1">IFERROR(__xludf.DUMMYFUNCTION(" VLOOKUP(A2001, IMPORTRANGE(""https://docs.google.com/spreadsheets/d/1fj_Bhi2XPL3siwIh4sx4VRLAe31yD50oKdj5UlRYW0c/"", ""Сводка!A:AA""), 5, FALSE)"),164)</f>
        <v>164</v>
      </c>
      <c r="H2004" s="9" t="s">
        <v>498</v>
      </c>
      <c r="I2004" s="10">
        <f ca="1">IFERROR(__xludf.DUMMYFUNCTION(" VLOOKUP(A2001, IMPORTRANGE(""https://docs.google.com/spreadsheets/d/1QNLbnkR_AongFt22vMfNzfpjZ0CjpI8QI-w0wBnYA1w/"", ""Инфа!A:AA""), 6, FALSE)"),2024)</f>
        <v>2024</v>
      </c>
      <c r="J2004" s="5">
        <f ca="1">ROUND((5000+G2004*30),-2)</f>
        <v>9900</v>
      </c>
      <c r="K2004" s="12" t="s">
        <v>2520</v>
      </c>
      <c r="L2004" s="15" t="s">
        <v>8217</v>
      </c>
    </row>
    <row r="2005" spans="1:12" ht="38.25">
      <c r="A2005" s="8" t="s">
        <v>8218</v>
      </c>
      <c r="B2005" s="9" t="s">
        <v>12</v>
      </c>
      <c r="C2005" s="10" t="s">
        <v>151</v>
      </c>
      <c r="D2005" s="10" t="str">
        <f ca="1">IFERROR(__xludf.DUMMYFUNCTION(" VLOOKUP(A2002, IMPORTRANGE(""https://docs.google.com/spreadsheets/d/1fj_Bhi2XPL3siwIh4sx4VRLAe31yD50oKdj5UlRYW0c/"", ""Сводка!A:AA""), 11, FALSE)"),"ISBN 978-601-310-233-7")</f>
        <v>ISBN 978-601-310-233-7</v>
      </c>
      <c r="E2005" s="19" t="s">
        <v>8212</v>
      </c>
      <c r="F2005" s="19" t="s">
        <v>8219</v>
      </c>
      <c r="G2005" s="12">
        <f ca="1">IFERROR(__xludf.DUMMYFUNCTION(" VLOOKUP(A2002, IMPORTRANGE(""https://docs.google.com/spreadsheets/d/1fj_Bhi2XPL3siwIh4sx4VRLAe31yD50oKdj5UlRYW0c/"", ""Сводка!A:AA""), 5, FALSE)"),124)</f>
        <v>124</v>
      </c>
      <c r="H2005" s="9" t="s">
        <v>106</v>
      </c>
      <c r="I2005" s="10">
        <f ca="1">IFERROR(__xludf.DUMMYFUNCTION(" VLOOKUP(A2002, IMPORTRANGE(""https://docs.google.com/spreadsheets/d/1QNLbnkR_AongFt22vMfNzfpjZ0CjpI8QI-w0wBnYA1w/"", ""Инфа!A:AA""), 6, FALSE)"),2024)</f>
        <v>2024</v>
      </c>
      <c r="J2005" s="5">
        <f ca="1">ROUND((5000+G2005*60),-2)</f>
        <v>12400</v>
      </c>
      <c r="K2005" s="12" t="s">
        <v>2520</v>
      </c>
      <c r="L2005" s="15"/>
    </row>
    <row r="2006" spans="1:12" ht="51">
      <c r="A2006" s="8" t="s">
        <v>8220</v>
      </c>
      <c r="B2006" s="9" t="s">
        <v>12</v>
      </c>
      <c r="C2006" s="10" t="s">
        <v>151</v>
      </c>
      <c r="D2006" s="10" t="str">
        <f ca="1">IFERROR(__xludf.DUMMYFUNCTION(" VLOOKUP(A2003, IMPORTRANGE(""https://docs.google.com/spreadsheets/d/1fj_Bhi2XPL3siwIh4sx4VRLAe31yD50oKdj5UlRYW0c/"", ""Сводка!A:AA""), 11, FALSE)"),"ISBN 978-601-208-132-9")</f>
        <v>ISBN 978-601-208-132-9</v>
      </c>
      <c r="E2006" s="11" t="s">
        <v>8212</v>
      </c>
      <c r="F2006" s="11" t="s">
        <v>8221</v>
      </c>
      <c r="G2006" s="12">
        <f ca="1">IFERROR(__xludf.DUMMYFUNCTION(" VLOOKUP(A2003, IMPORTRANGE(""https://docs.google.com/spreadsheets/d/1fj_Bhi2XPL3siwIh4sx4VRLAe31yD50oKdj5UlRYW0c/"", ""Сводка!A:AA""), 5, FALSE)"),88)</f>
        <v>88</v>
      </c>
      <c r="H2006" s="12" t="s">
        <v>47</v>
      </c>
      <c r="I2006" s="10">
        <f ca="1">IFERROR(__xludf.DUMMYFUNCTION(" VLOOKUP(A2003, IMPORTRANGE(""https://docs.google.com/spreadsheets/d/1QNLbnkR_AongFt22vMfNzfpjZ0CjpI8QI-w0wBnYA1w/"", ""Инфа!A:AA""), 6, FALSE)"),2024)</f>
        <v>2024</v>
      </c>
      <c r="J2006" s="5">
        <f ca="1">ROUND((5000+G2006*30),-2)</f>
        <v>7600</v>
      </c>
      <c r="K2006" s="12" t="s">
        <v>1450</v>
      </c>
      <c r="L2006" s="15"/>
    </row>
    <row r="2007" spans="1:12" ht="247.5">
      <c r="A2007" s="8" t="s">
        <v>8222</v>
      </c>
      <c r="B2007" s="9" t="s">
        <v>12</v>
      </c>
      <c r="C2007" s="10" t="s">
        <v>151</v>
      </c>
      <c r="D2007" s="10" t="str">
        <f ca="1">IFERROR(__xludf.DUMMYFUNCTION(" VLOOKUP(A2004, IMPORTRANGE(""https://docs.google.com/spreadsheets/d/1fj_Bhi2XPL3siwIh4sx4VRLAe31yD50oKdj5UlRYW0c/"", ""Сводка!A:AA""), 11, FALSE)"),"ISBN 978-601-327-934-3")</f>
        <v>ISBN 978-601-327-934-3</v>
      </c>
      <c r="E2007" s="11" t="s">
        <v>8223</v>
      </c>
      <c r="F2007" s="11" t="s">
        <v>8224</v>
      </c>
      <c r="G2007" s="12">
        <f ca="1">IFERROR(__xludf.DUMMYFUNCTION(" VLOOKUP(A2004, IMPORTRANGE(""https://docs.google.com/spreadsheets/d/1fj_Bhi2XPL3siwIh4sx4VRLAe31yD50oKdj5UlRYW0c/"", ""Сводка!A:AA""), 5, FALSE)"),172)</f>
        <v>172</v>
      </c>
      <c r="H2007" s="12" t="s">
        <v>538</v>
      </c>
      <c r="I2007" s="10">
        <f ca="1">IFERROR(__xludf.DUMMYFUNCTION(" VLOOKUP(A2004, IMPORTRANGE(""https://docs.google.com/spreadsheets/d/1QNLbnkR_AongFt22vMfNzfpjZ0CjpI8QI-w0wBnYA1w/"", ""Инфа!A:AA""), 6, FALSE)"),2024)</f>
        <v>2024</v>
      </c>
      <c r="J2007" s="5">
        <f ca="1">ROUND((5000+G2007*30),-2)</f>
        <v>10200</v>
      </c>
      <c r="K2007" s="12" t="s">
        <v>557</v>
      </c>
      <c r="L2007" s="15" t="s">
        <v>8225</v>
      </c>
    </row>
    <row r="2008" spans="1:12" ht="258.75">
      <c r="A2008" s="8" t="s">
        <v>8226</v>
      </c>
      <c r="B2008" s="9" t="s">
        <v>12</v>
      </c>
      <c r="C2008" s="10" t="s">
        <v>151</v>
      </c>
      <c r="D2008" s="10" t="str">
        <f ca="1">IFERROR(__xludf.DUMMYFUNCTION(" VLOOKUP(A2005, IMPORTRANGE(""https://docs.google.com/spreadsheets/d/1fj_Bhi2XPL3siwIh4sx4VRLAe31yD50oKdj5UlRYW0c/"", ""Сводка!A:AA""), 11, FALSE)"),"")</f>
        <v/>
      </c>
      <c r="E2008" s="11" t="s">
        <v>8227</v>
      </c>
      <c r="F2008" s="11" t="s">
        <v>8228</v>
      </c>
      <c r="G2008" s="12">
        <v>223</v>
      </c>
      <c r="H2008" s="12" t="s">
        <v>165</v>
      </c>
      <c r="I2008" s="10">
        <f ca="1">IFERROR(__xludf.DUMMYFUNCTION(" VLOOKUP(A2005, IMPORTRANGE(""https://docs.google.com/spreadsheets/d/1QNLbnkR_AongFt22vMfNzfpjZ0CjpI8QI-w0wBnYA1w/"", ""Инфа!A:AA""), 6, FALSE)"),2024)</f>
        <v>2024</v>
      </c>
      <c r="J2008" s="5">
        <f>ROUND((5000+G2008*30),-2)</f>
        <v>11700</v>
      </c>
      <c r="K2008" s="12" t="s">
        <v>8229</v>
      </c>
      <c r="L2008" s="15" t="s">
        <v>8230</v>
      </c>
    </row>
    <row r="2009" spans="1:12" ht="213.75">
      <c r="A2009" s="8" t="s">
        <v>8231</v>
      </c>
      <c r="B2009" s="9" t="s">
        <v>12</v>
      </c>
      <c r="C2009" s="10" t="s">
        <v>443</v>
      </c>
      <c r="D2009" s="10" t="str">
        <f ca="1">IFERROR(__xludf.DUMMYFUNCTION(" VLOOKUP(A2006, IMPORTRANGE(""https://docs.google.com/spreadsheets/d/1fj_Bhi2XPL3siwIh4sx4VRLAe31yD50oKdj5UlRYW0c/"", ""Сводка!A:AA""), 11, FALSE)"),"ISBN 978-601-327-941-1")</f>
        <v>ISBN 978-601-327-941-1</v>
      </c>
      <c r="E2009" s="11" t="s">
        <v>8232</v>
      </c>
      <c r="F2009" s="11" t="s">
        <v>8233</v>
      </c>
      <c r="G2009" s="12">
        <f ca="1">IFERROR(__xludf.DUMMYFUNCTION(" VLOOKUP(A2006, IMPORTRANGE(""https://docs.google.com/spreadsheets/d/1fj_Bhi2XPL3siwIh4sx4VRLAe31yD50oKdj5UlRYW0c/"", ""Сводка!A:AA""), 5, FALSE)"),168)</f>
        <v>168</v>
      </c>
      <c r="H2009" s="12" t="s">
        <v>538</v>
      </c>
      <c r="I2009" s="10">
        <f ca="1">IFERROR(__xludf.DUMMYFUNCTION(" VLOOKUP(A2006, IMPORTRANGE(""https://docs.google.com/spreadsheets/d/1QNLbnkR_AongFt22vMfNzfpjZ0CjpI8QI-w0wBnYA1w/"", ""Инфа!A:AA""), 6, FALSE)"),2024)</f>
        <v>2024</v>
      </c>
      <c r="J2009" s="5">
        <f ca="1">ROUND((5000+G2009*30),-2)</f>
        <v>10000</v>
      </c>
      <c r="K2009" s="12" t="s">
        <v>557</v>
      </c>
      <c r="L2009" s="15" t="s">
        <v>8234</v>
      </c>
    </row>
    <row r="2010" spans="1:12" ht="38.25">
      <c r="A2010" s="8" t="s">
        <v>8235</v>
      </c>
      <c r="B2010" s="9" t="s">
        <v>12</v>
      </c>
      <c r="C2010" s="10" t="s">
        <v>151</v>
      </c>
      <c r="D2010" s="10" t="str">
        <f ca="1">IFERROR(__xludf.DUMMYFUNCTION(" VLOOKUP(A2007, IMPORTRANGE(""https://docs.google.com/spreadsheets/d/1fj_Bhi2XPL3siwIh4sx4VRLAe31yD50oKdj5UlRYW0c/"", ""Сводка!A:AA""), 11, FALSE)"),"ISBN 978-601-310-572-7")</f>
        <v>ISBN 978-601-310-572-7</v>
      </c>
      <c r="E2010" s="11" t="s">
        <v>8236</v>
      </c>
      <c r="F2010" s="11" t="s">
        <v>8237</v>
      </c>
      <c r="G2010" s="12">
        <f ca="1">IFERROR(__xludf.DUMMYFUNCTION(" VLOOKUP(A2007, IMPORTRANGE(""https://docs.google.com/spreadsheets/d/1fj_Bhi2XPL3siwIh4sx4VRLAe31yD50oKdj5UlRYW0c/"", ""Сводка!A:AA""), 5, FALSE)"),80)</f>
        <v>80</v>
      </c>
      <c r="H2010" s="12" t="s">
        <v>47</v>
      </c>
      <c r="I2010" s="10">
        <f ca="1">IFERROR(__xludf.DUMMYFUNCTION(" VLOOKUP(A2007, IMPORTRANGE(""https://docs.google.com/spreadsheets/d/1QNLbnkR_AongFt22vMfNzfpjZ0CjpI8QI-w0wBnYA1w/"", ""Инфа!A:AA""), 6, FALSE)"),2024)</f>
        <v>2024</v>
      </c>
      <c r="J2010" s="5">
        <f ca="1">ROUND((5000+G2010*30),-2)</f>
        <v>7400</v>
      </c>
      <c r="K2010" s="12" t="s">
        <v>570</v>
      </c>
      <c r="L2010" s="15"/>
    </row>
    <row r="2011" spans="1:12" ht="38.25">
      <c r="A2011" s="8" t="s">
        <v>8238</v>
      </c>
      <c r="B2011" s="9" t="s">
        <v>12</v>
      </c>
      <c r="C2011" s="10" t="s">
        <v>151</v>
      </c>
      <c r="D2011" s="10" t="str">
        <f ca="1">IFERROR(__xludf.DUMMYFUNCTION(" VLOOKUP(A2008, IMPORTRANGE(""https://docs.google.com/spreadsheets/d/1fj_Bhi2XPL3siwIh4sx4VRLAe31yD50oKdj5UlRYW0c/"", ""Сводка!A:AA""), 11, FALSE)"),"ISBN 978-601-310-729-5")</f>
        <v>ISBN 978-601-310-729-5</v>
      </c>
      <c r="E2011" s="11" t="s">
        <v>8239</v>
      </c>
      <c r="F2011" s="11" t="s">
        <v>8240</v>
      </c>
      <c r="G2011" s="12">
        <f ca="1">IFERROR(__xludf.DUMMYFUNCTION(" VLOOKUP(A2008, IMPORTRANGE(""https://docs.google.com/spreadsheets/d/1fj_Bhi2XPL3siwIh4sx4VRLAe31yD50oKdj5UlRYW0c/"", ""Сводка!A:AA""), 5, FALSE)"),116)</f>
        <v>116</v>
      </c>
      <c r="H2011" s="12" t="s">
        <v>47</v>
      </c>
      <c r="I2011" s="10">
        <f ca="1">IFERROR(__xludf.DUMMYFUNCTION(" VLOOKUP(A2008, IMPORTRANGE(""https://docs.google.com/spreadsheets/d/1QNLbnkR_AongFt22vMfNzfpjZ0CjpI8QI-w0wBnYA1w/"", ""Инфа!A:AA""), 6, FALSE)"),2024)</f>
        <v>2024</v>
      </c>
      <c r="J2011" s="5">
        <f ca="1">ROUND(((5000+G2011*60)*1.3),-2)</f>
        <v>15500</v>
      </c>
      <c r="K2011" s="12" t="s">
        <v>961</v>
      </c>
      <c r="L2011" s="15"/>
    </row>
    <row r="2012" spans="1:12" ht="213.75">
      <c r="A2012" s="8" t="s">
        <v>8241</v>
      </c>
      <c r="B2012" s="9" t="s">
        <v>12</v>
      </c>
      <c r="C2012" s="10" t="s">
        <v>443</v>
      </c>
      <c r="D2012" s="10" t="str">
        <f ca="1">IFERROR(__xludf.DUMMYFUNCTION(" VLOOKUP(A2009, IMPORTRANGE(""https://docs.google.com/spreadsheets/d/1fj_Bhi2XPL3siwIh4sx4VRLAe31yD50oKdj5UlRYW0c/"", ""Сводка!A:AA""), 11, FALSE)"),"ISBN 978-601-327-814-8")</f>
        <v>ISBN 978-601-327-814-8</v>
      </c>
      <c r="E2012" s="11" t="s">
        <v>8242</v>
      </c>
      <c r="F2012" s="11" t="s">
        <v>8243</v>
      </c>
      <c r="G2012" s="12">
        <f ca="1">IFERROR(__xludf.DUMMYFUNCTION(" VLOOKUP(A2009, IMPORTRANGE(""https://docs.google.com/spreadsheets/d/1fj_Bhi2XPL3siwIh4sx4VRLAe31yD50oKdj5UlRYW0c/"", ""Сводка!A:AA""), 5, FALSE)"),156)</f>
        <v>156</v>
      </c>
      <c r="H2012" s="12" t="s">
        <v>446</v>
      </c>
      <c r="I2012" s="10">
        <f ca="1">IFERROR(__xludf.DUMMYFUNCTION(" VLOOKUP(A2009, IMPORTRANGE(""https://docs.google.com/spreadsheets/d/1QNLbnkR_AongFt22vMfNzfpjZ0CjpI8QI-w0wBnYA1w/"", ""Инфа!A:AA""), 6, FALSE)"),2024)</f>
        <v>2024</v>
      </c>
      <c r="J2012" s="5">
        <f ca="1">ROUND((5000+G2012*30),-2)</f>
        <v>9700</v>
      </c>
      <c r="K2012" s="9" t="s">
        <v>7967</v>
      </c>
      <c r="L2012" s="15" t="s">
        <v>8244</v>
      </c>
    </row>
    <row r="2013" spans="1:12" ht="25.5">
      <c r="A2013" s="8" t="s">
        <v>8245</v>
      </c>
      <c r="B2013" s="9" t="s">
        <v>12</v>
      </c>
      <c r="C2013" s="10" t="s">
        <v>151</v>
      </c>
      <c r="D2013" s="10" t="str">
        <f ca="1">IFERROR(__xludf.DUMMYFUNCTION(" VLOOKUP(A2010, IMPORTRANGE(""https://docs.google.com/spreadsheets/d/1fj_Bhi2XPL3siwIh4sx4VRLAe31yD50oKdj5UlRYW0c/"", ""Сводка!A:AA""), 11, FALSE)"),"978-601-240-199-8")</f>
        <v>978-601-240-199-8</v>
      </c>
      <c r="E2013" s="11" t="s">
        <v>8246</v>
      </c>
      <c r="F2013" s="11" t="s">
        <v>8247</v>
      </c>
      <c r="G2013" s="12">
        <f ca="1">IFERROR(__xludf.DUMMYFUNCTION(" VLOOKUP(A2010, IMPORTRANGE(""https://docs.google.com/spreadsheets/d/1fj_Bhi2XPL3siwIh4sx4VRLAe31yD50oKdj5UlRYW0c/"", ""Сводка!A:AA""), 5, FALSE)"),276)</f>
        <v>276</v>
      </c>
      <c r="H2013" s="12" t="s">
        <v>47</v>
      </c>
      <c r="I2013" s="10">
        <f ca="1">IFERROR(__xludf.DUMMYFUNCTION(" VLOOKUP(A2010, IMPORTRANGE(""https://docs.google.com/spreadsheets/d/1QNLbnkR_AongFt22vMfNzfpjZ0CjpI8QI-w0wBnYA1w/"", ""Инфа!A:AA""), 6, FALSE)"),2024)</f>
        <v>2024</v>
      </c>
      <c r="J2013" s="5">
        <f ca="1">ROUND(((5000+G2013*60)*1.3),-2)</f>
        <v>28000</v>
      </c>
      <c r="K2013" s="9" t="s">
        <v>101</v>
      </c>
      <c r="L2013" s="15"/>
    </row>
    <row r="2014" spans="1:12" ht="157.5">
      <c r="A2014" s="8" t="s">
        <v>8248</v>
      </c>
      <c r="B2014" s="9" t="s">
        <v>12</v>
      </c>
      <c r="C2014" s="10" t="s">
        <v>2342</v>
      </c>
      <c r="D2014" s="10" t="str">
        <f ca="1">IFERROR(__xludf.DUMMYFUNCTION(" VLOOKUP(A2011, IMPORTRANGE(""https://docs.google.com/spreadsheets/d/1fj_Bhi2XPL3siwIh4sx4VRLAe31yD50oKdj5UlRYW0c/"", ""Сводка!A:AA""), 11, FALSE)"),"978-601-327-663-2")</f>
        <v>978-601-327-663-2</v>
      </c>
      <c r="E2014" s="11" t="s">
        <v>8246</v>
      </c>
      <c r="F2014" s="11" t="s">
        <v>8249</v>
      </c>
      <c r="G2014" s="12">
        <f ca="1">IFERROR(__xludf.DUMMYFUNCTION(" VLOOKUP(A2011, IMPORTRANGE(""https://docs.google.com/spreadsheets/d/1fj_Bhi2XPL3siwIh4sx4VRLAe31yD50oKdj5UlRYW0c/"", ""Сводка!A:AA""), 5, FALSE)"),308)</f>
        <v>308</v>
      </c>
      <c r="H2014" s="12" t="s">
        <v>56</v>
      </c>
      <c r="I2014" s="10">
        <f ca="1">IFERROR(__xludf.DUMMYFUNCTION(" VLOOKUP(A2011, IMPORTRANGE(""https://docs.google.com/spreadsheets/d/1QNLbnkR_AongFt22vMfNzfpjZ0CjpI8QI-w0wBnYA1w/"", ""Инфа!A:AA""), 6, FALSE)"),2024)</f>
        <v>2024</v>
      </c>
      <c r="J2014" s="5">
        <f ca="1">ROUND((5000+G2014*30),-2)</f>
        <v>14200</v>
      </c>
      <c r="K2014" s="12" t="s">
        <v>8250</v>
      </c>
      <c r="L2014" s="15" t="s">
        <v>8251</v>
      </c>
    </row>
    <row r="2015" spans="1:12" ht="67.5">
      <c r="A2015" s="8" t="s">
        <v>8252</v>
      </c>
      <c r="B2015" s="9" t="s">
        <v>12</v>
      </c>
      <c r="C2015" s="10" t="s">
        <v>333</v>
      </c>
      <c r="D2015" s="10" t="str">
        <f ca="1">IFERROR(__xludf.DUMMYFUNCTION(" VLOOKUP(A2012, IMPORTRANGE(""https://docs.google.com/spreadsheets/d/1fj_Bhi2XPL3siwIh4sx4VRLAe31yD50oKdj5UlRYW0c/"", ""Сводка!A:AA""), 11, FALSE)"),"ISBN 978-601-327-675-5")</f>
        <v>ISBN 978-601-327-675-5</v>
      </c>
      <c r="E2015" s="11" t="s">
        <v>8253</v>
      </c>
      <c r="F2015" s="11" t="s">
        <v>8254</v>
      </c>
      <c r="G2015" s="12">
        <f ca="1">IFERROR(__xludf.DUMMYFUNCTION(" VLOOKUP(A2012, IMPORTRANGE(""https://docs.google.com/spreadsheets/d/1fj_Bhi2XPL3siwIh4sx4VRLAe31yD50oKdj5UlRYW0c/"", ""Сводка!A:AA""), 5, FALSE)"),216)</f>
        <v>216</v>
      </c>
      <c r="H2015" s="12" t="s">
        <v>8255</v>
      </c>
      <c r="I2015" s="10">
        <f ca="1">IFERROR(__xludf.DUMMYFUNCTION(" VLOOKUP(A2012, IMPORTRANGE(""https://docs.google.com/spreadsheets/d/1QNLbnkR_AongFt22vMfNzfpjZ0CjpI8QI-w0wBnYA1w/"", ""Инфа!A:AA""), 6, FALSE)"),2024)</f>
        <v>2024</v>
      </c>
      <c r="J2015" s="5">
        <f ca="1">ROUND((5000+G2015*30),-2)</f>
        <v>11500</v>
      </c>
      <c r="K2015" s="12" t="s">
        <v>8250</v>
      </c>
      <c r="L2015" s="15" t="s">
        <v>8256</v>
      </c>
    </row>
    <row r="2016" spans="1:12" ht="213.75">
      <c r="A2016" s="8" t="s">
        <v>8257</v>
      </c>
      <c r="B2016" s="9" t="s">
        <v>12</v>
      </c>
      <c r="C2016" s="10" t="s">
        <v>443</v>
      </c>
      <c r="D2016" s="10" t="str">
        <f ca="1">IFERROR(__xludf.DUMMYFUNCTION(" VLOOKUP(A2013, IMPORTRANGE(""https://docs.google.com/spreadsheets/d/1fj_Bhi2XPL3siwIh4sx4VRLAe31yD50oKdj5UlRYW0c/"", ""Сводка!A:AA""), 11, FALSE)"),"978-601-327-664-9")</f>
        <v>978-601-327-664-9</v>
      </c>
      <c r="E2016" s="11" t="s">
        <v>8258</v>
      </c>
      <c r="F2016" s="11" t="s">
        <v>8259</v>
      </c>
      <c r="G2016" s="12">
        <f ca="1">IFERROR(__xludf.DUMMYFUNCTION(" VLOOKUP(A2013, IMPORTRANGE(""https://docs.google.com/spreadsheets/d/1fj_Bhi2XPL3siwIh4sx4VRLAe31yD50oKdj5UlRYW0c/"", ""Сводка!A:AA""), 5, FALSE)"),320)</f>
        <v>320</v>
      </c>
      <c r="H2016" s="12" t="s">
        <v>511</v>
      </c>
      <c r="I2016" s="10">
        <f ca="1">IFERROR(__xludf.DUMMYFUNCTION(" VLOOKUP(A2013, IMPORTRANGE(""https://docs.google.com/spreadsheets/d/1QNLbnkR_AongFt22vMfNzfpjZ0CjpI8QI-w0wBnYA1w/"", ""Инфа!A:AA""), 6, FALSE)"),2024)</f>
        <v>2024</v>
      </c>
      <c r="J2016" s="5">
        <f ca="1">ROUND((5000+G2016*60),-2)</f>
        <v>24200</v>
      </c>
      <c r="K2016" s="12" t="s">
        <v>8250</v>
      </c>
      <c r="L2016" s="15" t="s">
        <v>8260</v>
      </c>
    </row>
    <row r="2017" spans="1:12" ht="180">
      <c r="A2017" s="8" t="s">
        <v>8261</v>
      </c>
      <c r="B2017" s="9" t="s">
        <v>12</v>
      </c>
      <c r="C2017" s="10" t="s">
        <v>443</v>
      </c>
      <c r="D2017" s="10" t="str">
        <f ca="1">IFERROR(__xludf.DUMMYFUNCTION(" VLOOKUP(A2014, IMPORTRANGE(""https://docs.google.com/spreadsheets/d/1fj_Bhi2XPL3siwIh4sx4VRLAe31yD50oKdj5UlRYW0c/"", ""Сводка!A:AA""), 11, FALSE)"),"978-601-327-210-8")</f>
        <v>978-601-327-210-8</v>
      </c>
      <c r="E2017" s="11" t="s">
        <v>8262</v>
      </c>
      <c r="F2017" s="11" t="s">
        <v>8263</v>
      </c>
      <c r="G2017" s="12">
        <f ca="1">IFERROR(__xludf.DUMMYFUNCTION(" VLOOKUP(A2014, IMPORTRANGE(""https://docs.google.com/spreadsheets/d/1fj_Bhi2XPL3siwIh4sx4VRLAe31yD50oKdj5UlRYW0c/"", ""Сводка!A:AA""), 5, FALSE)"),272)</f>
        <v>272</v>
      </c>
      <c r="H2017" s="12" t="s">
        <v>511</v>
      </c>
      <c r="I2017" s="10">
        <f ca="1">IFERROR(__xludf.DUMMYFUNCTION(" VLOOKUP(A2014, IMPORTRANGE(""https://docs.google.com/spreadsheets/d/1QNLbnkR_AongFt22vMfNzfpjZ0CjpI8QI-w0wBnYA1w/"", ""Инфа!A:AA""), 6, FALSE)"),2024)</f>
        <v>2024</v>
      </c>
      <c r="J2017" s="5">
        <f ca="1">ROUND((5000+G2017*30),-2)</f>
        <v>13200</v>
      </c>
      <c r="K2017" s="12" t="s">
        <v>101</v>
      </c>
      <c r="L2017" s="15" t="s">
        <v>8264</v>
      </c>
    </row>
    <row r="2018" spans="1:12" ht="180">
      <c r="A2018" s="8" t="s">
        <v>8265</v>
      </c>
      <c r="B2018" s="9" t="s">
        <v>12</v>
      </c>
      <c r="C2018" s="10" t="s">
        <v>443</v>
      </c>
      <c r="D2018" s="10" t="str">
        <f ca="1">IFERROR(__xludf.DUMMYFUNCTION(" VLOOKUP(A2015, IMPORTRANGE(""https://docs.google.com/spreadsheets/d/1fj_Bhi2XPL3siwIh4sx4VRLAe31yD50oKdj5UlRYW0c/"", ""Сводка!A:AA""), 11, FALSE)"),"978-601-327-210-8")</f>
        <v>978-601-327-210-8</v>
      </c>
      <c r="E2018" s="11" t="s">
        <v>8262</v>
      </c>
      <c r="F2018" s="11" t="s">
        <v>8266</v>
      </c>
      <c r="G2018" s="12">
        <f ca="1">IFERROR(__xludf.DUMMYFUNCTION(" VLOOKUP(A2015, IMPORTRANGE(""https://docs.google.com/spreadsheets/d/1fj_Bhi2XPL3siwIh4sx4VRLAe31yD50oKdj5UlRYW0c/"", ""Сводка!A:AA""), 5, FALSE)"),304)</f>
        <v>304</v>
      </c>
      <c r="H2018" s="12" t="s">
        <v>511</v>
      </c>
      <c r="I2018" s="10">
        <f ca="1">IFERROR(__xludf.DUMMYFUNCTION(" VLOOKUP(A2015, IMPORTRANGE(""https://docs.google.com/spreadsheets/d/1QNLbnkR_AongFt22vMfNzfpjZ0CjpI8QI-w0wBnYA1w/"", ""Инфа!A:AA""), 6, FALSE)"),2024)</f>
        <v>2024</v>
      </c>
      <c r="J2018" s="5">
        <f ca="1">ROUND((5000+G2018*30),-2)</f>
        <v>14100</v>
      </c>
      <c r="K2018" s="12" t="s">
        <v>101</v>
      </c>
      <c r="L2018" s="15" t="s">
        <v>8264</v>
      </c>
    </row>
    <row r="2019" spans="1:12" ht="281.25">
      <c r="A2019" s="8" t="s">
        <v>8267</v>
      </c>
      <c r="B2019" s="9" t="s">
        <v>12</v>
      </c>
      <c r="C2019" s="10" t="s">
        <v>151</v>
      </c>
      <c r="D2019" s="10" t="str">
        <f ca="1">IFERROR(__xludf.DUMMYFUNCTION(" VLOOKUP(A2016, IMPORTRANGE(""https://docs.google.com/spreadsheets/d/1fj_Bhi2XPL3siwIh4sx4VRLAe31yD50oKdj5UlRYW0c/"", ""Сводка!A:AA""), 11, FALSE)"),"ISBN 978-601-327-059-3")</f>
        <v>ISBN 978-601-327-059-3</v>
      </c>
      <c r="E2019" s="11" t="s">
        <v>8268</v>
      </c>
      <c r="F2019" s="11" t="s">
        <v>8269</v>
      </c>
      <c r="G2019" s="12">
        <f ca="1">IFERROR(__xludf.DUMMYFUNCTION(" VLOOKUP(A2016, IMPORTRANGE(""https://docs.google.com/spreadsheets/d/1fj_Bhi2XPL3siwIh4sx4VRLAe31yD50oKdj5UlRYW0c/"", ""Сводка!A:AA""), 5, FALSE)"),304)</f>
        <v>304</v>
      </c>
      <c r="H2019" s="12" t="s">
        <v>8270</v>
      </c>
      <c r="I2019" s="10">
        <f ca="1">IFERROR(__xludf.DUMMYFUNCTION(" VLOOKUP(A2016, IMPORTRANGE(""https://docs.google.com/spreadsheets/d/1QNLbnkR_AongFt22vMfNzfpjZ0CjpI8QI-w0wBnYA1w/"", ""Инфа!A:AA""), 6, FALSE)"),2024)</f>
        <v>2024</v>
      </c>
      <c r="J2019" s="5">
        <f ca="1">ROUND(((5000+G2019*30)*1.3),-2)</f>
        <v>18400</v>
      </c>
      <c r="K2019" s="12" t="s">
        <v>308</v>
      </c>
      <c r="L2019" s="15" t="s">
        <v>8271</v>
      </c>
    </row>
    <row r="2020" spans="1:12" ht="281.25">
      <c r="A2020" s="8" t="s">
        <v>8272</v>
      </c>
      <c r="B2020" s="9" t="s">
        <v>12</v>
      </c>
      <c r="C2020" s="10" t="s">
        <v>151</v>
      </c>
      <c r="D2020" s="10" t="str">
        <f ca="1">IFERROR(__xludf.DUMMYFUNCTION(" VLOOKUP(A2017, IMPORTRANGE(""https://docs.google.com/spreadsheets/d/1fj_Bhi2XPL3siwIh4sx4VRLAe31yD50oKdj5UlRYW0c/"", ""Сводка!A:AA""), 11, FALSE)"),"ISBN 978-601-327-059-3")</f>
        <v>ISBN 978-601-327-059-3</v>
      </c>
      <c r="E2020" s="11" t="s">
        <v>8268</v>
      </c>
      <c r="F2020" s="11" t="s">
        <v>8273</v>
      </c>
      <c r="G2020" s="12">
        <f ca="1">IFERROR(__xludf.DUMMYFUNCTION(" VLOOKUP(A2017, IMPORTRANGE(""https://docs.google.com/spreadsheets/d/1fj_Bhi2XPL3siwIh4sx4VRLAe31yD50oKdj5UlRYW0c/"", ""Сводка!A:AA""), 5, FALSE)"),188)</f>
        <v>188</v>
      </c>
      <c r="H2020" s="12" t="s">
        <v>8270</v>
      </c>
      <c r="I2020" s="10">
        <f ca="1">IFERROR(__xludf.DUMMYFUNCTION(" VLOOKUP(A2017, IMPORTRANGE(""https://docs.google.com/spreadsheets/d/1QNLbnkR_AongFt22vMfNzfpjZ0CjpI8QI-w0wBnYA1w/"", ""Инфа!A:AA""), 6, FALSE)"),2024)</f>
        <v>2024</v>
      </c>
      <c r="J2020" s="5">
        <f ca="1">ROUND(((5000+G2020*30)*1.3),-2)</f>
        <v>13800</v>
      </c>
      <c r="K2020" s="12" t="s">
        <v>308</v>
      </c>
      <c r="L2020" s="15" t="s">
        <v>8271</v>
      </c>
    </row>
    <row r="2021" spans="1:12" ht="225">
      <c r="A2021" s="8" t="s">
        <v>8274</v>
      </c>
      <c r="B2021" s="9" t="s">
        <v>12</v>
      </c>
      <c r="C2021" s="10" t="s">
        <v>151</v>
      </c>
      <c r="D2021" s="10" t="str">
        <f ca="1">IFERROR(__xludf.DUMMYFUNCTION(" VLOOKUP(A2018, IMPORTRANGE(""https://docs.google.com/spreadsheets/d/1fj_Bhi2XPL3siwIh4sx4VRLAe31yD50oKdj5UlRYW0c/"", ""Сводка!A:AA""), 11, FALSE)"),"ISBN 9965-00-322-X")</f>
        <v>ISBN 9965-00-322-X</v>
      </c>
      <c r="E2021" s="11" t="s">
        <v>8275</v>
      </c>
      <c r="F2021" s="11" t="s">
        <v>8276</v>
      </c>
      <c r="G2021" s="12">
        <f ca="1">IFERROR(__xludf.DUMMYFUNCTION(" VLOOKUP(A2018, IMPORTRANGE(""https://docs.google.com/spreadsheets/d/1fj_Bhi2XPL3siwIh4sx4VRLAe31yD50oKdj5UlRYW0c/"", ""Сводка!A:AA""), 5, FALSE)"),292)</f>
        <v>292</v>
      </c>
      <c r="H2021" s="12" t="s">
        <v>106</v>
      </c>
      <c r="I2021" s="10">
        <f ca="1">IFERROR(__xludf.DUMMYFUNCTION(" VLOOKUP(A2018, IMPORTRANGE(""https://docs.google.com/spreadsheets/d/1QNLbnkR_AongFt22vMfNzfpjZ0CjpI8QI-w0wBnYA1w/"", ""Инфа!A:AA""), 6, FALSE)"),2024)</f>
        <v>2024</v>
      </c>
      <c r="J2021" s="5">
        <f ca="1">ROUND(((5000+G2021*30)*1.3),-2)</f>
        <v>17900</v>
      </c>
      <c r="K2021" s="9" t="s">
        <v>5309</v>
      </c>
      <c r="L2021" s="15" t="s">
        <v>8277</v>
      </c>
    </row>
    <row r="2022" spans="1:12" ht="168.75">
      <c r="A2022" s="8" t="s">
        <v>8278</v>
      </c>
      <c r="B2022" s="9" t="s">
        <v>12</v>
      </c>
      <c r="C2022" s="10" t="s">
        <v>151</v>
      </c>
      <c r="D2022" s="10" t="str">
        <f ca="1">IFERROR(__xludf.DUMMYFUNCTION(" VLOOKUP(A2019, IMPORTRANGE(""https://docs.google.com/spreadsheets/d/1fj_Bhi2XPL3siwIh4sx4VRLAe31yD50oKdj5UlRYW0c/"", ""Сводка!A:AA""), 11, FALSE)"),"ISBN 978-601-327-097-5")</f>
        <v>ISBN 978-601-327-097-5</v>
      </c>
      <c r="E2022" s="11" t="s">
        <v>8279</v>
      </c>
      <c r="F2022" s="11" t="s">
        <v>8280</v>
      </c>
      <c r="G2022" s="12">
        <f ca="1">IFERROR(__xludf.DUMMYFUNCTION(" VLOOKUP(A2019, IMPORTRANGE(""https://docs.google.com/spreadsheets/d/1fj_Bhi2XPL3siwIh4sx4VRLAe31yD50oKdj5UlRYW0c/"", ""Сводка!A:AA""), 5, FALSE)"),260)</f>
        <v>260</v>
      </c>
      <c r="H2022" s="12" t="s">
        <v>106</v>
      </c>
      <c r="I2022" s="10">
        <f ca="1">IFERROR(__xludf.DUMMYFUNCTION(" VLOOKUP(A2019, IMPORTRANGE(""https://docs.google.com/spreadsheets/d/1QNLbnkR_AongFt22vMfNzfpjZ0CjpI8QI-w0wBnYA1w/"", ""Инфа!A:AA""), 6, FALSE)"),2024)</f>
        <v>2024</v>
      </c>
      <c r="J2022" s="5">
        <f ca="1">ROUND(((5000+G2022*60)*1.3),-2)</f>
        <v>26800</v>
      </c>
      <c r="K2022" s="12" t="s">
        <v>740</v>
      </c>
      <c r="L2022" s="15" t="s">
        <v>8281</v>
      </c>
    </row>
    <row r="2023" spans="1:12" ht="168.75">
      <c r="A2023" s="8" t="s">
        <v>8282</v>
      </c>
      <c r="B2023" s="9" t="s">
        <v>12</v>
      </c>
      <c r="C2023" s="10" t="s">
        <v>151</v>
      </c>
      <c r="D2023" s="10" t="str">
        <f ca="1">IFERROR(__xludf.DUMMYFUNCTION(" VLOOKUP(A2020, IMPORTRANGE(""https://docs.google.com/spreadsheets/d/1fj_Bhi2XPL3siwIh4sx4VRLAe31yD50oKdj5UlRYW0c/"", ""Сводка!A:AA""), 11, FALSE)"),"ISBN 978-601-327-097-5")</f>
        <v>ISBN 978-601-327-097-5</v>
      </c>
      <c r="E2023" s="11" t="s">
        <v>8279</v>
      </c>
      <c r="F2023" s="11" t="s">
        <v>8283</v>
      </c>
      <c r="G2023" s="12">
        <f ca="1">IFERROR(__xludf.DUMMYFUNCTION(" VLOOKUP(A2020, IMPORTRANGE(""https://docs.google.com/spreadsheets/d/1fj_Bhi2XPL3siwIh4sx4VRLAe31yD50oKdj5UlRYW0c/"", ""Сводка!A:AA""), 5, FALSE)"),248)</f>
        <v>248</v>
      </c>
      <c r="H2023" s="12" t="s">
        <v>106</v>
      </c>
      <c r="I2023" s="10">
        <f ca="1">IFERROR(__xludf.DUMMYFUNCTION(" VLOOKUP(A2020, IMPORTRANGE(""https://docs.google.com/spreadsheets/d/1QNLbnkR_AongFt22vMfNzfpjZ0CjpI8QI-w0wBnYA1w/"", ""Инфа!A:AA""), 6, FALSE)"),2024)</f>
        <v>2024</v>
      </c>
      <c r="J2023" s="5">
        <f ca="1">ROUND(((5000+G2023*30)*1.3),-2)</f>
        <v>16200</v>
      </c>
      <c r="K2023" s="12" t="s">
        <v>740</v>
      </c>
      <c r="L2023" s="15" t="s">
        <v>8281</v>
      </c>
    </row>
    <row r="2024" spans="1:12" ht="303.75">
      <c r="A2024" s="8" t="s">
        <v>8284</v>
      </c>
      <c r="B2024" s="9" t="s">
        <v>12</v>
      </c>
      <c r="C2024" s="10" t="s">
        <v>151</v>
      </c>
      <c r="D2024" s="10" t="str">
        <f ca="1">IFERROR(__xludf.DUMMYFUNCTION(" VLOOKUP(A2021, IMPORTRANGE(""https://docs.google.com/spreadsheets/d/1fj_Bhi2XPL3siwIh4sx4VRLAe31yD50oKdj5UlRYW0c/"", ""Сводка!A:AA""), 11, FALSE)"),"978-601-310-700-4")</f>
        <v>978-601-310-700-4</v>
      </c>
      <c r="E2024" s="11" t="s">
        <v>8279</v>
      </c>
      <c r="F2024" s="11" t="s">
        <v>8285</v>
      </c>
      <c r="G2024" s="12">
        <f ca="1">IFERROR(__xludf.DUMMYFUNCTION(" VLOOKUP(A2021, IMPORTRANGE(""https://docs.google.com/spreadsheets/d/1fj_Bhi2XPL3siwIh4sx4VRLAe31yD50oKdj5UlRYW0c/"", ""Сводка!A:AA""), 5, FALSE)"),280)</f>
        <v>280</v>
      </c>
      <c r="H2024" s="12" t="s">
        <v>106</v>
      </c>
      <c r="I2024" s="10">
        <f ca="1">IFERROR(__xludf.DUMMYFUNCTION(" VLOOKUP(A2021, IMPORTRANGE(""https://docs.google.com/spreadsheets/d/1QNLbnkR_AongFt22vMfNzfpjZ0CjpI8QI-w0wBnYA1w/"", ""Инфа!A:AA""), 6, FALSE)"),2024)</f>
        <v>2024</v>
      </c>
      <c r="J2024" s="5">
        <f ca="1">ROUND(((5000+G2024*60)*1.3),-2)</f>
        <v>28300</v>
      </c>
      <c r="K2024" s="12" t="s">
        <v>69</v>
      </c>
      <c r="L2024" s="15" t="s">
        <v>8286</v>
      </c>
    </row>
    <row r="2025" spans="1:12" ht="303.75">
      <c r="A2025" s="8" t="s">
        <v>8287</v>
      </c>
      <c r="B2025" s="9" t="s">
        <v>12</v>
      </c>
      <c r="C2025" s="10" t="s">
        <v>151</v>
      </c>
      <c r="D2025" s="10" t="str">
        <f ca="1">IFERROR(__xludf.DUMMYFUNCTION(" VLOOKUP(A2022, IMPORTRANGE(""https://docs.google.com/spreadsheets/d/1fj_Bhi2XPL3siwIh4sx4VRLAe31yD50oKdj5UlRYW0c/"", ""Сводка!A:AA""), 11, FALSE)"),"ISBN 978-601-310-700-4")</f>
        <v>ISBN 978-601-310-700-4</v>
      </c>
      <c r="E2025" s="11" t="s">
        <v>8279</v>
      </c>
      <c r="F2025" s="11" t="s">
        <v>8288</v>
      </c>
      <c r="G2025" s="12">
        <f ca="1">IFERROR(__xludf.DUMMYFUNCTION(" VLOOKUP(A2022, IMPORTRANGE(""https://docs.google.com/spreadsheets/d/1fj_Bhi2XPL3siwIh4sx4VRLAe31yD50oKdj5UlRYW0c/"", ""Сводка!A:AA""), 5, FALSE)"),260)</f>
        <v>260</v>
      </c>
      <c r="H2025" s="12" t="s">
        <v>106</v>
      </c>
      <c r="I2025" s="10">
        <f ca="1">IFERROR(__xludf.DUMMYFUNCTION(" VLOOKUP(A2022, IMPORTRANGE(""https://docs.google.com/spreadsheets/d/1QNLbnkR_AongFt22vMfNzfpjZ0CjpI8QI-w0wBnYA1w/"", ""Инфа!A:AA""), 6, FALSE)"),2024)</f>
        <v>2024</v>
      </c>
      <c r="J2025" s="5">
        <f ca="1">ROUND(((5000+G2025*30)*1.3),-2)</f>
        <v>16600</v>
      </c>
      <c r="K2025" s="9" t="s">
        <v>7967</v>
      </c>
      <c r="L2025" s="15" t="s">
        <v>8289</v>
      </c>
    </row>
    <row r="2026" spans="1:12" ht="303.75">
      <c r="A2026" s="72" t="s">
        <v>8290</v>
      </c>
      <c r="B2026" s="12" t="s">
        <v>12</v>
      </c>
      <c r="C2026" s="12" t="s">
        <v>151</v>
      </c>
      <c r="D2026" s="12" t="s">
        <v>8291</v>
      </c>
      <c r="E2026" s="11" t="s">
        <v>8279</v>
      </c>
      <c r="F2026" s="11" t="s">
        <v>8292</v>
      </c>
      <c r="G2026" s="73">
        <f ca="1">IFERROR(__xludf.DUMMYFUNCTION(" VLOOKUP(A2023, IMPORTRANGE(""https://docs.google.com/spreadsheets/d/1fj_Bhi2XPL3siwIh4sx4VRLAe31yD50oKdj5UlRYW0c/"", ""Сводка!A:AA""), 5, FALSE)"),264)</f>
        <v>264</v>
      </c>
      <c r="H2026" s="12" t="s">
        <v>106</v>
      </c>
      <c r="I2026" s="12">
        <v>2024</v>
      </c>
      <c r="J2026" s="33">
        <v>16600</v>
      </c>
      <c r="K2026" s="12" t="s">
        <v>7967</v>
      </c>
      <c r="L2026" s="15" t="s">
        <v>8289</v>
      </c>
    </row>
    <row r="2027" spans="1:12" ht="303.75">
      <c r="A2027" s="72" t="s">
        <v>8293</v>
      </c>
      <c r="B2027" s="12" t="s">
        <v>12</v>
      </c>
      <c r="C2027" s="12" t="s">
        <v>151</v>
      </c>
      <c r="D2027" s="12" t="s">
        <v>8291</v>
      </c>
      <c r="E2027" s="11" t="s">
        <v>8279</v>
      </c>
      <c r="F2027" s="11" t="s">
        <v>8294</v>
      </c>
      <c r="G2027" s="73">
        <f ca="1">IFERROR(__xludf.DUMMYFUNCTION(" VLOOKUP(A2024, IMPORTRANGE(""https://docs.google.com/spreadsheets/d/1fj_Bhi2XPL3siwIh4sx4VRLAe31yD50oKdj5UlRYW0c/"", ""Сводка!A:AA""), 5, FALSE)"),336)</f>
        <v>336</v>
      </c>
      <c r="H2027" s="12" t="s">
        <v>106</v>
      </c>
      <c r="I2027" s="12">
        <v>2024</v>
      </c>
      <c r="J2027" s="33">
        <v>19600</v>
      </c>
      <c r="K2027" s="12" t="s">
        <v>7967</v>
      </c>
      <c r="L2027" s="15" t="s">
        <v>8289</v>
      </c>
    </row>
    <row r="2028" spans="1:12" ht="270">
      <c r="A2028" s="8" t="s">
        <v>8295</v>
      </c>
      <c r="B2028" s="9" t="s">
        <v>12</v>
      </c>
      <c r="C2028" s="10" t="s">
        <v>151</v>
      </c>
      <c r="D2028" s="10" t="str">
        <f ca="1">IFERROR(__xludf.DUMMYFUNCTION(" VLOOKUP(A2025, IMPORTRANGE(""https://docs.google.com/spreadsheets/d/1fj_Bhi2XPL3siwIh4sx4VRLAe31yD50oKdj5UlRYW0c/"", ""Сводка!A:AA""), 11, FALSE)"),"ISBN 978-601-310-698-4")</f>
        <v>ISBN 978-601-310-698-4</v>
      </c>
      <c r="E2028" s="11" t="s">
        <v>8279</v>
      </c>
      <c r="F2028" s="11" t="s">
        <v>8296</v>
      </c>
      <c r="G2028" s="12">
        <f ca="1">IFERROR(__xludf.DUMMYFUNCTION(" VLOOKUP(A2025, IMPORTRANGE(""https://docs.google.com/spreadsheets/d/1fj_Bhi2XPL3siwIh4sx4VRLAe31yD50oKdj5UlRYW0c/"", ""Сводка!A:AA""), 5, FALSE)"),292)</f>
        <v>292</v>
      </c>
      <c r="H2028" s="12" t="s">
        <v>106</v>
      </c>
      <c r="I2028" s="10">
        <f ca="1">IFERROR(__xludf.DUMMYFUNCTION(" VLOOKUP(A2025, IMPORTRANGE(""https://docs.google.com/spreadsheets/d/1QNLbnkR_AongFt22vMfNzfpjZ0CjpI8QI-w0wBnYA1w/"", ""Инфа!A:AA""), 6, FALSE)"),2024)</f>
        <v>2024</v>
      </c>
      <c r="J2028" s="5">
        <f ca="1">ROUND(((5000+G2028*30)*1.3),-2)</f>
        <v>17900</v>
      </c>
      <c r="K2028" s="9" t="s">
        <v>7967</v>
      </c>
      <c r="L2028" s="15" t="s">
        <v>8297</v>
      </c>
    </row>
    <row r="2029" spans="1:12" ht="270">
      <c r="A2029" s="8" t="s">
        <v>8298</v>
      </c>
      <c r="B2029" s="9" t="s">
        <v>12</v>
      </c>
      <c r="C2029" s="10" t="s">
        <v>151</v>
      </c>
      <c r="D2029" s="10" t="str">
        <f ca="1">IFERROR(__xludf.DUMMYFUNCTION(" VLOOKUP(A2026, IMPORTRANGE(""https://docs.google.com/spreadsheets/d/1fj_Bhi2XPL3siwIh4sx4VRLAe31yD50oKdj5UlRYW0c/"", ""Сводка!A:AA""), 11, FALSE)"),"ISBN 978-601-310-698-4")</f>
        <v>ISBN 978-601-310-698-4</v>
      </c>
      <c r="E2029" s="11" t="s">
        <v>8279</v>
      </c>
      <c r="F2029" s="11" t="s">
        <v>8299</v>
      </c>
      <c r="G2029" s="12">
        <f ca="1">IFERROR(__xludf.DUMMYFUNCTION(" VLOOKUP(A2026, IMPORTRANGE(""https://docs.google.com/spreadsheets/d/1fj_Bhi2XPL3siwIh4sx4VRLAe31yD50oKdj5UlRYW0c/"", ""Сводка!A:AA""), 5, FALSE)"),280)</f>
        <v>280</v>
      </c>
      <c r="H2029" s="12" t="s">
        <v>106</v>
      </c>
      <c r="I2029" s="10">
        <f ca="1">IFERROR(__xludf.DUMMYFUNCTION(" VLOOKUP(A2026, IMPORTRANGE(""https://docs.google.com/spreadsheets/d/1QNLbnkR_AongFt22vMfNzfpjZ0CjpI8QI-w0wBnYA1w/"", ""Инфа!A:AA""), 6, FALSE)"),2024)</f>
        <v>2024</v>
      </c>
      <c r="J2029" s="5">
        <f ca="1">ROUND(((5000+G2029*30)*1.3),-2)</f>
        <v>17400</v>
      </c>
      <c r="K2029" s="9" t="s">
        <v>7967</v>
      </c>
      <c r="L2029" s="15" t="s">
        <v>8297</v>
      </c>
    </row>
    <row r="2030" spans="1:12" ht="258.75">
      <c r="A2030" s="8" t="s">
        <v>8300</v>
      </c>
      <c r="B2030" s="9" t="s">
        <v>12</v>
      </c>
      <c r="C2030" s="10" t="s">
        <v>151</v>
      </c>
      <c r="D2030" s="10" t="str">
        <f ca="1">IFERROR(__xludf.DUMMYFUNCTION(" VLOOKUP(A2027, IMPORTRANGE(""https://docs.google.com/spreadsheets/d/1fj_Bhi2XPL3siwIh4sx4VRLAe31yD50oKdj5UlRYW0c/"", ""Сводка!A:AA""), 11, FALSE)"),"ISBN 978-601-310-699-1")</f>
        <v>ISBN 978-601-310-699-1</v>
      </c>
      <c r="E2030" s="11" t="s">
        <v>8301</v>
      </c>
      <c r="F2030" s="11" t="s">
        <v>8302</v>
      </c>
      <c r="G2030" s="12">
        <f ca="1">IFERROR(__xludf.DUMMYFUNCTION(" VLOOKUP(A2027, IMPORTRANGE(""https://docs.google.com/spreadsheets/d/1fj_Bhi2XPL3siwIh4sx4VRLAe31yD50oKdj5UlRYW0c/"", ""Сводка!A:AA""), 5, FALSE)"),292)</f>
        <v>292</v>
      </c>
      <c r="H2030" s="12" t="s">
        <v>106</v>
      </c>
      <c r="I2030" s="10">
        <f ca="1">IFERROR(__xludf.DUMMYFUNCTION(" VLOOKUP(A2027, IMPORTRANGE(""https://docs.google.com/spreadsheets/d/1QNLbnkR_AongFt22vMfNzfpjZ0CjpI8QI-w0wBnYA1w/"", ""Инфа!A:AA""), 6, FALSE)"),2024)</f>
        <v>2024</v>
      </c>
      <c r="J2030" s="5">
        <f ca="1">ROUND(((5000+G2030*60)*1.3),-2)</f>
        <v>29300</v>
      </c>
      <c r="K2030" s="12" t="s">
        <v>69</v>
      </c>
      <c r="L2030" s="15" t="s">
        <v>8303</v>
      </c>
    </row>
    <row r="2031" spans="1:12" ht="258.75">
      <c r="A2031" s="8" t="s">
        <v>8304</v>
      </c>
      <c r="B2031" s="9" t="s">
        <v>12</v>
      </c>
      <c r="C2031" s="10" t="s">
        <v>151</v>
      </c>
      <c r="D2031" s="10" t="str">
        <f ca="1">IFERROR(__xludf.DUMMYFUNCTION(" VLOOKUP(A2028, IMPORTRANGE(""https://docs.google.com/spreadsheets/d/1fj_Bhi2XPL3siwIh4sx4VRLAe31yD50oKdj5UlRYW0c/"", ""Сводка!A:AA""), 11, FALSE)"),"ISBN 978-601-310-699-1")</f>
        <v>ISBN 978-601-310-699-1</v>
      </c>
      <c r="E2031" s="11" t="s">
        <v>8301</v>
      </c>
      <c r="F2031" s="11" t="s">
        <v>8305</v>
      </c>
      <c r="G2031" s="12">
        <f ca="1">IFERROR(__xludf.DUMMYFUNCTION(" VLOOKUP(A2028, IMPORTRANGE(""https://docs.google.com/spreadsheets/d/1fj_Bhi2XPL3siwIh4sx4VRLAe31yD50oKdj5UlRYW0c/"", ""Сводка!A:AA""), 5, FALSE)"),300)</f>
        <v>300</v>
      </c>
      <c r="H2031" s="12" t="s">
        <v>106</v>
      </c>
      <c r="I2031" s="10">
        <f ca="1">IFERROR(__xludf.DUMMYFUNCTION(" VLOOKUP(A2028, IMPORTRANGE(""https://docs.google.com/spreadsheets/d/1QNLbnkR_AongFt22vMfNzfpjZ0CjpI8QI-w0wBnYA1w/"", ""Инфа!A:AA""), 6, FALSE)"),2024)</f>
        <v>2024</v>
      </c>
      <c r="J2031" s="5">
        <f ca="1">ROUND(((5000+G2031*60)*1.3),-2)</f>
        <v>29900</v>
      </c>
      <c r="K2031" s="12" t="s">
        <v>69</v>
      </c>
      <c r="L2031" s="15" t="s">
        <v>8303</v>
      </c>
    </row>
    <row r="2032" spans="1:12" ht="225">
      <c r="A2032" s="8" t="s">
        <v>8306</v>
      </c>
      <c r="B2032" s="9" t="s">
        <v>12</v>
      </c>
      <c r="C2032" s="10" t="s">
        <v>151</v>
      </c>
      <c r="D2032" s="10" t="str">
        <f ca="1">IFERROR(__xludf.DUMMYFUNCTION(" VLOOKUP(A2029, IMPORTRANGE(""https://docs.google.com/spreadsheets/d/1fj_Bhi2XPL3siwIh4sx4VRLAe31yD50oKdj5UlRYW0c/"", ""Сводка!A:AA""), 11, FALSE)"),"ISBN 978-601-310-700-4")</f>
        <v>ISBN 978-601-310-700-4</v>
      </c>
      <c r="E2032" s="11" t="s">
        <v>8307</v>
      </c>
      <c r="F2032" s="11" t="s">
        <v>8308</v>
      </c>
      <c r="G2032" s="12">
        <f ca="1">IFERROR(__xludf.DUMMYFUNCTION(" VLOOKUP(A2029, IMPORTRANGE(""https://docs.google.com/spreadsheets/d/1fj_Bhi2XPL3siwIh4sx4VRLAe31yD50oKdj5UlRYW0c/"", ""Сводка!A:AA""), 5, FALSE)"),256)</f>
        <v>256</v>
      </c>
      <c r="H2032" s="12" t="s">
        <v>106</v>
      </c>
      <c r="I2032" s="10">
        <f ca="1">IFERROR(__xludf.DUMMYFUNCTION(" VLOOKUP(A2029, IMPORTRANGE(""https://docs.google.com/spreadsheets/d/1QNLbnkR_AongFt22vMfNzfpjZ0CjpI8QI-w0wBnYA1w/"", ""Инфа!A:AA""), 6, FALSE)"),2024)</f>
        <v>2024</v>
      </c>
      <c r="J2032" s="5">
        <f ca="1">ROUND(((5000+G2032*60)*1.3),-2)</f>
        <v>26500</v>
      </c>
      <c r="K2032" s="9" t="s">
        <v>69</v>
      </c>
      <c r="L2032" s="15" t="s">
        <v>8309</v>
      </c>
    </row>
    <row r="2033" spans="1:12" ht="38.25">
      <c r="A2033" s="8" t="s">
        <v>8310</v>
      </c>
      <c r="B2033" s="9" t="s">
        <v>12</v>
      </c>
      <c r="C2033" s="10" t="s">
        <v>151</v>
      </c>
      <c r="D2033" s="10" t="str">
        <f ca="1">IFERROR(__xludf.DUMMYFUNCTION(" VLOOKUP(A2030, IMPORTRANGE(""https://docs.google.com/spreadsheets/d/1fj_Bhi2XPL3siwIh4sx4VRLAe31yD50oKdj5UlRYW0c/"", ""Сводка!A:AA""), 11, FALSE)"),"ISBN 9965-00-796-9")</f>
        <v>ISBN 9965-00-796-9</v>
      </c>
      <c r="E2033" s="11" t="s">
        <v>8311</v>
      </c>
      <c r="F2033" s="11" t="s">
        <v>8312</v>
      </c>
      <c r="G2033" s="12">
        <f ca="1">IFERROR(__xludf.DUMMYFUNCTION(" VLOOKUP(A2030, IMPORTRANGE(""https://docs.google.com/spreadsheets/d/1fj_Bhi2XPL3siwIh4sx4VRLAe31yD50oKdj5UlRYW0c/"", ""Сводка!A:AA""), 5, FALSE)"),286)</f>
        <v>286</v>
      </c>
      <c r="H2033" s="12" t="s">
        <v>106</v>
      </c>
      <c r="I2033" s="10">
        <f ca="1">IFERROR(__xludf.DUMMYFUNCTION(" VLOOKUP(A2030, IMPORTRANGE(""https://docs.google.com/spreadsheets/d/1QNLbnkR_AongFt22vMfNzfpjZ0CjpI8QI-w0wBnYA1w/"", ""Инфа!A:AA""), 6, FALSE)"),2024)</f>
        <v>2024</v>
      </c>
      <c r="J2033" s="5">
        <f t="shared" ref="J2033:J2049" ca="1" si="68">ROUND(((5000+G2033*30)*1.3),-2)</f>
        <v>17700</v>
      </c>
      <c r="K2033" s="9" t="s">
        <v>7967</v>
      </c>
      <c r="L2033" s="15"/>
    </row>
    <row r="2034" spans="1:12" ht="38.25">
      <c r="A2034" s="8" t="s">
        <v>8313</v>
      </c>
      <c r="B2034" s="9" t="s">
        <v>12</v>
      </c>
      <c r="C2034" s="10" t="s">
        <v>151</v>
      </c>
      <c r="D2034" s="10" t="str">
        <f ca="1">IFERROR(__xludf.DUMMYFUNCTION(" VLOOKUP(A2031, IMPORTRANGE(""https://docs.google.com/spreadsheets/d/1fj_Bhi2XPL3siwIh4sx4VRLAe31yD50oKdj5UlRYW0c/"", ""Сводка!A:AA""), 11, FALSE)"),"ISBN 9965-9175-7-4")</f>
        <v>ISBN 9965-9175-7-4</v>
      </c>
      <c r="E2034" s="11" t="s">
        <v>8311</v>
      </c>
      <c r="F2034" s="11" t="s">
        <v>8314</v>
      </c>
      <c r="G2034" s="12">
        <f ca="1">IFERROR(__xludf.DUMMYFUNCTION(" VLOOKUP(A2031, IMPORTRANGE(""https://docs.google.com/spreadsheets/d/1fj_Bhi2XPL3siwIh4sx4VRLAe31yD50oKdj5UlRYW0c/"", ""Сводка!A:AA""), 5, FALSE)"),220)</f>
        <v>220</v>
      </c>
      <c r="H2034" s="12" t="s">
        <v>106</v>
      </c>
      <c r="I2034" s="10">
        <f ca="1">IFERROR(__xludf.DUMMYFUNCTION(" VLOOKUP(A2031, IMPORTRANGE(""https://docs.google.com/spreadsheets/d/1QNLbnkR_AongFt22vMfNzfpjZ0CjpI8QI-w0wBnYA1w/"", ""Инфа!A:AA""), 6, FALSE)"),2024)</f>
        <v>2024</v>
      </c>
      <c r="J2034" s="5">
        <f t="shared" ca="1" si="68"/>
        <v>15100</v>
      </c>
      <c r="K2034" s="9" t="s">
        <v>7967</v>
      </c>
      <c r="L2034" s="15"/>
    </row>
    <row r="2035" spans="1:12" ht="38.25">
      <c r="A2035" s="8" t="s">
        <v>8315</v>
      </c>
      <c r="B2035" s="9" t="s">
        <v>12</v>
      </c>
      <c r="C2035" s="10" t="s">
        <v>151</v>
      </c>
      <c r="D2035" s="10" t="str">
        <f ca="1">IFERROR(__xludf.DUMMYFUNCTION(" VLOOKUP(A2032, IMPORTRANGE(""https://docs.google.com/spreadsheets/d/1fj_Bhi2XPL3siwIh4sx4VRLAe31yD50oKdj5UlRYW0c/"", ""Сводка!A:AA""), 11, FALSE)"),"ISBN 9965-9175-7-4")</f>
        <v>ISBN 9965-9175-7-4</v>
      </c>
      <c r="E2035" s="11" t="s">
        <v>8311</v>
      </c>
      <c r="F2035" s="11" t="s">
        <v>8316</v>
      </c>
      <c r="G2035" s="12">
        <f ca="1">IFERROR(__xludf.DUMMYFUNCTION(" VLOOKUP(A2032, IMPORTRANGE(""https://docs.google.com/spreadsheets/d/1fj_Bhi2XPL3siwIh4sx4VRLAe31yD50oKdj5UlRYW0c/"", ""Сводка!A:AA""), 5, FALSE)"),204)</f>
        <v>204</v>
      </c>
      <c r="H2035" s="12" t="s">
        <v>106</v>
      </c>
      <c r="I2035" s="10">
        <f ca="1">IFERROR(__xludf.DUMMYFUNCTION(" VLOOKUP(A2032, IMPORTRANGE(""https://docs.google.com/spreadsheets/d/1QNLbnkR_AongFt22vMfNzfpjZ0CjpI8QI-w0wBnYA1w/"", ""Инфа!A:AA""), 6, FALSE)"),2024)</f>
        <v>2024</v>
      </c>
      <c r="J2035" s="5">
        <f t="shared" ca="1" si="68"/>
        <v>14500</v>
      </c>
      <c r="K2035" s="9" t="s">
        <v>7967</v>
      </c>
      <c r="L2035" s="15"/>
    </row>
    <row r="2036" spans="1:12" ht="63.75">
      <c r="A2036" s="8" t="s">
        <v>8317</v>
      </c>
      <c r="B2036" s="9" t="s">
        <v>12</v>
      </c>
      <c r="C2036" s="10" t="s">
        <v>151</v>
      </c>
      <c r="D2036" s="10" t="str">
        <f ca="1">IFERROR(__xludf.DUMMYFUNCTION(" VLOOKUP(A2033, IMPORTRANGE(""https://docs.google.com/spreadsheets/d/1fj_Bhi2XPL3siwIh4sx4VRLAe31yD50oKdj5UlRYW0c/"", ""Сводка!A:AA""), 11, FALSE)"),"ISBN 9965-638-10-1")</f>
        <v>ISBN 9965-638-10-1</v>
      </c>
      <c r="E2036" s="11" t="s">
        <v>8311</v>
      </c>
      <c r="F2036" s="11" t="s">
        <v>8318</v>
      </c>
      <c r="G2036" s="12">
        <f ca="1">IFERROR(__xludf.DUMMYFUNCTION(" VLOOKUP(A2033, IMPORTRANGE(""https://docs.google.com/spreadsheets/d/1fj_Bhi2XPL3siwIh4sx4VRLAe31yD50oKdj5UlRYW0c/"", ""Сводка!A:AA""), 5, FALSE)"),216)</f>
        <v>216</v>
      </c>
      <c r="H2036" s="12" t="s">
        <v>106</v>
      </c>
      <c r="I2036" s="10">
        <f ca="1">IFERROR(__xludf.DUMMYFUNCTION(" VLOOKUP(A2033, IMPORTRANGE(""https://docs.google.com/spreadsheets/d/1QNLbnkR_AongFt22vMfNzfpjZ0CjpI8QI-w0wBnYA1w/"", ""Инфа!A:AA""), 6, FALSE)"),2024)</f>
        <v>2024</v>
      </c>
      <c r="J2036" s="5">
        <f t="shared" ca="1" si="68"/>
        <v>14900</v>
      </c>
      <c r="K2036" s="9" t="s">
        <v>7967</v>
      </c>
      <c r="L2036" s="15"/>
    </row>
    <row r="2037" spans="1:12" ht="63.75">
      <c r="A2037" s="8" t="s">
        <v>8319</v>
      </c>
      <c r="B2037" s="9" t="s">
        <v>12</v>
      </c>
      <c r="C2037" s="10" t="s">
        <v>151</v>
      </c>
      <c r="D2037" s="10" t="str">
        <f ca="1">IFERROR(__xludf.DUMMYFUNCTION(" VLOOKUP(A2034, IMPORTRANGE(""https://docs.google.com/spreadsheets/d/1fj_Bhi2XPL3siwIh4sx4VRLAe31yD50oKdj5UlRYW0c/"", ""Сводка!A:AA""), 11, FALSE)"),"ISBN 9965-638-10-1")</f>
        <v>ISBN 9965-638-10-1</v>
      </c>
      <c r="E2037" s="11" t="s">
        <v>8311</v>
      </c>
      <c r="F2037" s="11" t="s">
        <v>8320</v>
      </c>
      <c r="G2037" s="12">
        <f ca="1">IFERROR(__xludf.DUMMYFUNCTION(" VLOOKUP(A2034, IMPORTRANGE(""https://docs.google.com/spreadsheets/d/1fj_Bhi2XPL3siwIh4sx4VRLAe31yD50oKdj5UlRYW0c/"", ""Сводка!A:AA""), 5, FALSE)"),132)</f>
        <v>132</v>
      </c>
      <c r="H2037" s="12" t="s">
        <v>106</v>
      </c>
      <c r="I2037" s="10">
        <f ca="1">IFERROR(__xludf.DUMMYFUNCTION(" VLOOKUP(A2034, IMPORTRANGE(""https://docs.google.com/spreadsheets/d/1QNLbnkR_AongFt22vMfNzfpjZ0CjpI8QI-w0wBnYA1w/"", ""Инфа!A:AA""), 6, FALSE)"),2024)</f>
        <v>2024</v>
      </c>
      <c r="J2037" s="5">
        <f t="shared" ca="1" si="68"/>
        <v>11600</v>
      </c>
      <c r="K2037" s="9" t="s">
        <v>7967</v>
      </c>
      <c r="L2037" s="15"/>
    </row>
    <row r="2038" spans="1:12" ht="202.5">
      <c r="A2038" s="8" t="s">
        <v>8321</v>
      </c>
      <c r="B2038" s="9" t="s">
        <v>12</v>
      </c>
      <c r="C2038" s="10" t="s">
        <v>151</v>
      </c>
      <c r="D2038" s="10" t="str">
        <f ca="1">IFERROR(__xludf.DUMMYFUNCTION(" VLOOKUP(A2035, IMPORTRANGE(""https://docs.google.com/spreadsheets/d/1fj_Bhi2XPL3siwIh4sx4VRLAe31yD50oKdj5UlRYW0c/"", ""Сводка!A:AA""), 11, FALSE)"),"ISBN 9965-00-795-0")</f>
        <v>ISBN 9965-00-795-0</v>
      </c>
      <c r="E2038" s="11" t="s">
        <v>8311</v>
      </c>
      <c r="F2038" s="11" t="s">
        <v>8322</v>
      </c>
      <c r="G2038" s="12">
        <v>240</v>
      </c>
      <c r="H2038" s="12" t="s">
        <v>106</v>
      </c>
      <c r="I2038" s="10">
        <f ca="1">IFERROR(__xludf.DUMMYFUNCTION(" VLOOKUP(A2035, IMPORTRANGE(""https://docs.google.com/spreadsheets/d/1QNLbnkR_AongFt22vMfNzfpjZ0CjpI8QI-w0wBnYA1w/"", ""Инфа!A:AA""), 6, FALSE)"),2024)</f>
        <v>2024</v>
      </c>
      <c r="J2038" s="5">
        <f t="shared" si="68"/>
        <v>15900</v>
      </c>
      <c r="K2038" s="9" t="s">
        <v>7967</v>
      </c>
      <c r="L2038" s="15" t="s">
        <v>8323</v>
      </c>
    </row>
    <row r="2039" spans="1:12" ht="202.5">
      <c r="A2039" s="8" t="s">
        <v>8324</v>
      </c>
      <c r="B2039" s="9" t="s">
        <v>12</v>
      </c>
      <c r="C2039" s="10" t="s">
        <v>151</v>
      </c>
      <c r="D2039" s="10" t="str">
        <f ca="1">IFERROR(__xludf.DUMMYFUNCTION(" VLOOKUP(A2036, IMPORTRANGE(""https://docs.google.com/spreadsheets/d/1fj_Bhi2XPL3siwIh4sx4VRLAe31yD50oKdj5UlRYW0c/"", ""Сводка!A:AA""), 11, FALSE)"),"ISBN 9965-00-795-0")</f>
        <v>ISBN 9965-00-795-0</v>
      </c>
      <c r="E2039" s="11" t="s">
        <v>8311</v>
      </c>
      <c r="F2039" s="11" t="s">
        <v>8325</v>
      </c>
      <c r="G2039" s="12">
        <f ca="1">IFERROR(__xludf.DUMMYFUNCTION(" VLOOKUP(A2036, IMPORTRANGE(""https://docs.google.com/spreadsheets/d/1fj_Bhi2XPL3siwIh4sx4VRLAe31yD50oKdj5UlRYW0c/"", ""Сводка!A:AA""), 5, FALSE)"),232)</f>
        <v>232</v>
      </c>
      <c r="H2039" s="12" t="s">
        <v>106</v>
      </c>
      <c r="I2039" s="10">
        <f ca="1">IFERROR(__xludf.DUMMYFUNCTION(" VLOOKUP(A2036, IMPORTRANGE(""https://docs.google.com/spreadsheets/d/1QNLbnkR_AongFt22vMfNzfpjZ0CjpI8QI-w0wBnYA1w/"", ""Инфа!A:AA""), 6, FALSE)"),2024)</f>
        <v>2024</v>
      </c>
      <c r="J2039" s="5">
        <f t="shared" ca="1" si="68"/>
        <v>15500</v>
      </c>
      <c r="K2039" s="9" t="s">
        <v>7967</v>
      </c>
      <c r="L2039" s="15" t="s">
        <v>8323</v>
      </c>
    </row>
    <row r="2040" spans="1:12" ht="303.75">
      <c r="A2040" s="8" t="s">
        <v>8326</v>
      </c>
      <c r="B2040" s="9" t="s">
        <v>12</v>
      </c>
      <c r="C2040" s="10" t="s">
        <v>151</v>
      </c>
      <c r="D2040" s="10" t="str">
        <f ca="1">IFERROR(__xludf.DUMMYFUNCTION(" VLOOKUP(A2037, IMPORTRANGE(""https://docs.google.com/spreadsheets/d/1fj_Bhi2XPL3siwIh4sx4VRLAe31yD50oKdj5UlRYW0c/"", ""Сводка!A:AA""), 11, FALSE)"),"ISBN 9965 9175-4-X")</f>
        <v>ISBN 9965 9175-4-X</v>
      </c>
      <c r="E2040" s="11" t="s">
        <v>8311</v>
      </c>
      <c r="F2040" s="11" t="s">
        <v>8327</v>
      </c>
      <c r="G2040" s="12">
        <f ca="1">IFERROR(__xludf.DUMMYFUNCTION(" VLOOKUP(A2037, IMPORTRANGE(""https://docs.google.com/spreadsheets/d/1fj_Bhi2XPL3siwIh4sx4VRLAe31yD50oKdj5UlRYW0c/"", ""Сводка!A:AA""), 5, FALSE)"),192)</f>
        <v>192</v>
      </c>
      <c r="H2040" s="12" t="s">
        <v>106</v>
      </c>
      <c r="I2040" s="10">
        <f ca="1">IFERROR(__xludf.DUMMYFUNCTION(" VLOOKUP(A2037, IMPORTRANGE(""https://docs.google.com/spreadsheets/d/1QNLbnkR_AongFt22vMfNzfpjZ0CjpI8QI-w0wBnYA1w/"", ""Инфа!A:AA""), 6, FALSE)"),2024)</f>
        <v>2024</v>
      </c>
      <c r="J2040" s="5">
        <f t="shared" ca="1" si="68"/>
        <v>14000</v>
      </c>
      <c r="K2040" s="9" t="s">
        <v>7967</v>
      </c>
      <c r="L2040" s="15" t="s">
        <v>8328</v>
      </c>
    </row>
    <row r="2041" spans="1:12" ht="303.75">
      <c r="A2041" s="8" t="s">
        <v>8329</v>
      </c>
      <c r="B2041" s="9" t="s">
        <v>12</v>
      </c>
      <c r="C2041" s="10" t="s">
        <v>151</v>
      </c>
      <c r="D2041" s="10" t="str">
        <f ca="1">IFERROR(__xludf.DUMMYFUNCTION(" VLOOKUP(A2038, IMPORTRANGE(""https://docs.google.com/spreadsheets/d/1fj_Bhi2XPL3siwIh4sx4VRLAe31yD50oKdj5UlRYW0c/"", ""Сводка!A:AA""), 11, FALSE)"),"ISBN 9965 9175-4-X")</f>
        <v>ISBN 9965 9175-4-X</v>
      </c>
      <c r="E2041" s="11" t="s">
        <v>8311</v>
      </c>
      <c r="F2041" s="11" t="s">
        <v>8330</v>
      </c>
      <c r="G2041" s="12">
        <f ca="1">IFERROR(__xludf.DUMMYFUNCTION(" VLOOKUP(A2038, IMPORTRANGE(""https://docs.google.com/spreadsheets/d/1fj_Bhi2XPL3siwIh4sx4VRLAe31yD50oKdj5UlRYW0c/"", ""Сводка!A:AA""), 5, FALSE)"),208)</f>
        <v>208</v>
      </c>
      <c r="H2041" s="12" t="s">
        <v>106</v>
      </c>
      <c r="I2041" s="10">
        <f ca="1">IFERROR(__xludf.DUMMYFUNCTION(" VLOOKUP(A2038, IMPORTRANGE(""https://docs.google.com/spreadsheets/d/1QNLbnkR_AongFt22vMfNzfpjZ0CjpI8QI-w0wBnYA1w/"", ""Инфа!A:AA""), 6, FALSE)"),2024)</f>
        <v>2024</v>
      </c>
      <c r="J2041" s="5">
        <f t="shared" ca="1" si="68"/>
        <v>14600</v>
      </c>
      <c r="K2041" s="9" t="s">
        <v>7967</v>
      </c>
      <c r="L2041" s="15" t="s">
        <v>8328</v>
      </c>
    </row>
    <row r="2042" spans="1:12" ht="315">
      <c r="A2042" s="8" t="s">
        <v>8331</v>
      </c>
      <c r="B2042" s="9" t="s">
        <v>12</v>
      </c>
      <c r="C2042" s="10" t="s">
        <v>151</v>
      </c>
      <c r="D2042" s="10" t="str">
        <f ca="1">IFERROR(__xludf.DUMMYFUNCTION(" VLOOKUP(A2039, IMPORTRANGE(""https://docs.google.com/spreadsheets/d/1fj_Bhi2XPL3siwIh4sx4VRLAe31yD50oKdj5UlRYW0c/"", ""Сводка!A:AA""), 11, FALSE)"),"ISBN 978-601-310-849-0")</f>
        <v>ISBN 978-601-310-849-0</v>
      </c>
      <c r="E2042" s="11" t="s">
        <v>8332</v>
      </c>
      <c r="F2042" s="11" t="s">
        <v>8333</v>
      </c>
      <c r="G2042" s="12">
        <f ca="1">IFERROR(__xludf.DUMMYFUNCTION(" VLOOKUP(A2039, IMPORTRANGE(""https://docs.google.com/spreadsheets/d/1fj_Bhi2XPL3siwIh4sx4VRLAe31yD50oKdj5UlRYW0c/"", ""Сводка!A:AA""), 5, FALSE)"),348)</f>
        <v>348</v>
      </c>
      <c r="H2042" s="12" t="s">
        <v>106</v>
      </c>
      <c r="I2042" s="10">
        <f ca="1">IFERROR(__xludf.DUMMYFUNCTION(" VLOOKUP(A2039, IMPORTRANGE(""https://docs.google.com/spreadsheets/d/1QNLbnkR_AongFt22vMfNzfpjZ0CjpI8QI-w0wBnYA1w/"", ""Инфа!A:AA""), 6, FALSE)"),2024)</f>
        <v>2024</v>
      </c>
      <c r="J2042" s="5">
        <f t="shared" ca="1" si="68"/>
        <v>20100</v>
      </c>
      <c r="K2042" s="9" t="s">
        <v>171</v>
      </c>
      <c r="L2042" s="15" t="s">
        <v>8334</v>
      </c>
    </row>
    <row r="2043" spans="1:12" ht="292.5">
      <c r="A2043" s="8" t="s">
        <v>8335</v>
      </c>
      <c r="B2043" s="9" t="s">
        <v>12</v>
      </c>
      <c r="C2043" s="10" t="s">
        <v>151</v>
      </c>
      <c r="D2043" s="10" t="str">
        <f ca="1">IFERROR(__xludf.DUMMYFUNCTION(" VLOOKUP(A2040, IMPORTRANGE(""https://docs.google.com/spreadsheets/d/1fj_Bhi2XPL3siwIh4sx4VRLAe31yD50oKdj5UlRYW0c/"", ""Сводка!A:AA""), 11, FALSE)"),"ISBN 978-601-310-712-2")</f>
        <v>ISBN 978-601-310-712-2</v>
      </c>
      <c r="E2043" s="11" t="s">
        <v>8336</v>
      </c>
      <c r="F2043" s="11" t="s">
        <v>8337</v>
      </c>
      <c r="G2043" s="12">
        <f ca="1">IFERROR(__xludf.DUMMYFUNCTION(" VLOOKUP(A2040, IMPORTRANGE(""https://docs.google.com/spreadsheets/d/1fj_Bhi2XPL3siwIh4sx4VRLAe31yD50oKdj5UlRYW0c/"", ""Сводка!A:AA""), 5, FALSE)"),284)</f>
        <v>284</v>
      </c>
      <c r="H2043" s="12" t="s">
        <v>106</v>
      </c>
      <c r="I2043" s="10">
        <f ca="1">IFERROR(__xludf.DUMMYFUNCTION(" VLOOKUP(A2040, IMPORTRANGE(""https://docs.google.com/spreadsheets/d/1QNLbnkR_AongFt22vMfNzfpjZ0CjpI8QI-w0wBnYA1w/"", ""Инфа!A:AA""), 6, FALSE)"),2024)</f>
        <v>2024</v>
      </c>
      <c r="J2043" s="5">
        <f t="shared" ca="1" si="68"/>
        <v>17600</v>
      </c>
      <c r="K2043" s="9" t="s">
        <v>7967</v>
      </c>
      <c r="L2043" s="15" t="s">
        <v>8338</v>
      </c>
    </row>
    <row r="2044" spans="1:12" ht="292.5">
      <c r="A2044" s="8" t="s">
        <v>8339</v>
      </c>
      <c r="B2044" s="9" t="s">
        <v>12</v>
      </c>
      <c r="C2044" s="10" t="s">
        <v>151</v>
      </c>
      <c r="D2044" s="10" t="str">
        <f ca="1">IFERROR(__xludf.DUMMYFUNCTION(" VLOOKUP(A2041, IMPORTRANGE(""https://docs.google.com/spreadsheets/d/1fj_Bhi2XPL3siwIh4sx4VRLAe31yD50oKdj5UlRYW0c/"", ""Сводка!A:AA""), 11, FALSE)"),"ISBN 978-601-310-712-2")</f>
        <v>ISBN 978-601-310-712-2</v>
      </c>
      <c r="E2044" s="11" t="s">
        <v>8336</v>
      </c>
      <c r="F2044" s="11" t="s">
        <v>8340</v>
      </c>
      <c r="G2044" s="12">
        <f ca="1">IFERROR(__xludf.DUMMYFUNCTION(" VLOOKUP(A2041, IMPORTRANGE(""https://docs.google.com/spreadsheets/d/1fj_Bhi2XPL3siwIh4sx4VRLAe31yD50oKdj5UlRYW0c/"", ""Сводка!A:AA""), 5, FALSE)"),192)</f>
        <v>192</v>
      </c>
      <c r="H2044" s="12" t="s">
        <v>106</v>
      </c>
      <c r="I2044" s="10">
        <f ca="1">IFERROR(__xludf.DUMMYFUNCTION(" VLOOKUP(A2041, IMPORTRANGE(""https://docs.google.com/spreadsheets/d/1QNLbnkR_AongFt22vMfNzfpjZ0CjpI8QI-w0wBnYA1w/"", ""Инфа!A:AA""), 6, FALSE)"),2024)</f>
        <v>2024</v>
      </c>
      <c r="J2044" s="5">
        <f t="shared" ca="1" si="68"/>
        <v>14000</v>
      </c>
      <c r="K2044" s="9" t="s">
        <v>7967</v>
      </c>
      <c r="L2044" s="15" t="s">
        <v>8338</v>
      </c>
    </row>
    <row r="2045" spans="1:12" ht="168.75">
      <c r="A2045" s="8" t="s">
        <v>8341</v>
      </c>
      <c r="B2045" s="9" t="s">
        <v>12</v>
      </c>
      <c r="C2045" s="10" t="s">
        <v>151</v>
      </c>
      <c r="D2045" s="10" t="str">
        <f ca="1">IFERROR(__xludf.DUMMYFUNCTION(" VLOOKUP(A2042, IMPORTRANGE(""https://docs.google.com/spreadsheets/d/1fj_Bhi2XPL3siwIh4sx4VRLAe31yD50oKdj5UlRYW0c/"", ""Сводка!A:AA""), 11, FALSE)"),"ISBN 978-601-7816-14-8")</f>
        <v>ISBN 978-601-7816-14-8</v>
      </c>
      <c r="E2045" s="11" t="s">
        <v>8342</v>
      </c>
      <c r="F2045" s="11" t="s">
        <v>8343</v>
      </c>
      <c r="G2045" s="12">
        <v>268</v>
      </c>
      <c r="H2045" s="12" t="s">
        <v>106</v>
      </c>
      <c r="I2045" s="10">
        <f ca="1">IFERROR(__xludf.DUMMYFUNCTION(" VLOOKUP(A2042, IMPORTRANGE(""https://docs.google.com/spreadsheets/d/1QNLbnkR_AongFt22vMfNzfpjZ0CjpI8QI-w0wBnYA1w/"", ""Инфа!A:AA""), 6, FALSE)"),2024)</f>
        <v>2024</v>
      </c>
      <c r="J2045" s="5">
        <f t="shared" si="68"/>
        <v>17000</v>
      </c>
      <c r="K2045" s="9" t="s">
        <v>7967</v>
      </c>
      <c r="L2045" s="15" t="s">
        <v>8344</v>
      </c>
    </row>
    <row r="2046" spans="1:12" ht="225">
      <c r="A2046" s="8" t="s">
        <v>8345</v>
      </c>
      <c r="B2046" s="9" t="s">
        <v>12</v>
      </c>
      <c r="C2046" s="10" t="s">
        <v>151</v>
      </c>
      <c r="D2046" s="10" t="str">
        <f ca="1">IFERROR(__xludf.DUMMYFUNCTION(" VLOOKUP(A2043, IMPORTRANGE(""https://docs.google.com/spreadsheets/d/1fj_Bhi2XPL3siwIh4sx4VRLAe31yD50oKdj5UlRYW0c/"", ""Сводка!A:AA""), 11, FALSE)"),"ISBN 978-601-310-700-4")</f>
        <v>ISBN 978-601-310-700-4</v>
      </c>
      <c r="E2046" s="11" t="s">
        <v>8346</v>
      </c>
      <c r="F2046" s="11" t="s">
        <v>8347</v>
      </c>
      <c r="G2046" s="12">
        <v>172</v>
      </c>
      <c r="H2046" s="12" t="s">
        <v>106</v>
      </c>
      <c r="I2046" s="10">
        <f ca="1">IFERROR(__xludf.DUMMYFUNCTION(" VLOOKUP(A2043, IMPORTRANGE(""https://docs.google.com/spreadsheets/d/1QNLbnkR_AongFt22vMfNzfpjZ0CjpI8QI-w0wBnYA1w/"", ""Инфа!A:AA""), 6, FALSE)"),2024)</f>
        <v>2024</v>
      </c>
      <c r="J2046" s="5">
        <f t="shared" si="68"/>
        <v>13200</v>
      </c>
      <c r="K2046" s="9" t="s">
        <v>69</v>
      </c>
      <c r="L2046" s="15" t="s">
        <v>8348</v>
      </c>
    </row>
    <row r="2047" spans="1:12" ht="292.5">
      <c r="A2047" s="8" t="s">
        <v>8349</v>
      </c>
      <c r="B2047" s="9" t="s">
        <v>12</v>
      </c>
      <c r="C2047" s="10" t="s">
        <v>151</v>
      </c>
      <c r="D2047" s="10" t="str">
        <f ca="1">IFERROR(__xludf.DUMMYFUNCTION(" VLOOKUP(A2044, IMPORTRANGE(""https://docs.google.com/spreadsheets/d/1fj_Bhi2XPL3siwIh4sx4VRLAe31yD50oKdj5UlRYW0c/"", ""Сводка!A:AA""), 11, FALSE)"),"978-601-327-275-7")</f>
        <v>978-601-327-275-7</v>
      </c>
      <c r="E2047" s="11" t="s">
        <v>8350</v>
      </c>
      <c r="F2047" s="11" t="s">
        <v>8351</v>
      </c>
      <c r="G2047" s="12">
        <f ca="1">IFERROR(__xludf.DUMMYFUNCTION(" VLOOKUP(A2044, IMPORTRANGE(""https://docs.google.com/spreadsheets/d/1fj_Bhi2XPL3siwIh4sx4VRLAe31yD50oKdj5UlRYW0c/"", ""Сводка!A:AA""), 5, FALSE)"),304)</f>
        <v>304</v>
      </c>
      <c r="H2047" s="12" t="s">
        <v>498</v>
      </c>
      <c r="I2047" s="10">
        <f ca="1">IFERROR(__xludf.DUMMYFUNCTION(" VLOOKUP(A2044, IMPORTRANGE(""https://docs.google.com/spreadsheets/d/1QNLbnkR_AongFt22vMfNzfpjZ0CjpI8QI-w0wBnYA1w/"", ""Инфа!A:AA""), 6, FALSE)"),2024)</f>
        <v>2024</v>
      </c>
      <c r="J2047" s="5">
        <f t="shared" ca="1" si="68"/>
        <v>18400</v>
      </c>
      <c r="K2047" s="12" t="s">
        <v>69</v>
      </c>
      <c r="L2047" s="15" t="s">
        <v>8352</v>
      </c>
    </row>
    <row r="2048" spans="1:12" ht="292.5">
      <c r="A2048" s="8" t="s">
        <v>8353</v>
      </c>
      <c r="B2048" s="9" t="s">
        <v>12</v>
      </c>
      <c r="C2048" s="10" t="s">
        <v>151</v>
      </c>
      <c r="D2048" s="10" t="str">
        <f ca="1">IFERROR(__xludf.DUMMYFUNCTION(" VLOOKUP(A2045, IMPORTRANGE(""https://docs.google.com/spreadsheets/d/1fj_Bhi2XPL3siwIh4sx4VRLAe31yD50oKdj5UlRYW0c/"", ""Сводка!A:AA""), 11, FALSE)"),"ISBN 978-601-327-275-7")</f>
        <v>ISBN 978-601-327-275-7</v>
      </c>
      <c r="E2048" s="11" t="s">
        <v>8350</v>
      </c>
      <c r="F2048" s="11" t="s">
        <v>8354</v>
      </c>
      <c r="G2048" s="12">
        <f ca="1">IFERROR(__xludf.DUMMYFUNCTION(" VLOOKUP(A2045, IMPORTRANGE(""https://docs.google.com/spreadsheets/d/1fj_Bhi2XPL3siwIh4sx4VRLAe31yD50oKdj5UlRYW0c/"", ""Сводка!A:AA""), 5, FALSE)"),164)</f>
        <v>164</v>
      </c>
      <c r="H2048" s="12" t="s">
        <v>498</v>
      </c>
      <c r="I2048" s="10">
        <f ca="1">IFERROR(__xludf.DUMMYFUNCTION(" VLOOKUP(A2045, IMPORTRANGE(""https://docs.google.com/spreadsheets/d/1QNLbnkR_AongFt22vMfNzfpjZ0CjpI8QI-w0wBnYA1w/"", ""Инфа!A:AA""), 6, FALSE)"),2024)</f>
        <v>2024</v>
      </c>
      <c r="J2048" s="5">
        <f t="shared" ca="1" si="68"/>
        <v>12900</v>
      </c>
      <c r="K2048" s="12" t="s">
        <v>69</v>
      </c>
      <c r="L2048" s="15" t="s">
        <v>8352</v>
      </c>
    </row>
    <row r="2049" spans="1:12" ht="63.75">
      <c r="A2049" s="8" t="s">
        <v>8355</v>
      </c>
      <c r="B2049" s="9" t="s">
        <v>12</v>
      </c>
      <c r="C2049" s="10" t="s">
        <v>151</v>
      </c>
      <c r="D2049" s="10" t="str">
        <f ca="1">IFERROR(__xludf.DUMMYFUNCTION(" VLOOKUP(A2046, IMPORTRANGE(""https://docs.google.com/spreadsheets/d/1fj_Bhi2XPL3siwIh4sx4VRLAe31yD50oKdj5UlRYW0c/"", ""Сводка!A:AA""), 11, FALSE)"),"ISBN 978-601-310-094-4")</f>
        <v>ISBN 978-601-310-094-4</v>
      </c>
      <c r="E2049" s="11" t="s">
        <v>8356</v>
      </c>
      <c r="F2049" s="11" t="s">
        <v>8357</v>
      </c>
      <c r="G2049" s="12">
        <f ca="1">IFERROR(__xludf.DUMMYFUNCTION(" VLOOKUP(A2046, IMPORTRANGE(""https://docs.google.com/spreadsheets/d/1fj_Bhi2XPL3siwIh4sx4VRLAe31yD50oKdj5UlRYW0c/"", ""Сводка!A:AA""), 5, FALSE)"),100)</f>
        <v>100</v>
      </c>
      <c r="H2049" s="12" t="s">
        <v>47</v>
      </c>
      <c r="I2049" s="10">
        <f ca="1">IFERROR(__xludf.DUMMYFUNCTION(" VLOOKUP(A2046, IMPORTRANGE(""https://docs.google.com/spreadsheets/d/1QNLbnkR_AongFt22vMfNzfpjZ0CjpI8QI-w0wBnYA1w/"", ""Инфа!A:AA""), 6, FALSE)"),2024)</f>
        <v>2024</v>
      </c>
      <c r="J2049" s="5">
        <f t="shared" ca="1" si="68"/>
        <v>10400</v>
      </c>
      <c r="K2049" s="9" t="s">
        <v>447</v>
      </c>
      <c r="L2049" s="15" t="s">
        <v>8358</v>
      </c>
    </row>
    <row r="2050" spans="1:12" ht="51">
      <c r="A2050" s="8" t="s">
        <v>8359</v>
      </c>
      <c r="B2050" s="9" t="s">
        <v>12</v>
      </c>
      <c r="C2050" s="13" t="s">
        <v>151</v>
      </c>
      <c r="D2050" s="10" t="str">
        <f ca="1">IFERROR(__xludf.DUMMYFUNCTION(" VLOOKUP(A2047, IMPORTRANGE(""https://docs.google.com/spreadsheets/d/1fj_Bhi2XPL3siwIh4sx4VRLAe31yD50oKdj5UlRYW0c/"", ""Сводка!A:AA""), 11, FALSE)"),"ISBN 978-601-310-589-5")</f>
        <v>ISBN 978-601-310-589-5</v>
      </c>
      <c r="E2050" s="19" t="s">
        <v>8360</v>
      </c>
      <c r="F2050" s="19" t="s">
        <v>8361</v>
      </c>
      <c r="G2050" s="12">
        <f ca="1">IFERROR(__xludf.DUMMYFUNCTION(" VLOOKUP(A2047, IMPORTRANGE(""https://docs.google.com/spreadsheets/d/1fj_Bhi2XPL3siwIh4sx4VRLAe31yD50oKdj5UlRYW0c/"", ""Сводка!A:AA""), 5, FALSE)"),292)</f>
        <v>292</v>
      </c>
      <c r="H2050" s="12" t="s">
        <v>47</v>
      </c>
      <c r="I2050" s="10">
        <f ca="1">IFERROR(__xludf.DUMMYFUNCTION(" VLOOKUP(A2047, IMPORTRANGE(""https://docs.google.com/spreadsheets/d/1QNLbnkR_AongFt22vMfNzfpjZ0CjpI8QI-w0wBnYA1w/"", ""Инфа!A:AA""), 6, FALSE)"),2024)</f>
        <v>2024</v>
      </c>
      <c r="J2050" s="5">
        <f ca="1">ROUND((5000+G2050*30),-2)</f>
        <v>13800</v>
      </c>
      <c r="K2050" s="12" t="s">
        <v>17</v>
      </c>
      <c r="L2050" s="21"/>
    </row>
    <row r="2051" spans="1:12" ht="157.5">
      <c r="A2051" s="8" t="s">
        <v>8362</v>
      </c>
      <c r="B2051" s="9" t="s">
        <v>12</v>
      </c>
      <c r="C2051" s="10" t="s">
        <v>151</v>
      </c>
      <c r="D2051" s="10" t="str">
        <f ca="1">IFERROR(__xludf.DUMMYFUNCTION(" VLOOKUP(A2048, IMPORTRANGE(""https://docs.google.com/spreadsheets/d/1fj_Bhi2XPL3siwIh4sx4VRLAe31yD50oKdj5UlRYW0c/"", ""Сводка!A:AA""), 11, FALSE)"),"ISBN 978-601-342-194-0")</f>
        <v>ISBN 978-601-342-194-0</v>
      </c>
      <c r="E2051" s="11" t="s">
        <v>8363</v>
      </c>
      <c r="F2051" s="11" t="s">
        <v>8364</v>
      </c>
      <c r="G2051" s="12">
        <f ca="1">IFERROR(__xludf.DUMMYFUNCTION(" VLOOKUP(A2048, IMPORTRANGE(""https://docs.google.com/spreadsheets/d/1fj_Bhi2XPL3siwIh4sx4VRLAe31yD50oKdj5UlRYW0c/"", ""Сводка!A:AA""), 5, FALSE)"),264)</f>
        <v>264</v>
      </c>
      <c r="H2051" s="12" t="s">
        <v>203</v>
      </c>
      <c r="I2051" s="10">
        <f ca="1">IFERROR(__xludf.DUMMYFUNCTION(" VLOOKUP(A2048, IMPORTRANGE(""https://docs.google.com/spreadsheets/d/1QNLbnkR_AongFt22vMfNzfpjZ0CjpI8QI-w0wBnYA1w/"", ""Инфа!A:AA""), 6, FALSE)"),2024)</f>
        <v>2024</v>
      </c>
      <c r="J2051" s="5">
        <f ca="1">ROUND(((5000+G2051*60)*1.3),-2)</f>
        <v>27100</v>
      </c>
      <c r="K2051" s="12" t="s">
        <v>1491</v>
      </c>
      <c r="L2051" s="15" t="s">
        <v>8365</v>
      </c>
    </row>
    <row r="2052" spans="1:12" ht="281.25">
      <c r="A2052" s="8" t="s">
        <v>8366</v>
      </c>
      <c r="B2052" s="9" t="s">
        <v>12</v>
      </c>
      <c r="C2052" s="10" t="s">
        <v>443</v>
      </c>
      <c r="D2052" s="10" t="str">
        <f ca="1">IFERROR(__xludf.DUMMYFUNCTION(" VLOOKUP(A2049, IMPORTRANGE(""https://docs.google.com/spreadsheets/d/1fj_Bhi2XPL3siwIh4sx4VRLAe31yD50oKdj5UlRYW0c/"", ""Сводка!A:AA""), 11, FALSE)"),"ISBN 978-601-342-680-8")</f>
        <v>ISBN 978-601-342-680-8</v>
      </c>
      <c r="E2052" s="11" t="s">
        <v>8367</v>
      </c>
      <c r="F2052" s="11" t="s">
        <v>8368</v>
      </c>
      <c r="G2052" s="12">
        <f ca="1">IFERROR(__xludf.DUMMYFUNCTION(" VLOOKUP(A2049, IMPORTRANGE(""https://docs.google.com/spreadsheets/d/1fj_Bhi2XPL3siwIh4sx4VRLAe31yD50oKdj5UlRYW0c/"", ""Сводка!A:AA""), 5, FALSE)"),268)</f>
        <v>268</v>
      </c>
      <c r="H2052" s="12" t="s">
        <v>777</v>
      </c>
      <c r="I2052" s="10">
        <f ca="1">IFERROR(__xludf.DUMMYFUNCTION(" VLOOKUP(A2049, IMPORTRANGE(""https://docs.google.com/spreadsheets/d/1QNLbnkR_AongFt22vMfNzfpjZ0CjpI8QI-w0wBnYA1w/"", ""Инфа!A:AA""), 6, FALSE)"),2024)</f>
        <v>2024</v>
      </c>
      <c r="J2052" s="5">
        <f ca="1">ROUND((5000+G2052*60),-2)</f>
        <v>21100</v>
      </c>
      <c r="K2052" s="12" t="s">
        <v>765</v>
      </c>
      <c r="L2052" s="15" t="s">
        <v>8369</v>
      </c>
    </row>
    <row r="2053" spans="1:12" ht="315">
      <c r="A2053" s="8" t="s">
        <v>8370</v>
      </c>
      <c r="B2053" s="9" t="s">
        <v>12</v>
      </c>
      <c r="C2053" s="10" t="s">
        <v>443</v>
      </c>
      <c r="D2053" s="10" t="str">
        <f ca="1">IFERROR(__xludf.DUMMYFUNCTION(" VLOOKUP(A2050, IMPORTRANGE(""https://docs.google.com/spreadsheets/d/1fj_Bhi2XPL3siwIh4sx4VRLAe31yD50oKdj5UlRYW0c/"", ""Сводка!A:AA""), 11, FALSE)"),"ISBN 978-601-342-687-7")</f>
        <v>ISBN 978-601-342-687-7</v>
      </c>
      <c r="E2053" s="11" t="s">
        <v>8367</v>
      </c>
      <c r="F2053" s="11" t="s">
        <v>8371</v>
      </c>
      <c r="G2053" s="12">
        <f ca="1">IFERROR(__xludf.DUMMYFUNCTION(" VLOOKUP(A2050, IMPORTRANGE(""https://docs.google.com/spreadsheets/d/1fj_Bhi2XPL3siwIh4sx4VRLAe31yD50oKdj5UlRYW0c/"", ""Сводка!A:AA""), 5, FALSE)"),188)</f>
        <v>188</v>
      </c>
      <c r="H2053" s="12" t="s">
        <v>106</v>
      </c>
      <c r="I2053" s="10">
        <f ca="1">IFERROR(__xludf.DUMMYFUNCTION(" VLOOKUP(A2050, IMPORTRANGE(""https://docs.google.com/spreadsheets/d/1QNLbnkR_AongFt22vMfNzfpjZ0CjpI8QI-w0wBnYA1w/"", ""Инфа!A:AA""), 6, FALSE)"),2024)</f>
        <v>2024</v>
      </c>
      <c r="J2053" s="5">
        <f ca="1">ROUND((5000+G2053*30),-2)</f>
        <v>10600</v>
      </c>
      <c r="K2053" s="12" t="s">
        <v>765</v>
      </c>
      <c r="L2053" s="15" t="s">
        <v>8372</v>
      </c>
    </row>
    <row r="2054" spans="1:12" ht="123.75">
      <c r="A2054" s="8" t="s">
        <v>8373</v>
      </c>
      <c r="B2054" s="9" t="s">
        <v>12</v>
      </c>
      <c r="C2054" s="10" t="s">
        <v>151</v>
      </c>
      <c r="D2054" s="10" t="str">
        <f ca="1">IFERROR(__xludf.DUMMYFUNCTION(" VLOOKUP(A2051, IMPORTRANGE(""https://docs.google.com/spreadsheets/d/1fj_Bhi2XPL3siwIh4sx4VRLAe31yD50oKdj5UlRYW0c/"", ""Сводка!A:AA""), 11, FALSE)"),"978-601-327-799-8")</f>
        <v>978-601-327-799-8</v>
      </c>
      <c r="E2054" s="11" t="s">
        <v>8374</v>
      </c>
      <c r="F2054" s="11" t="s">
        <v>8375</v>
      </c>
      <c r="G2054" s="12">
        <f ca="1">IFERROR(__xludf.DUMMYFUNCTION(" VLOOKUP(A2051, IMPORTRANGE(""https://docs.google.com/spreadsheets/d/1fj_Bhi2XPL3siwIh4sx4VRLAe31yD50oKdj5UlRYW0c/"", ""Сводка!A:AA""), 5, FALSE)"),108)</f>
        <v>108</v>
      </c>
      <c r="H2054" s="12" t="s">
        <v>47</v>
      </c>
      <c r="I2054" s="10">
        <f ca="1">IFERROR(__xludf.DUMMYFUNCTION(" VLOOKUP(A2051, IMPORTRANGE(""https://docs.google.com/spreadsheets/d/1QNLbnkR_AongFt22vMfNzfpjZ0CjpI8QI-w0wBnYA1w/"", ""Инфа!A:AA""), 6, FALSE)"),2024)</f>
        <v>2024</v>
      </c>
      <c r="J2054" s="5">
        <f ca="1">ROUND((5000+G2054*30),-2)</f>
        <v>8200</v>
      </c>
      <c r="K2054" s="12" t="s">
        <v>243</v>
      </c>
      <c r="L2054" s="15" t="s">
        <v>8376</v>
      </c>
    </row>
    <row r="2055" spans="1:12" ht="123.75">
      <c r="A2055" s="8" t="s">
        <v>8377</v>
      </c>
      <c r="B2055" s="9" t="s">
        <v>12</v>
      </c>
      <c r="C2055" s="10" t="s">
        <v>151</v>
      </c>
      <c r="D2055" s="10" t="str">
        <f ca="1">IFERROR(__xludf.DUMMYFUNCTION(" VLOOKUP(A2052, IMPORTRANGE(""https://docs.google.com/spreadsheets/d/1fj_Bhi2XPL3siwIh4sx4VRLAe31yD50oKdj5UlRYW0c/"", ""Сводка!A:AA""), 11, FALSE)"),"978-601-327-799-8")</f>
        <v>978-601-327-799-8</v>
      </c>
      <c r="E2055" s="11" t="s">
        <v>8374</v>
      </c>
      <c r="F2055" s="11" t="s">
        <v>8378</v>
      </c>
      <c r="G2055" s="12">
        <f ca="1">IFERROR(__xludf.DUMMYFUNCTION(" VLOOKUP(A2052, IMPORTRANGE(""https://docs.google.com/spreadsheets/d/1fj_Bhi2XPL3siwIh4sx4VRLAe31yD50oKdj5UlRYW0c/"", ""Сводка!A:AA""), 5, FALSE)"),100)</f>
        <v>100</v>
      </c>
      <c r="H2055" s="12" t="s">
        <v>47</v>
      </c>
      <c r="I2055" s="10">
        <f ca="1">IFERROR(__xludf.DUMMYFUNCTION(" VLOOKUP(A2052, IMPORTRANGE(""https://docs.google.com/spreadsheets/d/1QNLbnkR_AongFt22vMfNzfpjZ0CjpI8QI-w0wBnYA1w/"", ""Инфа!A:AA""), 6, FALSE)"),2024)</f>
        <v>2024</v>
      </c>
      <c r="J2055" s="5">
        <f ca="1">ROUND((5000+G2055*30),-2)</f>
        <v>8000</v>
      </c>
      <c r="K2055" s="12" t="s">
        <v>243</v>
      </c>
      <c r="L2055" s="15" t="s">
        <v>8376</v>
      </c>
    </row>
    <row r="2056" spans="1:12" ht="247.5">
      <c r="A2056" s="8" t="s">
        <v>8379</v>
      </c>
      <c r="B2056" s="9" t="s">
        <v>12</v>
      </c>
      <c r="C2056" s="13" t="s">
        <v>13</v>
      </c>
      <c r="D2056" s="10" t="str">
        <f ca="1">IFERROR(__xludf.DUMMYFUNCTION(" VLOOKUP(A2053, IMPORTRANGE(""https://docs.google.com/spreadsheets/d/1fj_Bhi2XPL3siwIh4sx4VRLAe31yD50oKdj5UlRYW0c/"", ""Сводка!A:AA""), 11, FALSE)"),"ISBN 978-601-310-519")</f>
        <v>ISBN 978-601-310-519</v>
      </c>
      <c r="E2056" s="19" t="s">
        <v>8380</v>
      </c>
      <c r="F2056" s="19" t="s">
        <v>8381</v>
      </c>
      <c r="G2056" s="12">
        <f ca="1">IFERROR(__xludf.DUMMYFUNCTION(" VLOOKUP(A2053, IMPORTRANGE(""https://docs.google.com/spreadsheets/d/1fj_Bhi2XPL3siwIh4sx4VRLAe31yD50oKdj5UlRYW0c/"", ""Сводка!A:AA""), 5, FALSE)"),264)</f>
        <v>264</v>
      </c>
      <c r="H2056" s="12" t="s">
        <v>282</v>
      </c>
      <c r="I2056" s="10">
        <f ca="1">IFERROR(__xludf.DUMMYFUNCTION(" VLOOKUP(A2053, IMPORTRANGE(""https://docs.google.com/spreadsheets/d/1QNLbnkR_AongFt22vMfNzfpjZ0CjpI8QI-w0wBnYA1w/"", ""Инфа!A:AA""), 6, FALSE)"),2024)</f>
        <v>2024</v>
      </c>
      <c r="J2056" s="5">
        <f ca="1">ROUND(((5000+G2056*30)*1.3),-2)</f>
        <v>16800</v>
      </c>
      <c r="K2056" s="9" t="s">
        <v>69</v>
      </c>
      <c r="L2056" s="21" t="s">
        <v>8382</v>
      </c>
    </row>
    <row r="2057" spans="1:12" ht="38.25">
      <c r="A2057" s="8" t="s">
        <v>8383</v>
      </c>
      <c r="B2057" s="9" t="s">
        <v>12</v>
      </c>
      <c r="C2057" s="10" t="s">
        <v>443</v>
      </c>
      <c r="D2057" s="10" t="str">
        <f ca="1">IFERROR(__xludf.DUMMYFUNCTION(" VLOOKUP(A2054, IMPORTRANGE(""https://docs.google.com/spreadsheets/d/1fj_Bhi2XPL3siwIh4sx4VRLAe31yD50oKdj5UlRYW0c/"", ""Сводка!A:AA""), 11, FALSE)"),"ISBN 5-8280-14115-10")</f>
        <v>ISBN 5-8280-14115-10</v>
      </c>
      <c r="E2057" s="11" t="s">
        <v>8384</v>
      </c>
      <c r="F2057" s="11" t="s">
        <v>8385</v>
      </c>
      <c r="G2057" s="12">
        <f ca="1">IFERROR(__xludf.DUMMYFUNCTION(" VLOOKUP(A2054, IMPORTRANGE(""https://docs.google.com/spreadsheets/d/1fj_Bhi2XPL3siwIh4sx4VRLAe31yD50oKdj5UlRYW0c/"", ""Сводка!A:AA""), 5, FALSE)"),60)</f>
        <v>60</v>
      </c>
      <c r="H2057" s="12" t="s">
        <v>538</v>
      </c>
      <c r="I2057" s="10">
        <f ca="1">IFERROR(__xludf.DUMMYFUNCTION(" VLOOKUP(A2054, IMPORTRANGE(""https://docs.google.com/spreadsheets/d/1QNLbnkR_AongFt22vMfNzfpjZ0CjpI8QI-w0wBnYA1w/"", ""Инфа!A:AA""), 6, FALSE)"),2024)</f>
        <v>2024</v>
      </c>
      <c r="J2057" s="5">
        <f ca="1">ROUND((5000+G2057*30),-2)</f>
        <v>6800</v>
      </c>
      <c r="K2057" s="9" t="s">
        <v>619</v>
      </c>
      <c r="L2057" s="15"/>
    </row>
    <row r="2058" spans="1:12" ht="112.5">
      <c r="A2058" s="8" t="s">
        <v>8386</v>
      </c>
      <c r="B2058" s="9" t="s">
        <v>12</v>
      </c>
      <c r="C2058" s="10" t="s">
        <v>151</v>
      </c>
      <c r="D2058" s="10" t="str">
        <f ca="1">IFERROR(__xludf.DUMMYFUNCTION(" VLOOKUP(A2055, IMPORTRANGE(""https://docs.google.com/spreadsheets/d/1fj_Bhi2XPL3siwIh4sx4VRLAe31yD50oKdj5UlRYW0c/"", ""Сводка!A:AA""), 11, FALSE)"),"ISBN 978-601-327-584-0")</f>
        <v>ISBN 978-601-327-584-0</v>
      </c>
      <c r="E2058" s="22" t="s">
        <v>8387</v>
      </c>
      <c r="F2058" s="22" t="s">
        <v>8388</v>
      </c>
      <c r="G2058" s="12">
        <f ca="1">IFERROR(__xludf.DUMMYFUNCTION(" VLOOKUP(A2055, IMPORTRANGE(""https://docs.google.com/spreadsheets/d/1fj_Bhi2XPL3siwIh4sx4VRLAe31yD50oKdj5UlRYW0c/"", ""Сводка!A:AA""), 5, FALSE)"),204)</f>
        <v>204</v>
      </c>
      <c r="H2058" s="10" t="s">
        <v>106</v>
      </c>
      <c r="I2058" s="10">
        <f ca="1">IFERROR(__xludf.DUMMYFUNCTION(" VLOOKUP(A2055, IMPORTRANGE(""https://docs.google.com/spreadsheets/d/1QNLbnkR_AongFt22vMfNzfpjZ0CjpI8QI-w0wBnYA1w/"", ""Инфа!A:AA""), 6, FALSE)"),2024)</f>
        <v>2024</v>
      </c>
      <c r="J2058" s="5">
        <f ca="1">ROUND((5000+G2058*60),-2)</f>
        <v>17200</v>
      </c>
      <c r="K2058" s="12" t="s">
        <v>1240</v>
      </c>
      <c r="L2058" s="23" t="s">
        <v>8389</v>
      </c>
    </row>
    <row r="2059" spans="1:12" ht="281.25">
      <c r="A2059" s="8" t="s">
        <v>8390</v>
      </c>
      <c r="B2059" s="9" t="s">
        <v>12</v>
      </c>
      <c r="C2059" s="10" t="s">
        <v>151</v>
      </c>
      <c r="D2059" s="10" t="str">
        <f ca="1">IFERROR(__xludf.DUMMYFUNCTION(" VLOOKUP(A2056, IMPORTRANGE(""https://docs.google.com/spreadsheets/d/1fj_Bhi2XPL3siwIh4sx4VRLAe31yD50oKdj5UlRYW0c/"", ""Сводка!A:AA""), 11, FALSE)"),"ISBN 978-601-327-583-3")</f>
        <v>ISBN 978-601-327-583-3</v>
      </c>
      <c r="E2059" s="22" t="s">
        <v>8391</v>
      </c>
      <c r="F2059" s="22" t="s">
        <v>8392</v>
      </c>
      <c r="G2059" s="12">
        <f ca="1">IFERROR(__xludf.DUMMYFUNCTION(" VLOOKUP(A2056, IMPORTRANGE(""https://docs.google.com/spreadsheets/d/1fj_Bhi2XPL3siwIh4sx4VRLAe31yD50oKdj5UlRYW0c/"", ""Сводка!A:AA""), 5, FALSE)"),180)</f>
        <v>180</v>
      </c>
      <c r="H2059" s="10" t="s">
        <v>106</v>
      </c>
      <c r="I2059" s="10">
        <f ca="1">IFERROR(__xludf.DUMMYFUNCTION(" VLOOKUP(A2056, IMPORTRANGE(""https://docs.google.com/spreadsheets/d/1QNLbnkR_AongFt22vMfNzfpjZ0CjpI8QI-w0wBnYA1w/"", ""Инфа!A:AA""), 6, FALSE)"),2024)</f>
        <v>2024</v>
      </c>
      <c r="J2059" s="5">
        <f ca="1">ROUND((5000+G2059*60),-2)</f>
        <v>15800</v>
      </c>
      <c r="K2059" s="12" t="s">
        <v>160</v>
      </c>
      <c r="L2059" s="23" t="s">
        <v>8393</v>
      </c>
    </row>
    <row r="2060" spans="1:12" ht="78.75">
      <c r="A2060" s="8" t="s">
        <v>8394</v>
      </c>
      <c r="B2060" s="9" t="s">
        <v>12</v>
      </c>
      <c r="C2060" s="10" t="s">
        <v>151</v>
      </c>
      <c r="D2060" s="10" t="str">
        <f ca="1">IFERROR(__xludf.DUMMYFUNCTION(" VLOOKUP(A2057, IMPORTRANGE(""https://docs.google.com/spreadsheets/d/1fj_Bhi2XPL3siwIh4sx4VRLAe31yD50oKdj5UlRYW0c/"", ""Сводка!A:AA""), 11, FALSE)"),"ISBN 978-601-327-831-5")</f>
        <v>ISBN 978-601-327-831-5</v>
      </c>
      <c r="E2060" s="11" t="s">
        <v>8395</v>
      </c>
      <c r="F2060" s="11" t="s">
        <v>8396</v>
      </c>
      <c r="G2060" s="12">
        <f ca="1">IFERROR(__xludf.DUMMYFUNCTION(" VLOOKUP(A2057, IMPORTRANGE(""https://docs.google.com/spreadsheets/d/1fj_Bhi2XPL3siwIh4sx4VRLAe31yD50oKdj5UlRYW0c/"", ""Сводка!A:AA""), 5, FALSE)"),116)</f>
        <v>116</v>
      </c>
      <c r="H2060" s="12" t="s">
        <v>106</v>
      </c>
      <c r="I2060" s="10">
        <f ca="1">IFERROR(__xludf.DUMMYFUNCTION(" VLOOKUP(A2057, IMPORTRANGE(""https://docs.google.com/spreadsheets/d/1QNLbnkR_AongFt22vMfNzfpjZ0CjpI8QI-w0wBnYA1w/"", ""Инфа!A:AA""), 6, FALSE)"),2024)</f>
        <v>2024</v>
      </c>
      <c r="J2060" s="5">
        <f ca="1">ROUND((5000+G2060*60),-2)</f>
        <v>12000</v>
      </c>
      <c r="K2060" s="12" t="s">
        <v>1240</v>
      </c>
      <c r="L2060" s="15" t="s">
        <v>8397</v>
      </c>
    </row>
    <row r="2061" spans="1:12" ht="292.5">
      <c r="A2061" s="8" t="s">
        <v>8398</v>
      </c>
      <c r="B2061" s="9" t="s">
        <v>12</v>
      </c>
      <c r="C2061" s="10" t="s">
        <v>151</v>
      </c>
      <c r="D2061" s="10" t="str">
        <f ca="1">IFERROR(__xludf.DUMMYFUNCTION(" VLOOKUP(A2058, IMPORTRANGE(""https://docs.google.com/spreadsheets/d/1fj_Bhi2XPL3siwIh4sx4VRLAe31yD50oKdj5UlRYW0c/"", ""Сводка!A:AA""), 11, FALSE)"),"ISВN 978-601-240-592-7")</f>
        <v>ISВN 978-601-240-592-7</v>
      </c>
      <c r="E2061" s="11" t="s">
        <v>8399</v>
      </c>
      <c r="F2061" s="11" t="s">
        <v>8400</v>
      </c>
      <c r="G2061" s="12">
        <f ca="1">IFERROR(__xludf.DUMMYFUNCTION(" VLOOKUP(A2058, IMPORTRANGE(""https://docs.google.com/spreadsheets/d/1fj_Bhi2XPL3siwIh4sx4VRLAe31yD50oKdj5UlRYW0c/"", ""Сводка!A:AA""), 5, FALSE)"),148)</f>
        <v>148</v>
      </c>
      <c r="H2061" s="12" t="s">
        <v>47</v>
      </c>
      <c r="I2061" s="10">
        <f ca="1">IFERROR(__xludf.DUMMYFUNCTION(" VLOOKUP(A2058, IMPORTRANGE(""https://docs.google.com/spreadsheets/d/1QNLbnkR_AongFt22vMfNzfpjZ0CjpI8QI-w0wBnYA1w/"", ""Инфа!A:AA""), 6, FALSE)"),2024)</f>
        <v>2024</v>
      </c>
      <c r="J2061" s="5">
        <f ca="1">ROUND((5000+G2061*30),-2)</f>
        <v>9400</v>
      </c>
      <c r="K2061" s="12" t="s">
        <v>160</v>
      </c>
      <c r="L2061" s="15" t="s">
        <v>8401</v>
      </c>
    </row>
    <row r="2062" spans="1:12" ht="180">
      <c r="A2062" s="8" t="s">
        <v>8402</v>
      </c>
      <c r="B2062" s="9" t="s">
        <v>12</v>
      </c>
      <c r="C2062" s="10" t="s">
        <v>151</v>
      </c>
      <c r="D2062" s="10" t="str">
        <f ca="1">IFERROR(__xludf.DUMMYFUNCTION(" VLOOKUP(A2059, IMPORTRANGE(""https://docs.google.com/spreadsheets/d/1fj_Bhi2XPL3siwIh4sx4VRLAe31yD50oKdj5UlRYW0c/"", ""Сводка!A:AA""), 11, FALSE)"),"ISBN 978-601-240-593-4")</f>
        <v>ISBN 978-601-240-593-4</v>
      </c>
      <c r="E2062" s="11" t="s">
        <v>8399</v>
      </c>
      <c r="F2062" s="11" t="s">
        <v>8403</v>
      </c>
      <c r="G2062" s="12">
        <v>123</v>
      </c>
      <c r="H2062" s="12" t="s">
        <v>47</v>
      </c>
      <c r="I2062" s="10">
        <f ca="1">IFERROR(__xludf.DUMMYFUNCTION(" VLOOKUP(A2059, IMPORTRANGE(""https://docs.google.com/spreadsheets/d/1QNLbnkR_AongFt22vMfNzfpjZ0CjpI8QI-w0wBnYA1w/"", ""Инфа!A:AA""), 6, FALSE)"),2024)</f>
        <v>2024</v>
      </c>
      <c r="J2062" s="5">
        <f>ROUND((5000+G2062*30),-2)</f>
        <v>8700</v>
      </c>
      <c r="K2062" s="12" t="s">
        <v>302</v>
      </c>
      <c r="L2062" s="15" t="s">
        <v>8404</v>
      </c>
    </row>
    <row r="2063" spans="1:12" ht="76.5">
      <c r="A2063" s="8" t="s">
        <v>8405</v>
      </c>
      <c r="B2063" s="9" t="s">
        <v>12</v>
      </c>
      <c r="C2063" s="10" t="s">
        <v>151</v>
      </c>
      <c r="D2063" s="10" t="str">
        <f ca="1">IFERROR(__xludf.DUMMYFUNCTION(" VLOOKUP(A2060, IMPORTRANGE(""https://docs.google.com/spreadsheets/d/1fj_Bhi2XPL3siwIh4sx4VRLAe31yD50oKdj5UlRYW0c/"", ""Сводка!A:AA""), 11, FALSE)"),"ISBN 978-601-207-063-8")</f>
        <v>ISBN 978-601-207-063-8</v>
      </c>
      <c r="E2063" s="11" t="s">
        <v>8406</v>
      </c>
      <c r="F2063" s="11" t="s">
        <v>8407</v>
      </c>
      <c r="G2063" s="12">
        <f ca="1">IFERROR(__xludf.DUMMYFUNCTION(" VLOOKUP(A2060, IMPORTRANGE(""https://docs.google.com/spreadsheets/d/1fj_Bhi2XPL3siwIh4sx4VRLAe31yD50oKdj5UlRYW0c/"", ""Сводка!A:AA""), 5, FALSE)"),260)</f>
        <v>260</v>
      </c>
      <c r="H2063" s="12" t="s">
        <v>47</v>
      </c>
      <c r="I2063" s="10">
        <f ca="1">IFERROR(__xludf.DUMMYFUNCTION(" VLOOKUP(A2060, IMPORTRANGE(""https://docs.google.com/spreadsheets/d/1QNLbnkR_AongFt22vMfNzfpjZ0CjpI8QI-w0wBnYA1w/"", ""Инфа!A:AA""), 6, FALSE)"),2024)</f>
        <v>2024</v>
      </c>
      <c r="J2063" s="5">
        <f ca="1">ROUND((5000+G2063*30),-2)</f>
        <v>12800</v>
      </c>
      <c r="K2063" s="12" t="s">
        <v>160</v>
      </c>
      <c r="L2063" s="15"/>
    </row>
    <row r="2064" spans="1:12" ht="153">
      <c r="A2064" s="8" t="s">
        <v>8408</v>
      </c>
      <c r="B2064" s="9" t="s">
        <v>12</v>
      </c>
      <c r="C2064" s="10" t="s">
        <v>151</v>
      </c>
      <c r="D2064" s="10" t="str">
        <f ca="1">IFERROR(__xludf.DUMMYFUNCTION(" VLOOKUP(A2061, IMPORTRANGE(""https://docs.google.com/spreadsheets/d/1fj_Bhi2XPL3siwIh4sx4VRLAe31yD50oKdj5UlRYW0c/"", ""Сводка!A:AA""), 11, FALSE)"),"ISBN 978-601-207-063-9")</f>
        <v>ISBN 978-601-207-063-9</v>
      </c>
      <c r="E2064" s="11" t="s">
        <v>8406</v>
      </c>
      <c r="F2064" s="11" t="s">
        <v>8409</v>
      </c>
      <c r="G2064" s="12">
        <f ca="1">IFERROR(__xludf.DUMMYFUNCTION(" VLOOKUP(A2061, IMPORTRANGE(""https://docs.google.com/spreadsheets/d/1fj_Bhi2XPL3siwIh4sx4VRLAe31yD50oKdj5UlRYW0c/"", ""Сводка!A:AA""), 5, FALSE)"),124)</f>
        <v>124</v>
      </c>
      <c r="H2064" s="12" t="s">
        <v>47</v>
      </c>
      <c r="I2064" s="10">
        <f ca="1">IFERROR(__xludf.DUMMYFUNCTION(" VLOOKUP(A2061, IMPORTRANGE(""https://docs.google.com/spreadsheets/d/1QNLbnkR_AongFt22vMfNzfpjZ0CjpI8QI-w0wBnYA1w/"", ""Инфа!A:AA""), 6, FALSE)"),2024)</f>
        <v>2024</v>
      </c>
      <c r="J2064" s="5">
        <f ca="1">ROUND((5000+G2064*30),-2)</f>
        <v>8700</v>
      </c>
      <c r="K2064" s="12" t="s">
        <v>302</v>
      </c>
      <c r="L2064" s="15"/>
    </row>
    <row r="2065" spans="1:12" ht="38.25">
      <c r="A2065" s="8" t="s">
        <v>8410</v>
      </c>
      <c r="B2065" s="9" t="s">
        <v>12</v>
      </c>
      <c r="C2065" s="10" t="s">
        <v>151</v>
      </c>
      <c r="D2065" s="10" t="str">
        <f ca="1">IFERROR(__xludf.DUMMYFUNCTION(" VLOOKUP(A2062, IMPORTRANGE(""https://docs.google.com/spreadsheets/d/1fj_Bhi2XPL3siwIh4sx4VRLAe31yD50oKdj5UlRYW0c/"", ""Сводка!A:AA""), 11, FALSE)"),"ISBN 987-601-310-458-4")</f>
        <v>ISBN 987-601-310-458-4</v>
      </c>
      <c r="E2065" s="11" t="s">
        <v>8411</v>
      </c>
      <c r="F2065" s="11" t="s">
        <v>8412</v>
      </c>
      <c r="G2065" s="12">
        <f ca="1">IFERROR(__xludf.DUMMYFUNCTION(" VLOOKUP(A2062, IMPORTRANGE(""https://docs.google.com/spreadsheets/d/1fj_Bhi2XPL3siwIh4sx4VRLAe31yD50oKdj5UlRYW0c/"", ""Сводка!A:AA""), 5, FALSE)"),108)</f>
        <v>108</v>
      </c>
      <c r="H2065" s="12" t="s">
        <v>47</v>
      </c>
      <c r="I2065" s="10">
        <f ca="1">IFERROR(__xludf.DUMMYFUNCTION(" VLOOKUP(A2062, IMPORTRANGE(""https://docs.google.com/spreadsheets/d/1QNLbnkR_AongFt22vMfNzfpjZ0CjpI8QI-w0wBnYA1w/"", ""Инфа!A:AA""), 6, FALSE)"),2024)</f>
        <v>2024</v>
      </c>
      <c r="J2065" s="5">
        <f ca="1">ROUND((5000+G2065*30),-2)</f>
        <v>8200</v>
      </c>
      <c r="K2065" s="12" t="s">
        <v>271</v>
      </c>
      <c r="L2065" s="15"/>
    </row>
    <row r="2066" spans="1:12" ht="123.75">
      <c r="A2066" s="8" t="s">
        <v>8413</v>
      </c>
      <c r="B2066" s="9" t="s">
        <v>12</v>
      </c>
      <c r="C2066" s="10" t="s">
        <v>151</v>
      </c>
      <c r="D2066" s="10" t="str">
        <f ca="1">IFERROR(__xludf.DUMMYFUNCTION(" VLOOKUP(A2063, IMPORTRANGE(""https://docs.google.com/spreadsheets/d/1fj_Bhi2XPL3siwIh4sx4VRLAe31yD50oKdj5UlRYW0c/"", ""Сводка!A:AA""), 11, FALSE)"),"978-601-327-915-2")</f>
        <v>978-601-327-915-2</v>
      </c>
      <c r="E2066" s="11" t="s">
        <v>8414</v>
      </c>
      <c r="F2066" s="11" t="s">
        <v>8415</v>
      </c>
      <c r="G2066" s="12">
        <f ca="1">IFERROR(__xludf.DUMMYFUNCTION(" VLOOKUP(A2063, IMPORTRANGE(""https://docs.google.com/spreadsheets/d/1fj_Bhi2XPL3siwIh4sx4VRLAe31yD50oKdj5UlRYW0c/"", ""Сводка!A:AA""), 5, FALSE)"),172)</f>
        <v>172</v>
      </c>
      <c r="H2066" s="12" t="s">
        <v>47</v>
      </c>
      <c r="I2066" s="10">
        <f ca="1">IFERROR(__xludf.DUMMYFUNCTION(" VLOOKUP(A2063, IMPORTRANGE(""https://docs.google.com/spreadsheets/d/1QNLbnkR_AongFt22vMfNzfpjZ0CjpI8QI-w0wBnYA1w/"", ""Инфа!A:AA""), 6, FALSE)"),2024)</f>
        <v>2024</v>
      </c>
      <c r="J2066" s="5">
        <f ca="1">ROUND((5000+G2066*60),-2)</f>
        <v>15300</v>
      </c>
      <c r="K2066" s="12" t="s">
        <v>302</v>
      </c>
      <c r="L2066" s="15" t="s">
        <v>8416</v>
      </c>
    </row>
    <row r="2067" spans="1:12" ht="123.75">
      <c r="A2067" s="8" t="s">
        <v>8417</v>
      </c>
      <c r="B2067" s="9" t="s">
        <v>12</v>
      </c>
      <c r="C2067" s="10" t="s">
        <v>151</v>
      </c>
      <c r="D2067" s="10" t="str">
        <f ca="1">IFERROR(__xludf.DUMMYFUNCTION(" VLOOKUP(A2064, IMPORTRANGE(""https://docs.google.com/spreadsheets/d/1fj_Bhi2XPL3siwIh4sx4VRLAe31yD50oKdj5UlRYW0c/"", ""Сводка!A:AA""), 11, FALSE)"),"ISBN 978-601-7481-37-7")</f>
        <v>ISBN 978-601-7481-37-7</v>
      </c>
      <c r="E2067" s="11" t="s">
        <v>8414</v>
      </c>
      <c r="F2067" s="11" t="s">
        <v>8418</v>
      </c>
      <c r="G2067" s="12">
        <v>128</v>
      </c>
      <c r="H2067" s="12" t="s">
        <v>47</v>
      </c>
      <c r="I2067" s="10">
        <f ca="1">IFERROR(__xludf.DUMMYFUNCTION(" VLOOKUP(A2064, IMPORTRANGE(""https://docs.google.com/spreadsheets/d/1QNLbnkR_AongFt22vMfNzfpjZ0CjpI8QI-w0wBnYA1w/"", ""Инфа!A:AA""), 6, FALSE)"),2024)</f>
        <v>2024</v>
      </c>
      <c r="J2067" s="5">
        <f>ROUND((5000+G2067*60),-2)</f>
        <v>12700</v>
      </c>
      <c r="K2067" s="9" t="s">
        <v>619</v>
      </c>
      <c r="L2067" s="15" t="s">
        <v>8419</v>
      </c>
    </row>
    <row r="2068" spans="1:12" ht="146.25">
      <c r="A2068" s="8" t="s">
        <v>8420</v>
      </c>
      <c r="B2068" s="9" t="s">
        <v>12</v>
      </c>
      <c r="C2068" s="10" t="s">
        <v>151</v>
      </c>
      <c r="D2068" s="10" t="str">
        <f ca="1">IFERROR(__xludf.DUMMYFUNCTION(" VLOOKUP(A2065, IMPORTRANGE(""https://docs.google.com/spreadsheets/d/1fj_Bhi2XPL3siwIh4sx4VRLAe31yD50oKdj5UlRYW0c/"", ""Сводка!A:AA""), 11, FALSE)"),"ISBN 978-601-327-916-9")</f>
        <v>ISBN 978-601-327-916-9</v>
      </c>
      <c r="E2068" s="11" t="s">
        <v>8414</v>
      </c>
      <c r="F2068" s="11" t="s">
        <v>8421</v>
      </c>
      <c r="G2068" s="12">
        <f ca="1">IFERROR(__xludf.DUMMYFUNCTION(" VLOOKUP(A2065, IMPORTRANGE(""https://docs.google.com/spreadsheets/d/1fj_Bhi2XPL3siwIh4sx4VRLAe31yD50oKdj5UlRYW0c/"", ""Сводка!A:AA""), 5, FALSE)"),208)</f>
        <v>208</v>
      </c>
      <c r="H2068" s="12" t="s">
        <v>47</v>
      </c>
      <c r="I2068" s="10">
        <f ca="1">IFERROR(__xludf.DUMMYFUNCTION(" VLOOKUP(A2065, IMPORTRANGE(""https://docs.google.com/spreadsheets/d/1QNLbnkR_AongFt22vMfNzfpjZ0CjpI8QI-w0wBnYA1w/"", ""Инфа!A:AA""), 6, FALSE)"),2024)</f>
        <v>2024</v>
      </c>
      <c r="J2068" s="5">
        <f ca="1">ROUND((5000+G2068*30),-2)</f>
        <v>11200</v>
      </c>
      <c r="K2068" s="9" t="s">
        <v>619</v>
      </c>
      <c r="L2068" s="15" t="s">
        <v>8422</v>
      </c>
    </row>
    <row r="2069" spans="1:12" ht="146.25">
      <c r="A2069" s="8" t="s">
        <v>8423</v>
      </c>
      <c r="B2069" s="9" t="s">
        <v>12</v>
      </c>
      <c r="C2069" s="10" t="s">
        <v>151</v>
      </c>
      <c r="D2069" s="10" t="str">
        <f ca="1">IFERROR(__xludf.DUMMYFUNCTION(" VLOOKUP(A2066, IMPORTRANGE(""https://docs.google.com/spreadsheets/d/1fj_Bhi2XPL3siwIh4sx4VRLAe31yD50oKdj5UlRYW0c/"", ""Сводка!A:AA""), 11, FALSE)"),"ISBN 978-601-327-916-9")</f>
        <v>ISBN 978-601-327-916-9</v>
      </c>
      <c r="E2069" s="11" t="s">
        <v>8414</v>
      </c>
      <c r="F2069" s="11" t="s">
        <v>8424</v>
      </c>
      <c r="G2069" s="12">
        <f ca="1">IFERROR(__xludf.DUMMYFUNCTION(" VLOOKUP(A2066, IMPORTRANGE(""https://docs.google.com/spreadsheets/d/1fj_Bhi2XPL3siwIh4sx4VRLAe31yD50oKdj5UlRYW0c/"", ""Сводка!A:AA""), 5, FALSE)"),160)</f>
        <v>160</v>
      </c>
      <c r="H2069" s="12" t="s">
        <v>47</v>
      </c>
      <c r="I2069" s="10">
        <f ca="1">IFERROR(__xludf.DUMMYFUNCTION(" VLOOKUP(A2066, IMPORTRANGE(""https://docs.google.com/spreadsheets/d/1QNLbnkR_AongFt22vMfNzfpjZ0CjpI8QI-w0wBnYA1w/"", ""Инфа!A:AA""), 6, FALSE)"),2024)</f>
        <v>2024</v>
      </c>
      <c r="J2069" s="5">
        <f ca="1">ROUND((5000+G2069*30),-2)</f>
        <v>9800</v>
      </c>
      <c r="K2069" s="9" t="s">
        <v>619</v>
      </c>
      <c r="L2069" s="15" t="s">
        <v>8422</v>
      </c>
    </row>
    <row r="2070" spans="1:12" ht="135">
      <c r="A2070" s="8" t="s">
        <v>8425</v>
      </c>
      <c r="B2070" s="9" t="s">
        <v>12</v>
      </c>
      <c r="C2070" s="10" t="s">
        <v>151</v>
      </c>
      <c r="D2070" s="10" t="str">
        <f ca="1">IFERROR(__xludf.DUMMYFUNCTION(" VLOOKUP(A2067, IMPORTRANGE(""https://docs.google.com/spreadsheets/d/1fj_Bhi2XPL3siwIh4sx4VRLAe31yD50oKdj5UlRYW0c/"", ""Сводка!A:AA""), 11, FALSE)"),"978-601-342-190-2")</f>
        <v>978-601-342-190-2</v>
      </c>
      <c r="E2070" s="11" t="s">
        <v>8414</v>
      </c>
      <c r="F2070" s="11" t="s">
        <v>8426</v>
      </c>
      <c r="G2070" s="12">
        <f ca="1">IFERROR(__xludf.DUMMYFUNCTION(" VLOOKUP(A2067, IMPORTRANGE(""https://docs.google.com/spreadsheets/d/1fj_Bhi2XPL3siwIh4sx4VRLAe31yD50oKdj5UlRYW0c/"", ""Сводка!A:AA""), 5, FALSE)"),256)</f>
        <v>256</v>
      </c>
      <c r="H2070" s="12" t="s">
        <v>47</v>
      </c>
      <c r="I2070" s="10">
        <f ca="1">IFERROR(__xludf.DUMMYFUNCTION(" VLOOKUP(A2067, IMPORTRANGE(""https://docs.google.com/spreadsheets/d/1QNLbnkR_AongFt22vMfNzfpjZ0CjpI8QI-w0wBnYA1w/"", ""Инфа!A:AA""), 6, FALSE)"),2024)</f>
        <v>2024</v>
      </c>
      <c r="J2070" s="5">
        <f ca="1">ROUND((5000+G2070*60),-2)</f>
        <v>20400</v>
      </c>
      <c r="K2070" s="12" t="s">
        <v>2398</v>
      </c>
      <c r="L2070" s="15" t="s">
        <v>8427</v>
      </c>
    </row>
    <row r="2071" spans="1:12" ht="180">
      <c r="A2071" s="8" t="s">
        <v>8428</v>
      </c>
      <c r="B2071" s="9" t="s">
        <v>12</v>
      </c>
      <c r="C2071" s="10" t="s">
        <v>151</v>
      </c>
      <c r="D2071" s="10" t="str">
        <f ca="1">IFERROR(__xludf.DUMMYFUNCTION(" VLOOKUP(A2068, IMPORTRANGE(""https://docs.google.com/spreadsheets/d/1fj_Bhi2XPL3siwIh4sx4VRLAe31yD50oKdj5UlRYW0c/"", ""Сводка!A:AA""), 11, FALSE)"),"ISBN 978-601-342-173-5")</f>
        <v>ISBN 978-601-342-173-5</v>
      </c>
      <c r="E2071" s="11" t="s">
        <v>8429</v>
      </c>
      <c r="F2071" s="11" t="s">
        <v>8430</v>
      </c>
      <c r="G2071" s="12">
        <f ca="1">IFERROR(__xludf.DUMMYFUNCTION(" VLOOKUP(A2068, IMPORTRANGE(""https://docs.google.com/spreadsheets/d/1fj_Bhi2XPL3siwIh4sx4VRLAe31yD50oKdj5UlRYW0c/"", ""Сводка!A:AA""), 5, FALSE)"),148)</f>
        <v>148</v>
      </c>
      <c r="H2071" s="12" t="s">
        <v>47</v>
      </c>
      <c r="I2071" s="10">
        <f ca="1">IFERROR(__xludf.DUMMYFUNCTION(" VLOOKUP(A2068, IMPORTRANGE(""https://docs.google.com/spreadsheets/d/1QNLbnkR_AongFt22vMfNzfpjZ0CjpI8QI-w0wBnYA1w/"", ""Инфа!A:AA""), 6, FALSE)"),2024)</f>
        <v>2024</v>
      </c>
      <c r="J2071" s="5">
        <f ca="1">ROUND((5000+G2071*30),-2)</f>
        <v>9400</v>
      </c>
      <c r="K2071" s="12" t="s">
        <v>2568</v>
      </c>
      <c r="L2071" s="15" t="s">
        <v>8431</v>
      </c>
    </row>
    <row r="2072" spans="1:12" ht="56.25">
      <c r="A2072" s="8" t="s">
        <v>8432</v>
      </c>
      <c r="B2072" s="9" t="s">
        <v>12</v>
      </c>
      <c r="C2072" s="10" t="s">
        <v>151</v>
      </c>
      <c r="D2072" s="10" t="str">
        <f ca="1">IFERROR(__xludf.DUMMYFUNCTION(" VLOOKUP(A2069, IMPORTRANGE(""https://docs.google.com/spreadsheets/d/1fj_Bhi2XPL3siwIh4sx4VRLAe31yD50oKdj5UlRYW0c/"", ""Сводка!A:AA""), 11, FALSE)"),"ISBN 978-601-342-034-9")</f>
        <v>ISBN 978-601-342-034-9</v>
      </c>
      <c r="E2072" s="11" t="s">
        <v>8433</v>
      </c>
      <c r="F2072" s="11" t="s">
        <v>8434</v>
      </c>
      <c r="G2072" s="12">
        <f ca="1">IFERROR(__xludf.DUMMYFUNCTION(" VLOOKUP(A2069, IMPORTRANGE(""https://docs.google.com/spreadsheets/d/1fj_Bhi2XPL3siwIh4sx4VRLAe31yD50oKdj5UlRYW0c/"", ""Сводка!A:AA""), 5, FALSE)"),264)</f>
        <v>264</v>
      </c>
      <c r="H2072" s="12" t="s">
        <v>47</v>
      </c>
      <c r="I2072" s="10">
        <f ca="1">IFERROR(__xludf.DUMMYFUNCTION(" VLOOKUP(A2069, IMPORTRANGE(""https://docs.google.com/spreadsheets/d/1QNLbnkR_AongFt22vMfNzfpjZ0CjpI8QI-w0wBnYA1w/"", ""Инфа!A:AA""), 6, FALSE)"),2024)</f>
        <v>2024</v>
      </c>
      <c r="J2072" s="5">
        <f ca="1">ROUND((5000+G2072*30),-2)</f>
        <v>12900</v>
      </c>
      <c r="K2072" s="12" t="s">
        <v>1219</v>
      </c>
      <c r="L2072" s="15" t="s">
        <v>8435</v>
      </c>
    </row>
    <row r="2073" spans="1:12" ht="180">
      <c r="A2073" s="8" t="s">
        <v>8436</v>
      </c>
      <c r="B2073" s="9" t="s">
        <v>12</v>
      </c>
      <c r="C2073" s="13" t="s">
        <v>151</v>
      </c>
      <c r="D2073" s="10" t="str">
        <f ca="1">IFERROR(__xludf.DUMMYFUNCTION(" VLOOKUP(A2070, IMPORTRANGE(""https://docs.google.com/spreadsheets/d/1fj_Bhi2XPL3siwIh4sx4VRLAe31yD50oKdj5UlRYW0c/"", ""Сводка!A:AA""), 11, FALSE)"),"978-601-310-997-8")</f>
        <v>978-601-310-997-8</v>
      </c>
      <c r="E2073" s="19" t="s">
        <v>8437</v>
      </c>
      <c r="F2073" s="19" t="s">
        <v>8438</v>
      </c>
      <c r="G2073" s="12">
        <f ca="1">IFERROR(__xludf.DUMMYFUNCTION(" VLOOKUP(A2070, IMPORTRANGE(""https://docs.google.com/spreadsheets/d/1fj_Bhi2XPL3siwIh4sx4VRLAe31yD50oKdj5UlRYW0c/"", ""Сводка!A:AA""), 5, FALSE)"),256)</f>
        <v>256</v>
      </c>
      <c r="H2073" s="9" t="s">
        <v>282</v>
      </c>
      <c r="I2073" s="10">
        <f ca="1">IFERROR(__xludf.DUMMYFUNCTION(" VLOOKUP(A2070, IMPORTRANGE(""https://docs.google.com/spreadsheets/d/1QNLbnkR_AongFt22vMfNzfpjZ0CjpI8QI-w0wBnYA1w/"", ""Инфа!A:AA""), 6, FALSE)"),2024)</f>
        <v>2024</v>
      </c>
      <c r="J2073" s="5">
        <f ca="1">ROUND((5000+G2073*30),-2)</f>
        <v>12700</v>
      </c>
      <c r="K2073" s="9" t="s">
        <v>625</v>
      </c>
      <c r="L2073" s="21" t="s">
        <v>8439</v>
      </c>
    </row>
    <row r="2074" spans="1:12" ht="191.25">
      <c r="A2074" s="8" t="s">
        <v>8440</v>
      </c>
      <c r="B2074" s="9" t="s">
        <v>12</v>
      </c>
      <c r="C2074" s="10" t="s">
        <v>151</v>
      </c>
      <c r="D2074" s="10" t="str">
        <f ca="1">IFERROR(__xludf.DUMMYFUNCTION(" VLOOKUP(A2071, IMPORTRANGE(""https://docs.google.com/spreadsheets/d/1fj_Bhi2XPL3siwIh4sx4VRLAe31yD50oKdj5UlRYW0c/"", ""Сводка!A:AA""), 11, FALSE)"),"ISBN 978-601-342-351-7")</f>
        <v>ISBN 978-601-342-351-7</v>
      </c>
      <c r="E2074" s="11" t="s">
        <v>8441</v>
      </c>
      <c r="F2074" s="11" t="s">
        <v>8442</v>
      </c>
      <c r="G2074" s="12">
        <f ca="1">IFERROR(__xludf.DUMMYFUNCTION(" VLOOKUP(A2071, IMPORTRANGE(""https://docs.google.com/spreadsheets/d/1fj_Bhi2XPL3siwIh4sx4VRLAe31yD50oKdj5UlRYW0c/"", ""Сводка!A:AA""), 5, FALSE)"),292)</f>
        <v>292</v>
      </c>
      <c r="H2074" s="12" t="s">
        <v>56</v>
      </c>
      <c r="I2074" s="10">
        <f ca="1">IFERROR(__xludf.DUMMYFUNCTION(" VLOOKUP(A2071, IMPORTRANGE(""https://docs.google.com/spreadsheets/d/1QNLbnkR_AongFt22vMfNzfpjZ0CjpI8QI-w0wBnYA1w/"", ""Инфа!A:AA""), 6, FALSE)"),2024)</f>
        <v>2024</v>
      </c>
      <c r="J2074" s="5">
        <f ca="1">ROUND(((5000+G2074*30)*1.3),-2)</f>
        <v>17900</v>
      </c>
      <c r="K2074" s="12" t="s">
        <v>296</v>
      </c>
      <c r="L2074" s="15" t="s">
        <v>8443</v>
      </c>
    </row>
    <row r="2075" spans="1:12" ht="202.5">
      <c r="A2075" s="8" t="s">
        <v>8444</v>
      </c>
      <c r="B2075" s="9" t="s">
        <v>12</v>
      </c>
      <c r="C2075" s="10" t="s">
        <v>151</v>
      </c>
      <c r="D2075" s="10" t="str">
        <f ca="1">IFERROR(__xludf.DUMMYFUNCTION(" VLOOKUP(A2072, IMPORTRANGE(""https://docs.google.com/spreadsheets/d/1fj_Bhi2XPL3siwIh4sx4VRLAe31yD50oKdj5UlRYW0c/"", ""Сводка!A:AA""), 11, FALSE)"),"ISBN 978-601-342-352-4")</f>
        <v>ISBN 978-601-342-352-4</v>
      </c>
      <c r="E2075" s="11" t="s">
        <v>8445</v>
      </c>
      <c r="F2075" s="11" t="s">
        <v>8446</v>
      </c>
      <c r="G2075" s="12">
        <f ca="1">IFERROR(__xludf.DUMMYFUNCTION(" VLOOKUP(A2072, IMPORTRANGE(""https://docs.google.com/spreadsheets/d/1fj_Bhi2XPL3siwIh4sx4VRLAe31yD50oKdj5UlRYW0c/"", ""Сводка!A:AA""), 5, FALSE)"),256)</f>
        <v>256</v>
      </c>
      <c r="H2075" s="12" t="s">
        <v>56</v>
      </c>
      <c r="I2075" s="10">
        <f ca="1">IFERROR(__xludf.DUMMYFUNCTION(" VLOOKUP(A2072, IMPORTRANGE(""https://docs.google.com/spreadsheets/d/1QNLbnkR_AongFt22vMfNzfpjZ0CjpI8QI-w0wBnYA1w/"", ""Инфа!A:AA""), 6, FALSE)"),2024)</f>
        <v>2024</v>
      </c>
      <c r="J2075" s="5">
        <f ca="1">ROUND(((5000+G2075*60)*1.3),-2)</f>
        <v>26500</v>
      </c>
      <c r="K2075" s="12" t="s">
        <v>296</v>
      </c>
      <c r="L2075" s="15" t="s">
        <v>8447</v>
      </c>
    </row>
    <row r="2076" spans="1:12" ht="225">
      <c r="A2076" s="8" t="s">
        <v>8448</v>
      </c>
      <c r="B2076" s="9" t="s">
        <v>12</v>
      </c>
      <c r="C2076" s="10" t="s">
        <v>151</v>
      </c>
      <c r="D2076" s="10" t="str">
        <f ca="1">IFERROR(__xludf.DUMMYFUNCTION(" VLOOKUP(A2073, IMPORTRANGE(""https://docs.google.com/spreadsheets/d/1fj_Bhi2XPL3siwIh4sx4VRLAe31yD50oKdj5UlRYW0c/"", ""Сводка!A:AA""), 11, FALSE)"),"ISBN 978–5–98769–103–8")</f>
        <v>ISBN 978–5–98769–103–8</v>
      </c>
      <c r="E2076" s="11" t="s">
        <v>8449</v>
      </c>
      <c r="F2076" s="11" t="s">
        <v>8450</v>
      </c>
      <c r="G2076" s="12">
        <f ca="1">IFERROR(__xludf.DUMMYFUNCTION(" VLOOKUP(A2073, IMPORTRANGE(""https://docs.google.com/spreadsheets/d/1fj_Bhi2XPL3siwIh4sx4VRLAe31yD50oKdj5UlRYW0c/"", ""Сводка!A:AA""), 5, FALSE)"),104)</f>
        <v>104</v>
      </c>
      <c r="H2076" s="12" t="s">
        <v>24</v>
      </c>
      <c r="I2076" s="10">
        <f ca="1">IFERROR(__xludf.DUMMYFUNCTION(" VLOOKUP(A2073, IMPORTRANGE(""https://docs.google.com/spreadsheets/d/1QNLbnkR_AongFt22vMfNzfpjZ0CjpI8QI-w0wBnYA1w/"", ""Инфа!A:AA""), 6, FALSE)"),2024)</f>
        <v>2024</v>
      </c>
      <c r="J2076" s="5">
        <f ca="1">ROUND((5000+G2076*60),-2)</f>
        <v>11200</v>
      </c>
      <c r="K2076" s="12" t="s">
        <v>243</v>
      </c>
      <c r="L2076" s="15" t="s">
        <v>8451</v>
      </c>
    </row>
    <row r="2077" spans="1:12" ht="76.5">
      <c r="A2077" s="8" t="s">
        <v>8452</v>
      </c>
      <c r="B2077" s="9" t="s">
        <v>12</v>
      </c>
      <c r="C2077" s="10" t="s">
        <v>151</v>
      </c>
      <c r="D2077" s="10" t="str">
        <f ca="1">IFERROR(__xludf.DUMMYFUNCTION(" VLOOKUP(A2074, IMPORTRANGE(""https://docs.google.com/spreadsheets/d/1fj_Bhi2XPL3siwIh4sx4VRLAe31yD50oKdj5UlRYW0c/"", ""Сводка!A:AA""), 11, FALSE)"),"ISBN 978-601-240-955-0")</f>
        <v>ISBN 978-601-240-955-0</v>
      </c>
      <c r="E2077" s="11" t="s">
        <v>8453</v>
      </c>
      <c r="F2077" s="11" t="s">
        <v>8454</v>
      </c>
      <c r="G2077" s="12">
        <f ca="1">IFERROR(__xludf.DUMMYFUNCTION(" VLOOKUP(A2074, IMPORTRANGE(""https://docs.google.com/spreadsheets/d/1fj_Bhi2XPL3siwIh4sx4VRLAe31yD50oKdj5UlRYW0c/"", ""Сводка!A:AA""), 5, FALSE)"),212)</f>
        <v>212</v>
      </c>
      <c r="H2077" s="12" t="s">
        <v>47</v>
      </c>
      <c r="I2077" s="10">
        <f ca="1">IFERROR(__xludf.DUMMYFUNCTION(" VLOOKUP(A2074, IMPORTRANGE(""https://docs.google.com/spreadsheets/d/1QNLbnkR_AongFt22vMfNzfpjZ0CjpI8QI-w0wBnYA1w/"", ""Инфа!A:AA""), 6, FALSE)"),2024)</f>
        <v>2024</v>
      </c>
      <c r="J2077" s="5">
        <f ca="1">ROUND(((5000+G2077*60)*1.3),-2)</f>
        <v>23000</v>
      </c>
      <c r="K2077" s="12" t="s">
        <v>2520</v>
      </c>
      <c r="L2077" s="15"/>
    </row>
    <row r="2078" spans="1:12" ht="51">
      <c r="A2078" s="8" t="s">
        <v>8455</v>
      </c>
      <c r="B2078" s="9" t="s">
        <v>12</v>
      </c>
      <c r="C2078" s="10" t="s">
        <v>151</v>
      </c>
      <c r="D2078" s="10" t="str">
        <f ca="1">IFERROR(__xludf.DUMMYFUNCTION(" VLOOKUP(A2075, IMPORTRANGE(""https://docs.google.com/spreadsheets/d/1fj_Bhi2XPL3siwIh4sx4VRLAe31yD50oKdj5UlRYW0c/"", ""Сводка!A:AA""), 11, FALSE)"),"ISBN 978-601-240-956-7")</f>
        <v>ISBN 978-601-240-956-7</v>
      </c>
      <c r="E2078" s="11" t="s">
        <v>8453</v>
      </c>
      <c r="F2078" s="11" t="s">
        <v>8456</v>
      </c>
      <c r="G2078" s="12">
        <f ca="1">IFERROR(__xludf.DUMMYFUNCTION(" VLOOKUP(A2075, IMPORTRANGE(""https://docs.google.com/spreadsheets/d/1fj_Bhi2XPL3siwIh4sx4VRLAe31yD50oKdj5UlRYW0c/"", ""Сводка!A:AA""), 5, FALSE)"),208)</f>
        <v>208</v>
      </c>
      <c r="H2078" s="12" t="s">
        <v>47</v>
      </c>
      <c r="I2078" s="10">
        <f ca="1">IFERROR(__xludf.DUMMYFUNCTION(" VLOOKUP(A2075, IMPORTRANGE(""https://docs.google.com/spreadsheets/d/1QNLbnkR_AongFt22vMfNzfpjZ0CjpI8QI-w0wBnYA1w/"", ""Инфа!A:AA""), 6, FALSE)"),2024)</f>
        <v>2024</v>
      </c>
      <c r="J2078" s="5">
        <f ca="1">ROUND(((5000+G2078*60)*1.3),-2)</f>
        <v>22700</v>
      </c>
      <c r="K2078" s="12" t="s">
        <v>2520</v>
      </c>
      <c r="L2078" s="15"/>
    </row>
    <row r="2079" spans="1:12" ht="38.25">
      <c r="A2079" s="8" t="s">
        <v>8457</v>
      </c>
      <c r="B2079" s="9" t="s">
        <v>12</v>
      </c>
      <c r="C2079" s="10" t="s">
        <v>151</v>
      </c>
      <c r="D2079" s="10" t="str">
        <f ca="1">IFERROR(__xludf.DUMMYFUNCTION(" VLOOKUP(A2076, IMPORTRANGE(""https://docs.google.com/spreadsheets/d/1fj_Bhi2XPL3siwIh4sx4VRLAe31yD50oKdj5UlRYW0c/"", ""Сводка!A:AA""), 11, FALSE)"),"ISBN 978-601-310-171-2")</f>
        <v>ISBN 978-601-310-171-2</v>
      </c>
      <c r="E2079" s="11" t="s">
        <v>8453</v>
      </c>
      <c r="F2079" s="11" t="s">
        <v>8458</v>
      </c>
      <c r="G2079" s="12">
        <f ca="1">IFERROR(__xludf.DUMMYFUNCTION(" VLOOKUP(A2076, IMPORTRANGE(""https://docs.google.com/spreadsheets/d/1fj_Bhi2XPL3siwIh4sx4VRLAe31yD50oKdj5UlRYW0c/"", ""Сводка!A:AA""), 5, FALSE)"),276)</f>
        <v>276</v>
      </c>
      <c r="H2079" s="12" t="s">
        <v>47</v>
      </c>
      <c r="I2079" s="10">
        <f ca="1">IFERROR(__xludf.DUMMYFUNCTION(" VLOOKUP(A2076, IMPORTRANGE(""https://docs.google.com/spreadsheets/d/1QNLbnkR_AongFt22vMfNzfpjZ0CjpI8QI-w0wBnYA1w/"", ""Инфа!A:AA""), 6, FALSE)"),2024)</f>
        <v>2024</v>
      </c>
      <c r="J2079" s="5">
        <f ca="1">ROUND(((5000+G2079*60)*1.3),-2)</f>
        <v>28000</v>
      </c>
      <c r="K2079" s="12" t="s">
        <v>2520</v>
      </c>
      <c r="L2079" s="15"/>
    </row>
    <row r="2080" spans="1:12" ht="38.25">
      <c r="A2080" s="8" t="s">
        <v>8459</v>
      </c>
      <c r="B2080" s="9" t="s">
        <v>12</v>
      </c>
      <c r="C2080" s="10" t="s">
        <v>151</v>
      </c>
      <c r="D2080" s="10" t="str">
        <f ca="1">IFERROR(__xludf.DUMMYFUNCTION(" VLOOKUP(A2077, IMPORTRANGE(""https://docs.google.com/spreadsheets/d/1fj_Bhi2XPL3siwIh4sx4VRLAe31yD50oKdj5UlRYW0c/"", ""Сводка!A:AA""), 11, FALSE)"),"ISBN 978-601-240-954-3")</f>
        <v>ISBN 978-601-240-954-3</v>
      </c>
      <c r="E2080" s="11" t="s">
        <v>8453</v>
      </c>
      <c r="F2080" s="11" t="s">
        <v>8460</v>
      </c>
      <c r="G2080" s="12">
        <f ca="1">IFERROR(__xludf.DUMMYFUNCTION(" VLOOKUP(A2077, IMPORTRANGE(""https://docs.google.com/spreadsheets/d/1fj_Bhi2XPL3siwIh4sx4VRLAe31yD50oKdj5UlRYW0c/"", ""Сводка!A:AA""), 5, FALSE)"),188)</f>
        <v>188</v>
      </c>
      <c r="H2080" s="12" t="s">
        <v>106</v>
      </c>
      <c r="I2080" s="10">
        <f ca="1">IFERROR(__xludf.DUMMYFUNCTION(" VLOOKUP(A2077, IMPORTRANGE(""https://docs.google.com/spreadsheets/d/1QNLbnkR_AongFt22vMfNzfpjZ0CjpI8QI-w0wBnYA1w/"", ""Инфа!A:AA""), 6, FALSE)"),2024)</f>
        <v>2024</v>
      </c>
      <c r="J2080" s="5">
        <f ca="1">ROUND(((5000+G2080*60)*1.3),-2)</f>
        <v>21200</v>
      </c>
      <c r="K2080" s="12" t="s">
        <v>2520</v>
      </c>
      <c r="L2080" s="15"/>
    </row>
    <row r="2081" spans="1:12" ht="63.75">
      <c r="A2081" s="8" t="s">
        <v>8461</v>
      </c>
      <c r="B2081" s="9" t="s">
        <v>12</v>
      </c>
      <c r="C2081" s="10" t="s">
        <v>151</v>
      </c>
      <c r="D2081" s="10" t="s">
        <v>8462</v>
      </c>
      <c r="E2081" s="11" t="s">
        <v>8463</v>
      </c>
      <c r="F2081" s="11" t="s">
        <v>8464</v>
      </c>
      <c r="G2081" s="12">
        <f ca="1">IFERROR(__xludf.DUMMYFUNCTION(" VLOOKUP(A2078, IMPORTRANGE(""https://docs.google.com/spreadsheets/d/1fj_Bhi2XPL3siwIh4sx4VRLAe31yD50oKdj5UlRYW0c/"", ""Сводка!A:AA""), 5, FALSE)"),212)</f>
        <v>212</v>
      </c>
      <c r="H2081" s="12" t="s">
        <v>47</v>
      </c>
      <c r="I2081" s="10">
        <f ca="1">IFERROR(__xludf.DUMMYFUNCTION(" VLOOKUP(A2078, IMPORTRANGE(""https://docs.google.com/spreadsheets/d/1QNLbnkR_AongFt22vMfNzfpjZ0CjpI8QI-w0wBnYA1w/"", ""Инфа!A:AA""), 6, FALSE)"),2024)</f>
        <v>2024</v>
      </c>
      <c r="J2081" s="5">
        <f ca="1">ROUND(((5000+G2081*60)*1.3),-2)</f>
        <v>23000</v>
      </c>
      <c r="K2081" s="12" t="s">
        <v>2520</v>
      </c>
      <c r="L2081" s="15"/>
    </row>
    <row r="2082" spans="1:12" ht="112.5">
      <c r="A2082" s="8" t="s">
        <v>8465</v>
      </c>
      <c r="B2082" s="9" t="s">
        <v>12</v>
      </c>
      <c r="C2082" s="10" t="s">
        <v>443</v>
      </c>
      <c r="D2082" s="10" t="str">
        <f ca="1">IFERROR(__xludf.DUMMYFUNCTION(" VLOOKUP(A2079, IMPORTRANGE(""https://docs.google.com/spreadsheets/d/1fj_Bhi2XPL3siwIh4sx4VRLAe31yD50oKdj5UlRYW0c/"", ""Сводка!A:AA""), 11, FALSE)"),"ISBN 978-601-327-959-6")</f>
        <v>ISBN 978-601-327-959-6</v>
      </c>
      <c r="E2082" s="11" t="s">
        <v>8466</v>
      </c>
      <c r="F2082" s="11" t="s">
        <v>8467</v>
      </c>
      <c r="G2082" s="12">
        <f ca="1">IFERROR(__xludf.DUMMYFUNCTION(" VLOOKUP(A2079, IMPORTRANGE(""https://docs.google.com/spreadsheets/d/1fj_Bhi2XPL3siwIh4sx4VRLAe31yD50oKdj5UlRYW0c/"", ""Сводка!A:AA""), 5, FALSE)"),132)</f>
        <v>132</v>
      </c>
      <c r="H2082" s="12" t="s">
        <v>47</v>
      </c>
      <c r="I2082" s="10">
        <f ca="1">IFERROR(__xludf.DUMMYFUNCTION(" VLOOKUP(A2079, IMPORTRANGE(""https://docs.google.com/spreadsheets/d/1QNLbnkR_AongFt22vMfNzfpjZ0CjpI8QI-w0wBnYA1w/"", ""Инфа!A:AA""), 6, FALSE)"),2024)</f>
        <v>2024</v>
      </c>
      <c r="J2082" s="5">
        <f ca="1">ROUND((5000+G2082*30),-2)</f>
        <v>9000</v>
      </c>
      <c r="K2082" s="12" t="s">
        <v>160</v>
      </c>
      <c r="L2082" s="15" t="s">
        <v>8468</v>
      </c>
    </row>
    <row r="2083" spans="1:12" ht="67.5">
      <c r="A2083" s="8" t="s">
        <v>8469</v>
      </c>
      <c r="B2083" s="9" t="s">
        <v>12</v>
      </c>
      <c r="C2083" s="10" t="s">
        <v>443</v>
      </c>
      <c r="D2083" s="10" t="str">
        <f ca="1">IFERROR(__xludf.DUMMYFUNCTION(" VLOOKUP(A2080, IMPORTRANGE(""https://docs.google.com/spreadsheets/d/1fj_Bhi2XPL3siwIh4sx4VRLAe31yD50oKdj5UlRYW0c/"", ""Сводка!A:AA""), 11, FALSE)"),"ISBN 978-601-327-958-9")</f>
        <v>ISBN 978-601-327-958-9</v>
      </c>
      <c r="E2083" s="11" t="s">
        <v>8466</v>
      </c>
      <c r="F2083" s="11" t="s">
        <v>8470</v>
      </c>
      <c r="G2083" s="12">
        <f ca="1">IFERROR(__xludf.DUMMYFUNCTION(" VLOOKUP(A2080, IMPORTRANGE(""https://docs.google.com/spreadsheets/d/1fj_Bhi2XPL3siwIh4sx4VRLAe31yD50oKdj5UlRYW0c/"", ""Сводка!A:AA""), 5, FALSE)"),160)</f>
        <v>160</v>
      </c>
      <c r="H2083" s="12" t="s">
        <v>47</v>
      </c>
      <c r="I2083" s="10">
        <f ca="1">IFERROR(__xludf.DUMMYFUNCTION(" VLOOKUP(A2080, IMPORTRANGE(""https://docs.google.com/spreadsheets/d/1QNLbnkR_AongFt22vMfNzfpjZ0CjpI8QI-w0wBnYA1w/"", ""Инфа!A:AA""), 6, FALSE)"),2024)</f>
        <v>2024</v>
      </c>
      <c r="J2083" s="5">
        <f ca="1">ROUND((5000+G2083*30),-2)</f>
        <v>9800</v>
      </c>
      <c r="K2083" s="12" t="s">
        <v>160</v>
      </c>
      <c r="L2083" s="15" t="s">
        <v>8471</v>
      </c>
    </row>
    <row r="2084" spans="1:12" ht="180">
      <c r="A2084" s="8" t="s">
        <v>8472</v>
      </c>
      <c r="B2084" s="9" t="s">
        <v>12</v>
      </c>
      <c r="C2084" s="10" t="s">
        <v>151</v>
      </c>
      <c r="D2084" s="10" t="str">
        <f ca="1">IFERROR(__xludf.DUMMYFUNCTION(" VLOOKUP(A2081, IMPORTRANGE(""https://docs.google.com/spreadsheets/d/1fj_Bhi2XPL3siwIh4sx4VRLAe31yD50oKdj5UlRYW0c/"", ""Сводка!A:AA""), 11, FALSE)"),"ISBN 978-601-342-158-2")</f>
        <v>ISBN 978-601-342-158-2</v>
      </c>
      <c r="E2084" s="11" t="s">
        <v>8466</v>
      </c>
      <c r="F2084" s="11" t="s">
        <v>8473</v>
      </c>
      <c r="G2084" s="12">
        <f ca="1">IFERROR(__xludf.DUMMYFUNCTION(" VLOOKUP(A2081, IMPORTRANGE(""https://docs.google.com/spreadsheets/d/1fj_Bhi2XPL3siwIh4sx4VRLAe31yD50oKdj5UlRYW0c/"", ""Сводка!A:AA""), 5, FALSE)"),108)</f>
        <v>108</v>
      </c>
      <c r="H2084" s="12" t="s">
        <v>498</v>
      </c>
      <c r="I2084" s="10">
        <f ca="1">IFERROR(__xludf.DUMMYFUNCTION(" VLOOKUP(A2081, IMPORTRANGE(""https://docs.google.com/spreadsheets/d/1QNLbnkR_AongFt22vMfNzfpjZ0CjpI8QI-w0wBnYA1w/"", ""Инфа!A:AA""), 6, FALSE)"),2024)</f>
        <v>2024</v>
      </c>
      <c r="J2084" s="5">
        <f ca="1">ROUND((5000+G2084*30),-2)</f>
        <v>8200</v>
      </c>
      <c r="K2084" s="10" t="s">
        <v>160</v>
      </c>
      <c r="L2084" s="15" t="s">
        <v>8474</v>
      </c>
    </row>
    <row r="2085" spans="1:12" ht="78.75">
      <c r="A2085" s="8" t="s">
        <v>8475</v>
      </c>
      <c r="B2085" s="9" t="s">
        <v>12</v>
      </c>
      <c r="C2085" s="10" t="s">
        <v>443</v>
      </c>
      <c r="D2085" s="10" t="str">
        <f ca="1">IFERROR(__xludf.DUMMYFUNCTION(" VLOOKUP(A2082, IMPORTRANGE(""https://docs.google.com/spreadsheets/d/1fj_Bhi2XPL3siwIh4sx4VRLAe31yD50oKdj5UlRYW0c/"", ""Сводка!A:AA""), 11, FALSE)"),"ISBN 978-601-342-163-6")</f>
        <v>ISBN 978-601-342-163-6</v>
      </c>
      <c r="E2085" s="11" t="s">
        <v>8466</v>
      </c>
      <c r="F2085" s="11" t="s">
        <v>8476</v>
      </c>
      <c r="G2085" s="12">
        <f ca="1">IFERROR(__xludf.DUMMYFUNCTION(" VLOOKUP(A2082, IMPORTRANGE(""https://docs.google.com/spreadsheets/d/1fj_Bhi2XPL3siwIh4sx4VRLAe31yD50oKdj5UlRYW0c/"", ""Сводка!A:AA""), 5, FALSE)"),76)</f>
        <v>76</v>
      </c>
      <c r="H2085" s="12" t="s">
        <v>498</v>
      </c>
      <c r="I2085" s="10">
        <f ca="1">IFERROR(__xludf.DUMMYFUNCTION(" VLOOKUP(A2082, IMPORTRANGE(""https://docs.google.com/spreadsheets/d/1QNLbnkR_AongFt22vMfNzfpjZ0CjpI8QI-w0wBnYA1w/"", ""Инфа!A:AA""), 6, FALSE)"),2024)</f>
        <v>2024</v>
      </c>
      <c r="J2085" s="5">
        <f ca="1">ROUND((5000+G2085*30),-2)</f>
        <v>7300</v>
      </c>
      <c r="K2085" s="10" t="s">
        <v>160</v>
      </c>
      <c r="L2085" s="15" t="s">
        <v>8477</v>
      </c>
    </row>
    <row r="2086" spans="1:12" ht="112.5">
      <c r="A2086" s="8" t="s">
        <v>8478</v>
      </c>
      <c r="B2086" s="9" t="s">
        <v>12</v>
      </c>
      <c r="C2086" s="10" t="s">
        <v>151</v>
      </c>
      <c r="D2086" s="10" t="str">
        <f ca="1">IFERROR(__xludf.DUMMYFUNCTION(" VLOOKUP(A2083, IMPORTRANGE(""https://docs.google.com/spreadsheets/d/1fj_Bhi2XPL3siwIh4sx4VRLAe31yD50oKdj5UlRYW0c/"", ""Сводка!A:AA""), 11, FALSE)"),"ISBN 978-601-342-156-8")</f>
        <v>ISBN 978-601-342-156-8</v>
      </c>
      <c r="E2086" s="11" t="s">
        <v>8466</v>
      </c>
      <c r="F2086" s="11" t="s">
        <v>8479</v>
      </c>
      <c r="G2086" s="12">
        <f ca="1">IFERROR(__xludf.DUMMYFUNCTION(" VLOOKUP(A2083, IMPORTRANGE(""https://docs.google.com/spreadsheets/d/1fj_Bhi2XPL3siwIh4sx4VRLAe31yD50oKdj5UlRYW0c/"", ""Сводка!A:AA""), 5, FALSE)"),248)</f>
        <v>248</v>
      </c>
      <c r="H2086" s="12" t="s">
        <v>498</v>
      </c>
      <c r="I2086" s="10">
        <f ca="1">IFERROR(__xludf.DUMMYFUNCTION(" VLOOKUP(A2083, IMPORTRANGE(""https://docs.google.com/spreadsheets/d/1QNLbnkR_AongFt22vMfNzfpjZ0CjpI8QI-w0wBnYA1w/"", ""Инфа!A:AA""), 6, FALSE)"),2024)</f>
        <v>2024</v>
      </c>
      <c r="J2086" s="5">
        <f ca="1">ROUND((5000+G2086*60),-2)</f>
        <v>19900</v>
      </c>
      <c r="K2086" s="10" t="s">
        <v>160</v>
      </c>
      <c r="L2086" s="15" t="s">
        <v>8480</v>
      </c>
    </row>
    <row r="2087" spans="1:12" ht="135">
      <c r="A2087" s="8" t="s">
        <v>8481</v>
      </c>
      <c r="B2087" s="9" t="s">
        <v>12</v>
      </c>
      <c r="C2087" s="10" t="s">
        <v>443</v>
      </c>
      <c r="D2087" s="10" t="str">
        <f ca="1">IFERROR(__xludf.DUMMYFUNCTION(" VLOOKUP(A2084, IMPORTRANGE(""https://docs.google.com/spreadsheets/d/1fj_Bhi2XPL3siwIh4sx4VRLAe31yD50oKdj5UlRYW0c/"", ""Сводка!A:AA""), 11, FALSE)"),"ISBN 978-601-342-157-5")</f>
        <v>ISBN 978-601-342-157-5</v>
      </c>
      <c r="E2087" s="11" t="s">
        <v>8466</v>
      </c>
      <c r="F2087" s="11" t="s">
        <v>8482</v>
      </c>
      <c r="G2087" s="12">
        <f ca="1">IFERROR(__xludf.DUMMYFUNCTION(" VLOOKUP(A2084, IMPORTRANGE(""https://docs.google.com/spreadsheets/d/1fj_Bhi2XPL3siwIh4sx4VRLAe31yD50oKdj5UlRYW0c/"", ""Сводка!A:AA""), 5, FALSE)"),152)</f>
        <v>152</v>
      </c>
      <c r="H2087" s="12" t="s">
        <v>538</v>
      </c>
      <c r="I2087" s="10">
        <f ca="1">IFERROR(__xludf.DUMMYFUNCTION(" VLOOKUP(A2084, IMPORTRANGE(""https://docs.google.com/spreadsheets/d/1QNLbnkR_AongFt22vMfNzfpjZ0CjpI8QI-w0wBnYA1w/"", ""Инфа!A:AA""), 6, FALSE)"),2024)</f>
        <v>2024</v>
      </c>
      <c r="J2087" s="5">
        <f ca="1">ROUND((5000+G2087*30),-2)</f>
        <v>9600</v>
      </c>
      <c r="K2087" s="10" t="s">
        <v>160</v>
      </c>
      <c r="L2087" s="15" t="s">
        <v>8483</v>
      </c>
    </row>
    <row r="2088" spans="1:12" ht="303.75">
      <c r="A2088" s="8" t="s">
        <v>8484</v>
      </c>
      <c r="B2088" s="9" t="s">
        <v>12</v>
      </c>
      <c r="C2088" s="10" t="s">
        <v>13</v>
      </c>
      <c r="D2088" s="10" t="str">
        <f ca="1">IFERROR(__xludf.DUMMYFUNCTION(" VLOOKUP(A2085, IMPORTRANGE(""https://docs.google.com/spreadsheets/d/1fj_Bhi2XPL3siwIh4sx4VRLAe31yD50oKdj5UlRYW0c/"", ""Сводка!A:AA""), 11, FALSE)"),"978-601-327-215-3")</f>
        <v>978-601-327-215-3</v>
      </c>
      <c r="E2088" s="11" t="s">
        <v>8485</v>
      </c>
      <c r="F2088" s="11" t="s">
        <v>8486</v>
      </c>
      <c r="G2088" s="12">
        <f ca="1">IFERROR(__xludf.DUMMYFUNCTION(" VLOOKUP(A2085, IMPORTRANGE(""https://docs.google.com/spreadsheets/d/1fj_Bhi2XPL3siwIh4sx4VRLAe31yD50oKdj5UlRYW0c/"", ""Сводка!A:AA""), 5, FALSE)"),104)</f>
        <v>104</v>
      </c>
      <c r="H2088" s="12" t="s">
        <v>8487</v>
      </c>
      <c r="I2088" s="10">
        <f ca="1">IFERROR(__xludf.DUMMYFUNCTION(" VLOOKUP(A2085, IMPORTRANGE(""https://docs.google.com/spreadsheets/d/1QNLbnkR_AongFt22vMfNzfpjZ0CjpI8QI-w0wBnYA1w/"", ""Инфа!A:AA""), 6, FALSE)"),2024)</f>
        <v>2024</v>
      </c>
      <c r="J2088" s="5">
        <f ca="1">ROUND((5000+G2088*60),-2)</f>
        <v>11200</v>
      </c>
      <c r="K2088" s="12" t="s">
        <v>1387</v>
      </c>
      <c r="L2088" s="15" t="s">
        <v>8488</v>
      </c>
    </row>
    <row r="2089" spans="1:12" ht="270">
      <c r="A2089" s="8" t="s">
        <v>8489</v>
      </c>
      <c r="B2089" s="9" t="s">
        <v>12</v>
      </c>
      <c r="C2089" s="10" t="s">
        <v>443</v>
      </c>
      <c r="D2089" s="10" t="str">
        <f ca="1">IFERROR(__xludf.DUMMYFUNCTION(" VLOOKUP(A2086, IMPORTRANGE(""https://docs.google.com/spreadsheets/d/1fj_Bhi2XPL3siwIh4sx4VRLAe31yD50oKdj5UlRYW0c/"", ""Сводка!A:AA""), 11, FALSE)"),"ISBN 978-601-342-622-8")</f>
        <v>ISBN 978-601-342-622-8</v>
      </c>
      <c r="E2089" s="11" t="s">
        <v>2220</v>
      </c>
      <c r="F2089" s="11" t="s">
        <v>8490</v>
      </c>
      <c r="G2089" s="12">
        <f ca="1">IFERROR(__xludf.DUMMYFUNCTION(" VLOOKUP(A2086, IMPORTRANGE(""https://docs.google.com/spreadsheets/d/1fj_Bhi2XPL3siwIh4sx4VRLAe31yD50oKdj5UlRYW0c/"", ""Сводка!A:AA""), 5, FALSE)"),216)</f>
        <v>216</v>
      </c>
      <c r="H2089" s="12" t="s">
        <v>106</v>
      </c>
      <c r="I2089" s="10">
        <f ca="1">IFERROR(__xludf.DUMMYFUNCTION(" VLOOKUP(A2086, IMPORTRANGE(""https://docs.google.com/spreadsheets/d/1QNLbnkR_AongFt22vMfNzfpjZ0CjpI8QI-w0wBnYA1w/"", ""Инфа!A:AA""), 6, FALSE)"),2024)</f>
        <v>2024</v>
      </c>
      <c r="J2089" s="5">
        <f ca="1">ROUND((5000+G2089*60),-2)</f>
        <v>18000</v>
      </c>
      <c r="K2089" s="12" t="s">
        <v>160</v>
      </c>
      <c r="L2089" s="15" t="s">
        <v>8491</v>
      </c>
    </row>
    <row r="2090" spans="1:12" ht="168.75">
      <c r="A2090" s="8" t="s">
        <v>8492</v>
      </c>
      <c r="B2090" s="9" t="s">
        <v>12</v>
      </c>
      <c r="C2090" s="10" t="s">
        <v>443</v>
      </c>
      <c r="D2090" s="10" t="str">
        <f ca="1">IFERROR(__xludf.DUMMYFUNCTION(" VLOOKUP(A2087, IMPORTRANGE(""https://docs.google.com/spreadsheets/d/1fj_Bhi2XPL3siwIh4sx4VRLAe31yD50oKdj5UlRYW0c/"", ""Сводка!A:AA""), 11, FALSE)"),"ISBN 978-601-352-290-6")</f>
        <v>ISBN 978-601-352-290-6</v>
      </c>
      <c r="E2090" s="11" t="s">
        <v>8493</v>
      </c>
      <c r="F2090" s="11" t="s">
        <v>972</v>
      </c>
      <c r="G2090" s="12">
        <f ca="1">IFERROR(__xludf.DUMMYFUNCTION(" VLOOKUP(A2087, IMPORTRANGE(""https://docs.google.com/spreadsheets/d/1fj_Bhi2XPL3siwIh4sx4VRLAe31yD50oKdj5UlRYW0c/"", ""Сводка!A:AA""), 5, FALSE)"),288)</f>
        <v>288</v>
      </c>
      <c r="H2090" s="12" t="s">
        <v>446</v>
      </c>
      <c r="I2090" s="10">
        <f ca="1">IFERROR(__xludf.DUMMYFUNCTION(" VLOOKUP(A2087, IMPORTRANGE(""https://docs.google.com/spreadsheets/d/1QNLbnkR_AongFt22vMfNzfpjZ0CjpI8QI-w0wBnYA1w/"", ""Инфа!A:AA""), 6, FALSE)"),2024)</f>
        <v>2024</v>
      </c>
      <c r="J2090" s="5">
        <f ca="1">ROUND((5000+G2090*30),-2)</f>
        <v>13600</v>
      </c>
      <c r="K2090" s="12" t="s">
        <v>160</v>
      </c>
      <c r="L2090" s="15" t="s">
        <v>8494</v>
      </c>
    </row>
    <row r="2091" spans="1:12" ht="236.25">
      <c r="A2091" s="8" t="s">
        <v>8495</v>
      </c>
      <c r="B2091" s="9" t="s">
        <v>12</v>
      </c>
      <c r="C2091" s="10" t="s">
        <v>443</v>
      </c>
      <c r="D2091" s="10" t="str">
        <f ca="1">IFERROR(__xludf.DUMMYFUNCTION(" VLOOKUP(A2088, IMPORTRANGE(""https://docs.google.com/spreadsheets/d/1fj_Bhi2XPL3siwIh4sx4VRLAe31yD50oKdj5UlRYW0c/"", ""Сводка!A:AA""), 11, FALSE)"),"ISBN 978-601-342-381-4")</f>
        <v>ISBN 978-601-342-381-4</v>
      </c>
      <c r="E2091" s="11" t="s">
        <v>8496</v>
      </c>
      <c r="F2091" s="11" t="s">
        <v>8497</v>
      </c>
      <c r="G2091" s="12">
        <f ca="1">IFERROR(__xludf.DUMMYFUNCTION(" VLOOKUP(A2088, IMPORTRANGE(""https://docs.google.com/spreadsheets/d/1fj_Bhi2XPL3siwIh4sx4VRLAe31yD50oKdj5UlRYW0c/"", ""Сводка!A:AA""), 5, FALSE)"),128)</f>
        <v>128</v>
      </c>
      <c r="H2091" s="12" t="s">
        <v>538</v>
      </c>
      <c r="I2091" s="10">
        <f ca="1">IFERROR(__xludf.DUMMYFUNCTION(" VLOOKUP(A2088, IMPORTRANGE(""https://docs.google.com/spreadsheets/d/1QNLbnkR_AongFt22vMfNzfpjZ0CjpI8QI-w0wBnYA1w/"", ""Инфа!A:AA""), 6, FALSE)"),2024)</f>
        <v>2024</v>
      </c>
      <c r="J2091" s="5">
        <f ca="1">ROUND((5000+G2091*60),-2)</f>
        <v>12700</v>
      </c>
      <c r="K2091" s="12" t="s">
        <v>160</v>
      </c>
      <c r="L2091" s="15" t="s">
        <v>8498</v>
      </c>
    </row>
    <row r="2092" spans="1:12" ht="146.25">
      <c r="A2092" s="8" t="s">
        <v>8499</v>
      </c>
      <c r="B2092" s="9" t="s">
        <v>12</v>
      </c>
      <c r="C2092" s="10" t="s">
        <v>151</v>
      </c>
      <c r="D2092" s="10" t="str">
        <f ca="1">IFERROR(__xludf.DUMMYFUNCTION(" VLOOKUP(A2089, IMPORTRANGE(""https://docs.google.com/spreadsheets/d/1fj_Bhi2XPL3siwIh4sx4VRLAe31yD50oKdj5UlRYW0c/"", ""Сводка!A:AA""), 11, FALSE)"),"ISBN 978-601-296-161-4")</f>
        <v>ISBN 978-601-296-161-4</v>
      </c>
      <c r="E2092" s="11" t="s">
        <v>8500</v>
      </c>
      <c r="F2092" s="11" t="s">
        <v>8501</v>
      </c>
      <c r="G2092" s="12">
        <f ca="1">IFERROR(__xludf.DUMMYFUNCTION(" VLOOKUP(A2089, IMPORTRANGE(""https://docs.google.com/spreadsheets/d/1fj_Bhi2XPL3siwIh4sx4VRLAe31yD50oKdj5UlRYW0c/"", ""Сводка!A:AA""), 5, FALSE)"),80)</f>
        <v>80</v>
      </c>
      <c r="H2092" s="12" t="s">
        <v>47</v>
      </c>
      <c r="I2092" s="10">
        <f ca="1">IFERROR(__xludf.DUMMYFUNCTION(" VLOOKUP(A2089, IMPORTRANGE(""https://docs.google.com/spreadsheets/d/1QNLbnkR_AongFt22vMfNzfpjZ0CjpI8QI-w0wBnYA1w/"", ""Инфа!A:AA""), 6, FALSE)"),2024)</f>
        <v>2024</v>
      </c>
      <c r="J2092" s="5">
        <f ca="1">ROUND((5000+G2092*30),-2)</f>
        <v>7400</v>
      </c>
      <c r="K2092" s="9" t="s">
        <v>619</v>
      </c>
      <c r="L2092" s="15" t="s">
        <v>8502</v>
      </c>
    </row>
    <row r="2093" spans="1:12" ht="123.75">
      <c r="A2093" s="8" t="s">
        <v>8503</v>
      </c>
      <c r="B2093" s="9" t="s">
        <v>12</v>
      </c>
      <c r="C2093" s="10" t="s">
        <v>443</v>
      </c>
      <c r="D2093" s="10" t="str">
        <f ca="1">IFERROR(__xludf.DUMMYFUNCTION(" VLOOKUP(A2090, IMPORTRANGE(""https://docs.google.com/spreadsheets/d/1fj_Bhi2XPL3siwIh4sx4VRLAe31yD50oKdj5UlRYW0c/"", ""Сводка!A:AA""), 11, FALSE)"),"ISBN 978-601-327-548-2")</f>
        <v>ISBN 978-601-327-548-2</v>
      </c>
      <c r="E2093" s="11" t="s">
        <v>8504</v>
      </c>
      <c r="F2093" s="11" t="s">
        <v>8505</v>
      </c>
      <c r="G2093" s="12">
        <f ca="1">IFERROR(__xludf.DUMMYFUNCTION(" VLOOKUP(A2090, IMPORTRANGE(""https://docs.google.com/spreadsheets/d/1fj_Bhi2XPL3siwIh4sx4VRLAe31yD50oKdj5UlRYW0c/"", ""Сводка!A:AA""), 5, FALSE)"),92)</f>
        <v>92</v>
      </c>
      <c r="H2093" s="12" t="s">
        <v>952</v>
      </c>
      <c r="I2093" s="10">
        <f ca="1">IFERROR(__xludf.DUMMYFUNCTION(" VLOOKUP(A2090, IMPORTRANGE(""https://docs.google.com/spreadsheets/d/1QNLbnkR_AongFt22vMfNzfpjZ0CjpI8QI-w0wBnYA1w/"", ""Инфа!A:AA""), 6, FALSE)"),2024)</f>
        <v>2024</v>
      </c>
      <c r="J2093" s="5">
        <f ca="1">ROUND((5000+G2093*30),-2)</f>
        <v>7800</v>
      </c>
      <c r="K2093" s="9" t="s">
        <v>619</v>
      </c>
      <c r="L2093" s="15" t="s">
        <v>8506</v>
      </c>
    </row>
    <row r="2094" spans="1:12" ht="135">
      <c r="A2094" s="8" t="s">
        <v>8507</v>
      </c>
      <c r="B2094" s="9" t="s">
        <v>12</v>
      </c>
      <c r="C2094" s="10" t="s">
        <v>151</v>
      </c>
      <c r="D2094" s="10" t="str">
        <f ca="1">IFERROR(__xludf.DUMMYFUNCTION(" VLOOKUP(A2091, IMPORTRANGE(""https://docs.google.com/spreadsheets/d/1fj_Bhi2XPL3siwIh4sx4VRLAe31yD50oKdj5UlRYW0c/"", ""Сводка!A:AA""), 11, FALSE)"),"ISBN 978-601-327-099-9")</f>
        <v>ISBN 978-601-327-099-9</v>
      </c>
      <c r="E2094" s="22" t="s">
        <v>8508</v>
      </c>
      <c r="F2094" s="22" t="s">
        <v>8509</v>
      </c>
      <c r="G2094" s="12">
        <f ca="1">IFERROR(__xludf.DUMMYFUNCTION(" VLOOKUP(A2091, IMPORTRANGE(""https://docs.google.com/spreadsheets/d/1fj_Bhi2XPL3siwIh4sx4VRLAe31yD50oKdj5UlRYW0c/"", ""Сводка!A:AA""), 5, FALSE)"),192)</f>
        <v>192</v>
      </c>
      <c r="H2094" s="10" t="s">
        <v>165</v>
      </c>
      <c r="I2094" s="10">
        <f ca="1">IFERROR(__xludf.DUMMYFUNCTION(" VLOOKUP(A2091, IMPORTRANGE(""https://docs.google.com/spreadsheets/d/1QNLbnkR_AongFt22vMfNzfpjZ0CjpI8QI-w0wBnYA1w/"", ""Инфа!A:AA""), 6, FALSE)"),2024)</f>
        <v>2024</v>
      </c>
      <c r="J2094" s="5">
        <f ca="1">ROUND((5000+G2094*30),-2)</f>
        <v>10800</v>
      </c>
      <c r="K2094" s="10" t="s">
        <v>26</v>
      </c>
      <c r="L2094" s="23" t="s">
        <v>8510</v>
      </c>
    </row>
    <row r="2095" spans="1:12" ht="247.5">
      <c r="A2095" s="8" t="s">
        <v>8511</v>
      </c>
      <c r="B2095" s="9" t="s">
        <v>12</v>
      </c>
      <c r="C2095" s="10" t="s">
        <v>443</v>
      </c>
      <c r="D2095" s="10" t="str">
        <f ca="1">IFERROR(__xludf.DUMMYFUNCTION(" VLOOKUP(A2092, IMPORTRANGE(""https://docs.google.com/spreadsheets/d/1fj_Bhi2XPL3siwIh4sx4VRLAe31yD50oKdj5UlRYW0c/"", ""Сводка!A:AA""), 11, FALSE)"),"ISBN 978-601-240-759-4")</f>
        <v>ISBN 978-601-240-759-4</v>
      </c>
      <c r="E2095" s="11" t="s">
        <v>8512</v>
      </c>
      <c r="F2095" s="11" t="s">
        <v>8513</v>
      </c>
      <c r="G2095" s="12">
        <f ca="1">IFERROR(__xludf.DUMMYFUNCTION(" VLOOKUP(A2092, IMPORTRANGE(""https://docs.google.com/spreadsheets/d/1fj_Bhi2XPL3siwIh4sx4VRLAe31yD50oKdj5UlRYW0c/"", ""Сводка!A:AA""), 5, FALSE)"),88)</f>
        <v>88</v>
      </c>
      <c r="H2095" s="12" t="s">
        <v>538</v>
      </c>
      <c r="I2095" s="10">
        <f ca="1">IFERROR(__xludf.DUMMYFUNCTION(" VLOOKUP(A2092, IMPORTRANGE(""https://docs.google.com/spreadsheets/d/1QNLbnkR_AongFt22vMfNzfpjZ0CjpI8QI-w0wBnYA1w/"", ""Инфа!A:AA""), 6, FALSE)"),2024)</f>
        <v>2024</v>
      </c>
      <c r="J2095" s="5">
        <f ca="1">ROUND(((5000+G2095*30)*1.3),-2)</f>
        <v>9900</v>
      </c>
      <c r="K2095" s="12" t="s">
        <v>308</v>
      </c>
      <c r="L2095" s="15" t="s">
        <v>8514</v>
      </c>
    </row>
    <row r="2096" spans="1:12" ht="157.5">
      <c r="A2096" s="8" t="s">
        <v>8515</v>
      </c>
      <c r="B2096" s="9" t="s">
        <v>12</v>
      </c>
      <c r="C2096" s="10" t="s">
        <v>151</v>
      </c>
      <c r="D2096" s="10" t="str">
        <f ca="1">IFERROR(__xludf.DUMMYFUNCTION(" VLOOKUP(A2093, IMPORTRANGE(""https://docs.google.com/spreadsheets/d/1fj_Bhi2XPL3siwIh4sx4VRLAe31yD50oKdj5UlRYW0c/"", ""Сводка!A:AA""), 11, FALSE)"),"ISBN 978-601-261-364-3")</f>
        <v>ISBN 978-601-261-364-3</v>
      </c>
      <c r="E2096" s="11" t="s">
        <v>8516</v>
      </c>
      <c r="F2096" s="11" t="s">
        <v>8517</v>
      </c>
      <c r="G2096" s="12">
        <f ca="1">IFERROR(__xludf.DUMMYFUNCTION(" VLOOKUP(A2093, IMPORTRANGE(""https://docs.google.com/spreadsheets/d/1fj_Bhi2XPL3siwIh4sx4VRLAe31yD50oKdj5UlRYW0c/"", ""Сводка!A:AA""), 5, FALSE)"),88)</f>
        <v>88</v>
      </c>
      <c r="H2096" s="12" t="s">
        <v>47</v>
      </c>
      <c r="I2096" s="10">
        <f ca="1">IFERROR(__xludf.DUMMYFUNCTION(" VLOOKUP(A2093, IMPORTRANGE(""https://docs.google.com/spreadsheets/d/1QNLbnkR_AongFt22vMfNzfpjZ0CjpI8QI-w0wBnYA1w/"", ""Инфа!A:AA""), 6, FALSE)"),2024)</f>
        <v>2024</v>
      </c>
      <c r="J2096" s="5">
        <f t="shared" ref="J2096:J2104" ca="1" si="69">ROUND((5000+G2096*30),-2)</f>
        <v>7600</v>
      </c>
      <c r="K2096" s="12" t="s">
        <v>8518</v>
      </c>
      <c r="L2096" s="15" t="s">
        <v>8519</v>
      </c>
    </row>
    <row r="2097" spans="1:12" ht="191.25">
      <c r="A2097" s="8" t="s">
        <v>8520</v>
      </c>
      <c r="B2097" s="9" t="s">
        <v>12</v>
      </c>
      <c r="C2097" s="10" t="s">
        <v>443</v>
      </c>
      <c r="D2097" s="10" t="str">
        <f ca="1">IFERROR(__xludf.DUMMYFUNCTION(" VLOOKUP(A2094, IMPORTRANGE(""https://docs.google.com/spreadsheets/d/1fj_Bhi2XPL3siwIh4sx4VRLAe31yD50oKdj5UlRYW0c/"", ""Сводка!A:AA""), 11, FALSE)"),"ІSВN 978-601-327-110-1")</f>
        <v>ІSВN 978-601-327-110-1</v>
      </c>
      <c r="E2097" s="11" t="s">
        <v>8521</v>
      </c>
      <c r="F2097" s="11" t="s">
        <v>8522</v>
      </c>
      <c r="G2097" s="12">
        <f ca="1">IFERROR(__xludf.DUMMYFUNCTION(" VLOOKUP(A2094, IMPORTRANGE(""https://docs.google.com/spreadsheets/d/1fj_Bhi2XPL3siwIh4sx4VRLAe31yD50oKdj5UlRYW0c/"", ""Сводка!A:AA""), 5, FALSE)"),108)</f>
        <v>108</v>
      </c>
      <c r="H2097" s="12" t="s">
        <v>538</v>
      </c>
      <c r="I2097" s="10">
        <f ca="1">IFERROR(__xludf.DUMMYFUNCTION(" VLOOKUP(A2094, IMPORTRANGE(""https://docs.google.com/spreadsheets/d/1QNLbnkR_AongFt22vMfNzfpjZ0CjpI8QI-w0wBnYA1w/"", ""Инфа!A:AA""), 6, FALSE)"),2024)</f>
        <v>2024</v>
      </c>
      <c r="J2097" s="5">
        <f t="shared" ca="1" si="69"/>
        <v>8200</v>
      </c>
      <c r="K2097" s="12" t="s">
        <v>171</v>
      </c>
      <c r="L2097" s="15" t="s">
        <v>8523</v>
      </c>
    </row>
    <row r="2098" spans="1:12" ht="38.25">
      <c r="A2098" s="8" t="s">
        <v>8524</v>
      </c>
      <c r="B2098" s="9" t="s">
        <v>12</v>
      </c>
      <c r="C2098" s="10" t="s">
        <v>443</v>
      </c>
      <c r="D2098" s="10" t="str">
        <f ca="1">IFERROR(__xludf.DUMMYFUNCTION(" VLOOKUP(A2095, IMPORTRANGE(""https://docs.google.com/spreadsheets/d/1fj_Bhi2XPL3siwIh4sx4VRLAe31yD50oKdj5UlRYW0c/"", ""Сводка!A:AA""), 11, FALSE)"),"ISBN 978-601-240-015-4")</f>
        <v>ISBN 978-601-240-015-4</v>
      </c>
      <c r="E2098" s="11" t="s">
        <v>8525</v>
      </c>
      <c r="F2098" s="11" t="s">
        <v>8526</v>
      </c>
      <c r="G2098" s="12">
        <f ca="1">IFERROR(__xludf.DUMMYFUNCTION(" VLOOKUP(A2095, IMPORTRANGE(""https://docs.google.com/spreadsheets/d/1fj_Bhi2XPL3siwIh4sx4VRLAe31yD50oKdj5UlRYW0c/"", ""Сводка!A:AA""), 5, FALSE)"),140)</f>
        <v>140</v>
      </c>
      <c r="H2098" s="12" t="s">
        <v>538</v>
      </c>
      <c r="I2098" s="10">
        <f ca="1">IFERROR(__xludf.DUMMYFUNCTION(" VLOOKUP(A2095, IMPORTRANGE(""https://docs.google.com/spreadsheets/d/1QNLbnkR_AongFt22vMfNzfpjZ0CjpI8QI-w0wBnYA1w/"", ""Инфа!A:AA""), 6, FALSE)"),2024)</f>
        <v>2024</v>
      </c>
      <c r="J2098" s="5">
        <f t="shared" ca="1" si="69"/>
        <v>9200</v>
      </c>
      <c r="K2098" s="9" t="s">
        <v>616</v>
      </c>
      <c r="L2098" s="15"/>
    </row>
    <row r="2099" spans="1:12" ht="180">
      <c r="A2099" s="8" t="s">
        <v>8527</v>
      </c>
      <c r="B2099" s="9" t="s">
        <v>12</v>
      </c>
      <c r="C2099" s="13" t="s">
        <v>13</v>
      </c>
      <c r="D2099" s="10" t="str">
        <f ca="1">IFERROR(__xludf.DUMMYFUNCTION(" VLOOKUP(A2096, IMPORTRANGE(""https://docs.google.com/spreadsheets/d/1fj_Bhi2XPL3siwIh4sx4VRLAe31yD50oKdj5UlRYW0c/"", ""Сводка!A:AA""), 11, FALSE)"),"978-601-240-391-6")</f>
        <v>978-601-240-391-6</v>
      </c>
      <c r="E2099" s="19" t="s">
        <v>8528</v>
      </c>
      <c r="F2099" s="19" t="s">
        <v>8529</v>
      </c>
      <c r="G2099" s="12">
        <f ca="1">IFERROR(__xludf.DUMMYFUNCTION(" VLOOKUP(A2096, IMPORTRANGE(""https://docs.google.com/spreadsheets/d/1fj_Bhi2XPL3siwIh4sx4VRLAe31yD50oKdj5UlRYW0c/"", ""Сводка!A:AA""), 5, FALSE)"),124)</f>
        <v>124</v>
      </c>
      <c r="H2099" s="9" t="s">
        <v>282</v>
      </c>
      <c r="I2099" s="10">
        <f ca="1">IFERROR(__xludf.DUMMYFUNCTION(" VLOOKUP(A2096, IMPORTRANGE(""https://docs.google.com/spreadsheets/d/1QNLbnkR_AongFt22vMfNzfpjZ0CjpI8QI-w0wBnYA1w/"", ""Инфа!A:AA""), 6, FALSE)"),2024)</f>
        <v>2024</v>
      </c>
      <c r="J2099" s="5">
        <f t="shared" ca="1" si="69"/>
        <v>8700</v>
      </c>
      <c r="K2099" s="9" t="s">
        <v>758</v>
      </c>
      <c r="L2099" s="21" t="s">
        <v>8530</v>
      </c>
    </row>
    <row r="2100" spans="1:12" ht="168.75">
      <c r="A2100" s="8" t="s">
        <v>8531</v>
      </c>
      <c r="B2100" s="9" t="s">
        <v>12</v>
      </c>
      <c r="C2100" s="13" t="s">
        <v>151</v>
      </c>
      <c r="D2100" s="10" t="str">
        <f ca="1">IFERROR(__xludf.DUMMYFUNCTION(" VLOOKUP(A2097, IMPORTRANGE(""https://docs.google.com/spreadsheets/d/1fj_Bhi2XPL3siwIh4sx4VRLAe31yD50oKdj5UlRYW0c/"", ""Сводка!A:AA""), 11, FALSE)"),"978-601-240-392-3")</f>
        <v>978-601-240-392-3</v>
      </c>
      <c r="E2100" s="19" t="s">
        <v>8532</v>
      </c>
      <c r="F2100" s="19" t="s">
        <v>8533</v>
      </c>
      <c r="G2100" s="12">
        <f ca="1">IFERROR(__xludf.DUMMYFUNCTION(" VLOOKUP(A2097, IMPORTRANGE(""https://docs.google.com/spreadsheets/d/1fj_Bhi2XPL3siwIh4sx4VRLAe31yD50oKdj5UlRYW0c/"", ""Сводка!A:AA""), 5, FALSE)"),280)</f>
        <v>280</v>
      </c>
      <c r="H2100" s="9" t="s">
        <v>24</v>
      </c>
      <c r="I2100" s="10">
        <f ca="1">IFERROR(__xludf.DUMMYFUNCTION(" VLOOKUP(A2097, IMPORTRANGE(""https://docs.google.com/spreadsheets/d/1QNLbnkR_AongFt22vMfNzfpjZ0CjpI8QI-w0wBnYA1w/"", ""Инфа!A:AA""), 6, FALSE)"),2024)</f>
        <v>2024</v>
      </c>
      <c r="J2100" s="5">
        <f t="shared" ca="1" si="69"/>
        <v>13400</v>
      </c>
      <c r="K2100" s="9" t="s">
        <v>8534</v>
      </c>
      <c r="L2100" s="21" t="s">
        <v>8535</v>
      </c>
    </row>
    <row r="2101" spans="1:12" ht="38.25">
      <c r="A2101" s="8" t="s">
        <v>8536</v>
      </c>
      <c r="B2101" s="9" t="s">
        <v>12</v>
      </c>
      <c r="C2101" s="10" t="s">
        <v>443</v>
      </c>
      <c r="D2101" s="10" t="str">
        <f ca="1">IFERROR(__xludf.DUMMYFUNCTION(" VLOOKUP(A2098, IMPORTRANGE(""https://docs.google.com/spreadsheets/d/1fj_Bhi2XPL3siwIh4sx4VRLAe31yD50oKdj5UlRYW0c/"", ""Сводка!A:AA""), 11, FALSE)"),"978-601-240-165-3")</f>
        <v>978-601-240-165-3</v>
      </c>
      <c r="E2101" s="11" t="s">
        <v>8537</v>
      </c>
      <c r="F2101" s="11" t="s">
        <v>8538</v>
      </c>
      <c r="G2101" s="12">
        <f ca="1">IFERROR(__xludf.DUMMYFUNCTION(" VLOOKUP(A2098, IMPORTRANGE(""https://docs.google.com/spreadsheets/d/1fj_Bhi2XPL3siwIh4sx4VRLAe31yD50oKdj5UlRYW0c/"", ""Сводка!A:AA""), 5, FALSE)"),92)</f>
        <v>92</v>
      </c>
      <c r="H2101" s="12" t="s">
        <v>538</v>
      </c>
      <c r="I2101" s="10">
        <f ca="1">IFERROR(__xludf.DUMMYFUNCTION(" VLOOKUP(A2098, IMPORTRANGE(""https://docs.google.com/spreadsheets/d/1QNLbnkR_AongFt22vMfNzfpjZ0CjpI8QI-w0wBnYA1w/"", ""Инфа!A:AA""), 6, FALSE)"),2024)</f>
        <v>2024</v>
      </c>
      <c r="J2101" s="5">
        <f t="shared" ca="1" si="69"/>
        <v>7800</v>
      </c>
      <c r="K2101" s="12" t="s">
        <v>308</v>
      </c>
      <c r="L2101" s="15"/>
    </row>
    <row r="2102" spans="1:12" ht="270">
      <c r="A2102" s="8" t="s">
        <v>8539</v>
      </c>
      <c r="B2102" s="9" t="s">
        <v>12</v>
      </c>
      <c r="C2102" s="10" t="s">
        <v>443</v>
      </c>
      <c r="D2102" s="10" t="str">
        <f ca="1">IFERROR(__xludf.DUMMYFUNCTION(" VLOOKUP(A2099, IMPORTRANGE(""https://docs.google.com/spreadsheets/d/1fj_Bhi2XPL3siwIh4sx4VRLAe31yD50oKdj5UlRYW0c/"", ""Сводка!A:AA""), 11, FALSE)"),"9965-37-005-2")</f>
        <v>9965-37-005-2</v>
      </c>
      <c r="E2102" s="11" t="s">
        <v>8537</v>
      </c>
      <c r="F2102" s="11" t="s">
        <v>8540</v>
      </c>
      <c r="G2102" s="12">
        <f ca="1">IFERROR(__xludf.DUMMYFUNCTION(" VLOOKUP(A2099, IMPORTRANGE(""https://docs.google.com/spreadsheets/d/1fj_Bhi2XPL3siwIh4sx4VRLAe31yD50oKdj5UlRYW0c/"", ""Сводка!A:AA""), 5, FALSE)"),184)</f>
        <v>184</v>
      </c>
      <c r="H2102" s="12" t="s">
        <v>538</v>
      </c>
      <c r="I2102" s="10">
        <f ca="1">IFERROR(__xludf.DUMMYFUNCTION(" VLOOKUP(A2099, IMPORTRANGE(""https://docs.google.com/spreadsheets/d/1QNLbnkR_AongFt22vMfNzfpjZ0CjpI8QI-w0wBnYA1w/"", ""Инфа!A:AA""), 6, FALSE)"),2024)</f>
        <v>2024</v>
      </c>
      <c r="J2102" s="5">
        <f t="shared" ca="1" si="69"/>
        <v>10500</v>
      </c>
      <c r="K2102" s="12" t="s">
        <v>308</v>
      </c>
      <c r="L2102" s="15" t="s">
        <v>8541</v>
      </c>
    </row>
    <row r="2103" spans="1:12" ht="38.25">
      <c r="A2103" s="8" t="s">
        <v>8542</v>
      </c>
      <c r="B2103" s="9" t="s">
        <v>12</v>
      </c>
      <c r="C2103" s="10" t="s">
        <v>443</v>
      </c>
      <c r="D2103" s="10" t="str">
        <f ca="1">IFERROR(__xludf.DUMMYFUNCTION(" VLOOKUP(A2100, IMPORTRANGE(""https://docs.google.com/spreadsheets/d/1fj_Bhi2XPL3siwIh4sx4VRLAe31yD50oKdj5UlRYW0c/"", ""Сводка!A:AA""), 11, FALSE)"),"978-601-240-272-8")</f>
        <v>978-601-240-272-8</v>
      </c>
      <c r="E2103" s="11" t="s">
        <v>8537</v>
      </c>
      <c r="F2103" s="11" t="s">
        <v>8543</v>
      </c>
      <c r="G2103" s="12">
        <f ca="1">IFERROR(__xludf.DUMMYFUNCTION(" VLOOKUP(A2100, IMPORTRANGE(""https://docs.google.com/spreadsheets/d/1fj_Bhi2XPL3siwIh4sx4VRLAe31yD50oKdj5UlRYW0c/"", ""Сводка!A:AA""), 5, FALSE)"),104)</f>
        <v>104</v>
      </c>
      <c r="H2103" s="12" t="s">
        <v>538</v>
      </c>
      <c r="I2103" s="10">
        <f ca="1">IFERROR(__xludf.DUMMYFUNCTION(" VLOOKUP(A2100, IMPORTRANGE(""https://docs.google.com/spreadsheets/d/1QNLbnkR_AongFt22vMfNzfpjZ0CjpI8QI-w0wBnYA1w/"", ""Инфа!A:AA""), 6, FALSE)"),2024)</f>
        <v>2024</v>
      </c>
      <c r="J2103" s="5">
        <f t="shared" ca="1" si="69"/>
        <v>8100</v>
      </c>
      <c r="K2103" s="12" t="s">
        <v>308</v>
      </c>
      <c r="L2103" s="15"/>
    </row>
    <row r="2104" spans="1:12" ht="247.5">
      <c r="A2104" s="8" t="s">
        <v>8544</v>
      </c>
      <c r="B2104" s="9" t="s">
        <v>12</v>
      </c>
      <c r="C2104" s="10" t="s">
        <v>443</v>
      </c>
      <c r="D2104" s="10" t="str">
        <f ca="1">IFERROR(__xludf.DUMMYFUNCTION(" VLOOKUP(A2101, IMPORTRANGE(""https://docs.google.com/spreadsheets/d/1fj_Bhi2XPL3siwIh4sx4VRLAe31yD50oKdj5UlRYW0c/"", ""Сводка!A:AA""), 11, FALSE)"),"978-601-342-229-9")</f>
        <v>978-601-342-229-9</v>
      </c>
      <c r="E2104" s="11" t="s">
        <v>8545</v>
      </c>
      <c r="F2104" s="11" t="s">
        <v>8546</v>
      </c>
      <c r="G2104" s="12">
        <f ca="1">IFERROR(__xludf.DUMMYFUNCTION(" VLOOKUP(A2101, IMPORTRANGE(""https://docs.google.com/spreadsheets/d/1fj_Bhi2XPL3siwIh4sx4VRLAe31yD50oKdj5UlRYW0c/"", ""Сводка!A:AA""), 5, FALSE)"),216)</f>
        <v>216</v>
      </c>
      <c r="H2104" s="12" t="s">
        <v>511</v>
      </c>
      <c r="I2104" s="10">
        <f ca="1">IFERROR(__xludf.DUMMYFUNCTION(" VLOOKUP(A2101, IMPORTRANGE(""https://docs.google.com/spreadsheets/d/1QNLbnkR_AongFt22vMfNzfpjZ0CjpI8QI-w0wBnYA1w/"", ""Инфа!A:AA""), 6, FALSE)"),2024)</f>
        <v>2024</v>
      </c>
      <c r="J2104" s="5">
        <f t="shared" ca="1" si="69"/>
        <v>11500</v>
      </c>
      <c r="K2104" s="12" t="s">
        <v>8547</v>
      </c>
      <c r="L2104" s="15" t="s">
        <v>8548</v>
      </c>
    </row>
    <row r="2105" spans="1:12" ht="63.75">
      <c r="A2105" s="8" t="s">
        <v>8549</v>
      </c>
      <c r="B2105" s="9" t="s">
        <v>12</v>
      </c>
      <c r="C2105" s="10" t="s">
        <v>443</v>
      </c>
      <c r="D2105" s="10" t="str">
        <f ca="1">IFERROR(__xludf.DUMMYFUNCTION(" VLOOKUP(A2102, IMPORTRANGE(""https://docs.google.com/spreadsheets/d/1fj_Bhi2XPL3siwIh4sx4VRLAe31yD50oKdj5UlRYW0c/"", ""Сводка!A:AA""), 11, FALSE)"),"978-601-310-783-7")</f>
        <v>978-601-310-783-7</v>
      </c>
      <c r="E2105" s="11" t="s">
        <v>8550</v>
      </c>
      <c r="F2105" s="11" t="s">
        <v>8551</v>
      </c>
      <c r="G2105" s="12">
        <f ca="1">IFERROR(__xludf.DUMMYFUNCTION(" VLOOKUP(A2102, IMPORTRANGE(""https://docs.google.com/spreadsheets/d/1fj_Bhi2XPL3siwIh4sx4VRLAe31yD50oKdj5UlRYW0c/"", ""Сводка!A:AA""), 5, FALSE)"),212)</f>
        <v>212</v>
      </c>
      <c r="H2105" s="12" t="s">
        <v>106</v>
      </c>
      <c r="I2105" s="10">
        <f ca="1">IFERROR(__xludf.DUMMYFUNCTION(" VLOOKUP(A2102, IMPORTRANGE(""https://docs.google.com/spreadsheets/d/1QNLbnkR_AongFt22vMfNzfpjZ0CjpI8QI-w0wBnYA1w/"", ""Инфа!A:AA""), 6, FALSE)"),2024)</f>
        <v>2024</v>
      </c>
      <c r="J2105" s="5">
        <f ca="1">ROUND((5000+G2105*60),-2)</f>
        <v>17700</v>
      </c>
      <c r="K2105" s="9" t="s">
        <v>26</v>
      </c>
      <c r="L2105" s="15" t="s">
        <v>8552</v>
      </c>
    </row>
    <row r="2106" spans="1:12" ht="112.5">
      <c r="A2106" s="8" t="s">
        <v>8553</v>
      </c>
      <c r="B2106" s="9" t="s">
        <v>12</v>
      </c>
      <c r="C2106" s="10" t="s">
        <v>443</v>
      </c>
      <c r="D2106" s="10" t="str">
        <f ca="1">IFERROR(__xludf.DUMMYFUNCTION(" VLOOKUP(A2103, IMPORTRANGE(""https://docs.google.com/spreadsheets/d/1fj_Bhi2XPL3siwIh4sx4VRLAe31yD50oKdj5UlRYW0c/"", ""Сводка!A:AA""), 11, FALSE)"),"978-601-240-736-5")</f>
        <v>978-601-240-736-5</v>
      </c>
      <c r="E2106" s="11" t="s">
        <v>8550</v>
      </c>
      <c r="F2106" s="11" t="s">
        <v>8554</v>
      </c>
      <c r="G2106" s="12">
        <f ca="1">IFERROR(__xludf.DUMMYFUNCTION(" VLOOKUP(A2103, IMPORTRANGE(""https://docs.google.com/spreadsheets/d/1fj_Bhi2XPL3siwIh4sx4VRLAe31yD50oKdj5UlRYW0c/"", ""Сводка!A:AA""), 5, FALSE)"),176)</f>
        <v>176</v>
      </c>
      <c r="H2106" s="12" t="s">
        <v>47</v>
      </c>
      <c r="I2106" s="10">
        <f ca="1">IFERROR(__xludf.DUMMYFUNCTION(" VLOOKUP(A2103, IMPORTRANGE(""https://docs.google.com/spreadsheets/d/1QNLbnkR_AongFt22vMfNzfpjZ0CjpI8QI-w0wBnYA1w/"", ""Инфа!A:AA""), 6, FALSE)"),2024)</f>
        <v>2024</v>
      </c>
      <c r="J2106" s="5">
        <f ca="1">ROUND((5000+G2106*60),-2)</f>
        <v>15600</v>
      </c>
      <c r="K2106" s="12" t="s">
        <v>368</v>
      </c>
      <c r="L2106" s="15" t="s">
        <v>8555</v>
      </c>
    </row>
    <row r="2107" spans="1:12" ht="191.25">
      <c r="A2107" s="8" t="s">
        <v>8556</v>
      </c>
      <c r="B2107" s="9" t="s">
        <v>12</v>
      </c>
      <c r="C2107" s="10" t="s">
        <v>443</v>
      </c>
      <c r="D2107" s="10" t="str">
        <f ca="1">IFERROR(__xludf.DUMMYFUNCTION(" VLOOKUP(A2104, IMPORTRANGE(""https://docs.google.com/spreadsheets/d/1fj_Bhi2XPL3siwIh4sx4VRLAe31yD50oKdj5UlRYW0c/"", ""Сводка!A:AA""), 11, FALSE)"),"978-601-310-787-5")</f>
        <v>978-601-310-787-5</v>
      </c>
      <c r="E2107" s="11" t="s">
        <v>8557</v>
      </c>
      <c r="F2107" s="11" t="s">
        <v>8558</v>
      </c>
      <c r="G2107" s="12">
        <f ca="1">IFERROR(__xludf.DUMMYFUNCTION(" VLOOKUP(A2104, IMPORTRANGE(""https://docs.google.com/spreadsheets/d/1fj_Bhi2XPL3siwIh4sx4VRLAe31yD50oKdj5UlRYW0c/"", ""Сводка!A:AA""), 5, FALSE)"),140)</f>
        <v>140</v>
      </c>
      <c r="H2107" s="12" t="s">
        <v>538</v>
      </c>
      <c r="I2107" s="10">
        <f ca="1">IFERROR(__xludf.DUMMYFUNCTION(" VLOOKUP(A2104, IMPORTRANGE(""https://docs.google.com/spreadsheets/d/1QNLbnkR_AongFt22vMfNzfpjZ0CjpI8QI-w0wBnYA1w/"", ""Инфа!A:AA""), 6, FALSE)"),2024)</f>
        <v>2024</v>
      </c>
      <c r="J2107" s="5">
        <f ca="1">ROUND((5000+G2107*60),-2)</f>
        <v>13400</v>
      </c>
      <c r="K2107" s="12" t="s">
        <v>368</v>
      </c>
      <c r="L2107" s="15" t="s">
        <v>8559</v>
      </c>
    </row>
    <row r="2108" spans="1:12" ht="112.5">
      <c r="A2108" s="8" t="s">
        <v>8560</v>
      </c>
      <c r="B2108" s="9" t="s">
        <v>12</v>
      </c>
      <c r="C2108" s="10" t="s">
        <v>151</v>
      </c>
      <c r="D2108" s="10" t="str">
        <f ca="1">IFERROR(__xludf.DUMMYFUNCTION(" VLOOKUP(A2105, IMPORTRANGE(""https://docs.google.com/spreadsheets/d/1fj_Bhi2XPL3siwIh4sx4VRLAe31yD50oKdj5UlRYW0c/"", ""Сводка!A:AA""), 11, FALSE)"),"978-601-327-225-2")</f>
        <v>978-601-327-225-2</v>
      </c>
      <c r="E2108" s="11" t="s">
        <v>8561</v>
      </c>
      <c r="F2108" s="11" t="s">
        <v>8562</v>
      </c>
      <c r="G2108" s="12">
        <f ca="1">IFERROR(__xludf.DUMMYFUNCTION(" VLOOKUP(A2105, IMPORTRANGE(""https://docs.google.com/spreadsheets/d/1fj_Bhi2XPL3siwIh4sx4VRLAe31yD50oKdj5UlRYW0c/"", ""Сводка!A:AA""), 5, FALSE)"),120)</f>
        <v>120</v>
      </c>
      <c r="H2108" s="12" t="s">
        <v>165</v>
      </c>
      <c r="I2108" s="10">
        <f ca="1">IFERROR(__xludf.DUMMYFUNCTION(" VLOOKUP(A2105, IMPORTRANGE(""https://docs.google.com/spreadsheets/d/1QNLbnkR_AongFt22vMfNzfpjZ0CjpI8QI-w0wBnYA1w/"", ""Инфа!A:AA""), 6, FALSE)"),2024)</f>
        <v>2024</v>
      </c>
      <c r="J2108" s="5">
        <f ca="1">ROUND((5000+G2108*30),-2)</f>
        <v>8600</v>
      </c>
      <c r="K2108" s="12" t="s">
        <v>101</v>
      </c>
      <c r="L2108" s="15" t="s">
        <v>8563</v>
      </c>
    </row>
    <row r="2109" spans="1:12" ht="315">
      <c r="A2109" s="8" t="s">
        <v>8564</v>
      </c>
      <c r="B2109" s="9" t="s">
        <v>12</v>
      </c>
      <c r="C2109" s="10" t="s">
        <v>443</v>
      </c>
      <c r="D2109" s="10" t="str">
        <f ca="1">IFERROR(__xludf.DUMMYFUNCTION(" VLOOKUP(A2106, IMPORTRANGE(""https://docs.google.com/spreadsheets/d/1fj_Bhi2XPL3siwIh4sx4VRLAe31yD50oKdj5UlRYW0c/"", ""Сводка!A:AA""), 11, FALSE)"),"978-601-310-474-4")</f>
        <v>978-601-310-474-4</v>
      </c>
      <c r="E2109" s="11" t="s">
        <v>3387</v>
      </c>
      <c r="F2109" s="11" t="s">
        <v>8565</v>
      </c>
      <c r="G2109" s="12">
        <f ca="1">IFERROR(__xludf.DUMMYFUNCTION(" VLOOKUP(A2106, IMPORTRANGE(""https://docs.google.com/spreadsheets/d/1fj_Bhi2XPL3siwIh4sx4VRLAe31yD50oKdj5UlRYW0c/"", ""Сводка!A:AA""), 5, FALSE)"),112)</f>
        <v>112</v>
      </c>
      <c r="H2109" s="12" t="s">
        <v>538</v>
      </c>
      <c r="I2109" s="10">
        <f ca="1">IFERROR(__xludf.DUMMYFUNCTION(" VLOOKUP(A2106, IMPORTRANGE(""https://docs.google.com/spreadsheets/d/1QNLbnkR_AongFt22vMfNzfpjZ0CjpI8QI-w0wBnYA1w/"", ""Инфа!A:AA""), 6, FALSE)"),2024)</f>
        <v>2024</v>
      </c>
      <c r="J2109" s="5">
        <f ca="1">ROUND((5000+G2109*60),-2)</f>
        <v>11700</v>
      </c>
      <c r="K2109" s="12" t="s">
        <v>1147</v>
      </c>
      <c r="L2109" s="15" t="s">
        <v>8566</v>
      </c>
    </row>
    <row r="2110" spans="1:12" ht="146.25">
      <c r="A2110" s="8" t="s">
        <v>8567</v>
      </c>
      <c r="B2110" s="9" t="s">
        <v>12</v>
      </c>
      <c r="C2110" s="10" t="s">
        <v>443</v>
      </c>
      <c r="D2110" s="10" t="str">
        <f ca="1">IFERROR(__xludf.DUMMYFUNCTION(" VLOOKUP(A2107, IMPORTRANGE(""https://docs.google.com/spreadsheets/d/1fj_Bhi2XPL3siwIh4sx4VRLAe31yD50oKdj5UlRYW0c/"", ""Сводка!A:AA""), 11, FALSE)"),"978-601-342-192-6")</f>
        <v>978-601-342-192-6</v>
      </c>
      <c r="E2110" s="11" t="s">
        <v>8568</v>
      </c>
      <c r="F2110" s="11" t="s">
        <v>8569</v>
      </c>
      <c r="G2110" s="12">
        <f ca="1">IFERROR(__xludf.DUMMYFUNCTION(" VLOOKUP(A2107, IMPORTRANGE(""https://docs.google.com/spreadsheets/d/1fj_Bhi2XPL3siwIh4sx4VRLAe31yD50oKdj5UlRYW0c/"", ""Сводка!A:AA""), 5, FALSE)"),164)</f>
        <v>164</v>
      </c>
      <c r="H2110" s="12" t="s">
        <v>511</v>
      </c>
      <c r="I2110" s="10">
        <f ca="1">IFERROR(__xludf.DUMMYFUNCTION(" VLOOKUP(A2107, IMPORTRANGE(""https://docs.google.com/spreadsheets/d/1QNLbnkR_AongFt22vMfNzfpjZ0CjpI8QI-w0wBnYA1w/"", ""Инфа!A:AA""), 6, FALSE)"),2024)</f>
        <v>2024</v>
      </c>
      <c r="J2110" s="5">
        <f ca="1">ROUND((5000+G2110*60),-2)</f>
        <v>14800</v>
      </c>
      <c r="K2110" s="12" t="s">
        <v>213</v>
      </c>
      <c r="L2110" s="15" t="s">
        <v>8570</v>
      </c>
    </row>
    <row r="2111" spans="1:12" ht="135">
      <c r="A2111" s="8" t="s">
        <v>8571</v>
      </c>
      <c r="B2111" s="9" t="s">
        <v>12</v>
      </c>
      <c r="C2111" s="10" t="s">
        <v>443</v>
      </c>
      <c r="D2111" s="10" t="str">
        <f ca="1">IFERROR(__xludf.DUMMYFUNCTION(" VLOOKUP(A2108, IMPORTRANGE(""https://docs.google.com/spreadsheets/d/1fj_Bhi2XPL3siwIh4sx4VRLAe31yD50oKdj5UlRYW0c/"", ""Сводка!A:AA""), 11, FALSE)"),"978-601-342-191-9")</f>
        <v>978-601-342-191-9</v>
      </c>
      <c r="E2111" s="11" t="s">
        <v>8572</v>
      </c>
      <c r="F2111" s="11" t="s">
        <v>8573</v>
      </c>
      <c r="G2111" s="12">
        <f ca="1">IFERROR(__xludf.DUMMYFUNCTION(" VLOOKUP(A2108, IMPORTRANGE(""https://docs.google.com/spreadsheets/d/1fj_Bhi2XPL3siwIh4sx4VRLAe31yD50oKdj5UlRYW0c/"", ""Сводка!A:AA""), 5, FALSE)"),224)</f>
        <v>224</v>
      </c>
      <c r="H2111" s="12" t="s">
        <v>511</v>
      </c>
      <c r="I2111" s="10">
        <f ca="1">IFERROR(__xludf.DUMMYFUNCTION(" VLOOKUP(A2108, IMPORTRANGE(""https://docs.google.com/spreadsheets/d/1QNLbnkR_AongFt22vMfNzfpjZ0CjpI8QI-w0wBnYA1w/"", ""Инфа!A:AA""), 6, FALSE)"),2024)</f>
        <v>2024</v>
      </c>
      <c r="J2111" s="5">
        <f ca="1">ROUND((5000+G2111*60),-2)</f>
        <v>18400</v>
      </c>
      <c r="K2111" s="12" t="s">
        <v>213</v>
      </c>
      <c r="L2111" s="15" t="s">
        <v>8574</v>
      </c>
    </row>
    <row r="2112" spans="1:12" ht="112.5">
      <c r="A2112" s="8" t="s">
        <v>8575</v>
      </c>
      <c r="B2112" s="9" t="s">
        <v>12</v>
      </c>
      <c r="C2112" s="65" t="s">
        <v>151</v>
      </c>
      <c r="D2112" s="10" t="str">
        <f ca="1">IFERROR(__xludf.DUMMYFUNCTION(" VLOOKUP(A2109, IMPORTRANGE(""https://docs.google.com/spreadsheets/d/1fj_Bhi2XPL3siwIh4sx4VRLAe31yD50oKdj5UlRYW0c/"", ""Сводка!A:AA""), 11, FALSE)"),"978-601-232-285-9")</f>
        <v>978-601-232-285-9</v>
      </c>
      <c r="E2112" s="34" t="s">
        <v>8576</v>
      </c>
      <c r="F2112" s="34" t="s">
        <v>8577</v>
      </c>
      <c r="G2112" s="12">
        <f ca="1">IFERROR(__xludf.DUMMYFUNCTION(" VLOOKUP(A2109, IMPORTRANGE(""https://docs.google.com/spreadsheets/d/1fj_Bhi2XPL3siwIh4sx4VRLAe31yD50oKdj5UlRYW0c/"", ""Сводка!A:AA""), 5, FALSE)"),180)</f>
        <v>180</v>
      </c>
      <c r="H2112" s="35" t="s">
        <v>106</v>
      </c>
      <c r="I2112" s="10">
        <f ca="1">IFERROR(__xludf.DUMMYFUNCTION(" VLOOKUP(A2109, IMPORTRANGE(""https://docs.google.com/spreadsheets/d/1QNLbnkR_AongFt22vMfNzfpjZ0CjpI8QI-w0wBnYA1w/"", ""Инфа!A:AA""), 6, FALSE)"),2024)</f>
        <v>2024</v>
      </c>
      <c r="J2112" s="5">
        <f ca="1">ROUND((5000+G2112*30),-2)</f>
        <v>10400</v>
      </c>
      <c r="K2112" s="35" t="s">
        <v>539</v>
      </c>
      <c r="L2112" s="66" t="s">
        <v>8578</v>
      </c>
    </row>
    <row r="2113" spans="1:12" ht="168.75">
      <c r="A2113" s="8" t="s">
        <v>8579</v>
      </c>
      <c r="B2113" s="9" t="s">
        <v>12</v>
      </c>
      <c r="C2113" s="10" t="s">
        <v>443</v>
      </c>
      <c r="D2113" s="10" t="str">
        <f ca="1">IFERROR(__xludf.DUMMYFUNCTION(" VLOOKUP(A2110, IMPORTRANGE(""https://docs.google.com/spreadsheets/d/1fj_Bhi2XPL3siwIh4sx4VRLAe31yD50oKdj5UlRYW0c/"", ""Сводка!A:AA""), 11, FALSE)"),"978-601-310-608-3")</f>
        <v>978-601-310-608-3</v>
      </c>
      <c r="E2113" s="25" t="s">
        <v>8580</v>
      </c>
      <c r="F2113" s="25" t="s">
        <v>8581</v>
      </c>
      <c r="G2113" s="12">
        <f ca="1">IFERROR(__xludf.DUMMYFUNCTION(" VLOOKUP(A2110, IMPORTRANGE(""https://docs.google.com/spreadsheets/d/1fj_Bhi2XPL3siwIh4sx4VRLAe31yD50oKdj5UlRYW0c/"", ""Сводка!A:AA""), 5, FALSE)"),68)</f>
        <v>68</v>
      </c>
      <c r="H2113" s="26" t="s">
        <v>538</v>
      </c>
      <c r="I2113" s="10">
        <f ca="1">IFERROR(__xludf.DUMMYFUNCTION(" VLOOKUP(A2110, IMPORTRANGE(""https://docs.google.com/spreadsheets/d/1QNLbnkR_AongFt22vMfNzfpjZ0CjpI8QI-w0wBnYA1w/"", ""Инфа!A:AA""), 6, FALSE)"),2024)</f>
        <v>2024</v>
      </c>
      <c r="J2113" s="5">
        <f ca="1">ROUND((5000+G2113*30),-2)</f>
        <v>7000</v>
      </c>
      <c r="K2113" s="9" t="s">
        <v>171</v>
      </c>
      <c r="L2113" s="15" t="s">
        <v>8582</v>
      </c>
    </row>
    <row r="2114" spans="1:12" ht="315">
      <c r="A2114" s="8" t="s">
        <v>8583</v>
      </c>
      <c r="B2114" s="9" t="s">
        <v>12</v>
      </c>
      <c r="C2114" s="10" t="s">
        <v>151</v>
      </c>
      <c r="D2114" s="10" t="str">
        <f ca="1">IFERROR(__xludf.DUMMYFUNCTION(" VLOOKUP(A2111, IMPORTRANGE(""https://docs.google.com/spreadsheets/d/1fj_Bhi2XPL3siwIh4sx4VRLAe31yD50oKdj5UlRYW0c/"", ""Сводка!A:AA""), 11, FALSE)"),"978-601-310-781-3")</f>
        <v>978-601-310-781-3</v>
      </c>
      <c r="E2114" s="11" t="s">
        <v>8584</v>
      </c>
      <c r="F2114" s="11" t="s">
        <v>8585</v>
      </c>
      <c r="G2114" s="12">
        <f ca="1">IFERROR(__xludf.DUMMYFUNCTION(" VLOOKUP(A2111, IMPORTRANGE(""https://docs.google.com/spreadsheets/d/1fj_Bhi2XPL3siwIh4sx4VRLAe31yD50oKdj5UlRYW0c/"", ""Сводка!A:AA""), 5, FALSE)"),280)</f>
        <v>280</v>
      </c>
      <c r="H2114" s="12" t="s">
        <v>498</v>
      </c>
      <c r="I2114" s="10">
        <f ca="1">IFERROR(__xludf.DUMMYFUNCTION(" VLOOKUP(A2111, IMPORTRANGE(""https://docs.google.com/spreadsheets/d/1QNLbnkR_AongFt22vMfNzfpjZ0CjpI8QI-w0wBnYA1w/"", ""Инфа!A:AA""), 6, FALSE)"),2024)</f>
        <v>2024</v>
      </c>
      <c r="J2114" s="5">
        <f ca="1">ROUND((5000+G2114*30),-2)</f>
        <v>13400</v>
      </c>
      <c r="K2114" s="9" t="s">
        <v>1483</v>
      </c>
      <c r="L2114" s="15" t="s">
        <v>8586</v>
      </c>
    </row>
    <row r="2115" spans="1:12" ht="281.25">
      <c r="A2115" s="8" t="s">
        <v>8587</v>
      </c>
      <c r="B2115" s="9" t="s">
        <v>12</v>
      </c>
      <c r="C2115" s="10" t="s">
        <v>151</v>
      </c>
      <c r="D2115" s="10" t="str">
        <f ca="1">IFERROR(__xludf.DUMMYFUNCTION(" VLOOKUP(A2112, IMPORTRANGE(""https://docs.google.com/spreadsheets/d/1fj_Bhi2XPL3siwIh4sx4VRLAe31yD50oKdj5UlRYW0c/"", ""Сводка!A:AA""), 11, FALSE)"),"978-601-310-790-5")</f>
        <v>978-601-310-790-5</v>
      </c>
      <c r="E2115" s="11" t="s">
        <v>8584</v>
      </c>
      <c r="F2115" s="11" t="s">
        <v>8588</v>
      </c>
      <c r="G2115" s="12">
        <f ca="1">IFERROR(__xludf.DUMMYFUNCTION(" VLOOKUP(A2112, IMPORTRANGE(""https://docs.google.com/spreadsheets/d/1fj_Bhi2XPL3siwIh4sx4VRLAe31yD50oKdj5UlRYW0c/"", ""Сводка!A:AA""), 5, FALSE)"),304)</f>
        <v>304</v>
      </c>
      <c r="H2115" s="12" t="s">
        <v>498</v>
      </c>
      <c r="I2115" s="10">
        <f ca="1">IFERROR(__xludf.DUMMYFUNCTION(" VLOOKUP(A2112, IMPORTRANGE(""https://docs.google.com/spreadsheets/d/1QNLbnkR_AongFt22vMfNzfpjZ0CjpI8QI-w0wBnYA1w/"", ""Инфа!A:AA""), 6, FALSE)"),2024)</f>
        <v>2024</v>
      </c>
      <c r="J2115" s="5">
        <f ca="1">ROUND((5000+G2115*30),-2)</f>
        <v>14100</v>
      </c>
      <c r="K2115" s="9" t="s">
        <v>619</v>
      </c>
      <c r="L2115" s="15" t="s">
        <v>8589</v>
      </c>
    </row>
    <row r="2116" spans="1:12" ht="236.25">
      <c r="A2116" s="8" t="s">
        <v>8590</v>
      </c>
      <c r="B2116" s="9" t="s">
        <v>12</v>
      </c>
      <c r="C2116" s="10" t="s">
        <v>443</v>
      </c>
      <c r="D2116" s="10" t="str">
        <f ca="1">IFERROR(__xludf.DUMMYFUNCTION(" VLOOKUP(A2113, IMPORTRANGE(""https://docs.google.com/spreadsheets/d/1fj_Bhi2XPL3siwIh4sx4VRLAe31yD50oKdj5UlRYW0c/"", ""Сводка!A:AA""), 11, FALSE)"),"978-601-342-025-7")</f>
        <v>978-601-342-025-7</v>
      </c>
      <c r="E2116" s="11" t="s">
        <v>8591</v>
      </c>
      <c r="F2116" s="11" t="s">
        <v>8592</v>
      </c>
      <c r="G2116" s="12">
        <f ca="1">IFERROR(__xludf.DUMMYFUNCTION(" VLOOKUP(A2113, IMPORTRANGE(""https://docs.google.com/spreadsheets/d/1fj_Bhi2XPL3siwIh4sx4VRLAe31yD50oKdj5UlRYW0c/"", ""Сводка!A:AA""), 5, FALSE)"),268)</f>
        <v>268</v>
      </c>
      <c r="H2116" s="12" t="s">
        <v>446</v>
      </c>
      <c r="I2116" s="10">
        <f ca="1">IFERROR(__xludf.DUMMYFUNCTION(" VLOOKUP(A2113, IMPORTRANGE(""https://docs.google.com/spreadsheets/d/1QNLbnkR_AongFt22vMfNzfpjZ0CjpI8QI-w0wBnYA1w/"", ""Инфа!A:AA""), 6, FALSE)"),2024)</f>
        <v>2024</v>
      </c>
      <c r="J2116" s="5">
        <f ca="1">ROUND((5000+G2116*60),-2)</f>
        <v>21100</v>
      </c>
      <c r="K2116" s="12" t="s">
        <v>160</v>
      </c>
      <c r="L2116" s="15" t="s">
        <v>8593</v>
      </c>
    </row>
    <row r="2117" spans="1:12" ht="56.25">
      <c r="A2117" s="8" t="s">
        <v>8594</v>
      </c>
      <c r="B2117" s="9" t="s">
        <v>12</v>
      </c>
      <c r="C2117" s="10" t="s">
        <v>443</v>
      </c>
      <c r="D2117" s="10" t="str">
        <f ca="1">IFERROR(__xludf.DUMMYFUNCTION(" VLOOKUP(A2114, IMPORTRANGE(""https://docs.google.com/spreadsheets/d/1fj_Bhi2XPL3siwIh4sx4VRLAe31yD50oKdj5UlRYW0c/"", ""Сводка!A:AA""), 11, FALSE)"),"978-601-310-414-0")</f>
        <v>978-601-310-414-0</v>
      </c>
      <c r="E2117" s="11" t="s">
        <v>8595</v>
      </c>
      <c r="F2117" s="11" t="s">
        <v>8596</v>
      </c>
      <c r="G2117" s="12">
        <f ca="1">IFERROR(__xludf.DUMMYFUNCTION(" VLOOKUP(A2114, IMPORTRANGE(""https://docs.google.com/spreadsheets/d/1fj_Bhi2XPL3siwIh4sx4VRLAe31yD50oKdj5UlRYW0c/"", ""Сводка!A:AA""), 5, FALSE)"),192)</f>
        <v>192</v>
      </c>
      <c r="H2117" s="12" t="s">
        <v>538</v>
      </c>
      <c r="I2117" s="10">
        <f ca="1">IFERROR(__xludf.DUMMYFUNCTION(" VLOOKUP(A2114, IMPORTRANGE(""https://docs.google.com/spreadsheets/d/1QNLbnkR_AongFt22vMfNzfpjZ0CjpI8QI-w0wBnYA1w/"", ""Инфа!A:AA""), 6, FALSE)"),2024)</f>
        <v>2024</v>
      </c>
      <c r="J2117" s="5">
        <f ca="1">ROUND((5000+G2117*60),-2)</f>
        <v>16500</v>
      </c>
      <c r="K2117" s="9" t="s">
        <v>4314</v>
      </c>
      <c r="L2117" s="15" t="s">
        <v>8597</v>
      </c>
    </row>
    <row r="2118" spans="1:12" ht="45">
      <c r="A2118" s="8" t="s">
        <v>8598</v>
      </c>
      <c r="B2118" s="9" t="s">
        <v>12</v>
      </c>
      <c r="C2118" s="10" t="s">
        <v>443</v>
      </c>
      <c r="D2118" s="10" t="str">
        <f ca="1">IFERROR(__xludf.DUMMYFUNCTION(" VLOOKUP(A2115, IMPORTRANGE(""https://docs.google.com/spreadsheets/d/1fj_Bhi2XPL3siwIh4sx4VRLAe31yD50oKdj5UlRYW0c/"", ""Сводка!A:AA""), 11, FALSE)"),"978-601-310-618-2")</f>
        <v>978-601-310-618-2</v>
      </c>
      <c r="E2118" s="11" t="s">
        <v>8595</v>
      </c>
      <c r="F2118" s="11" t="s">
        <v>8599</v>
      </c>
      <c r="G2118" s="12">
        <f ca="1">IFERROR(__xludf.DUMMYFUNCTION(" VLOOKUP(A2115, IMPORTRANGE(""https://docs.google.com/spreadsheets/d/1fj_Bhi2XPL3siwIh4sx4VRLAe31yD50oKdj5UlRYW0c/"", ""Сводка!A:AA""), 5, FALSE)"),80)</f>
        <v>80</v>
      </c>
      <c r="H2118" s="12" t="s">
        <v>538</v>
      </c>
      <c r="I2118" s="10">
        <f ca="1">IFERROR(__xludf.DUMMYFUNCTION(" VLOOKUP(A2115, IMPORTRANGE(""https://docs.google.com/spreadsheets/d/1QNLbnkR_AongFt22vMfNzfpjZ0CjpI8QI-w0wBnYA1w/"", ""Инфа!A:AA""), 6, FALSE)"),2024)</f>
        <v>2024</v>
      </c>
      <c r="J2118" s="5">
        <f ca="1">ROUND((5000+G2118*60),-2)</f>
        <v>9800</v>
      </c>
      <c r="K2118" s="9" t="s">
        <v>4314</v>
      </c>
      <c r="L2118" s="15" t="s">
        <v>8600</v>
      </c>
    </row>
    <row r="2119" spans="1:12" ht="101.25">
      <c r="A2119" s="8" t="s">
        <v>8601</v>
      </c>
      <c r="B2119" s="9" t="s">
        <v>12</v>
      </c>
      <c r="C2119" s="10" t="s">
        <v>443</v>
      </c>
      <c r="D2119" s="10" t="str">
        <f ca="1">IFERROR(__xludf.DUMMYFUNCTION(" VLOOKUP(A2116, IMPORTRANGE(""https://docs.google.com/spreadsheets/d/1fj_Bhi2XPL3siwIh4sx4VRLAe31yD50oKdj5UlRYW0c/"", ""Сводка!A:AA""), 11, FALSE)"),"978-601-310-649-6")</f>
        <v>978-601-310-649-6</v>
      </c>
      <c r="E2119" s="11" t="s">
        <v>8595</v>
      </c>
      <c r="F2119" s="11" t="s">
        <v>8602</v>
      </c>
      <c r="G2119" s="12">
        <f ca="1">IFERROR(__xludf.DUMMYFUNCTION(" VLOOKUP(A2116, IMPORTRANGE(""https://docs.google.com/spreadsheets/d/1fj_Bhi2XPL3siwIh4sx4VRLAe31yD50oKdj5UlRYW0c/"", ""Сводка!A:AA""), 5, FALSE)"),132)</f>
        <v>132</v>
      </c>
      <c r="H2119" s="12" t="s">
        <v>538</v>
      </c>
      <c r="I2119" s="10">
        <f ca="1">IFERROR(__xludf.DUMMYFUNCTION(" VLOOKUP(A2116, IMPORTRANGE(""https://docs.google.com/spreadsheets/d/1QNLbnkR_AongFt22vMfNzfpjZ0CjpI8QI-w0wBnYA1w/"", ""Инфа!A:AA""), 6, FALSE)"),2024)</f>
        <v>2024</v>
      </c>
      <c r="J2119" s="5">
        <f ca="1">ROUND((5000+G2119*30),-2)</f>
        <v>9000</v>
      </c>
      <c r="K2119" s="9" t="s">
        <v>4314</v>
      </c>
      <c r="L2119" s="15" t="s">
        <v>8603</v>
      </c>
    </row>
    <row r="2120" spans="1:12" ht="101.25">
      <c r="A2120" s="8" t="s">
        <v>8604</v>
      </c>
      <c r="B2120" s="9" t="s">
        <v>12</v>
      </c>
      <c r="C2120" s="10" t="s">
        <v>443</v>
      </c>
      <c r="D2120" s="10" t="str">
        <f ca="1">IFERROR(__xludf.DUMMYFUNCTION(" VLOOKUP(A2117, IMPORTRANGE(""https://docs.google.com/spreadsheets/d/1fj_Bhi2XPL3siwIh4sx4VRLAe31yD50oKdj5UlRYW0c/"", ""Сводка!A:AA""), 11, FALSE)"),"978-601-310-416-4")</f>
        <v>978-601-310-416-4</v>
      </c>
      <c r="E2120" s="11" t="s">
        <v>8595</v>
      </c>
      <c r="F2120" s="11" t="s">
        <v>8605</v>
      </c>
      <c r="G2120" s="12">
        <f ca="1">IFERROR(__xludf.DUMMYFUNCTION(" VLOOKUP(A2117, IMPORTRANGE(""https://docs.google.com/spreadsheets/d/1fj_Bhi2XPL3siwIh4sx4VRLAe31yD50oKdj5UlRYW0c/"", ""Сводка!A:AA""), 5, FALSE)"),172)</f>
        <v>172</v>
      </c>
      <c r="H2120" s="12" t="s">
        <v>538</v>
      </c>
      <c r="I2120" s="10">
        <f ca="1">IFERROR(__xludf.DUMMYFUNCTION(" VLOOKUP(A2117, IMPORTRANGE(""https://docs.google.com/spreadsheets/d/1QNLbnkR_AongFt22vMfNzfpjZ0CjpI8QI-w0wBnYA1w/"", ""Инфа!A:AA""), 6, FALSE)"),2024)</f>
        <v>2024</v>
      </c>
      <c r="J2120" s="5">
        <f ca="1">ROUND((5000+G2120*30),-2)</f>
        <v>10200</v>
      </c>
      <c r="K2120" s="9" t="s">
        <v>4314</v>
      </c>
      <c r="L2120" s="15" t="s">
        <v>8606</v>
      </c>
    </row>
    <row r="2121" spans="1:12" ht="56.25">
      <c r="A2121" s="8" t="s">
        <v>8607</v>
      </c>
      <c r="B2121" s="9" t="s">
        <v>12</v>
      </c>
      <c r="C2121" s="10" t="s">
        <v>443</v>
      </c>
      <c r="D2121" s="10" t="str">
        <f ca="1">IFERROR(__xludf.DUMMYFUNCTION(" VLOOKUP(A2118, IMPORTRANGE(""https://docs.google.com/spreadsheets/d/1fj_Bhi2XPL3siwIh4sx4VRLAe31yD50oKdj5UlRYW0c/"", ""Сводка!A:AA""), 11, FALSE)"),"978-601-310-567-3")</f>
        <v>978-601-310-567-3</v>
      </c>
      <c r="E2121" s="11" t="s">
        <v>8595</v>
      </c>
      <c r="F2121" s="11" t="s">
        <v>8608</v>
      </c>
      <c r="G2121" s="12">
        <f ca="1">IFERROR(__xludf.DUMMYFUNCTION(" VLOOKUP(A2118, IMPORTRANGE(""https://docs.google.com/spreadsheets/d/1fj_Bhi2XPL3siwIh4sx4VRLAe31yD50oKdj5UlRYW0c/"", ""Сводка!A:AA""), 5, FALSE)"),104)</f>
        <v>104</v>
      </c>
      <c r="H2121" s="12" t="s">
        <v>538</v>
      </c>
      <c r="I2121" s="10">
        <f ca="1">IFERROR(__xludf.DUMMYFUNCTION(" VLOOKUP(A2118, IMPORTRANGE(""https://docs.google.com/spreadsheets/d/1QNLbnkR_AongFt22vMfNzfpjZ0CjpI8QI-w0wBnYA1w/"", ""Инфа!A:AA""), 6, FALSE)"),2024)</f>
        <v>2024</v>
      </c>
      <c r="J2121" s="5">
        <f ca="1">ROUND((5000+G2121*30),-2)</f>
        <v>8100</v>
      </c>
      <c r="K2121" s="9" t="s">
        <v>4314</v>
      </c>
      <c r="L2121" s="15" t="s">
        <v>8609</v>
      </c>
    </row>
    <row r="2122" spans="1:12" ht="123.75">
      <c r="A2122" s="8" t="s">
        <v>8610</v>
      </c>
      <c r="B2122" s="9" t="s">
        <v>12</v>
      </c>
      <c r="C2122" s="10" t="s">
        <v>443</v>
      </c>
      <c r="D2122" s="10" t="str">
        <f ca="1">IFERROR(__xludf.DUMMYFUNCTION(" VLOOKUP(A2119, IMPORTRANGE(""https://docs.google.com/spreadsheets/d/1fj_Bhi2XPL3siwIh4sx4VRLAe31yD50oKdj5UlRYW0c/"", ""Сводка!A:AA""), 11, FALSE)"),"978-601-310-414-0")</f>
        <v>978-601-310-414-0</v>
      </c>
      <c r="E2122" s="11" t="s">
        <v>8595</v>
      </c>
      <c r="F2122" s="11" t="s">
        <v>8611</v>
      </c>
      <c r="G2122" s="12">
        <f ca="1">IFERROR(__xludf.DUMMYFUNCTION(" VLOOKUP(A2119, IMPORTRANGE(""https://docs.google.com/spreadsheets/d/1fj_Bhi2XPL3siwIh4sx4VRLAe31yD50oKdj5UlRYW0c/"", ""Сводка!A:AA""), 5, FALSE)"),116)</f>
        <v>116</v>
      </c>
      <c r="H2122" s="12" t="s">
        <v>538</v>
      </c>
      <c r="I2122" s="10">
        <f ca="1">IFERROR(__xludf.DUMMYFUNCTION(" VLOOKUP(A2119, IMPORTRANGE(""https://docs.google.com/spreadsheets/d/1QNLbnkR_AongFt22vMfNzfpjZ0CjpI8QI-w0wBnYA1w/"", ""Инфа!A:AA""), 6, FALSE)"),2024)</f>
        <v>2024</v>
      </c>
      <c r="J2122" s="5">
        <f ca="1">ROUND((5000+G2122*30),-2)</f>
        <v>8500</v>
      </c>
      <c r="K2122" s="9" t="s">
        <v>4314</v>
      </c>
      <c r="L2122" s="15" t="s">
        <v>8612</v>
      </c>
    </row>
    <row r="2123" spans="1:12" ht="45">
      <c r="A2123" s="8" t="s">
        <v>8613</v>
      </c>
      <c r="B2123" s="9" t="s">
        <v>12</v>
      </c>
      <c r="C2123" s="10" t="s">
        <v>443</v>
      </c>
      <c r="D2123" s="10" t="str">
        <f ca="1">IFERROR(__xludf.DUMMYFUNCTION(" VLOOKUP(A2120, IMPORTRANGE(""https://docs.google.com/spreadsheets/d/1fj_Bhi2XPL3siwIh4sx4VRLAe31yD50oKdj5UlRYW0c/"", ""Сводка!A:AA""), 11, FALSE)"),"978-601-310-877-3")</f>
        <v>978-601-310-877-3</v>
      </c>
      <c r="E2123" s="25" t="s">
        <v>8595</v>
      </c>
      <c r="F2123" s="25" t="s">
        <v>8614</v>
      </c>
      <c r="G2123" s="12">
        <f ca="1">IFERROR(__xludf.DUMMYFUNCTION(" VLOOKUP(A2120, IMPORTRANGE(""https://docs.google.com/spreadsheets/d/1fj_Bhi2XPL3siwIh4sx4VRLAe31yD50oKdj5UlRYW0c/"", ""Сводка!A:AA""), 5, FALSE)"),192)</f>
        <v>192</v>
      </c>
      <c r="H2123" s="26" t="s">
        <v>538</v>
      </c>
      <c r="I2123" s="10">
        <f ca="1">IFERROR(__xludf.DUMMYFUNCTION(" VLOOKUP(A2120, IMPORTRANGE(""https://docs.google.com/spreadsheets/d/1QNLbnkR_AongFt22vMfNzfpjZ0CjpI8QI-w0wBnYA1w/"", ""Инфа!A:AA""), 6, FALSE)"),2024)</f>
        <v>2024</v>
      </c>
      <c r="J2123" s="5">
        <f ca="1">ROUND((5000+G2123*60),-2)</f>
        <v>16500</v>
      </c>
      <c r="K2123" s="9" t="s">
        <v>4314</v>
      </c>
      <c r="L2123" s="15" t="s">
        <v>8615</v>
      </c>
    </row>
    <row r="2124" spans="1:12" ht="63.75">
      <c r="A2124" s="8" t="s">
        <v>8616</v>
      </c>
      <c r="B2124" s="9" t="s">
        <v>12</v>
      </c>
      <c r="C2124" s="10" t="s">
        <v>443</v>
      </c>
      <c r="D2124" s="10" t="str">
        <f ca="1">IFERROR(__xludf.DUMMYFUNCTION(" VLOOKUP(A2121, IMPORTRANGE(""https://docs.google.com/spreadsheets/d/1fj_Bhi2XPL3siwIh4sx4VRLAe31yD50oKdj5UlRYW0c/"", ""Сводка!A:AA""), 11, FALSE)"),"978-601-310-568-0")</f>
        <v>978-601-310-568-0</v>
      </c>
      <c r="E2124" s="11" t="s">
        <v>8595</v>
      </c>
      <c r="F2124" s="11" t="s">
        <v>8617</v>
      </c>
      <c r="G2124" s="12">
        <f ca="1">IFERROR(__xludf.DUMMYFUNCTION(" VLOOKUP(A2121, IMPORTRANGE(""https://docs.google.com/spreadsheets/d/1fj_Bhi2XPL3siwIh4sx4VRLAe31yD50oKdj5UlRYW0c/"", ""Сводка!A:AA""), 5, FALSE)"),124)</f>
        <v>124</v>
      </c>
      <c r="H2124" s="12" t="s">
        <v>8618</v>
      </c>
      <c r="I2124" s="10">
        <f ca="1">IFERROR(__xludf.DUMMYFUNCTION(" VLOOKUP(A2121, IMPORTRANGE(""https://docs.google.com/spreadsheets/d/1QNLbnkR_AongFt22vMfNzfpjZ0CjpI8QI-w0wBnYA1w/"", ""Инфа!A:AA""), 6, FALSE)"),2024)</f>
        <v>2024</v>
      </c>
      <c r="J2124" s="5">
        <f ca="1">ROUND((5000+G2124*30),-2)</f>
        <v>8700</v>
      </c>
      <c r="K2124" s="9" t="s">
        <v>4314</v>
      </c>
      <c r="L2124" s="15" t="s">
        <v>8619</v>
      </c>
    </row>
    <row r="2125" spans="1:12" ht="45">
      <c r="A2125" s="8" t="s">
        <v>8620</v>
      </c>
      <c r="B2125" s="9" t="s">
        <v>12</v>
      </c>
      <c r="C2125" s="10" t="s">
        <v>443</v>
      </c>
      <c r="D2125" s="10" t="str">
        <f ca="1">IFERROR(__xludf.DUMMYFUNCTION(" VLOOKUP(A2122, IMPORTRANGE(""https://docs.google.com/spreadsheets/d/1fj_Bhi2XPL3siwIh4sx4VRLAe31yD50oKdj5UlRYW0c/"", ""Сводка!A:AA""), 11, FALSE)"),"978-601-310-864-3")</f>
        <v>978-601-310-864-3</v>
      </c>
      <c r="E2125" s="11" t="s">
        <v>8595</v>
      </c>
      <c r="F2125" s="11" t="s">
        <v>8621</v>
      </c>
      <c r="G2125" s="12">
        <f ca="1">IFERROR(__xludf.DUMMYFUNCTION(" VLOOKUP(A2122, IMPORTRANGE(""https://docs.google.com/spreadsheets/d/1fj_Bhi2XPL3siwIh4sx4VRLAe31yD50oKdj5UlRYW0c/"", ""Сводка!A:AA""), 5, FALSE)"),180)</f>
        <v>180</v>
      </c>
      <c r="H2125" s="12" t="s">
        <v>538</v>
      </c>
      <c r="I2125" s="10">
        <f ca="1">IFERROR(__xludf.DUMMYFUNCTION(" VLOOKUP(A2122, IMPORTRANGE(""https://docs.google.com/spreadsheets/d/1QNLbnkR_AongFt22vMfNzfpjZ0CjpI8QI-w0wBnYA1w/"", ""Инфа!A:AA""), 6, FALSE)"),2024)</f>
        <v>2024</v>
      </c>
      <c r="J2125" s="5">
        <f ca="1">ROUND((5000+G2125*30),-2)</f>
        <v>10400</v>
      </c>
      <c r="K2125" s="9" t="s">
        <v>4314</v>
      </c>
      <c r="L2125" s="15" t="s">
        <v>8622</v>
      </c>
    </row>
    <row r="2126" spans="1:12" ht="101.25">
      <c r="A2126" s="8" t="s">
        <v>8623</v>
      </c>
      <c r="B2126" s="9" t="s">
        <v>12</v>
      </c>
      <c r="C2126" s="10" t="s">
        <v>443</v>
      </c>
      <c r="D2126" s="10" t="str">
        <f ca="1">IFERROR(__xludf.DUMMYFUNCTION(" VLOOKUP(A2123, IMPORTRANGE(""https://docs.google.com/spreadsheets/d/1fj_Bhi2XPL3siwIh4sx4VRLAe31yD50oKdj5UlRYW0c/"", ""Сводка!A:AA""), 11, FALSE)"),"978-601-310-863-6")</f>
        <v>978-601-310-863-6</v>
      </c>
      <c r="E2126" s="25" t="s">
        <v>8595</v>
      </c>
      <c r="F2126" s="25" t="s">
        <v>8624</v>
      </c>
      <c r="G2126" s="12">
        <f ca="1">IFERROR(__xludf.DUMMYFUNCTION(" VLOOKUP(A2123, IMPORTRANGE(""https://docs.google.com/spreadsheets/d/1fj_Bhi2XPL3siwIh4sx4VRLAe31yD50oKdj5UlRYW0c/"", ""Сводка!A:AA""), 5, FALSE)"),120)</f>
        <v>120</v>
      </c>
      <c r="H2126" s="26" t="s">
        <v>538</v>
      </c>
      <c r="I2126" s="10">
        <f ca="1">IFERROR(__xludf.DUMMYFUNCTION(" VLOOKUP(A2123, IMPORTRANGE(""https://docs.google.com/spreadsheets/d/1QNLbnkR_AongFt22vMfNzfpjZ0CjpI8QI-w0wBnYA1w/"", ""Инфа!A:AA""), 6, FALSE)"),2024)</f>
        <v>2024</v>
      </c>
      <c r="J2126" s="5">
        <f ca="1">ROUND((5000+G2126*30),-2)</f>
        <v>8600</v>
      </c>
      <c r="K2126" s="9" t="s">
        <v>4314</v>
      </c>
      <c r="L2126" s="15" t="s">
        <v>1586</v>
      </c>
    </row>
    <row r="2127" spans="1:12" ht="101.25">
      <c r="A2127" s="8" t="s">
        <v>8625</v>
      </c>
      <c r="B2127" s="9" t="s">
        <v>12</v>
      </c>
      <c r="C2127" s="10" t="s">
        <v>443</v>
      </c>
      <c r="D2127" s="10" t="str">
        <f ca="1">IFERROR(__xludf.DUMMYFUNCTION(" VLOOKUP(A2124, IMPORTRANGE(""https://docs.google.com/spreadsheets/d/1fj_Bhi2XPL3siwIh4sx4VRLAe31yD50oKdj5UlRYW0c/"", ""Сводка!A:AA""), 11, FALSE)"),"978-601-310-391-4")</f>
        <v>978-601-310-391-4</v>
      </c>
      <c r="E2127" s="11" t="s">
        <v>8595</v>
      </c>
      <c r="F2127" s="11" t="s">
        <v>1591</v>
      </c>
      <c r="G2127" s="12">
        <f ca="1">IFERROR(__xludf.DUMMYFUNCTION(" VLOOKUP(A2124, IMPORTRANGE(""https://docs.google.com/spreadsheets/d/1fj_Bhi2XPL3siwIh4sx4VRLAe31yD50oKdj5UlRYW0c/"", ""Сводка!A:AA""), 5, FALSE)"),236)</f>
        <v>236</v>
      </c>
      <c r="H2127" s="12" t="s">
        <v>538</v>
      </c>
      <c r="I2127" s="10">
        <f ca="1">IFERROR(__xludf.DUMMYFUNCTION(" VLOOKUP(A2124, IMPORTRANGE(""https://docs.google.com/spreadsheets/d/1QNLbnkR_AongFt22vMfNzfpjZ0CjpI8QI-w0wBnYA1w/"", ""Инфа!A:AA""), 6, FALSE)"),2024)</f>
        <v>2024</v>
      </c>
      <c r="J2127" s="5">
        <f ca="1">ROUND((5000+G2127*60),-2)</f>
        <v>19200</v>
      </c>
      <c r="K2127" s="9" t="s">
        <v>4314</v>
      </c>
      <c r="L2127" s="15" t="s">
        <v>8626</v>
      </c>
    </row>
    <row r="2128" spans="1:12" ht="45">
      <c r="A2128" s="8" t="s">
        <v>8627</v>
      </c>
      <c r="B2128" s="9" t="s">
        <v>12</v>
      </c>
      <c r="C2128" s="10" t="s">
        <v>443</v>
      </c>
      <c r="D2128" s="10" t="str">
        <f ca="1">IFERROR(__xludf.DUMMYFUNCTION(" VLOOKUP(A2125, IMPORTRANGE(""https://docs.google.com/spreadsheets/d/1fj_Bhi2XPL3siwIh4sx4VRLAe31yD50oKdj5UlRYW0c/"", ""Сводка!A:AA""), 11, FALSE)"),"978-601-352-221-0")</f>
        <v>978-601-352-221-0</v>
      </c>
      <c r="E2128" s="11" t="s">
        <v>8595</v>
      </c>
      <c r="F2128" s="11" t="s">
        <v>8628</v>
      </c>
      <c r="G2128" s="12">
        <f ca="1">IFERROR(__xludf.DUMMYFUNCTION(" VLOOKUP(A2125, IMPORTRANGE(""https://docs.google.com/spreadsheets/d/1fj_Bhi2XPL3siwIh4sx4VRLAe31yD50oKdj5UlRYW0c/"", ""Сводка!A:AA""), 5, FALSE)"),120)</f>
        <v>120</v>
      </c>
      <c r="H2128" s="12" t="s">
        <v>538</v>
      </c>
      <c r="I2128" s="10">
        <f ca="1">IFERROR(__xludf.DUMMYFUNCTION(" VLOOKUP(A2125, IMPORTRANGE(""https://docs.google.com/spreadsheets/d/1QNLbnkR_AongFt22vMfNzfpjZ0CjpI8QI-w0wBnYA1w/"", ""Инфа!A:AA""), 6, FALSE)"),2024)</f>
        <v>2024</v>
      </c>
      <c r="J2128" s="5">
        <f ca="1">ROUND((5000+G2128*60),-2)</f>
        <v>12200</v>
      </c>
      <c r="K2128" s="9" t="s">
        <v>4314</v>
      </c>
      <c r="L2128" s="15" t="s">
        <v>8629</v>
      </c>
    </row>
    <row r="2129" spans="1:12" ht="56.25">
      <c r="A2129" s="8" t="s">
        <v>8630</v>
      </c>
      <c r="B2129" s="9" t="s">
        <v>12</v>
      </c>
      <c r="C2129" s="10" t="s">
        <v>443</v>
      </c>
      <c r="D2129" s="10" t="str">
        <f ca="1">IFERROR(__xludf.DUMMYFUNCTION(" VLOOKUP(A2126, IMPORTRANGE(""https://docs.google.com/spreadsheets/d/1fj_Bhi2XPL3siwIh4sx4VRLAe31yD50oKdj5UlRYW0c/"", ""Сводка!A:AA""), 11, FALSE)"),"978-601-310-874-2")</f>
        <v>978-601-310-874-2</v>
      </c>
      <c r="E2129" s="11" t="s">
        <v>8631</v>
      </c>
      <c r="F2129" s="11" t="s">
        <v>8632</v>
      </c>
      <c r="G2129" s="12">
        <f ca="1">IFERROR(__xludf.DUMMYFUNCTION(" VLOOKUP(A2126, IMPORTRANGE(""https://docs.google.com/spreadsheets/d/1fj_Bhi2XPL3siwIh4sx4VRLAe31yD50oKdj5UlRYW0c/"", ""Сводка!A:AA""), 5, FALSE)"),160)</f>
        <v>160</v>
      </c>
      <c r="H2129" s="12" t="s">
        <v>8618</v>
      </c>
      <c r="I2129" s="10">
        <f ca="1">IFERROR(__xludf.DUMMYFUNCTION(" VLOOKUP(A2126, IMPORTRANGE(""https://docs.google.com/spreadsheets/d/1QNLbnkR_AongFt22vMfNzfpjZ0CjpI8QI-w0wBnYA1w/"", ""Инфа!A:AA""), 6, FALSE)"),2024)</f>
        <v>2024</v>
      </c>
      <c r="J2129" s="5">
        <f ca="1">ROUND((5000+G2129*30),-2)</f>
        <v>9800</v>
      </c>
      <c r="K2129" s="12" t="s">
        <v>8633</v>
      </c>
      <c r="L2129" s="15" t="s">
        <v>8634</v>
      </c>
    </row>
    <row r="2130" spans="1:12" ht="202.5">
      <c r="A2130" s="8" t="s">
        <v>8635</v>
      </c>
      <c r="B2130" s="9" t="s">
        <v>12</v>
      </c>
      <c r="C2130" s="65" t="s">
        <v>151</v>
      </c>
      <c r="D2130" s="10" t="str">
        <f ca="1">IFERROR(__xludf.DUMMYFUNCTION(" VLOOKUP(A2127, IMPORTRANGE(""https://docs.google.com/spreadsheets/d/1fj_Bhi2XPL3siwIh4sx4VRLAe31yD50oKdj5UlRYW0c/"", ""Сводка!A:AA""), 11, FALSE)"),"978-601-240-152-3")</f>
        <v>978-601-240-152-3</v>
      </c>
      <c r="E2130" s="34" t="s">
        <v>8636</v>
      </c>
      <c r="F2130" s="34" t="s">
        <v>8637</v>
      </c>
      <c r="G2130" s="12">
        <f ca="1">IFERROR(__xludf.DUMMYFUNCTION(" VLOOKUP(A2127, IMPORTRANGE(""https://docs.google.com/spreadsheets/d/1fj_Bhi2XPL3siwIh4sx4VRLAe31yD50oKdj5UlRYW0c/"", ""Сводка!A:AA""), 5, FALSE)"),168)</f>
        <v>168</v>
      </c>
      <c r="H2130" s="35" t="s">
        <v>47</v>
      </c>
      <c r="I2130" s="10">
        <f ca="1">IFERROR(__xludf.DUMMYFUNCTION(" VLOOKUP(A2127, IMPORTRANGE(""https://docs.google.com/spreadsheets/d/1QNLbnkR_AongFt22vMfNzfpjZ0CjpI8QI-w0wBnYA1w/"", ""Инфа!A:AA""), 6, FALSE)"),2024)</f>
        <v>2024</v>
      </c>
      <c r="J2130" s="5">
        <f ca="1">ROUND((5000+G2130*30),-2)</f>
        <v>10000</v>
      </c>
      <c r="K2130" s="35" t="s">
        <v>8638</v>
      </c>
      <c r="L2130" s="66" t="s">
        <v>8639</v>
      </c>
    </row>
    <row r="2131" spans="1:12" ht="258.75">
      <c r="A2131" s="8" t="s">
        <v>8640</v>
      </c>
      <c r="B2131" s="9" t="s">
        <v>12</v>
      </c>
      <c r="C2131" s="10" t="s">
        <v>151</v>
      </c>
      <c r="D2131" s="10" t="str">
        <f ca="1">IFERROR(__xludf.DUMMYFUNCTION(" VLOOKUP(A2128, IMPORTRANGE(""https://docs.google.com/spreadsheets/d/1fj_Bhi2XPL3siwIh4sx4VRLAe31yD50oKdj5UlRYW0c/"", ""Сводка!A:AA""), 11, FALSE)"),"9965-788-95-2")</f>
        <v>9965-788-95-2</v>
      </c>
      <c r="E2131" s="11" t="s">
        <v>8641</v>
      </c>
      <c r="F2131" s="11" t="s">
        <v>8642</v>
      </c>
      <c r="G2131" s="12">
        <f ca="1">IFERROR(__xludf.DUMMYFUNCTION(" VLOOKUP(A2128, IMPORTRANGE(""https://docs.google.com/spreadsheets/d/1fj_Bhi2XPL3siwIh4sx4VRLAe31yD50oKdj5UlRYW0c/"", ""Сводка!A:AA""), 5, FALSE)"),272)</f>
        <v>272</v>
      </c>
      <c r="H2131" s="12" t="s">
        <v>165</v>
      </c>
      <c r="I2131" s="10">
        <f ca="1">IFERROR(__xludf.DUMMYFUNCTION(" VLOOKUP(A2128, IMPORTRANGE(""https://docs.google.com/spreadsheets/d/1QNLbnkR_AongFt22vMfNzfpjZ0CjpI8QI-w0wBnYA1w/"", ""Инфа!A:AA""), 6, FALSE)"),2024)</f>
        <v>2024</v>
      </c>
      <c r="J2131" s="5">
        <f ca="1">ROUND((5000+G2131*60),-2)</f>
        <v>21300</v>
      </c>
      <c r="K2131" s="12" t="s">
        <v>1708</v>
      </c>
      <c r="L2131" s="15" t="s">
        <v>8643</v>
      </c>
    </row>
    <row r="2132" spans="1:12" ht="146.25">
      <c r="A2132" s="8" t="s">
        <v>8644</v>
      </c>
      <c r="B2132" s="9" t="s">
        <v>12</v>
      </c>
      <c r="C2132" s="10" t="s">
        <v>151</v>
      </c>
      <c r="D2132" s="10" t="str">
        <f ca="1">IFERROR(__xludf.DUMMYFUNCTION(" VLOOKUP(A2129, IMPORTRANGE(""https://docs.google.com/spreadsheets/d/1fj_Bhi2XPL3siwIh4sx4VRLAe31yD50oKdj5UlRYW0c/"", ""Сводка!A:AA""), 11, FALSE)"),"978-601-296-933-7")</f>
        <v>978-601-296-933-7</v>
      </c>
      <c r="E2132" s="11" t="s">
        <v>8641</v>
      </c>
      <c r="F2132" s="11" t="s">
        <v>8645</v>
      </c>
      <c r="G2132" s="12">
        <f ca="1">IFERROR(__xludf.DUMMYFUNCTION(" VLOOKUP(A2129, IMPORTRANGE(""https://docs.google.com/spreadsheets/d/1fj_Bhi2XPL3siwIh4sx4VRLAe31yD50oKdj5UlRYW0c/"", ""Сводка!A:AA""), 5, FALSE)"),296)</f>
        <v>296</v>
      </c>
      <c r="H2132" s="12" t="s">
        <v>24</v>
      </c>
      <c r="I2132" s="10">
        <f ca="1">IFERROR(__xludf.DUMMYFUNCTION(" VLOOKUP(A2129, IMPORTRANGE(""https://docs.google.com/spreadsheets/d/1QNLbnkR_AongFt22vMfNzfpjZ0CjpI8QI-w0wBnYA1w/"", ""Инфа!A:AA""), 6, FALSE)"),2024)</f>
        <v>2024</v>
      </c>
      <c r="J2132" s="5">
        <f ca="1">ROUND((5000+G2132*60),-2)</f>
        <v>22800</v>
      </c>
      <c r="K2132" s="12" t="s">
        <v>1708</v>
      </c>
      <c r="L2132" s="15" t="s">
        <v>8646</v>
      </c>
    </row>
    <row r="2133" spans="1:12" ht="258.75">
      <c r="A2133" s="8" t="s">
        <v>8647</v>
      </c>
      <c r="B2133" s="9" t="s">
        <v>12</v>
      </c>
      <c r="C2133" s="10" t="s">
        <v>151</v>
      </c>
      <c r="D2133" s="10" t="str">
        <f ca="1">IFERROR(__xludf.DUMMYFUNCTION(" VLOOKUP(A2130, IMPORTRANGE(""https://docs.google.com/spreadsheets/d/1fj_Bhi2XPL3siwIh4sx4VRLAe31yD50oKdj5UlRYW0c/"", ""Сводка!A:AA""), 11, FALSE)"),"9965-788-95-2")</f>
        <v>9965-788-95-2</v>
      </c>
      <c r="E2133" s="11" t="s">
        <v>8641</v>
      </c>
      <c r="F2133" s="11" t="s">
        <v>8648</v>
      </c>
      <c r="G2133" s="12">
        <f ca="1">IFERROR(__xludf.DUMMYFUNCTION(" VLOOKUP(A2130, IMPORTRANGE(""https://docs.google.com/spreadsheets/d/1fj_Bhi2XPL3siwIh4sx4VRLAe31yD50oKdj5UlRYW0c/"", ""Сводка!A:AA""), 5, FALSE)"),272)</f>
        <v>272</v>
      </c>
      <c r="H2133" s="12" t="s">
        <v>47</v>
      </c>
      <c r="I2133" s="10">
        <f ca="1">IFERROR(__xludf.DUMMYFUNCTION(" VLOOKUP(A2130, IMPORTRANGE(""https://docs.google.com/spreadsheets/d/1QNLbnkR_AongFt22vMfNzfpjZ0CjpI8QI-w0wBnYA1w/"", ""Инфа!A:AA""), 6, FALSE)"),2024)</f>
        <v>2024</v>
      </c>
      <c r="J2133" s="5">
        <f t="shared" ref="J2133:J2146" ca="1" si="70">ROUND((5000+G2133*30),-2)</f>
        <v>13200</v>
      </c>
      <c r="K2133" s="12" t="s">
        <v>1581</v>
      </c>
      <c r="L2133" s="15" t="s">
        <v>8649</v>
      </c>
    </row>
    <row r="2134" spans="1:12" ht="157.5">
      <c r="A2134" s="8" t="s">
        <v>8650</v>
      </c>
      <c r="B2134" s="9" t="s">
        <v>12</v>
      </c>
      <c r="C2134" s="10" t="s">
        <v>151</v>
      </c>
      <c r="D2134" s="10" t="str">
        <f ca="1">IFERROR(__xludf.DUMMYFUNCTION(" VLOOKUP(A2131, IMPORTRANGE(""https://docs.google.com/spreadsheets/d/1fj_Bhi2XPL3siwIh4sx4VRLAe31yD50oKdj5UlRYW0c/"", ""Сводка!A:AA""), 11, FALSE)"),"978-601-296-933-7")</f>
        <v>978-601-296-933-7</v>
      </c>
      <c r="E2134" s="11" t="s">
        <v>8641</v>
      </c>
      <c r="F2134" s="11" t="s">
        <v>8651</v>
      </c>
      <c r="G2134" s="12">
        <f ca="1">IFERROR(__xludf.DUMMYFUNCTION(" VLOOKUP(A2131, IMPORTRANGE(""https://docs.google.com/spreadsheets/d/1fj_Bhi2XPL3siwIh4sx4VRLAe31yD50oKdj5UlRYW0c/"", ""Сводка!A:AA""), 5, FALSE)"),295)</f>
        <v>295</v>
      </c>
      <c r="H2134" s="12" t="s">
        <v>106</v>
      </c>
      <c r="I2134" s="10">
        <f ca="1">IFERROR(__xludf.DUMMYFUNCTION(" VLOOKUP(A2131, IMPORTRANGE(""https://docs.google.com/spreadsheets/d/1QNLbnkR_AongFt22vMfNzfpjZ0CjpI8QI-w0wBnYA1w/"", ""Инфа!A:AA""), 6, FALSE)"),2024)</f>
        <v>2024</v>
      </c>
      <c r="J2134" s="5">
        <f t="shared" ca="1" si="70"/>
        <v>13900</v>
      </c>
      <c r="K2134" s="12" t="s">
        <v>1581</v>
      </c>
      <c r="L2134" s="15" t="s">
        <v>8652</v>
      </c>
    </row>
    <row r="2135" spans="1:12" ht="123.75">
      <c r="A2135" s="8" t="s">
        <v>8653</v>
      </c>
      <c r="B2135" s="9" t="s">
        <v>12</v>
      </c>
      <c r="C2135" s="10" t="s">
        <v>151</v>
      </c>
      <c r="D2135" s="10" t="str">
        <f ca="1">IFERROR(__xludf.DUMMYFUNCTION(" VLOOKUP(A2132, IMPORTRANGE(""https://docs.google.com/spreadsheets/d/1fj_Bhi2XPL3siwIh4sx4VRLAe31yD50oKdj5UlRYW0c/"", ""Сводка!A:AA""), 11, FALSE)"),"978-601-327-060-9")</f>
        <v>978-601-327-060-9</v>
      </c>
      <c r="E2135" s="11" t="s">
        <v>8654</v>
      </c>
      <c r="F2135" s="11" t="s">
        <v>1712</v>
      </c>
      <c r="G2135" s="12">
        <f ca="1">IFERROR(__xludf.DUMMYFUNCTION(" VLOOKUP(A2132, IMPORTRANGE(""https://docs.google.com/spreadsheets/d/1fj_Bhi2XPL3siwIh4sx4VRLAe31yD50oKdj5UlRYW0c/"", ""Сводка!A:AA""), 5, FALSE)"),240)</f>
        <v>240</v>
      </c>
      <c r="H2135" s="12" t="s">
        <v>165</v>
      </c>
      <c r="I2135" s="10">
        <f ca="1">IFERROR(__xludf.DUMMYFUNCTION(" VLOOKUP(A2132, IMPORTRANGE(""https://docs.google.com/spreadsheets/d/1QNLbnkR_AongFt22vMfNzfpjZ0CjpI8QI-w0wBnYA1w/"", ""Инфа!A:AA""), 6, FALSE)"),2024)</f>
        <v>2024</v>
      </c>
      <c r="J2135" s="5">
        <f t="shared" ca="1" si="70"/>
        <v>12200</v>
      </c>
      <c r="K2135" s="12" t="s">
        <v>213</v>
      </c>
      <c r="L2135" s="15" t="s">
        <v>8655</v>
      </c>
    </row>
    <row r="2136" spans="1:12" ht="225">
      <c r="A2136" s="8" t="s">
        <v>8656</v>
      </c>
      <c r="B2136" s="9" t="s">
        <v>12</v>
      </c>
      <c r="C2136" s="10" t="s">
        <v>151</v>
      </c>
      <c r="D2136" s="10" t="str">
        <f ca="1">IFERROR(__xludf.DUMMYFUNCTION(" VLOOKUP(A2133, IMPORTRANGE(""https://docs.google.com/spreadsheets/d/1fj_Bhi2XPL3siwIh4sx4VRLAe31yD50oKdj5UlRYW0c/"", ""Сводка!A:AA""), 11, FALSE)"),"978-601-342-218-3")</f>
        <v>978-601-342-218-3</v>
      </c>
      <c r="E2136" s="11" t="s">
        <v>8657</v>
      </c>
      <c r="F2136" s="11" t="s">
        <v>8658</v>
      </c>
      <c r="G2136" s="12">
        <f ca="1">IFERROR(__xludf.DUMMYFUNCTION(" VLOOKUP(A2133, IMPORTRANGE(""https://docs.google.com/spreadsheets/d/1fj_Bhi2XPL3siwIh4sx4VRLAe31yD50oKdj5UlRYW0c/"", ""Сводка!A:AA""), 5, FALSE)"),212)</f>
        <v>212</v>
      </c>
      <c r="H2136" s="12" t="s">
        <v>47</v>
      </c>
      <c r="I2136" s="10">
        <f ca="1">IFERROR(__xludf.DUMMYFUNCTION(" VLOOKUP(A2133, IMPORTRANGE(""https://docs.google.com/spreadsheets/d/1QNLbnkR_AongFt22vMfNzfpjZ0CjpI8QI-w0wBnYA1w/"", ""Инфа!A:AA""), 6, FALSE)"),2024)</f>
        <v>2024</v>
      </c>
      <c r="J2136" s="5">
        <f t="shared" ca="1" si="70"/>
        <v>11400</v>
      </c>
      <c r="K2136" s="12" t="s">
        <v>7911</v>
      </c>
      <c r="L2136" s="15" t="s">
        <v>8659</v>
      </c>
    </row>
    <row r="2137" spans="1:12" ht="213.75">
      <c r="A2137" s="8" t="s">
        <v>8660</v>
      </c>
      <c r="B2137" s="9" t="s">
        <v>12</v>
      </c>
      <c r="C2137" s="10" t="s">
        <v>443</v>
      </c>
      <c r="D2137" s="10" t="str">
        <f ca="1">IFERROR(__xludf.DUMMYFUNCTION(" VLOOKUP(A2134, IMPORTRANGE(""https://docs.google.com/spreadsheets/d/1fj_Bhi2XPL3siwIh4sx4VRLAe31yD50oKdj5UlRYW0c/"", ""Сводка!A:AA""), 11, FALSE)"),"978-601-310-131-6")</f>
        <v>978-601-310-131-6</v>
      </c>
      <c r="E2137" s="11" t="s">
        <v>8661</v>
      </c>
      <c r="F2137" s="11" t="s">
        <v>8662</v>
      </c>
      <c r="G2137" s="12">
        <f ca="1">IFERROR(__xludf.DUMMYFUNCTION(" VLOOKUP(A2134, IMPORTRANGE(""https://docs.google.com/spreadsheets/d/1fj_Bhi2XPL3siwIh4sx4VRLAe31yD50oKdj5UlRYW0c/"", ""Сводка!A:AA""), 5, FALSE)"),336)</f>
        <v>336</v>
      </c>
      <c r="H2137" s="12" t="s">
        <v>538</v>
      </c>
      <c r="I2137" s="10">
        <f ca="1">IFERROR(__xludf.DUMMYFUNCTION(" VLOOKUP(A2134, IMPORTRANGE(""https://docs.google.com/spreadsheets/d/1QNLbnkR_AongFt22vMfNzfpjZ0CjpI8QI-w0wBnYA1w/"", ""Инфа!A:AA""), 6, FALSE)"),2024)</f>
        <v>2024</v>
      </c>
      <c r="J2137" s="5">
        <f t="shared" ca="1" si="70"/>
        <v>15100</v>
      </c>
      <c r="K2137" s="12" t="s">
        <v>1219</v>
      </c>
      <c r="L2137" s="15" t="s">
        <v>8663</v>
      </c>
    </row>
    <row r="2138" spans="1:12" ht="202.5">
      <c r="A2138" s="8" t="s">
        <v>8664</v>
      </c>
      <c r="B2138" s="9" t="s">
        <v>12</v>
      </c>
      <c r="C2138" s="10" t="s">
        <v>443</v>
      </c>
      <c r="D2138" s="10" t="str">
        <f ca="1">IFERROR(__xludf.DUMMYFUNCTION(" VLOOKUP(A2135, IMPORTRANGE(""https://docs.google.com/spreadsheets/d/1fj_Bhi2XPL3siwIh4sx4VRLAe31yD50oKdj5UlRYW0c/"", ""Сводка!A:AA""), 11, FALSE)"),"978-601-310-132-3")</f>
        <v>978-601-310-132-3</v>
      </c>
      <c r="E2138" s="11" t="s">
        <v>8661</v>
      </c>
      <c r="F2138" s="11" t="s">
        <v>8665</v>
      </c>
      <c r="G2138" s="12">
        <f ca="1">IFERROR(__xludf.DUMMYFUNCTION(" VLOOKUP(A2135, IMPORTRANGE(""https://docs.google.com/spreadsheets/d/1fj_Bhi2XPL3siwIh4sx4VRLAe31yD50oKdj5UlRYW0c/"", ""Сводка!A:AA""), 5, FALSE)"),172)</f>
        <v>172</v>
      </c>
      <c r="H2138" s="12" t="s">
        <v>538</v>
      </c>
      <c r="I2138" s="10">
        <f ca="1">IFERROR(__xludf.DUMMYFUNCTION(" VLOOKUP(A2135, IMPORTRANGE(""https://docs.google.com/spreadsheets/d/1QNLbnkR_AongFt22vMfNzfpjZ0CjpI8QI-w0wBnYA1w/"", ""Инфа!A:AA""), 6, FALSE)"),2024)</f>
        <v>2024</v>
      </c>
      <c r="J2138" s="5">
        <f t="shared" ca="1" si="70"/>
        <v>10200</v>
      </c>
      <c r="K2138" s="12" t="s">
        <v>1219</v>
      </c>
      <c r="L2138" s="15" t="s">
        <v>8666</v>
      </c>
    </row>
    <row r="2139" spans="1:12" ht="168.75">
      <c r="A2139" s="8" t="s">
        <v>8667</v>
      </c>
      <c r="B2139" s="9" t="s">
        <v>12</v>
      </c>
      <c r="C2139" s="10" t="s">
        <v>443</v>
      </c>
      <c r="D2139" s="10" t="str">
        <f ca="1">IFERROR(__xludf.DUMMYFUNCTION(" VLOOKUP(A2136, IMPORTRANGE(""https://docs.google.com/spreadsheets/d/1fj_Bhi2XPL3siwIh4sx4VRLAe31yD50oKdj5UlRYW0c/"", ""Сводка!A:AA""), 11, FALSE)"),"978-601-255-098-6")</f>
        <v>978-601-255-098-6</v>
      </c>
      <c r="E2139" s="11" t="s">
        <v>8668</v>
      </c>
      <c r="F2139" s="11" t="s">
        <v>8669</v>
      </c>
      <c r="G2139" s="12">
        <f ca="1">IFERROR(__xludf.DUMMYFUNCTION(" VLOOKUP(A2136, IMPORTRANGE(""https://docs.google.com/spreadsheets/d/1fj_Bhi2XPL3siwIh4sx4VRLAe31yD50oKdj5UlRYW0c/"", ""Сводка!A:AA""), 5, FALSE)"),312)</f>
        <v>312</v>
      </c>
      <c r="H2139" s="12" t="s">
        <v>538</v>
      </c>
      <c r="I2139" s="10">
        <f ca="1">IFERROR(__xludf.DUMMYFUNCTION(" VLOOKUP(A2136, IMPORTRANGE(""https://docs.google.com/spreadsheets/d/1QNLbnkR_AongFt22vMfNzfpjZ0CjpI8QI-w0wBnYA1w/"", ""Инфа!A:AA""), 6, FALSE)"),2024)</f>
        <v>2024</v>
      </c>
      <c r="J2139" s="5">
        <f t="shared" ca="1" si="70"/>
        <v>14400</v>
      </c>
      <c r="K2139" s="12" t="s">
        <v>213</v>
      </c>
      <c r="L2139" s="15" t="s">
        <v>8670</v>
      </c>
    </row>
    <row r="2140" spans="1:12" ht="112.5">
      <c r="A2140" s="8" t="s">
        <v>8671</v>
      </c>
      <c r="B2140" s="9" t="s">
        <v>12</v>
      </c>
      <c r="C2140" s="10" t="s">
        <v>151</v>
      </c>
      <c r="D2140" s="10" t="str">
        <f ca="1">IFERROR(__xludf.DUMMYFUNCTION(" VLOOKUP(A2137, IMPORTRANGE(""https://docs.google.com/spreadsheets/d/1fj_Bhi2XPL3siwIh4sx4VRLAe31yD50oKdj5UlRYW0c/"", ""Сводка!A:AA""), 11, FALSE)"),"99865-491-34-8")</f>
        <v>99865-491-34-8</v>
      </c>
      <c r="E2140" s="11" t="s">
        <v>8672</v>
      </c>
      <c r="F2140" s="11" t="s">
        <v>8673</v>
      </c>
      <c r="G2140" s="12">
        <f ca="1">IFERROR(__xludf.DUMMYFUNCTION(" VLOOKUP(A2137, IMPORTRANGE(""https://docs.google.com/spreadsheets/d/1fj_Bhi2XPL3siwIh4sx4VRLAe31yD50oKdj5UlRYW0c/"", ""Сводка!A:AA""), 5, FALSE)"),288)</f>
        <v>288</v>
      </c>
      <c r="H2140" s="12" t="s">
        <v>165</v>
      </c>
      <c r="I2140" s="10">
        <f ca="1">IFERROR(__xludf.DUMMYFUNCTION(" VLOOKUP(A2137, IMPORTRANGE(""https://docs.google.com/spreadsheets/d/1QNLbnkR_AongFt22vMfNzfpjZ0CjpI8QI-w0wBnYA1w/"", ""Инфа!A:AA""), 6, FALSE)"),2024)</f>
        <v>2024</v>
      </c>
      <c r="J2140" s="5">
        <f t="shared" ca="1" si="70"/>
        <v>13600</v>
      </c>
      <c r="K2140" s="12" t="s">
        <v>63</v>
      </c>
      <c r="L2140" s="15" t="s">
        <v>8674</v>
      </c>
    </row>
    <row r="2141" spans="1:12" ht="180">
      <c r="A2141" s="8" t="s">
        <v>8675</v>
      </c>
      <c r="B2141" s="9" t="s">
        <v>12</v>
      </c>
      <c r="C2141" s="10" t="s">
        <v>1528</v>
      </c>
      <c r="D2141" s="10" t="s">
        <v>8676</v>
      </c>
      <c r="E2141" s="11" t="s">
        <v>8677</v>
      </c>
      <c r="F2141" s="11" t="s">
        <v>8678</v>
      </c>
      <c r="G2141" s="12">
        <f ca="1">IFERROR(__xludf.DUMMYFUNCTION(" VLOOKUP(A2138, IMPORTRANGE(""https://docs.google.com/spreadsheets/d/1fj_Bhi2XPL3siwIh4sx4VRLAe31yD50oKdj5UlRYW0c/"", ""Сводка!A:AA""), 5, FALSE)"),140)</f>
        <v>140</v>
      </c>
      <c r="H2141" s="12" t="s">
        <v>47</v>
      </c>
      <c r="I2141" s="10">
        <f ca="1">IFERROR(__xludf.DUMMYFUNCTION(" VLOOKUP(A2138, IMPORTRANGE(""https://docs.google.com/spreadsheets/d/1QNLbnkR_AongFt22vMfNzfpjZ0CjpI8QI-w0wBnYA1w/"", ""Инфа!A:AA""), 6, FALSE)"),2024)</f>
        <v>2024</v>
      </c>
      <c r="J2141" s="5">
        <f t="shared" ca="1" si="70"/>
        <v>9200</v>
      </c>
      <c r="K2141" s="12" t="s">
        <v>213</v>
      </c>
      <c r="L2141" s="15" t="s">
        <v>8679</v>
      </c>
    </row>
    <row r="2142" spans="1:12" ht="101.25">
      <c r="A2142" s="8" t="s">
        <v>8680</v>
      </c>
      <c r="B2142" s="9" t="s">
        <v>12</v>
      </c>
      <c r="C2142" s="10" t="s">
        <v>151</v>
      </c>
      <c r="D2142" s="10" t="str">
        <f ca="1">IFERROR(__xludf.DUMMYFUNCTION(" VLOOKUP(A2139, IMPORTRANGE(""https://docs.google.com/spreadsheets/d/1fj_Bhi2XPL3siwIh4sx4VRLAe31yD50oKdj5UlRYW0c/"", ""Сводка!A:AA""), 11, FALSE)"),"978-601-240-935-2")</f>
        <v>978-601-240-935-2</v>
      </c>
      <c r="E2142" s="11" t="s">
        <v>8677</v>
      </c>
      <c r="F2142" s="11" t="s">
        <v>8681</v>
      </c>
      <c r="G2142" s="12">
        <f ca="1">IFERROR(__xludf.DUMMYFUNCTION(" VLOOKUP(A2139, IMPORTRANGE(""https://docs.google.com/spreadsheets/d/1fj_Bhi2XPL3siwIh4sx4VRLAe31yD50oKdj5UlRYW0c/"", ""Сводка!A:AA""), 5, FALSE)"),120)</f>
        <v>120</v>
      </c>
      <c r="H2142" s="12" t="s">
        <v>47</v>
      </c>
      <c r="I2142" s="10">
        <f ca="1">IFERROR(__xludf.DUMMYFUNCTION(" VLOOKUP(A2139, IMPORTRANGE(""https://docs.google.com/spreadsheets/d/1QNLbnkR_AongFt22vMfNzfpjZ0CjpI8QI-w0wBnYA1w/"", ""Инфа!A:AA""), 6, FALSE)"),2024)</f>
        <v>2024</v>
      </c>
      <c r="J2142" s="5">
        <f t="shared" ca="1" si="70"/>
        <v>8600</v>
      </c>
      <c r="K2142" s="12" t="s">
        <v>213</v>
      </c>
      <c r="L2142" s="15" t="s">
        <v>8682</v>
      </c>
    </row>
    <row r="2143" spans="1:12" ht="202.5">
      <c r="A2143" s="8" t="s">
        <v>8683</v>
      </c>
      <c r="B2143" s="9" t="s">
        <v>12</v>
      </c>
      <c r="C2143" s="10" t="s">
        <v>151</v>
      </c>
      <c r="D2143" s="10" t="str">
        <f ca="1">IFERROR(__xludf.DUMMYFUNCTION(" VLOOKUP(A2140, IMPORTRANGE(""https://docs.google.com/spreadsheets/d/1fj_Bhi2XPL3siwIh4sx4VRLAe31yD50oKdj5UlRYW0c/"", ""Сводка!A:AA""), 11, FALSE)"),"978-601-240-504-0")</f>
        <v>978-601-240-504-0</v>
      </c>
      <c r="E2143" s="11" t="s">
        <v>8677</v>
      </c>
      <c r="F2143" s="11" t="s">
        <v>8684</v>
      </c>
      <c r="G2143" s="12">
        <f ca="1">IFERROR(__xludf.DUMMYFUNCTION(" VLOOKUP(A2140, IMPORTRANGE(""https://docs.google.com/spreadsheets/d/1fj_Bhi2XPL3siwIh4sx4VRLAe31yD50oKdj5UlRYW0c/"", ""Сводка!A:AA""), 5, FALSE)"),112)</f>
        <v>112</v>
      </c>
      <c r="H2143" s="12" t="s">
        <v>47</v>
      </c>
      <c r="I2143" s="10">
        <f ca="1">IFERROR(__xludf.DUMMYFUNCTION(" VLOOKUP(A2140, IMPORTRANGE(""https://docs.google.com/spreadsheets/d/1QNLbnkR_AongFt22vMfNzfpjZ0CjpI8QI-w0wBnYA1w/"", ""Инфа!A:AA""), 6, FALSE)"),2024)</f>
        <v>2024</v>
      </c>
      <c r="J2143" s="5">
        <f t="shared" ca="1" si="70"/>
        <v>8400</v>
      </c>
      <c r="K2143" s="12" t="s">
        <v>213</v>
      </c>
      <c r="L2143" s="15" t="s">
        <v>8685</v>
      </c>
    </row>
    <row r="2144" spans="1:12" ht="135">
      <c r="A2144" s="8" t="s">
        <v>8686</v>
      </c>
      <c r="B2144" s="9" t="s">
        <v>12</v>
      </c>
      <c r="C2144" s="10" t="s">
        <v>443</v>
      </c>
      <c r="D2144" s="10" t="str">
        <f ca="1">IFERROR(__xludf.DUMMYFUNCTION(" VLOOKUP(A2141, IMPORTRANGE(""https://docs.google.com/spreadsheets/d/1fj_Bhi2XPL3siwIh4sx4VRLAe31yD50oKdj5UlRYW0c/"", ""Сводка!A:AA""), 11, FALSE)"),"978-601-327-973-2")</f>
        <v>978-601-327-973-2</v>
      </c>
      <c r="E2144" s="11" t="s">
        <v>8677</v>
      </c>
      <c r="F2144" s="11" t="s">
        <v>8687</v>
      </c>
      <c r="G2144" s="12">
        <f ca="1">IFERROR(__xludf.DUMMYFUNCTION(" VLOOKUP(A2141, IMPORTRANGE(""https://docs.google.com/spreadsheets/d/1fj_Bhi2XPL3siwIh4sx4VRLAe31yD50oKdj5UlRYW0c/"", ""Сводка!A:AA""), 5, FALSE)"),120)</f>
        <v>120</v>
      </c>
      <c r="H2144" s="12" t="s">
        <v>538</v>
      </c>
      <c r="I2144" s="10">
        <f ca="1">IFERROR(__xludf.DUMMYFUNCTION(" VLOOKUP(A2141, IMPORTRANGE(""https://docs.google.com/spreadsheets/d/1QNLbnkR_AongFt22vMfNzfpjZ0CjpI8QI-w0wBnYA1w/"", ""Инфа!A:AA""), 6, FALSE)"),2024)</f>
        <v>2024</v>
      </c>
      <c r="J2144" s="5">
        <f t="shared" ca="1" si="70"/>
        <v>8600</v>
      </c>
      <c r="K2144" s="12" t="s">
        <v>213</v>
      </c>
      <c r="L2144" s="15" t="s">
        <v>8688</v>
      </c>
    </row>
    <row r="2145" spans="1:12" ht="213.75">
      <c r="A2145" s="8" t="s">
        <v>8689</v>
      </c>
      <c r="B2145" s="9" t="s">
        <v>12</v>
      </c>
      <c r="C2145" s="10" t="s">
        <v>151</v>
      </c>
      <c r="D2145" s="10" t="str">
        <f ca="1">IFERROR(__xludf.DUMMYFUNCTION(" VLOOKUP(A2142, IMPORTRANGE(""https://docs.google.com/spreadsheets/d/1fj_Bhi2XPL3siwIh4sx4VRLAe31yD50oKdj5UlRYW0c/"", ""Сводка!A:AA""), 11, FALSE)"),"978-601-240-773-0")</f>
        <v>978-601-240-773-0</v>
      </c>
      <c r="E2145" s="11" t="s">
        <v>8690</v>
      </c>
      <c r="F2145" s="11" t="s">
        <v>8691</v>
      </c>
      <c r="G2145" s="12">
        <f ca="1">IFERROR(__xludf.DUMMYFUNCTION(" VLOOKUP(A2142, IMPORTRANGE(""https://docs.google.com/spreadsheets/d/1fj_Bhi2XPL3siwIh4sx4VRLAe31yD50oKdj5UlRYW0c/"", ""Сводка!A:AA""), 5, FALSE)"),204)</f>
        <v>204</v>
      </c>
      <c r="H2145" s="12" t="s">
        <v>106</v>
      </c>
      <c r="I2145" s="10">
        <f ca="1">IFERROR(__xludf.DUMMYFUNCTION(" VLOOKUP(A2142, IMPORTRANGE(""https://docs.google.com/spreadsheets/d/1QNLbnkR_AongFt22vMfNzfpjZ0CjpI8QI-w0wBnYA1w/"", ""Инфа!A:AA""), 6, FALSE)"),2024)</f>
        <v>2024</v>
      </c>
      <c r="J2145" s="5">
        <f t="shared" ca="1" si="70"/>
        <v>11100</v>
      </c>
      <c r="K2145" s="12" t="s">
        <v>160</v>
      </c>
      <c r="L2145" s="15" t="s">
        <v>8692</v>
      </c>
    </row>
    <row r="2146" spans="1:12" ht="292.5">
      <c r="A2146" s="8" t="s">
        <v>8693</v>
      </c>
      <c r="B2146" s="9" t="s">
        <v>12</v>
      </c>
      <c r="C2146" s="10" t="s">
        <v>151</v>
      </c>
      <c r="D2146" s="10" t="str">
        <f ca="1">IFERROR(__xludf.DUMMYFUNCTION(" VLOOKUP(A2143, IMPORTRANGE(""https://docs.google.com/spreadsheets/d/1fj_Bhi2XPL3siwIh4sx4VRLAe31yD50oKdj5UlRYW0c/"", ""Сводка!A:AA""), 11, FALSE)"),"978-601-327-464-5")</f>
        <v>978-601-327-464-5</v>
      </c>
      <c r="E2146" s="11" t="s">
        <v>8694</v>
      </c>
      <c r="F2146" s="11" t="s">
        <v>8695</v>
      </c>
      <c r="G2146" s="12">
        <f ca="1">IFERROR(__xludf.DUMMYFUNCTION(" VLOOKUP(A2143, IMPORTRANGE(""https://docs.google.com/spreadsheets/d/1fj_Bhi2XPL3siwIh4sx4VRLAe31yD50oKdj5UlRYW0c/"", ""Сводка!A:AA""), 5, FALSE)"),288)</f>
        <v>288</v>
      </c>
      <c r="H2146" s="12" t="s">
        <v>165</v>
      </c>
      <c r="I2146" s="10">
        <f ca="1">IFERROR(__xludf.DUMMYFUNCTION(" VLOOKUP(A2143, IMPORTRANGE(""https://docs.google.com/spreadsheets/d/1QNLbnkR_AongFt22vMfNzfpjZ0CjpI8QI-w0wBnYA1w/"", ""Инфа!A:AA""), 6, FALSE)"),2024)</f>
        <v>2024</v>
      </c>
      <c r="J2146" s="5">
        <f t="shared" ca="1" si="70"/>
        <v>13600</v>
      </c>
      <c r="K2146" s="12" t="s">
        <v>248</v>
      </c>
      <c r="L2146" s="15" t="s">
        <v>8696</v>
      </c>
    </row>
    <row r="2147" spans="1:12" ht="258.75">
      <c r="A2147" s="8" t="s">
        <v>8697</v>
      </c>
      <c r="B2147" s="9" t="s">
        <v>12</v>
      </c>
      <c r="C2147" s="10" t="s">
        <v>151</v>
      </c>
      <c r="D2147" s="10" t="str">
        <f ca="1">IFERROR(__xludf.DUMMYFUNCTION(" VLOOKUP(A2144, IMPORTRANGE(""https://docs.google.com/spreadsheets/d/1fj_Bhi2XPL3siwIh4sx4VRLAe31yD50oKdj5UlRYW0c/"", ""Сводка!A:AA""), 11, FALSE)"),"978-601-240-619-1")</f>
        <v>978-601-240-619-1</v>
      </c>
      <c r="E2147" s="11" t="s">
        <v>8694</v>
      </c>
      <c r="F2147" s="11" t="s">
        <v>8698</v>
      </c>
      <c r="G2147" s="12">
        <f ca="1">IFERROR(__xludf.DUMMYFUNCTION(" VLOOKUP(A2144, IMPORTRANGE(""https://docs.google.com/spreadsheets/d/1fj_Bhi2XPL3siwIh4sx4VRLAe31yD50oKdj5UlRYW0c/"", ""Сводка!A:AA""), 5, FALSE)"),328)</f>
        <v>328</v>
      </c>
      <c r="H2147" s="12" t="s">
        <v>47</v>
      </c>
      <c r="I2147" s="10">
        <f ca="1">IFERROR(__xludf.DUMMYFUNCTION(" VLOOKUP(A2144, IMPORTRANGE(""https://docs.google.com/spreadsheets/d/1QNLbnkR_AongFt22vMfNzfpjZ0CjpI8QI-w0wBnYA1w/"", ""Инфа!A:AA""), 6, FALSE)"),2024)</f>
        <v>2024</v>
      </c>
      <c r="J2147" s="5">
        <f ca="1">ROUND((5000+G2147*60),-2)</f>
        <v>24700</v>
      </c>
      <c r="K2147" s="12" t="s">
        <v>248</v>
      </c>
      <c r="L2147" s="15" t="s">
        <v>8699</v>
      </c>
    </row>
    <row r="2148" spans="1:12" ht="225">
      <c r="A2148" s="8" t="s">
        <v>8700</v>
      </c>
      <c r="B2148" s="9" t="s">
        <v>12</v>
      </c>
      <c r="C2148" s="10" t="s">
        <v>151</v>
      </c>
      <c r="D2148" s="10" t="str">
        <f ca="1">IFERROR(__xludf.DUMMYFUNCTION(" VLOOKUP(A2145, IMPORTRANGE(""https://docs.google.com/spreadsheets/d/1fj_Bhi2XPL3siwIh4sx4VRLAe31yD50oKdj5UlRYW0c/"", ""Сводка!A:AA""), 11, FALSE)"),"978-601-327-547-5")</f>
        <v>978-601-327-547-5</v>
      </c>
      <c r="E2148" s="11" t="s">
        <v>8694</v>
      </c>
      <c r="F2148" s="11" t="s">
        <v>8701</v>
      </c>
      <c r="G2148" s="12">
        <f ca="1">IFERROR(__xludf.DUMMYFUNCTION(" VLOOKUP(A2145, IMPORTRANGE(""https://docs.google.com/spreadsheets/d/1fj_Bhi2XPL3siwIh4sx4VRLAe31yD50oKdj5UlRYW0c/"", ""Сводка!A:AA""), 5, FALSE)"),272)</f>
        <v>272</v>
      </c>
      <c r="H2148" s="12" t="s">
        <v>165</v>
      </c>
      <c r="I2148" s="10">
        <f ca="1">IFERROR(__xludf.DUMMYFUNCTION(" VLOOKUP(A2145, IMPORTRANGE(""https://docs.google.com/spreadsheets/d/1QNLbnkR_AongFt22vMfNzfpjZ0CjpI8QI-w0wBnYA1w/"", ""Инфа!A:AA""), 6, FALSE)"),2024)</f>
        <v>2024</v>
      </c>
      <c r="J2148" s="5">
        <f t="shared" ref="J2148:J2161" ca="1" si="71">ROUND((5000+G2148*30),-2)</f>
        <v>13200</v>
      </c>
      <c r="K2148" s="12" t="s">
        <v>248</v>
      </c>
      <c r="L2148" s="15" t="s">
        <v>8702</v>
      </c>
    </row>
    <row r="2149" spans="1:12" ht="247.5">
      <c r="A2149" s="8" t="s">
        <v>8703</v>
      </c>
      <c r="B2149" s="9" t="s">
        <v>12</v>
      </c>
      <c r="C2149" s="10" t="s">
        <v>151</v>
      </c>
      <c r="D2149" s="10" t="str">
        <f ca="1">IFERROR(__xludf.DUMMYFUNCTION(" VLOOKUP(A2146, IMPORTRANGE(""https://docs.google.com/spreadsheets/d/1fj_Bhi2XPL3siwIh4sx4VRLAe31yD50oKdj5UlRYW0c/"", ""Сводка!A:AA""), 11, FALSE)"),"978-601-327-991-6")</f>
        <v>978-601-327-991-6</v>
      </c>
      <c r="E2149" s="11" t="s">
        <v>8694</v>
      </c>
      <c r="F2149" s="11" t="s">
        <v>8704</v>
      </c>
      <c r="G2149" s="12">
        <f ca="1">IFERROR(__xludf.DUMMYFUNCTION(" VLOOKUP(A2146, IMPORTRANGE(""https://docs.google.com/spreadsheets/d/1fj_Bhi2XPL3siwIh4sx4VRLAe31yD50oKdj5UlRYW0c/"", ""Сводка!A:AA""), 5, FALSE)"),200)</f>
        <v>200</v>
      </c>
      <c r="H2149" s="12" t="s">
        <v>165</v>
      </c>
      <c r="I2149" s="10">
        <f ca="1">IFERROR(__xludf.DUMMYFUNCTION(" VLOOKUP(A2146, IMPORTRANGE(""https://docs.google.com/spreadsheets/d/1QNLbnkR_AongFt22vMfNzfpjZ0CjpI8QI-w0wBnYA1w/"", ""Инфа!A:AA""), 6, FALSE)"),2024)</f>
        <v>2024</v>
      </c>
      <c r="J2149" s="5">
        <f t="shared" ca="1" si="71"/>
        <v>11000</v>
      </c>
      <c r="K2149" s="12" t="s">
        <v>248</v>
      </c>
      <c r="L2149" s="15" t="s">
        <v>8705</v>
      </c>
    </row>
    <row r="2150" spans="1:12" ht="236.25">
      <c r="A2150" s="8" t="s">
        <v>8706</v>
      </c>
      <c r="B2150" s="9" t="s">
        <v>12</v>
      </c>
      <c r="C2150" s="10" t="s">
        <v>443</v>
      </c>
      <c r="D2150" s="10" t="str">
        <f ca="1">IFERROR(__xludf.DUMMYFUNCTION(" VLOOKUP(A2147, IMPORTRANGE(""https://docs.google.com/spreadsheets/d/1fj_Bhi2XPL3siwIh4sx4VRLAe31yD50oKdj5UlRYW0c/"", ""Сводка!A:AA""), 11, FALSE)"),"978-601-240-979-6")</f>
        <v>978-601-240-979-6</v>
      </c>
      <c r="E2150" s="11" t="s">
        <v>8707</v>
      </c>
      <c r="F2150" s="11" t="s">
        <v>2670</v>
      </c>
      <c r="G2150" s="12">
        <f ca="1">IFERROR(__xludf.DUMMYFUNCTION(" VLOOKUP(A2147, IMPORTRANGE(""https://docs.google.com/spreadsheets/d/1fj_Bhi2XPL3siwIh4sx4VRLAe31yD50oKdj5UlRYW0c/"", ""Сводка!A:AA""), 5, FALSE)"),240)</f>
        <v>240</v>
      </c>
      <c r="H2150" s="12" t="s">
        <v>511</v>
      </c>
      <c r="I2150" s="10">
        <f ca="1">IFERROR(__xludf.DUMMYFUNCTION(" VLOOKUP(A2147, IMPORTRANGE(""https://docs.google.com/spreadsheets/d/1QNLbnkR_AongFt22vMfNzfpjZ0CjpI8QI-w0wBnYA1w/"", ""Инфа!A:AA""), 6, FALSE)"),2024)</f>
        <v>2024</v>
      </c>
      <c r="J2150" s="5">
        <f t="shared" ca="1" si="71"/>
        <v>12200</v>
      </c>
      <c r="K2150" s="12" t="s">
        <v>248</v>
      </c>
      <c r="L2150" s="15" t="s">
        <v>8708</v>
      </c>
    </row>
    <row r="2151" spans="1:12" ht="157.5">
      <c r="A2151" s="8" t="s">
        <v>8709</v>
      </c>
      <c r="B2151" s="9" t="s">
        <v>12</v>
      </c>
      <c r="C2151" s="13" t="s">
        <v>151</v>
      </c>
      <c r="D2151" s="10" t="str">
        <f ca="1">IFERROR(__xludf.DUMMYFUNCTION(" VLOOKUP(A2148, IMPORTRANGE(""https://docs.google.com/spreadsheets/d/1fj_Bhi2XPL3siwIh4sx4VRLAe31yD50oKdj5UlRYW0c/"", ""Сводка!A:AA""), 11, FALSE)"),"978-601-310-945-9")</f>
        <v>978-601-310-945-9</v>
      </c>
      <c r="E2151" s="19" t="s">
        <v>8710</v>
      </c>
      <c r="F2151" s="19" t="s">
        <v>8711</v>
      </c>
      <c r="G2151" s="12">
        <f ca="1">IFERROR(__xludf.DUMMYFUNCTION(" VLOOKUP(A2148, IMPORTRANGE(""https://docs.google.com/spreadsheets/d/1fj_Bhi2XPL3siwIh4sx4VRLAe31yD50oKdj5UlRYW0c/"", ""Сводка!A:AA""), 5, FALSE)"),96)</f>
        <v>96</v>
      </c>
      <c r="H2151" s="9" t="s">
        <v>47</v>
      </c>
      <c r="I2151" s="10">
        <f ca="1">IFERROR(__xludf.DUMMYFUNCTION(" VLOOKUP(A2148, IMPORTRANGE(""https://docs.google.com/spreadsheets/d/1QNLbnkR_AongFt22vMfNzfpjZ0CjpI8QI-w0wBnYA1w/"", ""Инфа!A:AA""), 6, FALSE)"),2024)</f>
        <v>2024</v>
      </c>
      <c r="J2151" s="5">
        <f t="shared" ca="1" si="71"/>
        <v>7900</v>
      </c>
      <c r="K2151" s="9" t="s">
        <v>37</v>
      </c>
      <c r="L2151" s="21" t="s">
        <v>8712</v>
      </c>
    </row>
    <row r="2152" spans="1:12" ht="38.25">
      <c r="A2152" s="8" t="s">
        <v>8713</v>
      </c>
      <c r="B2152" s="9" t="s">
        <v>12</v>
      </c>
      <c r="C2152" s="10" t="s">
        <v>443</v>
      </c>
      <c r="D2152" s="10" t="str">
        <f ca="1">IFERROR(__xludf.DUMMYFUNCTION(" VLOOKUP(A2149, IMPORTRANGE(""https://docs.google.com/spreadsheets/d/1fj_Bhi2XPL3siwIh4sx4VRLAe31yD50oKdj5UlRYW0c/"", ""Сводка!A:AA""), 11, FALSE)"),"978-601-255-127-3")</f>
        <v>978-601-255-127-3</v>
      </c>
      <c r="E2152" s="11" t="s">
        <v>8714</v>
      </c>
      <c r="F2152" s="11" t="s">
        <v>8715</v>
      </c>
      <c r="G2152" s="12">
        <f ca="1">IFERROR(__xludf.DUMMYFUNCTION(" VLOOKUP(A2149, IMPORTRANGE(""https://docs.google.com/spreadsheets/d/1fj_Bhi2XPL3siwIh4sx4VRLAe31yD50oKdj5UlRYW0c/"", ""Сводка!A:AA""), 5, FALSE)"),188)</f>
        <v>188</v>
      </c>
      <c r="H2152" s="12" t="s">
        <v>538</v>
      </c>
      <c r="I2152" s="10">
        <f ca="1">IFERROR(__xludf.DUMMYFUNCTION(" VLOOKUP(A2149, IMPORTRANGE(""https://docs.google.com/spreadsheets/d/1QNLbnkR_AongFt22vMfNzfpjZ0CjpI8QI-w0wBnYA1w/"", ""Инфа!A:AA""), 6, FALSE)"),2024)</f>
        <v>2024</v>
      </c>
      <c r="J2152" s="5">
        <f t="shared" ca="1" si="71"/>
        <v>10600</v>
      </c>
      <c r="K2152" s="12" t="s">
        <v>213</v>
      </c>
      <c r="L2152" s="15"/>
    </row>
    <row r="2153" spans="1:12" ht="168.75">
      <c r="A2153" s="8" t="s">
        <v>8716</v>
      </c>
      <c r="B2153" s="9" t="s">
        <v>12</v>
      </c>
      <c r="C2153" s="10" t="s">
        <v>443</v>
      </c>
      <c r="D2153" s="10" t="str">
        <f ca="1">IFERROR(__xludf.DUMMYFUNCTION(" VLOOKUP(A2150, IMPORTRANGE(""https://docs.google.com/spreadsheets/d/1fj_Bhi2XPL3siwIh4sx4VRLAe31yD50oKdj5UlRYW0c/"", ""Сводка!A:AA""), 11, FALSE)"),"978-601-327-402-7")</f>
        <v>978-601-327-402-7</v>
      </c>
      <c r="E2153" s="11" t="s">
        <v>8714</v>
      </c>
      <c r="F2153" s="11" t="s">
        <v>8717</v>
      </c>
      <c r="G2153" s="12">
        <f ca="1">IFERROR(__xludf.DUMMYFUNCTION(" VLOOKUP(A2150, IMPORTRANGE(""https://docs.google.com/spreadsheets/d/1fj_Bhi2XPL3siwIh4sx4VRLAe31yD50oKdj5UlRYW0c/"", ""Сводка!A:AA""), 5, FALSE)"),164)</f>
        <v>164</v>
      </c>
      <c r="H2153" s="12" t="s">
        <v>8718</v>
      </c>
      <c r="I2153" s="10">
        <f ca="1">IFERROR(__xludf.DUMMYFUNCTION(" VLOOKUP(A2150, IMPORTRANGE(""https://docs.google.com/spreadsheets/d/1QNLbnkR_AongFt22vMfNzfpjZ0CjpI8QI-w0wBnYA1w/"", ""Инфа!A:AA""), 6, FALSE)"),2024)</f>
        <v>2024</v>
      </c>
      <c r="J2153" s="5">
        <f t="shared" ca="1" si="71"/>
        <v>9900</v>
      </c>
      <c r="K2153" s="12" t="s">
        <v>69</v>
      </c>
      <c r="L2153" s="15" t="s">
        <v>8719</v>
      </c>
    </row>
    <row r="2154" spans="1:12" ht="25.5">
      <c r="A2154" s="8" t="s">
        <v>8720</v>
      </c>
      <c r="B2154" s="9" t="s">
        <v>12</v>
      </c>
      <c r="C2154" s="10" t="s">
        <v>443</v>
      </c>
      <c r="D2154" s="10" t="str">
        <f ca="1">IFERROR(__xludf.DUMMYFUNCTION(" VLOOKUP(A2151, IMPORTRANGE(""https://docs.google.com/spreadsheets/d/1fj_Bhi2XPL3siwIh4sx4VRLAe31yD50oKdj5UlRYW0c/"", ""Сводка!A:AA""), 11, FALSE)"),"978-601-310-303-7")</f>
        <v>978-601-310-303-7</v>
      </c>
      <c r="E2154" s="11" t="s">
        <v>8721</v>
      </c>
      <c r="F2154" s="11" t="s">
        <v>8722</v>
      </c>
      <c r="G2154" s="12">
        <f ca="1">IFERROR(__xludf.DUMMYFUNCTION(" VLOOKUP(A2151, IMPORTRANGE(""https://docs.google.com/spreadsheets/d/1fj_Bhi2XPL3siwIh4sx4VRLAe31yD50oKdj5UlRYW0c/"", ""Сводка!A:AA""), 5, FALSE)"),120)</f>
        <v>120</v>
      </c>
      <c r="H2154" s="12" t="s">
        <v>538</v>
      </c>
      <c r="I2154" s="10">
        <f ca="1">IFERROR(__xludf.DUMMYFUNCTION(" VLOOKUP(A2151, IMPORTRANGE(""https://docs.google.com/spreadsheets/d/1QNLbnkR_AongFt22vMfNzfpjZ0CjpI8QI-w0wBnYA1w/"", ""Инфа!A:AA""), 6, FALSE)"),2024)</f>
        <v>2024</v>
      </c>
      <c r="J2154" s="5">
        <f t="shared" ca="1" si="71"/>
        <v>8600</v>
      </c>
      <c r="K2154" s="12" t="s">
        <v>213</v>
      </c>
      <c r="L2154" s="15"/>
    </row>
    <row r="2155" spans="1:12" ht="225">
      <c r="A2155" s="8" t="s">
        <v>8723</v>
      </c>
      <c r="B2155" s="9" t="s">
        <v>12</v>
      </c>
      <c r="C2155" s="10" t="s">
        <v>151</v>
      </c>
      <c r="D2155" s="10" t="str">
        <f ca="1">IFERROR(__xludf.DUMMYFUNCTION(" VLOOKUP(A2152, IMPORTRANGE(""https://docs.google.com/spreadsheets/d/1fj_Bhi2XPL3siwIh4sx4VRLAe31yD50oKdj5UlRYW0c/"", ""Сводка!A:AA""), 11, FALSE)"),"978-601-342-468-2")</f>
        <v>978-601-342-468-2</v>
      </c>
      <c r="E2155" s="11" t="s">
        <v>8724</v>
      </c>
      <c r="F2155" s="11" t="s">
        <v>8725</v>
      </c>
      <c r="G2155" s="12">
        <f ca="1">IFERROR(__xludf.DUMMYFUNCTION(" VLOOKUP(A2152, IMPORTRANGE(""https://docs.google.com/spreadsheets/d/1fj_Bhi2XPL3siwIh4sx4VRLAe31yD50oKdj5UlRYW0c/"", ""Сводка!A:AA""), 5, FALSE)"),140)</f>
        <v>140</v>
      </c>
      <c r="H2155" s="12" t="s">
        <v>8726</v>
      </c>
      <c r="I2155" s="10">
        <f ca="1">IFERROR(__xludf.DUMMYFUNCTION(" VLOOKUP(A2152, IMPORTRANGE(""https://docs.google.com/spreadsheets/d/1QNLbnkR_AongFt22vMfNzfpjZ0CjpI8QI-w0wBnYA1w/"", ""Инфа!A:AA""), 6, FALSE)"),2024)</f>
        <v>2024</v>
      </c>
      <c r="J2155" s="5">
        <f t="shared" ca="1" si="71"/>
        <v>9200</v>
      </c>
      <c r="K2155" s="12" t="s">
        <v>368</v>
      </c>
      <c r="L2155" s="15" t="s">
        <v>8727</v>
      </c>
    </row>
    <row r="2156" spans="1:12" ht="135">
      <c r="A2156" s="8" t="s">
        <v>8728</v>
      </c>
      <c r="B2156" s="9" t="s">
        <v>12</v>
      </c>
      <c r="C2156" s="10" t="s">
        <v>151</v>
      </c>
      <c r="D2156" s="10" t="str">
        <f ca="1">IFERROR(__xludf.DUMMYFUNCTION(" VLOOKUP(A2153, IMPORTRANGE(""https://docs.google.com/spreadsheets/d/1fj_Bhi2XPL3siwIh4sx4VRLAe31yD50oKdj5UlRYW0c/"", ""Сводка!A:AA""), 11, FALSE)"),"978-601-342-469-9")</f>
        <v>978-601-342-469-9</v>
      </c>
      <c r="E2156" s="11" t="s">
        <v>8724</v>
      </c>
      <c r="F2156" s="11" t="s">
        <v>8729</v>
      </c>
      <c r="G2156" s="12">
        <f ca="1">IFERROR(__xludf.DUMMYFUNCTION(" VLOOKUP(A2153, IMPORTRANGE(""https://docs.google.com/spreadsheets/d/1fj_Bhi2XPL3siwIh4sx4VRLAe31yD50oKdj5UlRYW0c/"", ""Сводка!A:AA""), 5, FALSE)"),84)</f>
        <v>84</v>
      </c>
      <c r="H2156" s="12" t="s">
        <v>8730</v>
      </c>
      <c r="I2156" s="10">
        <f ca="1">IFERROR(__xludf.DUMMYFUNCTION(" VLOOKUP(A2153, IMPORTRANGE(""https://docs.google.com/spreadsheets/d/1QNLbnkR_AongFt22vMfNzfpjZ0CjpI8QI-w0wBnYA1w/"", ""Инфа!A:AA""), 6, FALSE)"),2024)</f>
        <v>2024</v>
      </c>
      <c r="J2156" s="5">
        <f t="shared" ca="1" si="71"/>
        <v>7500</v>
      </c>
      <c r="K2156" s="12" t="s">
        <v>368</v>
      </c>
      <c r="L2156" s="15" t="s">
        <v>8731</v>
      </c>
    </row>
    <row r="2157" spans="1:12" ht="146.25">
      <c r="A2157" s="8" t="s">
        <v>8732</v>
      </c>
      <c r="B2157" s="9" t="s">
        <v>12</v>
      </c>
      <c r="C2157" s="10" t="s">
        <v>151</v>
      </c>
      <c r="D2157" s="10" t="str">
        <f ca="1">IFERROR(__xludf.DUMMYFUNCTION(" VLOOKUP(A2154, IMPORTRANGE(""https://docs.google.com/spreadsheets/d/1fj_Bhi2XPL3siwIh4sx4VRLAe31yD50oKdj5UlRYW0c/"", ""Сводка!A:AA""), 11, FALSE)"),"978-601-342-470-5")</f>
        <v>978-601-342-470-5</v>
      </c>
      <c r="E2157" s="11" t="s">
        <v>8733</v>
      </c>
      <c r="F2157" s="11" t="s">
        <v>8734</v>
      </c>
      <c r="G2157" s="12">
        <f ca="1">IFERROR(__xludf.DUMMYFUNCTION(" VLOOKUP(A2154, IMPORTRANGE(""https://docs.google.com/spreadsheets/d/1fj_Bhi2XPL3siwIh4sx4VRLAe31yD50oKdj5UlRYW0c/"", ""Сводка!A:AA""), 5, FALSE)"),136)</f>
        <v>136</v>
      </c>
      <c r="H2157" s="12" t="s">
        <v>8730</v>
      </c>
      <c r="I2157" s="10">
        <f ca="1">IFERROR(__xludf.DUMMYFUNCTION(" VLOOKUP(A2154, IMPORTRANGE(""https://docs.google.com/spreadsheets/d/1QNLbnkR_AongFt22vMfNzfpjZ0CjpI8QI-w0wBnYA1w/"", ""Инфа!A:AA""), 6, FALSE)"),2024)</f>
        <v>2024</v>
      </c>
      <c r="J2157" s="5">
        <f t="shared" ca="1" si="71"/>
        <v>9100</v>
      </c>
      <c r="K2157" s="12" t="s">
        <v>368</v>
      </c>
      <c r="L2157" s="15" t="s">
        <v>8735</v>
      </c>
    </row>
    <row r="2158" spans="1:12" ht="157.5">
      <c r="A2158" s="8" t="s">
        <v>8736</v>
      </c>
      <c r="B2158" s="9" t="s">
        <v>12</v>
      </c>
      <c r="C2158" s="10" t="s">
        <v>443</v>
      </c>
      <c r="D2158" s="10" t="str">
        <f ca="1">IFERROR(__xludf.DUMMYFUNCTION(" VLOOKUP(A2155, IMPORTRANGE(""https://docs.google.com/spreadsheets/d/1fj_Bhi2XPL3siwIh4sx4VRLAe31yD50oKdj5UlRYW0c/"", ""Сводка!A:AA""), 11, FALSE)"),"978-601-255-172-3")</f>
        <v>978-601-255-172-3</v>
      </c>
      <c r="E2158" s="11" t="s">
        <v>8737</v>
      </c>
      <c r="F2158" s="11" t="s">
        <v>8738</v>
      </c>
      <c r="G2158" s="12">
        <f ca="1">IFERROR(__xludf.DUMMYFUNCTION(" VLOOKUP(A2155, IMPORTRANGE(""https://docs.google.com/spreadsheets/d/1fj_Bhi2XPL3siwIh4sx4VRLAe31yD50oKdj5UlRYW0c/"", ""Сводка!A:AA""), 5, FALSE)"),208)</f>
        <v>208</v>
      </c>
      <c r="H2158" s="12" t="s">
        <v>446</v>
      </c>
      <c r="I2158" s="10">
        <f ca="1">IFERROR(__xludf.DUMMYFUNCTION(" VLOOKUP(A2155, IMPORTRANGE(""https://docs.google.com/spreadsheets/d/1QNLbnkR_AongFt22vMfNzfpjZ0CjpI8QI-w0wBnYA1w/"", ""Инфа!A:AA""), 6, FALSE)"),2024)</f>
        <v>2024</v>
      </c>
      <c r="J2158" s="5">
        <f t="shared" ca="1" si="71"/>
        <v>11200</v>
      </c>
      <c r="K2158" s="12" t="s">
        <v>368</v>
      </c>
      <c r="L2158" s="15" t="s">
        <v>8739</v>
      </c>
    </row>
    <row r="2159" spans="1:12" ht="202.5">
      <c r="A2159" s="8" t="s">
        <v>8740</v>
      </c>
      <c r="B2159" s="9" t="s">
        <v>12</v>
      </c>
      <c r="C2159" s="10" t="s">
        <v>151</v>
      </c>
      <c r="D2159" s="10" t="str">
        <f ca="1">IFERROR(__xludf.DUMMYFUNCTION(" VLOOKUP(A2156, IMPORTRANGE(""https://docs.google.com/spreadsheets/d/1fj_Bhi2XPL3siwIh4sx4VRLAe31yD50oKdj5UlRYW0c/"", ""Сводка!A:AA""), 11, FALSE)"),"978-601-342-467-5")</f>
        <v>978-601-342-467-5</v>
      </c>
      <c r="E2159" s="11" t="s">
        <v>8741</v>
      </c>
      <c r="F2159" s="11" t="s">
        <v>8742</v>
      </c>
      <c r="G2159" s="12">
        <f ca="1">IFERROR(__xludf.DUMMYFUNCTION(" VLOOKUP(A2156, IMPORTRANGE(""https://docs.google.com/spreadsheets/d/1fj_Bhi2XPL3siwIh4sx4VRLAe31yD50oKdj5UlRYW0c/"", ""Сводка!A:AA""), 5, FALSE)"),184)</f>
        <v>184</v>
      </c>
      <c r="H2159" s="12" t="s">
        <v>165</v>
      </c>
      <c r="I2159" s="10">
        <f ca="1">IFERROR(__xludf.DUMMYFUNCTION(" VLOOKUP(A2156, IMPORTRANGE(""https://docs.google.com/spreadsheets/d/1QNLbnkR_AongFt22vMfNzfpjZ0CjpI8QI-w0wBnYA1w/"", ""Инфа!A:AA""), 6, FALSE)"),2024)</f>
        <v>2024</v>
      </c>
      <c r="J2159" s="5">
        <f t="shared" ca="1" si="71"/>
        <v>10500</v>
      </c>
      <c r="K2159" s="12" t="s">
        <v>368</v>
      </c>
      <c r="L2159" s="15" t="s">
        <v>8743</v>
      </c>
    </row>
    <row r="2160" spans="1:12" ht="157.5">
      <c r="A2160" s="8" t="s">
        <v>8744</v>
      </c>
      <c r="B2160" s="9" t="s">
        <v>12</v>
      </c>
      <c r="C2160" s="10" t="s">
        <v>151</v>
      </c>
      <c r="D2160" s="10" t="str">
        <f ca="1">IFERROR(__xludf.DUMMYFUNCTION(" VLOOKUP(A2157, IMPORTRANGE(""https://docs.google.com/spreadsheets/d/1fj_Bhi2XPL3siwIh4sx4VRLAe31yD50oKdj5UlRYW0c/"", ""Сводка!A:AA""), 11, FALSE)"),"978-601-255-160-0")</f>
        <v>978-601-255-160-0</v>
      </c>
      <c r="E2160" s="11" t="s">
        <v>8745</v>
      </c>
      <c r="F2160" s="11" t="s">
        <v>8746</v>
      </c>
      <c r="G2160" s="12">
        <f ca="1">IFERROR(__xludf.DUMMYFUNCTION(" VLOOKUP(A2157, IMPORTRANGE(""https://docs.google.com/spreadsheets/d/1fj_Bhi2XPL3siwIh4sx4VRLAe31yD50oKdj5UlRYW0c/"", ""Сводка!A:AA""), 5, FALSE)"),252)</f>
        <v>252</v>
      </c>
      <c r="H2160" s="12" t="s">
        <v>165</v>
      </c>
      <c r="I2160" s="10">
        <f ca="1">IFERROR(__xludf.DUMMYFUNCTION(" VLOOKUP(A2157, IMPORTRANGE(""https://docs.google.com/spreadsheets/d/1QNLbnkR_AongFt22vMfNzfpjZ0CjpI8QI-w0wBnYA1w/"", ""Инфа!A:AA""), 6, FALSE)"),2024)</f>
        <v>2024</v>
      </c>
      <c r="J2160" s="5">
        <f t="shared" ca="1" si="71"/>
        <v>12600</v>
      </c>
      <c r="K2160" s="12" t="s">
        <v>368</v>
      </c>
      <c r="L2160" s="15" t="s">
        <v>8747</v>
      </c>
    </row>
    <row r="2161" spans="1:12" ht="213.75">
      <c r="A2161" s="8" t="s">
        <v>8748</v>
      </c>
      <c r="B2161" s="9" t="s">
        <v>12</v>
      </c>
      <c r="C2161" s="10" t="s">
        <v>443</v>
      </c>
      <c r="D2161" s="10" t="str">
        <f ca="1">IFERROR(__xludf.DUMMYFUNCTION(" VLOOKUP(A2158, IMPORTRANGE(""https://docs.google.com/spreadsheets/d/1fj_Bhi2XPL3siwIh4sx4VRLAe31yD50oKdj5UlRYW0c/"", ""Сводка!A:AA""), 11, FALSE)"),"978-601-255-159-4")</f>
        <v>978-601-255-159-4</v>
      </c>
      <c r="E2161" s="11" t="s">
        <v>8749</v>
      </c>
      <c r="F2161" s="11" t="s">
        <v>8750</v>
      </c>
      <c r="G2161" s="12">
        <f ca="1">IFERROR(__xludf.DUMMYFUNCTION(" VLOOKUP(A2158, IMPORTRANGE(""https://docs.google.com/spreadsheets/d/1fj_Bhi2XPL3siwIh4sx4VRLAe31yD50oKdj5UlRYW0c/"", ""Сводка!A:AA""), 5, FALSE)"),164)</f>
        <v>164</v>
      </c>
      <c r="H2161" s="12" t="s">
        <v>446</v>
      </c>
      <c r="I2161" s="10">
        <f ca="1">IFERROR(__xludf.DUMMYFUNCTION(" VLOOKUP(A2158, IMPORTRANGE(""https://docs.google.com/spreadsheets/d/1QNLbnkR_AongFt22vMfNzfpjZ0CjpI8QI-w0wBnYA1w/"", ""Инфа!A:AA""), 6, FALSE)"),2024)</f>
        <v>2024</v>
      </c>
      <c r="J2161" s="5">
        <f t="shared" ca="1" si="71"/>
        <v>9900</v>
      </c>
      <c r="K2161" s="12" t="s">
        <v>368</v>
      </c>
      <c r="L2161" s="15" t="s">
        <v>8751</v>
      </c>
    </row>
    <row r="2162" spans="1:12" ht="135">
      <c r="A2162" s="8" t="s">
        <v>8752</v>
      </c>
      <c r="B2162" s="9" t="s">
        <v>12</v>
      </c>
      <c r="C2162" s="10" t="s">
        <v>151</v>
      </c>
      <c r="D2162" s="10" t="str">
        <f ca="1">IFERROR(__xludf.DUMMYFUNCTION(" VLOOKUP(A2159, IMPORTRANGE(""https://docs.google.com/spreadsheets/d/1fj_Bhi2XPL3siwIh4sx4VRLAe31yD50oKdj5UlRYW0c/"", ""Сводка!A:AA""), 11, FALSE)"),"987-601-310-573-4")</f>
        <v>987-601-310-573-4</v>
      </c>
      <c r="E2162" s="11" t="s">
        <v>8753</v>
      </c>
      <c r="F2162" s="11" t="s">
        <v>8754</v>
      </c>
      <c r="G2162" s="12">
        <f ca="1">IFERROR(__xludf.DUMMYFUNCTION(" VLOOKUP(A2159, IMPORTRANGE(""https://docs.google.com/spreadsheets/d/1fj_Bhi2XPL3siwIh4sx4VRLAe31yD50oKdj5UlRYW0c/"", ""Сводка!A:AA""), 5, FALSE)"),168)</f>
        <v>168</v>
      </c>
      <c r="H2162" s="12" t="s">
        <v>498</v>
      </c>
      <c r="I2162" s="10">
        <f ca="1">IFERROR(__xludf.DUMMYFUNCTION(" VLOOKUP(A2159, IMPORTRANGE(""https://docs.google.com/spreadsheets/d/1QNLbnkR_AongFt22vMfNzfpjZ0CjpI8QI-w0wBnYA1w/"", ""Инфа!A:AA""), 6, FALSE)"),2024)</f>
        <v>2024</v>
      </c>
      <c r="J2162" s="5">
        <f ca="1">ROUND((5000+G2162*60),-2)</f>
        <v>15100</v>
      </c>
      <c r="K2162" s="12" t="s">
        <v>25</v>
      </c>
      <c r="L2162" s="15" t="s">
        <v>8755</v>
      </c>
    </row>
    <row r="2163" spans="1:12" ht="270">
      <c r="A2163" s="8" t="s">
        <v>8756</v>
      </c>
      <c r="B2163" s="9" t="s">
        <v>12</v>
      </c>
      <c r="C2163" s="10" t="s">
        <v>13</v>
      </c>
      <c r="D2163" s="10" t="str">
        <f ca="1">IFERROR(__xludf.DUMMYFUNCTION(" VLOOKUP(A2160, IMPORTRANGE(""https://docs.google.com/spreadsheets/d/1fj_Bhi2XPL3siwIh4sx4VRLAe31yD50oKdj5UlRYW0c/"", ""Сводка!A:AA""), 11, FALSE)"),"978-601-310-898-8")</f>
        <v>978-601-310-898-8</v>
      </c>
      <c r="E2163" s="11" t="s">
        <v>8757</v>
      </c>
      <c r="F2163" s="11" t="s">
        <v>8758</v>
      </c>
      <c r="G2163" s="12">
        <f ca="1">IFERROR(__xludf.DUMMYFUNCTION(" VLOOKUP(A2160, IMPORTRANGE(""https://docs.google.com/spreadsheets/d/1fj_Bhi2XPL3siwIh4sx4VRLAe31yD50oKdj5UlRYW0c/"", ""Сводка!A:AA""), 5, FALSE)"),340)</f>
        <v>340</v>
      </c>
      <c r="H2163" s="12"/>
      <c r="I2163" s="10">
        <f ca="1">IFERROR(__xludf.DUMMYFUNCTION(" VLOOKUP(A2160, IMPORTRANGE(""https://docs.google.com/spreadsheets/d/1QNLbnkR_AongFt22vMfNzfpjZ0CjpI8QI-w0wBnYA1w/"", ""Инфа!A:AA""), 6, FALSE)"),2024)</f>
        <v>2024</v>
      </c>
      <c r="J2163" s="5">
        <f ca="1">ROUND((5000+G2163*60),-2)</f>
        <v>25400</v>
      </c>
      <c r="K2163" s="12" t="s">
        <v>25</v>
      </c>
      <c r="L2163" s="15" t="s">
        <v>8759</v>
      </c>
    </row>
    <row r="2164" spans="1:12" ht="213.75">
      <c r="A2164" s="8" t="s">
        <v>8760</v>
      </c>
      <c r="B2164" s="9" t="s">
        <v>12</v>
      </c>
      <c r="C2164" s="10" t="s">
        <v>443</v>
      </c>
      <c r="D2164" s="10" t="str">
        <f ca="1">IFERROR(__xludf.DUMMYFUNCTION(" VLOOKUP(A2161, IMPORTRANGE(""https://docs.google.com/spreadsheets/d/1fj_Bhi2XPL3siwIh4sx4VRLAe31yD50oKdj5UlRYW0c/"", ""Сводка!A:AA""), 11, FALSE)"),"978-9965-32-788-9")</f>
        <v>978-9965-32-788-9</v>
      </c>
      <c r="E2164" s="11" t="s">
        <v>8761</v>
      </c>
      <c r="F2164" s="11" t="s">
        <v>8762</v>
      </c>
      <c r="G2164" s="12">
        <f ca="1">IFERROR(__xludf.DUMMYFUNCTION(" VLOOKUP(A2161, IMPORTRANGE(""https://docs.google.com/spreadsheets/d/1fj_Bhi2XPL3siwIh4sx4VRLAe31yD50oKdj5UlRYW0c/"", ""Сводка!A:AA""), 5, FALSE)"),176)</f>
        <v>176</v>
      </c>
      <c r="H2164" s="12" t="s">
        <v>538</v>
      </c>
      <c r="I2164" s="10">
        <f ca="1">IFERROR(__xludf.DUMMYFUNCTION(" VLOOKUP(A2161, IMPORTRANGE(""https://docs.google.com/spreadsheets/d/1QNLbnkR_AongFt22vMfNzfpjZ0CjpI8QI-w0wBnYA1w/"", ""Инфа!A:AA""), 6, FALSE)"),2024)</f>
        <v>2024</v>
      </c>
      <c r="J2164" s="5">
        <f ca="1">ROUND((5000+G2164*30),-2)</f>
        <v>10300</v>
      </c>
      <c r="K2164" s="12" t="s">
        <v>2421</v>
      </c>
      <c r="L2164" s="15" t="s">
        <v>8763</v>
      </c>
    </row>
    <row r="2165" spans="1:12" ht="25.5">
      <c r="A2165" s="8" t="s">
        <v>8764</v>
      </c>
      <c r="B2165" s="9" t="s">
        <v>12</v>
      </c>
      <c r="C2165" s="10" t="s">
        <v>443</v>
      </c>
      <c r="D2165" s="10" t="str">
        <f ca="1">IFERROR(__xludf.DUMMYFUNCTION(" VLOOKUP(A2162, IMPORTRANGE(""https://docs.google.com/spreadsheets/d/1fj_Bhi2XPL3siwIh4sx4VRLAe31yD50oKdj5UlRYW0c/"", ""Сводка!A:AA""), 11, FALSE)"),"978-601-06-1243-3")</f>
        <v>978-601-06-1243-3</v>
      </c>
      <c r="E2165" s="11" t="s">
        <v>8765</v>
      </c>
      <c r="F2165" s="11" t="s">
        <v>8766</v>
      </c>
      <c r="G2165" s="12">
        <f ca="1">IFERROR(__xludf.DUMMYFUNCTION(" VLOOKUP(A2162, IMPORTRANGE(""https://docs.google.com/spreadsheets/d/1fj_Bhi2XPL3siwIh4sx4VRLAe31yD50oKdj5UlRYW0c/"", ""Сводка!A:AA""), 5, FALSE)"),260)</f>
        <v>260</v>
      </c>
      <c r="H2165" s="12"/>
      <c r="I2165" s="10">
        <f ca="1">IFERROR(__xludf.DUMMYFUNCTION(" VLOOKUP(A2162, IMPORTRANGE(""https://docs.google.com/spreadsheets/d/1QNLbnkR_AongFt22vMfNzfpjZ0CjpI8QI-w0wBnYA1w/"", ""Инфа!A:AA""), 6, FALSE)"),2024)</f>
        <v>2024</v>
      </c>
      <c r="J2165" s="5">
        <f ca="1">ROUND((5000+G2165*30),-2)</f>
        <v>12800</v>
      </c>
      <c r="K2165" s="9" t="s">
        <v>101</v>
      </c>
      <c r="L2165" s="15"/>
    </row>
    <row r="2166" spans="1:12" ht="157.5">
      <c r="A2166" s="8" t="s">
        <v>8767</v>
      </c>
      <c r="B2166" s="9" t="s">
        <v>12</v>
      </c>
      <c r="C2166" s="10" t="s">
        <v>443</v>
      </c>
      <c r="D2166" s="10" t="str">
        <f ca="1">IFERROR(__xludf.DUMMYFUNCTION(" VLOOKUP(A2163, IMPORTRANGE(""https://docs.google.com/spreadsheets/d/1fj_Bhi2XPL3siwIh4sx4VRLAe31yD50oKdj5UlRYW0c/"", ""Сводка!A:AA""), 11, FALSE)"),"978-601-342-193-3")</f>
        <v>978-601-342-193-3</v>
      </c>
      <c r="E2166" s="11" t="s">
        <v>8768</v>
      </c>
      <c r="F2166" s="11" t="s">
        <v>8769</v>
      </c>
      <c r="G2166" s="12">
        <f ca="1">IFERROR(__xludf.DUMMYFUNCTION(" VLOOKUP(A2163, IMPORTRANGE(""https://docs.google.com/spreadsheets/d/1fj_Bhi2XPL3siwIh4sx4VRLAe31yD50oKdj5UlRYW0c/"", ""Сводка!A:AA""), 5, FALSE)"),340)</f>
        <v>340</v>
      </c>
      <c r="H2166" s="12" t="s">
        <v>777</v>
      </c>
      <c r="I2166" s="10">
        <f ca="1">IFERROR(__xludf.DUMMYFUNCTION(" VLOOKUP(A2163, IMPORTRANGE(""https://docs.google.com/spreadsheets/d/1QNLbnkR_AongFt22vMfNzfpjZ0CjpI8QI-w0wBnYA1w/"", ""Инфа!A:AA""), 6, FALSE)"),2024)</f>
        <v>2024</v>
      </c>
      <c r="J2166" s="5">
        <f ca="1">ROUND((5000+G2166*60),-2)</f>
        <v>25400</v>
      </c>
      <c r="K2166" s="12" t="s">
        <v>213</v>
      </c>
      <c r="L2166" s="31" t="s">
        <v>8770</v>
      </c>
    </row>
    <row r="2167" spans="1:12" ht="213.75">
      <c r="A2167" s="8" t="s">
        <v>8771</v>
      </c>
      <c r="B2167" s="9" t="s">
        <v>12</v>
      </c>
      <c r="C2167" s="10" t="s">
        <v>443</v>
      </c>
      <c r="D2167" s="10" t="str">
        <f ca="1">IFERROR(__xludf.DUMMYFUNCTION(" VLOOKUP(A2164, IMPORTRANGE(""https://docs.google.com/spreadsheets/d/1fj_Bhi2XPL3siwIh4sx4VRLAe31yD50oKdj5UlRYW0c/"", ""Сводка!A:AA""), 11, FALSE)"),"978-601-310-465-2")</f>
        <v>978-601-310-465-2</v>
      </c>
      <c r="E2167" s="11" t="s">
        <v>8772</v>
      </c>
      <c r="F2167" s="11" t="s">
        <v>8773</v>
      </c>
      <c r="G2167" s="12">
        <f ca="1">IFERROR(__xludf.DUMMYFUNCTION(" VLOOKUP(A2164, IMPORTRANGE(""https://docs.google.com/spreadsheets/d/1fj_Bhi2XPL3siwIh4sx4VRLAe31yD50oKdj5UlRYW0c/"", ""Сводка!A:AA""), 5, FALSE)"),168)</f>
        <v>168</v>
      </c>
      <c r="H2167" s="12" t="s">
        <v>538</v>
      </c>
      <c r="I2167" s="10">
        <f ca="1">IFERROR(__xludf.DUMMYFUNCTION(" VLOOKUP(A2164, IMPORTRANGE(""https://docs.google.com/spreadsheets/d/1QNLbnkR_AongFt22vMfNzfpjZ0CjpI8QI-w0wBnYA1w/"", ""Инфа!A:AA""), 6, FALSE)"),2024)</f>
        <v>2024</v>
      </c>
      <c r="J2167" s="5">
        <f ca="1">ROUND((5000+G2167*30),-2)</f>
        <v>10000</v>
      </c>
      <c r="K2167" s="12" t="s">
        <v>1147</v>
      </c>
      <c r="L2167" s="15" t="s">
        <v>8774</v>
      </c>
    </row>
    <row r="2168" spans="1:12" ht="281.25">
      <c r="A2168" s="8" t="s">
        <v>8775</v>
      </c>
      <c r="B2168" s="9" t="s">
        <v>12</v>
      </c>
      <c r="C2168" s="10" t="s">
        <v>151</v>
      </c>
      <c r="D2168" s="10" t="str">
        <f ca="1">IFERROR(__xludf.DUMMYFUNCTION(" VLOOKUP(A2165, IMPORTRANGE(""https://docs.google.com/spreadsheets/d/1fj_Bhi2XPL3siwIh4sx4VRLAe31yD50oKdj5UlRYW0c/"", ""Сводка!A:AA""), 11, FALSE)"),"978-601-310-906-0")</f>
        <v>978-601-310-906-0</v>
      </c>
      <c r="E2168" s="11" t="s">
        <v>8776</v>
      </c>
      <c r="F2168" s="11" t="s">
        <v>8777</v>
      </c>
      <c r="G2168" s="12">
        <f ca="1">IFERROR(__xludf.DUMMYFUNCTION(" VLOOKUP(A2165, IMPORTRANGE(""https://docs.google.com/spreadsheets/d/1fj_Bhi2XPL3siwIh4sx4VRLAe31yD50oKdj5UlRYW0c/"", ""Сводка!A:AA""), 5, FALSE)"),184)</f>
        <v>184</v>
      </c>
      <c r="H2168" s="12" t="s">
        <v>47</v>
      </c>
      <c r="I2168" s="10">
        <f ca="1">IFERROR(__xludf.DUMMYFUNCTION(" VLOOKUP(A2165, IMPORTRANGE(""https://docs.google.com/spreadsheets/d/1QNLbnkR_AongFt22vMfNzfpjZ0CjpI8QI-w0wBnYA1w/"", ""Инфа!A:AA""), 6, FALSE)"),2024)</f>
        <v>2024</v>
      </c>
      <c r="J2168" s="5">
        <f ca="1">ROUND((5000+G2168*60),-2)</f>
        <v>16000</v>
      </c>
      <c r="K2168" s="12" t="s">
        <v>1147</v>
      </c>
      <c r="L2168" s="15" t="s">
        <v>8778</v>
      </c>
    </row>
    <row r="2169" spans="1:12" ht="168.75">
      <c r="A2169" s="8" t="s">
        <v>8779</v>
      </c>
      <c r="B2169" s="9" t="s">
        <v>12</v>
      </c>
      <c r="C2169" s="10" t="s">
        <v>443</v>
      </c>
      <c r="D2169" s="10" t="str">
        <f ca="1">IFERROR(__xludf.DUMMYFUNCTION(" VLOOKUP(A2166, IMPORTRANGE(""https://docs.google.com/spreadsheets/d/1fj_Bhi2XPL3siwIh4sx4VRLAe31yD50oKdj5UlRYW0c/"", ""Сводка!A:AA""), 11, FALSE)"),"978-601-310-565-9")</f>
        <v>978-601-310-565-9</v>
      </c>
      <c r="E2169" s="11" t="s">
        <v>8780</v>
      </c>
      <c r="F2169" s="11" t="s">
        <v>8781</v>
      </c>
      <c r="G2169" s="12">
        <f ca="1">IFERROR(__xludf.DUMMYFUNCTION(" VLOOKUP(A2166, IMPORTRANGE(""https://docs.google.com/spreadsheets/d/1fj_Bhi2XPL3siwIh4sx4VRLAe31yD50oKdj5UlRYW0c/"", ""Сводка!A:AA""), 5, FALSE)"),228)</f>
        <v>228</v>
      </c>
      <c r="H2169" s="12" t="s">
        <v>538</v>
      </c>
      <c r="I2169" s="10">
        <f ca="1">IFERROR(__xludf.DUMMYFUNCTION(" VLOOKUP(A2166, IMPORTRANGE(""https://docs.google.com/spreadsheets/d/1QNLbnkR_AongFt22vMfNzfpjZ0CjpI8QI-w0wBnYA1w/"", ""Инфа!A:AA""), 6, FALSE)"),2024)</f>
        <v>2024</v>
      </c>
      <c r="J2169" s="5">
        <f ca="1">ROUND((5000+G2169*30),-2)</f>
        <v>11800</v>
      </c>
      <c r="K2169" s="12" t="s">
        <v>1147</v>
      </c>
      <c r="L2169" s="15" t="s">
        <v>8782</v>
      </c>
    </row>
    <row r="2170" spans="1:12" ht="38.25">
      <c r="A2170" s="8" t="s">
        <v>8783</v>
      </c>
      <c r="B2170" s="9" t="s">
        <v>12</v>
      </c>
      <c r="C2170" s="10" t="s">
        <v>443</v>
      </c>
      <c r="D2170" s="10" t="str">
        <f ca="1">IFERROR(__xludf.DUMMYFUNCTION(" VLOOKUP(A2167, IMPORTRANGE(""https://docs.google.com/spreadsheets/d/1fj_Bhi2XPL3siwIh4sx4VRLAe31yD50oKdj5UlRYW0c/"", ""Сводка!A:AA""), 11, FALSE)"),"978-601-240-182-0")</f>
        <v>978-601-240-182-0</v>
      </c>
      <c r="E2170" s="11" t="s">
        <v>8784</v>
      </c>
      <c r="F2170" s="11" t="s">
        <v>8785</v>
      </c>
      <c r="G2170" s="12">
        <f ca="1">IFERROR(__xludf.DUMMYFUNCTION(" VLOOKUP(A2167, IMPORTRANGE(""https://docs.google.com/spreadsheets/d/1fj_Bhi2XPL3siwIh4sx4VRLAe31yD50oKdj5UlRYW0c/"", ""Сводка!A:AA""), 5, FALSE)"),100)</f>
        <v>100</v>
      </c>
      <c r="H2170" s="12" t="s">
        <v>538</v>
      </c>
      <c r="I2170" s="10">
        <f ca="1">IFERROR(__xludf.DUMMYFUNCTION(" VLOOKUP(A2167, IMPORTRANGE(""https://docs.google.com/spreadsheets/d/1QNLbnkR_AongFt22vMfNzfpjZ0CjpI8QI-w0wBnYA1w/"", ""Инфа!A:AA""), 6, FALSE)"),2024)</f>
        <v>2024</v>
      </c>
      <c r="J2170" s="5">
        <f ca="1">ROUND((5000+G2170*30),-2)</f>
        <v>8000</v>
      </c>
      <c r="K2170" s="9" t="s">
        <v>616</v>
      </c>
      <c r="L2170" s="15"/>
    </row>
    <row r="2171" spans="1:12" ht="135">
      <c r="A2171" s="8" t="s">
        <v>8786</v>
      </c>
      <c r="B2171" s="9" t="s">
        <v>12</v>
      </c>
      <c r="C2171" s="10" t="s">
        <v>151</v>
      </c>
      <c r="D2171" s="10" t="str">
        <f ca="1">IFERROR(__xludf.DUMMYFUNCTION(" VLOOKUP(A2168, IMPORTRANGE(""https://docs.google.com/spreadsheets/d/1fj_Bhi2XPL3siwIh4sx4VRLAe31yD50oKdj5UlRYW0c/"", ""Сводка!A:AA""), 11, FALSE)"),"978-601-327-468-3")</f>
        <v>978-601-327-468-3</v>
      </c>
      <c r="E2171" s="11" t="s">
        <v>8787</v>
      </c>
      <c r="F2171" s="11" t="s">
        <v>8788</v>
      </c>
      <c r="G2171" s="12">
        <f ca="1">IFERROR(__xludf.DUMMYFUNCTION(" VLOOKUP(A2168, IMPORTRANGE(""https://docs.google.com/spreadsheets/d/1fj_Bhi2XPL3siwIh4sx4VRLAe31yD50oKdj5UlRYW0c/"", ""Сводка!A:AA""), 5, FALSE)"),164)</f>
        <v>164</v>
      </c>
      <c r="H2171" s="12" t="s">
        <v>165</v>
      </c>
      <c r="I2171" s="10">
        <f ca="1">IFERROR(__xludf.DUMMYFUNCTION(" VLOOKUP(A2168, IMPORTRANGE(""https://docs.google.com/spreadsheets/d/1QNLbnkR_AongFt22vMfNzfpjZ0CjpI8QI-w0wBnYA1w/"", ""Инфа!A:AA""), 6, FALSE)"),2024)</f>
        <v>2024</v>
      </c>
      <c r="J2171" s="5">
        <f ca="1">ROUND((5000+G2171*30),-2)</f>
        <v>9900</v>
      </c>
      <c r="K2171" s="9" t="s">
        <v>408</v>
      </c>
      <c r="L2171" s="15" t="s">
        <v>8789</v>
      </c>
    </row>
    <row r="2172" spans="1:12" ht="135">
      <c r="A2172" s="8" t="s">
        <v>8790</v>
      </c>
      <c r="B2172" s="9" t="s">
        <v>12</v>
      </c>
      <c r="C2172" s="10" t="s">
        <v>151</v>
      </c>
      <c r="D2172" s="10" t="str">
        <f ca="1">IFERROR(__xludf.DUMMYFUNCTION(" VLOOKUP(A2169, IMPORTRANGE(""https://docs.google.com/spreadsheets/d/1fj_Bhi2XPL3siwIh4sx4VRLAe31yD50oKdj5UlRYW0c/"", ""Сводка!A:AA""), 11, FALSE)"),"978-601-240-774-7")</f>
        <v>978-601-240-774-7</v>
      </c>
      <c r="E2172" s="11" t="s">
        <v>8791</v>
      </c>
      <c r="F2172" s="11" t="s">
        <v>8792</v>
      </c>
      <c r="G2172" s="12">
        <f ca="1">IFERROR(__xludf.DUMMYFUNCTION(" VLOOKUP(A2169, IMPORTRANGE(""https://docs.google.com/spreadsheets/d/1fj_Bhi2XPL3siwIh4sx4VRLAe31yD50oKdj5UlRYW0c/"", ""Сводка!A:AA""), 5, FALSE)"),280)</f>
        <v>280</v>
      </c>
      <c r="H2172" s="12" t="s">
        <v>47</v>
      </c>
      <c r="I2172" s="10">
        <f ca="1">IFERROR(__xludf.DUMMYFUNCTION(" VLOOKUP(A2169, IMPORTRANGE(""https://docs.google.com/spreadsheets/d/1QNLbnkR_AongFt22vMfNzfpjZ0CjpI8QI-w0wBnYA1w/"", ""Инфа!A:AA""), 6, FALSE)"),2024)</f>
        <v>2024</v>
      </c>
      <c r="J2172" s="5">
        <f ca="1">ROUND((5000+G2172*30),-2)</f>
        <v>13400</v>
      </c>
      <c r="K2172" s="9" t="s">
        <v>758</v>
      </c>
      <c r="L2172" s="15" t="s">
        <v>8793</v>
      </c>
    </row>
    <row r="2173" spans="1:12" ht="180">
      <c r="A2173" s="8" t="s">
        <v>8794</v>
      </c>
      <c r="B2173" s="9" t="s">
        <v>12</v>
      </c>
      <c r="C2173" s="10" t="s">
        <v>443</v>
      </c>
      <c r="D2173" s="10" t="str">
        <f ca="1">IFERROR(__xludf.DUMMYFUNCTION(" VLOOKUP(A2170, IMPORTRANGE(""https://docs.google.com/spreadsheets/d/1fj_Bhi2XPL3siwIh4sx4VRLAe31yD50oKdj5UlRYW0c/"", ""Сводка!A:AA""), 11, FALSE)"),"9965-680-99-х")</f>
        <v>9965-680-99-х</v>
      </c>
      <c r="E2173" s="11" t="s">
        <v>8795</v>
      </c>
      <c r="F2173" s="11" t="s">
        <v>8796</v>
      </c>
      <c r="G2173" s="12">
        <f ca="1">IFERROR(__xludf.DUMMYFUNCTION(" VLOOKUP(A2170, IMPORTRANGE(""https://docs.google.com/spreadsheets/d/1fj_Bhi2XPL3siwIh4sx4VRLAe31yD50oKdj5UlRYW0c/"", ""Сводка!A:AA""), 5, FALSE)"),240)</f>
        <v>240</v>
      </c>
      <c r="H2173" s="12" t="s">
        <v>511</v>
      </c>
      <c r="I2173" s="10">
        <f ca="1">IFERROR(__xludf.DUMMYFUNCTION(" VLOOKUP(A2170, IMPORTRANGE(""https://docs.google.com/spreadsheets/d/1QNLbnkR_AongFt22vMfNzfpjZ0CjpI8QI-w0wBnYA1w/"", ""Инфа!A:AA""), 6, FALSE)"),2024)</f>
        <v>2024</v>
      </c>
      <c r="J2173" s="5">
        <f ca="1">ROUND((5000+G2173*60),-2)</f>
        <v>19400</v>
      </c>
      <c r="K2173" s="12" t="s">
        <v>308</v>
      </c>
      <c r="L2173" s="15" t="s">
        <v>8797</v>
      </c>
    </row>
    <row r="2174" spans="1:12" ht="146.25">
      <c r="A2174" s="8" t="s">
        <v>8798</v>
      </c>
      <c r="B2174" s="9" t="s">
        <v>12</v>
      </c>
      <c r="C2174" s="10" t="s">
        <v>151</v>
      </c>
      <c r="D2174" s="10" t="str">
        <f ca="1">IFERROR(__xludf.DUMMYFUNCTION(" VLOOKUP(A2171, IMPORTRANGE(""https://docs.google.com/spreadsheets/d/1fj_Bhi2XPL3siwIh4sx4VRLAe31yD50oKdj5UlRYW0c/"", ""Сводка!A:AA""), 11, FALSE)"),"978-601-342-515-3")</f>
        <v>978-601-342-515-3</v>
      </c>
      <c r="E2174" s="11" t="s">
        <v>8799</v>
      </c>
      <c r="F2174" s="11" t="s">
        <v>8800</v>
      </c>
      <c r="G2174" s="12">
        <f ca="1">IFERROR(__xludf.DUMMYFUNCTION(" VLOOKUP(A2171, IMPORTRANGE(""https://docs.google.com/spreadsheets/d/1fj_Bhi2XPL3siwIh4sx4VRLAe31yD50oKdj5UlRYW0c/"", ""Сводка!A:AA""), 5, FALSE)"),108)</f>
        <v>108</v>
      </c>
      <c r="H2174" s="12" t="s">
        <v>282</v>
      </c>
      <c r="I2174" s="10">
        <f ca="1">IFERROR(__xludf.DUMMYFUNCTION(" VLOOKUP(A2171, IMPORTRANGE(""https://docs.google.com/spreadsheets/d/1QNLbnkR_AongFt22vMfNzfpjZ0CjpI8QI-w0wBnYA1w/"", ""Инфа!A:AA""), 6, FALSE)"),2024)</f>
        <v>2024</v>
      </c>
      <c r="J2174" s="5">
        <f ca="1">ROUND((5000+G2174*30),-2)</f>
        <v>8200</v>
      </c>
      <c r="K2174" s="12" t="s">
        <v>139</v>
      </c>
      <c r="L2174" s="16" t="s">
        <v>8801</v>
      </c>
    </row>
    <row r="2175" spans="1:12" ht="213.75">
      <c r="A2175" s="8" t="s">
        <v>8802</v>
      </c>
      <c r="B2175" s="9" t="s">
        <v>12</v>
      </c>
      <c r="C2175" s="10" t="s">
        <v>443</v>
      </c>
      <c r="D2175" s="10" t="str">
        <f ca="1">IFERROR(__xludf.DUMMYFUNCTION(" VLOOKUP(A2172, IMPORTRANGE(""https://docs.google.com/spreadsheets/d/1fj_Bhi2XPL3siwIh4sx4VRLAe31yD50oKdj5UlRYW0c/"", ""Сводка!A:AA""), 11, FALSE)"),"978-601-310-879-7")</f>
        <v>978-601-310-879-7</v>
      </c>
      <c r="E2175" s="11" t="s">
        <v>8803</v>
      </c>
      <c r="F2175" s="11" t="s">
        <v>3382</v>
      </c>
      <c r="G2175" s="12">
        <f ca="1">IFERROR(__xludf.DUMMYFUNCTION(" VLOOKUP(A2172, IMPORTRANGE(""https://docs.google.com/spreadsheets/d/1fj_Bhi2XPL3siwIh4sx4VRLAe31yD50oKdj5UlRYW0c/"", ""Сводка!A:AA""), 5, FALSE)"),164)</f>
        <v>164</v>
      </c>
      <c r="H2175" s="12" t="s">
        <v>538</v>
      </c>
      <c r="I2175" s="10">
        <f ca="1">IFERROR(__xludf.DUMMYFUNCTION(" VLOOKUP(A2172, IMPORTRANGE(""https://docs.google.com/spreadsheets/d/1QNLbnkR_AongFt22vMfNzfpjZ0CjpI8QI-w0wBnYA1w/"", ""Инфа!A:AA""), 6, FALSE)"),2024)</f>
        <v>2024</v>
      </c>
      <c r="J2175" s="5">
        <f ca="1">ROUND((5000+G2175*30),-2)</f>
        <v>9900</v>
      </c>
      <c r="K2175" s="9" t="s">
        <v>69</v>
      </c>
      <c r="L2175" s="15" t="s">
        <v>8804</v>
      </c>
    </row>
    <row r="2176" spans="1:12" ht="146.25">
      <c r="A2176" s="8" t="s">
        <v>8805</v>
      </c>
      <c r="B2176" s="9" t="s">
        <v>12</v>
      </c>
      <c r="C2176" s="10" t="s">
        <v>151</v>
      </c>
      <c r="D2176" s="10" t="str">
        <f ca="1">IFERROR(__xludf.DUMMYFUNCTION(" VLOOKUP(A2173, IMPORTRANGE(""https://docs.google.com/spreadsheets/d/1fj_Bhi2XPL3siwIh4sx4VRLAe31yD50oKdj5UlRYW0c/"", ""Сводка!A:AA""), 11, FALSE)"),"978-601-240-065-6")</f>
        <v>978-601-240-065-6</v>
      </c>
      <c r="E2176" s="11" t="s">
        <v>8806</v>
      </c>
      <c r="F2176" s="11" t="s">
        <v>8807</v>
      </c>
      <c r="G2176" s="12">
        <f ca="1">IFERROR(__xludf.DUMMYFUNCTION(" VLOOKUP(A2173, IMPORTRANGE(""https://docs.google.com/spreadsheets/d/1fj_Bhi2XPL3siwIh4sx4VRLAe31yD50oKdj5UlRYW0c/"", ""Сводка!A:AA""), 5, FALSE)"),272)</f>
        <v>272</v>
      </c>
      <c r="H2176" s="12" t="s">
        <v>47</v>
      </c>
      <c r="I2176" s="10">
        <f ca="1">IFERROR(__xludf.DUMMYFUNCTION(" VLOOKUP(A2173, IMPORTRANGE(""https://docs.google.com/spreadsheets/d/1QNLbnkR_AongFt22vMfNzfpjZ0CjpI8QI-w0wBnYA1w/"", ""Инфа!A:AA""), 6, FALSE)"),2024)</f>
        <v>2024</v>
      </c>
      <c r="J2176" s="5">
        <f ca="1">ROUND((5000+G2176*30),-2)</f>
        <v>13200</v>
      </c>
      <c r="K2176" s="9" t="s">
        <v>619</v>
      </c>
      <c r="L2176" s="15" t="s">
        <v>8808</v>
      </c>
    </row>
    <row r="2177" spans="1:12" ht="157.5">
      <c r="A2177" s="8" t="s">
        <v>8809</v>
      </c>
      <c r="B2177" s="9" t="s">
        <v>12</v>
      </c>
      <c r="C2177" s="10" t="s">
        <v>443</v>
      </c>
      <c r="D2177" s="10" t="str">
        <f ca="1">IFERROR(__xludf.DUMMYFUNCTION(" VLOOKUP(A2174, IMPORTRANGE(""https://docs.google.com/spreadsheets/d/1fj_Bhi2XPL3siwIh4sx4VRLAe31yD50oKdj5UlRYW0c/"", ""Сводка!A:AA""), 11, FALSE)"),"978-601-240-804-1")</f>
        <v>978-601-240-804-1</v>
      </c>
      <c r="E2177" s="11" t="s">
        <v>8810</v>
      </c>
      <c r="F2177" s="11" t="s">
        <v>8811</v>
      </c>
      <c r="G2177" s="12">
        <f ca="1">IFERROR(__xludf.DUMMYFUNCTION(" VLOOKUP(A2174, IMPORTRANGE(""https://docs.google.com/spreadsheets/d/1fj_Bhi2XPL3siwIh4sx4VRLAe31yD50oKdj5UlRYW0c/"", ""Сводка!A:AA""), 5, FALSE)"),304)</f>
        <v>304</v>
      </c>
      <c r="H2177" s="12" t="s">
        <v>538</v>
      </c>
      <c r="I2177" s="10">
        <f ca="1">IFERROR(__xludf.DUMMYFUNCTION(" VLOOKUP(A2174, IMPORTRANGE(""https://docs.google.com/spreadsheets/d/1QNLbnkR_AongFt22vMfNzfpjZ0CjpI8QI-w0wBnYA1w/"", ""Инфа!A:AA""), 6, FALSE)"),2024)</f>
        <v>2024</v>
      </c>
      <c r="J2177" s="5">
        <f ca="1">ROUND(((5000+G2177*30)*1.3),-2)</f>
        <v>18400</v>
      </c>
      <c r="K2177" s="9" t="s">
        <v>619</v>
      </c>
      <c r="L2177" s="15" t="s">
        <v>8812</v>
      </c>
    </row>
    <row r="2178" spans="1:12" ht="135">
      <c r="A2178" s="8" t="s">
        <v>8813</v>
      </c>
      <c r="B2178" s="9" t="s">
        <v>12</v>
      </c>
      <c r="C2178" s="10" t="s">
        <v>151</v>
      </c>
      <c r="D2178" s="10" t="str">
        <f ca="1">IFERROR(__xludf.DUMMYFUNCTION(" VLOOKUP(A2175, IMPORTRANGE(""https://docs.google.com/spreadsheets/d/1fj_Bhi2XPL3siwIh4sx4VRLAe31yD50oKdj5UlRYW0c/"", ""Сводка!A:AA""), 11, FALSE)"),"978-601-240-804-1")</f>
        <v>978-601-240-804-1</v>
      </c>
      <c r="E2178" s="11" t="s">
        <v>8814</v>
      </c>
      <c r="F2178" s="11" t="s">
        <v>8815</v>
      </c>
      <c r="G2178" s="12">
        <v>222</v>
      </c>
      <c r="H2178" s="12" t="s">
        <v>106</v>
      </c>
      <c r="I2178" s="10">
        <f ca="1">IFERROR(__xludf.DUMMYFUNCTION(" VLOOKUP(A2175, IMPORTRANGE(""https://docs.google.com/spreadsheets/d/1QNLbnkR_AongFt22vMfNzfpjZ0CjpI8QI-w0wBnYA1w/"", ""Инфа!A:AA""), 6, FALSE)"),2024)</f>
        <v>2024</v>
      </c>
      <c r="J2178" s="5">
        <f>ROUND(((5000+G2178*30)*1.3),-2)</f>
        <v>15200</v>
      </c>
      <c r="K2178" s="9" t="s">
        <v>619</v>
      </c>
      <c r="L2178" s="15" t="s">
        <v>8816</v>
      </c>
    </row>
    <row r="2179" spans="1:12" ht="38.25">
      <c r="A2179" s="8" t="s">
        <v>8817</v>
      </c>
      <c r="B2179" s="9" t="s">
        <v>12</v>
      </c>
      <c r="C2179" s="10" t="s">
        <v>151</v>
      </c>
      <c r="D2179" s="10" t="str">
        <f ca="1">IFERROR(__xludf.DUMMYFUNCTION(" VLOOKUP(A2176, IMPORTRANGE(""https://docs.google.com/spreadsheets/d/1fj_Bhi2XPL3siwIh4sx4VRLAe31yD50oKdj5UlRYW0c/"", ""Сводка!A:AA""), 11, FALSE)"),"9965-680-97-3")</f>
        <v>9965-680-97-3</v>
      </c>
      <c r="E2179" s="11" t="s">
        <v>8818</v>
      </c>
      <c r="F2179" s="11" t="s">
        <v>8819</v>
      </c>
      <c r="G2179" s="12">
        <f ca="1">IFERROR(__xludf.DUMMYFUNCTION(" VLOOKUP(A2176, IMPORTRANGE(""https://docs.google.com/spreadsheets/d/1fj_Bhi2XPL3siwIh4sx4VRLAe31yD50oKdj5UlRYW0c/"", ""Сводка!A:AA""), 5, FALSE)"),280)</f>
        <v>280</v>
      </c>
      <c r="H2179" s="12" t="s">
        <v>498</v>
      </c>
      <c r="I2179" s="10">
        <f ca="1">IFERROR(__xludf.DUMMYFUNCTION(" VLOOKUP(A2176, IMPORTRANGE(""https://docs.google.com/spreadsheets/d/1QNLbnkR_AongFt22vMfNzfpjZ0CjpI8QI-w0wBnYA1w/"", ""Инфа!A:AA""), 6, FALSE)"),2024)</f>
        <v>2024</v>
      </c>
      <c r="J2179" s="5">
        <f ca="1">ROUND((5000+G2179*30),-2)</f>
        <v>13400</v>
      </c>
      <c r="K2179" s="12" t="s">
        <v>8097</v>
      </c>
      <c r="L2179" s="15"/>
    </row>
    <row r="2180" spans="1:12" ht="51">
      <c r="A2180" s="8" t="s">
        <v>8820</v>
      </c>
      <c r="B2180" s="9" t="s">
        <v>12</v>
      </c>
      <c r="C2180" s="10" t="s">
        <v>151</v>
      </c>
      <c r="D2180" s="10" t="str">
        <f ca="1">IFERROR(__xludf.DUMMYFUNCTION(" VLOOKUP(A2177, IMPORTRANGE(""https://docs.google.com/spreadsheets/d/1fj_Bhi2XPL3siwIh4sx4VRLAe31yD50oKdj5UlRYW0c/"", ""Сводка!A:AA""), 11, FALSE)"),"")</f>
        <v/>
      </c>
      <c r="E2180" s="11" t="s">
        <v>8821</v>
      </c>
      <c r="F2180" s="11" t="s">
        <v>8822</v>
      </c>
      <c r="G2180" s="12">
        <f ca="1">IFERROR(__xludf.DUMMYFUNCTION(" VLOOKUP(A2177, IMPORTRANGE(""https://docs.google.com/spreadsheets/d/1fj_Bhi2XPL3siwIh4sx4VRLAe31yD50oKdj5UlRYW0c/"", ""Сводка!A:AA""), 5, FALSE)"),260)</f>
        <v>260</v>
      </c>
      <c r="H2180" s="12" t="s">
        <v>47</v>
      </c>
      <c r="I2180" s="10">
        <f ca="1">IFERROR(__xludf.DUMMYFUNCTION(" VLOOKUP(A2177, IMPORTRANGE(""https://docs.google.com/spreadsheets/d/1QNLbnkR_AongFt22vMfNzfpjZ0CjpI8QI-w0wBnYA1w/"", ""Инфа!A:AA""), 6, FALSE)"),2024)</f>
        <v>2024</v>
      </c>
      <c r="J2180" s="5">
        <f ca="1">ROUND((5000+G2180*60),-2)</f>
        <v>20600</v>
      </c>
      <c r="K2180" s="12" t="s">
        <v>1581</v>
      </c>
      <c r="L2180" s="15"/>
    </row>
    <row r="2181" spans="1:12" ht="38.25">
      <c r="A2181" s="8" t="s">
        <v>8823</v>
      </c>
      <c r="B2181" s="9" t="s">
        <v>12</v>
      </c>
      <c r="C2181" s="10" t="s">
        <v>151</v>
      </c>
      <c r="D2181" s="10" t="str">
        <f ca="1">IFERROR(__xludf.DUMMYFUNCTION(" VLOOKUP(A2178, IMPORTRANGE(""https://docs.google.com/spreadsheets/d/1fj_Bhi2XPL3siwIh4sx4VRLAe31yD50oKdj5UlRYW0c/"", ""Сводка!A:AA""), 11, FALSE)"),"9965-593-31-0")</f>
        <v>9965-593-31-0</v>
      </c>
      <c r="E2181" s="11" t="s">
        <v>8821</v>
      </c>
      <c r="F2181" s="11" t="s">
        <v>8824</v>
      </c>
      <c r="G2181" s="12">
        <f ca="1">IFERROR(__xludf.DUMMYFUNCTION(" VLOOKUP(A2178, IMPORTRANGE(""https://docs.google.com/spreadsheets/d/1fj_Bhi2XPL3siwIh4sx4VRLAe31yD50oKdj5UlRYW0c/"", ""Сводка!A:AA""), 5, FALSE)"),312)</f>
        <v>312</v>
      </c>
      <c r="H2181" s="12" t="s">
        <v>47</v>
      </c>
      <c r="I2181" s="10">
        <f ca="1">IFERROR(__xludf.DUMMYFUNCTION(" VLOOKUP(A2178, IMPORTRANGE(""https://docs.google.com/spreadsheets/d/1QNLbnkR_AongFt22vMfNzfpjZ0CjpI8QI-w0wBnYA1w/"", ""Инфа!A:AA""), 6, FALSE)"),2024)</f>
        <v>2024</v>
      </c>
      <c r="J2181" s="5">
        <f ca="1">ROUND((5000+G2181*30),-2)</f>
        <v>14400</v>
      </c>
      <c r="K2181" s="12" t="s">
        <v>1219</v>
      </c>
      <c r="L2181" s="15"/>
    </row>
    <row r="2182" spans="1:12" ht="38.25">
      <c r="A2182" s="8" t="s">
        <v>8825</v>
      </c>
      <c r="B2182" s="9" t="s">
        <v>12</v>
      </c>
      <c r="C2182" s="10" t="s">
        <v>151</v>
      </c>
      <c r="D2182" s="10" t="str">
        <f ca="1">IFERROR(__xludf.DUMMYFUNCTION(" VLOOKUP(A2179, IMPORTRANGE(""https://docs.google.com/spreadsheets/d/1fj_Bhi2XPL3siwIh4sx4VRLAe31yD50oKdj5UlRYW0c/"", ""Сводка!A:AA""), 11, FALSE)"),"9965-593-32-9")</f>
        <v>9965-593-32-9</v>
      </c>
      <c r="E2182" s="11" t="s">
        <v>8821</v>
      </c>
      <c r="F2182" s="11" t="s">
        <v>8826</v>
      </c>
      <c r="G2182" s="12">
        <f ca="1">IFERROR(__xludf.DUMMYFUNCTION(" VLOOKUP(A2179, IMPORTRANGE(""https://docs.google.com/spreadsheets/d/1fj_Bhi2XPL3siwIh4sx4VRLAe31yD50oKdj5UlRYW0c/"", ""Сводка!A:AA""), 5, FALSE)"),148)</f>
        <v>148</v>
      </c>
      <c r="H2182" s="12" t="s">
        <v>47</v>
      </c>
      <c r="I2182" s="10">
        <f ca="1">IFERROR(__xludf.DUMMYFUNCTION(" VLOOKUP(A2179, IMPORTRANGE(""https://docs.google.com/spreadsheets/d/1QNLbnkR_AongFt22vMfNzfpjZ0CjpI8QI-w0wBnYA1w/"", ""Инфа!A:AA""), 6, FALSE)"),2024)</f>
        <v>2024</v>
      </c>
      <c r="J2182" s="5">
        <f ca="1">ROUND((5000+G2182*60),-2)</f>
        <v>13900</v>
      </c>
      <c r="K2182" s="12" t="s">
        <v>1219</v>
      </c>
      <c r="L2182" s="15"/>
    </row>
    <row r="2183" spans="1:12" ht="38.25">
      <c r="A2183" s="8" t="s">
        <v>8827</v>
      </c>
      <c r="B2183" s="9" t="s">
        <v>12</v>
      </c>
      <c r="C2183" s="10" t="s">
        <v>151</v>
      </c>
      <c r="D2183" s="10" t="str">
        <f ca="1">IFERROR(__xludf.DUMMYFUNCTION(" VLOOKUP(A2180, IMPORTRANGE(""https://docs.google.com/spreadsheets/d/1fj_Bhi2XPL3siwIh4sx4VRLAe31yD50oKdj5UlRYW0c/"", ""Сводка!A:AA""), 11, FALSE)"),"9965-593-33-7")</f>
        <v>9965-593-33-7</v>
      </c>
      <c r="E2183" s="11" t="s">
        <v>8821</v>
      </c>
      <c r="F2183" s="11" t="s">
        <v>8828</v>
      </c>
      <c r="G2183" s="12">
        <f ca="1">IFERROR(__xludf.DUMMYFUNCTION(" VLOOKUP(A2180, IMPORTRANGE(""https://docs.google.com/spreadsheets/d/1fj_Bhi2XPL3siwIh4sx4VRLAe31yD50oKdj5UlRYW0c/"", ""Сводка!A:AA""), 5, FALSE)"),148)</f>
        <v>148</v>
      </c>
      <c r="H2183" s="12" t="s">
        <v>47</v>
      </c>
      <c r="I2183" s="10">
        <f ca="1">IFERROR(__xludf.DUMMYFUNCTION(" VLOOKUP(A2180, IMPORTRANGE(""https://docs.google.com/spreadsheets/d/1QNLbnkR_AongFt22vMfNzfpjZ0CjpI8QI-w0wBnYA1w/"", ""Инфа!A:AA""), 6, FALSE)"),2024)</f>
        <v>2024</v>
      </c>
      <c r="J2183" s="5">
        <f ca="1">ROUND((5000+G2183*30),-2)</f>
        <v>9400</v>
      </c>
      <c r="K2183" s="12" t="s">
        <v>1219</v>
      </c>
      <c r="L2183" s="15"/>
    </row>
    <row r="2184" spans="1:12" ht="38.25">
      <c r="A2184" s="8" t="s">
        <v>8829</v>
      </c>
      <c r="B2184" s="9" t="s">
        <v>12</v>
      </c>
      <c r="C2184" s="10" t="s">
        <v>151</v>
      </c>
      <c r="D2184" s="10" t="str">
        <f ca="1">IFERROR(__xludf.DUMMYFUNCTION(" VLOOKUP(A2181, IMPORTRANGE(""https://docs.google.com/spreadsheets/d/1fj_Bhi2XPL3siwIh4sx4VRLAe31yD50oKdj5UlRYW0c/"", ""Сводка!A:AA""), 11, FALSE)"),"9965-593-35-3")</f>
        <v>9965-593-35-3</v>
      </c>
      <c r="E2184" s="11" t="s">
        <v>8821</v>
      </c>
      <c r="F2184" s="11" t="s">
        <v>8830</v>
      </c>
      <c r="G2184" s="12">
        <f ca="1">IFERROR(__xludf.DUMMYFUNCTION(" VLOOKUP(A2181, IMPORTRANGE(""https://docs.google.com/spreadsheets/d/1fj_Bhi2XPL3siwIh4sx4VRLAe31yD50oKdj5UlRYW0c/"", ""Сводка!A:AA""), 5, FALSE)"),196)</f>
        <v>196</v>
      </c>
      <c r="H2184" s="12" t="s">
        <v>47</v>
      </c>
      <c r="I2184" s="10">
        <f ca="1">IFERROR(__xludf.DUMMYFUNCTION(" VLOOKUP(A2181, IMPORTRANGE(""https://docs.google.com/spreadsheets/d/1QNLbnkR_AongFt22vMfNzfpjZ0CjpI8QI-w0wBnYA1w/"", ""Инфа!A:AA""), 6, FALSE)"),2024)</f>
        <v>2024</v>
      </c>
      <c r="J2184" s="5">
        <f ca="1">ROUND((5000+G2184*30),-2)</f>
        <v>10900</v>
      </c>
      <c r="K2184" s="12" t="s">
        <v>1219</v>
      </c>
      <c r="L2184" s="15"/>
    </row>
    <row r="2185" spans="1:12" ht="38.25">
      <c r="A2185" s="8" t="s">
        <v>8831</v>
      </c>
      <c r="B2185" s="9" t="s">
        <v>12</v>
      </c>
      <c r="C2185" s="10" t="s">
        <v>151</v>
      </c>
      <c r="D2185" s="10" t="str">
        <f ca="1">IFERROR(__xludf.DUMMYFUNCTION(" VLOOKUP(A2182, IMPORTRANGE(""https://docs.google.com/spreadsheets/d/1fj_Bhi2XPL3siwIh4sx4VRLAe31yD50oKdj5UlRYW0c/"", ""Сводка!A:AA""), 11, FALSE)"),"9965-17-214-5")</f>
        <v>9965-17-214-5</v>
      </c>
      <c r="E2185" s="11" t="s">
        <v>8821</v>
      </c>
      <c r="F2185" s="11" t="s">
        <v>8832</v>
      </c>
      <c r="G2185" s="12">
        <f ca="1">IFERROR(__xludf.DUMMYFUNCTION(" VLOOKUP(A2182, IMPORTRANGE(""https://docs.google.com/spreadsheets/d/1fj_Bhi2XPL3siwIh4sx4VRLAe31yD50oKdj5UlRYW0c/"", ""Сводка!A:AA""), 5, FALSE)"),288)</f>
        <v>288</v>
      </c>
      <c r="H2185" s="12" t="s">
        <v>47</v>
      </c>
      <c r="I2185" s="10">
        <f ca="1">IFERROR(__xludf.DUMMYFUNCTION(" VLOOKUP(A2182, IMPORTRANGE(""https://docs.google.com/spreadsheets/d/1QNLbnkR_AongFt22vMfNzfpjZ0CjpI8QI-w0wBnYA1w/"", ""Инфа!A:AA""), 6, FALSE)"),2024)</f>
        <v>2024</v>
      </c>
      <c r="J2185" s="5">
        <f ca="1">ROUND(((5000+G2185*60)*1.3),-2)</f>
        <v>29000</v>
      </c>
      <c r="K2185" s="12" t="s">
        <v>1219</v>
      </c>
      <c r="L2185" s="15"/>
    </row>
    <row r="2186" spans="1:12" ht="180">
      <c r="A2186" s="8" t="s">
        <v>8833</v>
      </c>
      <c r="B2186" s="9" t="s">
        <v>12</v>
      </c>
      <c r="C2186" s="10" t="s">
        <v>151</v>
      </c>
      <c r="D2186" s="10" t="str">
        <f ca="1">IFERROR(__xludf.DUMMYFUNCTION(" VLOOKUP(A2183, IMPORTRANGE(""https://docs.google.com/spreadsheets/d/1fj_Bhi2XPL3siwIh4sx4VRLAe31yD50oKdj5UlRYW0c/"", ""Сводка!A:AA""), 11, FALSE)"),"978-601-342-375-3")</f>
        <v>978-601-342-375-3</v>
      </c>
      <c r="E2186" s="11" t="s">
        <v>8834</v>
      </c>
      <c r="F2186" s="11" t="s">
        <v>8835</v>
      </c>
      <c r="G2186" s="12">
        <v>168</v>
      </c>
      <c r="H2186" s="12" t="s">
        <v>165</v>
      </c>
      <c r="I2186" s="10">
        <f ca="1">IFERROR(__xludf.DUMMYFUNCTION(" VLOOKUP(A2183, IMPORTRANGE(""https://docs.google.com/spreadsheets/d/1QNLbnkR_AongFt22vMfNzfpjZ0CjpI8QI-w0wBnYA1w/"", ""Инфа!A:AA""), 6, FALSE)"),2024)</f>
        <v>2024</v>
      </c>
      <c r="J2186" s="5">
        <f>ROUND((5000+G2186*60),-2)</f>
        <v>15100</v>
      </c>
      <c r="K2186" s="12" t="s">
        <v>4260</v>
      </c>
      <c r="L2186" s="15" t="s">
        <v>8836</v>
      </c>
    </row>
    <row r="2187" spans="1:12" ht="146.25">
      <c r="A2187" s="8" t="s">
        <v>8837</v>
      </c>
      <c r="B2187" s="9" t="s">
        <v>12</v>
      </c>
      <c r="C2187" s="10" t="s">
        <v>443</v>
      </c>
      <c r="D2187" s="10" t="str">
        <f ca="1">IFERROR(__xludf.DUMMYFUNCTION(" VLOOKUP(A2184, IMPORTRANGE(""https://docs.google.com/spreadsheets/d/1fj_Bhi2XPL3siwIh4sx4VRLAe31yD50oKdj5UlRYW0c/"", ""Сводка!A:AA""), 11, FALSE)"),"978 – 9965 – 31 – 966 – 2")</f>
        <v>978 – 9965 – 31 – 966 – 2</v>
      </c>
      <c r="E2187" s="11" t="s">
        <v>4722</v>
      </c>
      <c r="F2187" s="11" t="s">
        <v>2793</v>
      </c>
      <c r="G2187" s="12">
        <f ca="1">IFERROR(__xludf.DUMMYFUNCTION(" VLOOKUP(A2184, IMPORTRANGE(""https://docs.google.com/spreadsheets/d/1fj_Bhi2XPL3siwIh4sx4VRLAe31yD50oKdj5UlRYW0c/"", ""Сводка!A:AA""), 5, FALSE)"),180)</f>
        <v>180</v>
      </c>
      <c r="H2187" s="12" t="s">
        <v>538</v>
      </c>
      <c r="I2187" s="10">
        <f ca="1">IFERROR(__xludf.DUMMYFUNCTION(" VLOOKUP(A2184, IMPORTRANGE(""https://docs.google.com/spreadsheets/d/1QNLbnkR_AongFt22vMfNzfpjZ0CjpI8QI-w0wBnYA1w/"", ""Инфа!A:AA""), 6, FALSE)"),2024)</f>
        <v>2024</v>
      </c>
      <c r="J2187" s="5">
        <f ca="1">ROUND((5000+G2187*60),-2)</f>
        <v>15800</v>
      </c>
      <c r="K2187" s="12" t="s">
        <v>171</v>
      </c>
      <c r="L2187" s="15" t="s">
        <v>8838</v>
      </c>
    </row>
    <row r="2188" spans="1:12" ht="225">
      <c r="A2188" s="8" t="s">
        <v>8839</v>
      </c>
      <c r="B2188" s="9" t="s">
        <v>12</v>
      </c>
      <c r="C2188" s="10" t="s">
        <v>151</v>
      </c>
      <c r="D2188" s="10" t="str">
        <f ca="1">IFERROR(__xludf.DUMMYFUNCTION(" VLOOKUP(A2185, IMPORTRANGE(""https://docs.google.com/spreadsheets/d/1fj_Bhi2XPL3siwIh4sx4VRLAe31yD50oKdj5UlRYW0c/"", ""Сводка!A:AA""), 11, FALSE)"),"978-601-342-093-6")</f>
        <v>978-601-342-093-6</v>
      </c>
      <c r="E2188" s="11" t="s">
        <v>8840</v>
      </c>
      <c r="F2188" s="11" t="s">
        <v>8841</v>
      </c>
      <c r="G2188" s="12">
        <v>119</v>
      </c>
      <c r="H2188" s="12" t="s">
        <v>282</v>
      </c>
      <c r="I2188" s="10">
        <f ca="1">IFERROR(__xludf.DUMMYFUNCTION(" VLOOKUP(A2185, IMPORTRANGE(""https://docs.google.com/spreadsheets/d/1QNLbnkR_AongFt22vMfNzfpjZ0CjpI8QI-w0wBnYA1w/"", ""Инфа!A:AA""), 6, FALSE)"),2024)</f>
        <v>2024</v>
      </c>
      <c r="J2188" s="5">
        <f>ROUND((5000+G2188*30),-2)</f>
        <v>8600</v>
      </c>
      <c r="K2188" s="12" t="s">
        <v>171</v>
      </c>
      <c r="L2188" s="15" t="s">
        <v>8842</v>
      </c>
    </row>
    <row r="2189" spans="1:12" ht="225">
      <c r="A2189" s="8" t="s">
        <v>8843</v>
      </c>
      <c r="B2189" s="9" t="s">
        <v>12</v>
      </c>
      <c r="C2189" s="10" t="s">
        <v>443</v>
      </c>
      <c r="D2189" s="10" t="str">
        <f ca="1">IFERROR(__xludf.DUMMYFUNCTION(" VLOOKUP(A2186, IMPORTRANGE(""https://docs.google.com/spreadsheets/d/1fj_Bhi2XPL3siwIh4sx4VRLAe31yD50oKdj5UlRYW0c/"", ""Сводка!A:AA""), 11, FALSE)"),"978-601-342-092-9")</f>
        <v>978-601-342-092-9</v>
      </c>
      <c r="E2189" s="11" t="s">
        <v>8840</v>
      </c>
      <c r="F2189" s="11" t="s">
        <v>8844</v>
      </c>
      <c r="G2189" s="12">
        <v>148</v>
      </c>
      <c r="H2189" s="12" t="s">
        <v>538</v>
      </c>
      <c r="I2189" s="10">
        <f ca="1">IFERROR(__xludf.DUMMYFUNCTION(" VLOOKUP(A2186, IMPORTRANGE(""https://docs.google.com/spreadsheets/d/1QNLbnkR_AongFt22vMfNzfpjZ0CjpI8QI-w0wBnYA1w/"", ""Инфа!A:AA""), 6, FALSE)"),2024)</f>
        <v>2024</v>
      </c>
      <c r="J2189" s="5">
        <f>ROUND((5000+G2189*30),-2)</f>
        <v>9400</v>
      </c>
      <c r="K2189" s="12" t="s">
        <v>171</v>
      </c>
      <c r="L2189" s="15" t="s">
        <v>8845</v>
      </c>
    </row>
    <row r="2190" spans="1:12" ht="78.75">
      <c r="A2190" s="8" t="s">
        <v>8846</v>
      </c>
      <c r="B2190" s="9" t="s">
        <v>12</v>
      </c>
      <c r="C2190" s="10" t="s">
        <v>443</v>
      </c>
      <c r="D2190" s="10" t="str">
        <f ca="1">IFERROR(__xludf.DUMMYFUNCTION(" VLOOKUP(A2187, IMPORTRANGE(""https://docs.google.com/spreadsheets/d/1fj_Bhi2XPL3siwIh4sx4VRLAe31yD50oKdj5UlRYW0c/"", ""Сводка!A:AA""), 11, FALSE)"),"978-601-240-108-8")</f>
        <v>978-601-240-108-8</v>
      </c>
      <c r="E2190" s="11" t="s">
        <v>8847</v>
      </c>
      <c r="F2190" s="11" t="s">
        <v>8848</v>
      </c>
      <c r="G2190" s="12">
        <f ca="1">IFERROR(__xludf.DUMMYFUNCTION(" VLOOKUP(A2187, IMPORTRANGE(""https://docs.google.com/spreadsheets/d/1fj_Bhi2XPL3siwIh4sx4VRLAe31yD50oKdj5UlRYW0c/"", ""Сводка!A:AA""), 5, FALSE)"),164)</f>
        <v>164</v>
      </c>
      <c r="H2190" s="12" t="s">
        <v>538</v>
      </c>
      <c r="I2190" s="10">
        <f ca="1">IFERROR(__xludf.DUMMYFUNCTION(" VLOOKUP(A2187, IMPORTRANGE(""https://docs.google.com/spreadsheets/d/1QNLbnkR_AongFt22vMfNzfpjZ0CjpI8QI-w0wBnYA1w/"", ""Инфа!A:AA""), 6, FALSE)"),2024)</f>
        <v>2024</v>
      </c>
      <c r="J2190" s="5">
        <f ca="1">ROUND((5000+G2190*60),-2)</f>
        <v>14800</v>
      </c>
      <c r="K2190" s="12" t="s">
        <v>243</v>
      </c>
      <c r="L2190" s="15" t="s">
        <v>8849</v>
      </c>
    </row>
    <row r="2191" spans="1:12" ht="51">
      <c r="A2191" s="8" t="s">
        <v>8850</v>
      </c>
      <c r="B2191" s="9" t="s">
        <v>12</v>
      </c>
      <c r="C2191" s="10" t="s">
        <v>443</v>
      </c>
      <c r="D2191" s="10" t="str">
        <f ca="1">IFERROR(__xludf.DUMMYFUNCTION(" VLOOKUP(A2188, IMPORTRANGE(""https://docs.google.com/spreadsheets/d/1fj_Bhi2XPL3siwIh4sx4VRLAe31yD50oKdj5UlRYW0c/"", ""Сводка!A:AA""), 11, FALSE)"),"9965-499-57-8")</f>
        <v>9965-499-57-8</v>
      </c>
      <c r="E2191" s="11" t="s">
        <v>8851</v>
      </c>
      <c r="F2191" s="11" t="s">
        <v>8852</v>
      </c>
      <c r="G2191" s="12">
        <f ca="1">IFERROR(__xludf.DUMMYFUNCTION(" VLOOKUP(A2188, IMPORTRANGE(""https://docs.google.com/spreadsheets/d/1fj_Bhi2XPL3siwIh4sx4VRLAe31yD50oKdj5UlRYW0c/"", ""Сводка!A:AA""), 5, FALSE)"),248)</f>
        <v>248</v>
      </c>
      <c r="H2191" s="12" t="s">
        <v>538</v>
      </c>
      <c r="I2191" s="10">
        <f ca="1">IFERROR(__xludf.DUMMYFUNCTION(" VLOOKUP(A2188, IMPORTRANGE(""https://docs.google.com/spreadsheets/d/1QNLbnkR_AongFt22vMfNzfpjZ0CjpI8QI-w0wBnYA1w/"", ""Инфа!A:AA""), 6, FALSE)"),2024)</f>
        <v>2024</v>
      </c>
      <c r="J2191" s="5">
        <f ca="1">ROUND((5000+G2191*30),-2)</f>
        <v>12400</v>
      </c>
      <c r="K2191" s="12" t="s">
        <v>139</v>
      </c>
      <c r="L2191" s="15" t="s">
        <v>8853</v>
      </c>
    </row>
    <row r="2192" spans="1:12" ht="51">
      <c r="A2192" s="8" t="s">
        <v>8854</v>
      </c>
      <c r="B2192" s="9" t="s">
        <v>12</v>
      </c>
      <c r="C2192" s="10" t="s">
        <v>443</v>
      </c>
      <c r="D2192" s="10" t="s">
        <v>8855</v>
      </c>
      <c r="E2192" s="11" t="s">
        <v>8851</v>
      </c>
      <c r="F2192" s="11" t="s">
        <v>8856</v>
      </c>
      <c r="G2192" s="12">
        <f ca="1">IFERROR(__xludf.DUMMYFUNCTION(" VLOOKUP(A2189, IMPORTRANGE(""https://docs.google.com/spreadsheets/d/1fj_Bhi2XPL3siwIh4sx4VRLAe31yD50oKdj5UlRYW0c/"", ""Сводка!A:AA""), 5, FALSE)"),240)</f>
        <v>240</v>
      </c>
      <c r="H2192" s="12" t="s">
        <v>538</v>
      </c>
      <c r="I2192" s="10">
        <f ca="1">IFERROR(__xludf.DUMMYFUNCTION(" VLOOKUP(A2189, IMPORTRANGE(""https://docs.google.com/spreadsheets/d/1QNLbnkR_AongFt22vMfNzfpjZ0CjpI8QI-w0wBnYA1w/"", ""Инфа!A:AA""), 6, FALSE)"),2024)</f>
        <v>2024</v>
      </c>
      <c r="J2192" s="5">
        <f ca="1">ROUND((5000+G2192*30),-2)</f>
        <v>12200</v>
      </c>
      <c r="K2192" s="12" t="s">
        <v>160</v>
      </c>
      <c r="L2192" s="15" t="s">
        <v>8853</v>
      </c>
    </row>
    <row r="2193" spans="1:12" ht="180">
      <c r="A2193" s="8" t="s">
        <v>8857</v>
      </c>
      <c r="B2193" s="9" t="s">
        <v>12</v>
      </c>
      <c r="C2193" s="10" t="s">
        <v>443</v>
      </c>
      <c r="D2193" s="10" t="str">
        <f ca="1">IFERROR(__xludf.DUMMYFUNCTION(" VLOOKUP(A2190, IMPORTRANGE(""https://docs.google.com/spreadsheets/d/1fj_Bhi2XPL3siwIh4sx4VRLAe31yD50oKdj5UlRYW0c/"", ""Сводка!A:AA""), 11, FALSE)"),"978-601-310-483-6")</f>
        <v>978-601-310-483-6</v>
      </c>
      <c r="E2193" s="11" t="s">
        <v>8858</v>
      </c>
      <c r="F2193" s="11" t="s">
        <v>8859</v>
      </c>
      <c r="G2193" s="12">
        <v>204</v>
      </c>
      <c r="H2193" s="12" t="s">
        <v>538</v>
      </c>
      <c r="I2193" s="10">
        <f ca="1">IFERROR(__xludf.DUMMYFUNCTION(" VLOOKUP(A2190, IMPORTRANGE(""https://docs.google.com/spreadsheets/d/1QNLbnkR_AongFt22vMfNzfpjZ0CjpI8QI-w0wBnYA1w/"", ""Инфа!A:AA""), 6, FALSE)"),2024)</f>
        <v>2024</v>
      </c>
      <c r="J2193" s="5">
        <f>ROUND((5000+G2193*30),-2)</f>
        <v>11100</v>
      </c>
      <c r="K2193" s="12" t="s">
        <v>287</v>
      </c>
      <c r="L2193" s="15" t="s">
        <v>8860</v>
      </c>
    </row>
    <row r="2194" spans="1:12" ht="123.75">
      <c r="A2194" s="8" t="s">
        <v>8861</v>
      </c>
      <c r="B2194" s="9" t="s">
        <v>12</v>
      </c>
      <c r="C2194" s="10" t="s">
        <v>443</v>
      </c>
      <c r="D2194" s="10" t="str">
        <f ca="1">IFERROR(__xludf.DUMMYFUNCTION(" VLOOKUP(A2191, IMPORTRANGE(""https://docs.google.com/spreadsheets/d/1fj_Bhi2XPL3siwIh4sx4VRLAe31yD50oKdj5UlRYW0c/"", ""Сводка!A:AA""), 11, FALSE)"),"978-601-310-200-9")</f>
        <v>978-601-310-200-9</v>
      </c>
      <c r="E2194" s="11" t="s">
        <v>8862</v>
      </c>
      <c r="F2194" s="11" t="s">
        <v>8863</v>
      </c>
      <c r="G2194" s="12">
        <f ca="1">IFERROR(__xludf.DUMMYFUNCTION(" VLOOKUP(A2191, IMPORTRANGE(""https://docs.google.com/spreadsheets/d/1fj_Bhi2XPL3siwIh4sx4VRLAe31yD50oKdj5UlRYW0c/"", ""Сводка!A:AA""), 5, FALSE)"),248)</f>
        <v>248</v>
      </c>
      <c r="H2194" s="12" t="s">
        <v>538</v>
      </c>
      <c r="I2194" s="10">
        <f ca="1">IFERROR(__xludf.DUMMYFUNCTION(" VLOOKUP(A2191, IMPORTRANGE(""https://docs.google.com/spreadsheets/d/1QNLbnkR_AongFt22vMfNzfpjZ0CjpI8QI-w0wBnYA1w/"", ""Инфа!A:AA""), 6, FALSE)"),2024)</f>
        <v>2024</v>
      </c>
      <c r="J2194" s="5">
        <f ca="1">ROUND((5000+G2194*30),-2)</f>
        <v>12400</v>
      </c>
      <c r="K2194" s="12" t="s">
        <v>139</v>
      </c>
      <c r="L2194" s="15" t="s">
        <v>8864</v>
      </c>
    </row>
    <row r="2195" spans="1:12" ht="38.25">
      <c r="A2195" s="8" t="s">
        <v>8865</v>
      </c>
      <c r="B2195" s="9" t="s">
        <v>12</v>
      </c>
      <c r="C2195" s="10" t="s">
        <v>443</v>
      </c>
      <c r="D2195" s="10" t="str">
        <f ca="1">IFERROR(__xludf.DUMMYFUNCTION(" VLOOKUP(A2192, IMPORTRANGE(""https://docs.google.com/spreadsheets/d/1fj_Bhi2XPL3siwIh4sx4VRLAe31yD50oKdj5UlRYW0c/"", ""Сводка!A:AA""), 11, FALSE)"),"978-601-310-650-2")</f>
        <v>978-601-310-650-2</v>
      </c>
      <c r="E2195" s="11" t="s">
        <v>8862</v>
      </c>
      <c r="F2195" s="11" t="s">
        <v>8866</v>
      </c>
      <c r="G2195" s="12">
        <f ca="1">IFERROR(__xludf.DUMMYFUNCTION(" VLOOKUP(A2192, IMPORTRANGE(""https://docs.google.com/spreadsheets/d/1fj_Bhi2XPL3siwIh4sx4VRLAe31yD50oKdj5UlRYW0c/"", ""Сводка!A:AA""), 5, FALSE)"),320)</f>
        <v>320</v>
      </c>
      <c r="H2195" s="12" t="s">
        <v>538</v>
      </c>
      <c r="I2195" s="10">
        <f ca="1">IFERROR(__xludf.DUMMYFUNCTION(" VLOOKUP(A2192, IMPORTRANGE(""https://docs.google.com/spreadsheets/d/1QNLbnkR_AongFt22vMfNzfpjZ0CjpI8QI-w0wBnYA1w/"", ""Инфа!A:AA""), 6, FALSE)"),2024)</f>
        <v>2024</v>
      </c>
      <c r="J2195" s="5">
        <f ca="1">ROUND((5000+G2195*30),-2)</f>
        <v>14600</v>
      </c>
      <c r="K2195" s="9" t="s">
        <v>758</v>
      </c>
      <c r="L2195" s="15"/>
    </row>
    <row r="2196" spans="1:12" ht="225">
      <c r="A2196" s="8" t="s">
        <v>8867</v>
      </c>
      <c r="B2196" s="9" t="s">
        <v>12</v>
      </c>
      <c r="C2196" s="10" t="s">
        <v>151</v>
      </c>
      <c r="D2196" s="10" t="str">
        <f ca="1">IFERROR(__xludf.DUMMYFUNCTION(" VLOOKUP(A2193, IMPORTRANGE(""https://docs.google.com/spreadsheets/d/1fj_Bhi2XPL3siwIh4sx4VRLAe31yD50oKdj5UlRYW0c/"", ""Сводка!A:AA""), 11, FALSE)"),"")</f>
        <v/>
      </c>
      <c r="E2196" s="11" t="s">
        <v>8868</v>
      </c>
      <c r="F2196" s="11" t="s">
        <v>8869</v>
      </c>
      <c r="G2196" s="12">
        <f ca="1">IFERROR(__xludf.DUMMYFUNCTION(" VLOOKUP(A2193, IMPORTRANGE(""https://docs.google.com/spreadsheets/d/1fj_Bhi2XPL3siwIh4sx4VRLAe31yD50oKdj5UlRYW0c/"", ""Сводка!A:AA""), 5, FALSE)"),216)</f>
        <v>216</v>
      </c>
      <c r="H2196" s="12" t="s">
        <v>106</v>
      </c>
      <c r="I2196" s="10">
        <f ca="1">IFERROR(__xludf.DUMMYFUNCTION(" VLOOKUP(A2193, IMPORTRANGE(""https://docs.google.com/spreadsheets/d/1QNLbnkR_AongFt22vMfNzfpjZ0CjpI8QI-w0wBnYA1w/"", ""Инфа!A:AA""), 6, FALSE)"),2024)</f>
        <v>2024</v>
      </c>
      <c r="J2196" s="5">
        <f ca="1">ROUND((5000+G2196*60),-2)</f>
        <v>18000</v>
      </c>
      <c r="K2196" s="12" t="s">
        <v>69</v>
      </c>
      <c r="L2196" s="15" t="s">
        <v>8870</v>
      </c>
    </row>
    <row r="2197" spans="1:12" ht="191.25">
      <c r="A2197" s="8" t="s">
        <v>8871</v>
      </c>
      <c r="B2197" s="9" t="s">
        <v>12</v>
      </c>
      <c r="C2197" s="10" t="s">
        <v>151</v>
      </c>
      <c r="D2197" s="10" t="str">
        <f ca="1">IFERROR(__xludf.DUMMYFUNCTION(" VLOOKUP(A2194, IMPORTRANGE(""https://docs.google.com/spreadsheets/d/1fj_Bhi2XPL3siwIh4sx4VRLAe31yD50oKdj5UlRYW0c/"", ""Сводка!A:AA""), 11, FALSE)"),"978-601-272-947-4")</f>
        <v>978-601-272-947-4</v>
      </c>
      <c r="E2197" s="11" t="s">
        <v>8872</v>
      </c>
      <c r="F2197" s="11" t="s">
        <v>8873</v>
      </c>
      <c r="G2197" s="12">
        <f ca="1">IFERROR(__xludf.DUMMYFUNCTION(" VLOOKUP(A2194, IMPORTRANGE(""https://docs.google.com/spreadsheets/d/1fj_Bhi2XPL3siwIh4sx4VRLAe31yD50oKdj5UlRYW0c/"", ""Сводка!A:AA""), 5, FALSE)"),164)</f>
        <v>164</v>
      </c>
      <c r="H2197" s="12" t="s">
        <v>282</v>
      </c>
      <c r="I2197" s="10">
        <f ca="1">IFERROR(__xludf.DUMMYFUNCTION(" VLOOKUP(A2194, IMPORTRANGE(""https://docs.google.com/spreadsheets/d/1QNLbnkR_AongFt22vMfNzfpjZ0CjpI8QI-w0wBnYA1w/"", ""Инфа!A:AA""), 6, FALSE)"),2024)</f>
        <v>2024</v>
      </c>
      <c r="J2197" s="5">
        <f ca="1">ROUND((5000+G2197*60),-2)</f>
        <v>14800</v>
      </c>
      <c r="K2197" s="12" t="s">
        <v>63</v>
      </c>
      <c r="L2197" s="15" t="s">
        <v>8874</v>
      </c>
    </row>
    <row r="2198" spans="1:12" ht="135">
      <c r="A2198" s="8" t="s">
        <v>8875</v>
      </c>
      <c r="B2198" s="9" t="s">
        <v>12</v>
      </c>
      <c r="C2198" s="10" t="s">
        <v>151</v>
      </c>
      <c r="D2198" s="10" t="str">
        <f ca="1">IFERROR(__xludf.DUMMYFUNCTION(" VLOOKUP(A2195, IMPORTRANGE(""https://docs.google.com/spreadsheets/d/1fj_Bhi2XPL3siwIh4sx4VRLAe31yD50oKdj5UlRYW0c/"", ""Сводка!A:AA""), 11, FALSE)"),"978-601-272-782-1")</f>
        <v>978-601-272-782-1</v>
      </c>
      <c r="E2198" s="11" t="s">
        <v>8872</v>
      </c>
      <c r="F2198" s="11" t="s">
        <v>8876</v>
      </c>
      <c r="G2198" s="12">
        <f ca="1">IFERROR(__xludf.DUMMYFUNCTION(" VLOOKUP(A2195, IMPORTRANGE(""https://docs.google.com/spreadsheets/d/1fj_Bhi2XPL3siwIh4sx4VRLAe31yD50oKdj5UlRYW0c/"", ""Сводка!A:AA""), 5, FALSE)"),156)</f>
        <v>156</v>
      </c>
      <c r="H2198" s="12" t="s">
        <v>282</v>
      </c>
      <c r="I2198" s="10">
        <f ca="1">IFERROR(__xludf.DUMMYFUNCTION(" VLOOKUP(A2195, IMPORTRANGE(""https://docs.google.com/spreadsheets/d/1QNLbnkR_AongFt22vMfNzfpjZ0CjpI8QI-w0wBnYA1w/"", ""Инфа!A:AA""), 6, FALSE)"),2024)</f>
        <v>2024</v>
      </c>
      <c r="J2198" s="5">
        <f t="shared" ref="J2198:J2203" ca="1" si="72">ROUND((5000+G2198*30),-2)</f>
        <v>9700</v>
      </c>
      <c r="K2198" s="12" t="s">
        <v>63</v>
      </c>
      <c r="L2198" s="15" t="s">
        <v>8877</v>
      </c>
    </row>
    <row r="2199" spans="1:12" ht="38.25">
      <c r="A2199" s="8" t="s">
        <v>8878</v>
      </c>
      <c r="B2199" s="9" t="s">
        <v>12</v>
      </c>
      <c r="C2199" s="10" t="s">
        <v>443</v>
      </c>
      <c r="D2199" s="10" t="str">
        <f ca="1">IFERROR(__xludf.DUMMYFUNCTION(" VLOOKUP(A2196, IMPORTRANGE(""https://docs.google.com/spreadsheets/d/1fj_Bhi2XPL3siwIh4sx4VRLAe31yD50oKdj5UlRYW0c/"", ""Сводка!A:AA""), 11, FALSE)"),"978-601-291-131-2")</f>
        <v>978-601-291-131-2</v>
      </c>
      <c r="E2199" s="11" t="s">
        <v>8879</v>
      </c>
      <c r="F2199" s="11" t="s">
        <v>8880</v>
      </c>
      <c r="G2199" s="12">
        <f ca="1">IFERROR(__xludf.DUMMYFUNCTION(" VLOOKUP(A2196, IMPORTRANGE(""https://docs.google.com/spreadsheets/d/1fj_Bhi2XPL3siwIh4sx4VRLAe31yD50oKdj5UlRYW0c/"", ""Сводка!A:AA""), 5, FALSE)"),128)</f>
        <v>128</v>
      </c>
      <c r="H2199" s="12" t="s">
        <v>538</v>
      </c>
      <c r="I2199" s="10">
        <f ca="1">IFERROR(__xludf.DUMMYFUNCTION(" VLOOKUP(A2196, IMPORTRANGE(""https://docs.google.com/spreadsheets/d/1QNLbnkR_AongFt22vMfNzfpjZ0CjpI8QI-w0wBnYA1w/"", ""Инфа!A:AA""), 6, FALSE)"),2024)</f>
        <v>2024</v>
      </c>
      <c r="J2199" s="5">
        <f t="shared" ca="1" si="72"/>
        <v>8800</v>
      </c>
      <c r="K2199" s="12" t="s">
        <v>160</v>
      </c>
      <c r="L2199" s="15"/>
    </row>
    <row r="2200" spans="1:12" ht="281.25">
      <c r="A2200" s="8" t="s">
        <v>8881</v>
      </c>
      <c r="B2200" s="9" t="s">
        <v>12</v>
      </c>
      <c r="C2200" s="10" t="s">
        <v>151</v>
      </c>
      <c r="D2200" s="10" t="str">
        <f ca="1">IFERROR(__xludf.DUMMYFUNCTION(" VLOOKUP(A2197, IMPORTRANGE(""https://docs.google.com/spreadsheets/d/1fj_Bhi2XPL3siwIh4sx4VRLAe31yD50oKdj5UlRYW0c/"", ""Сводка!A:AA""), 11, FALSE)"),"978-601-342-012-7")</f>
        <v>978-601-342-012-7</v>
      </c>
      <c r="E2200" s="11" t="s">
        <v>8879</v>
      </c>
      <c r="F2200" s="11" t="s">
        <v>8882</v>
      </c>
      <c r="G2200" s="12">
        <f ca="1">IFERROR(__xludf.DUMMYFUNCTION(" VLOOKUP(A2197, IMPORTRANGE(""https://docs.google.com/spreadsheets/d/1fj_Bhi2XPL3siwIh4sx4VRLAe31yD50oKdj5UlRYW0c/"", ""Сводка!A:AA""), 5, FALSE)"),228)</f>
        <v>228</v>
      </c>
      <c r="H2200" s="12" t="s">
        <v>165</v>
      </c>
      <c r="I2200" s="10">
        <f ca="1">IFERROR(__xludf.DUMMYFUNCTION(" VLOOKUP(A2197, IMPORTRANGE(""https://docs.google.com/spreadsheets/d/1QNLbnkR_AongFt22vMfNzfpjZ0CjpI8QI-w0wBnYA1w/"", ""Инфа!A:AA""), 6, FALSE)"),2024)</f>
        <v>2024</v>
      </c>
      <c r="J2200" s="5">
        <f t="shared" ca="1" si="72"/>
        <v>11800</v>
      </c>
      <c r="K2200" s="10" t="s">
        <v>160</v>
      </c>
      <c r="L2200" s="15" t="s">
        <v>8883</v>
      </c>
    </row>
    <row r="2201" spans="1:12" ht="281.25">
      <c r="A2201" s="8" t="s">
        <v>8884</v>
      </c>
      <c r="B2201" s="9" t="s">
        <v>12</v>
      </c>
      <c r="C2201" s="10" t="s">
        <v>151</v>
      </c>
      <c r="D2201" s="10" t="str">
        <f ca="1">IFERROR(__xludf.DUMMYFUNCTION(" VLOOKUP(A2198, IMPORTRANGE(""https://docs.google.com/spreadsheets/d/1fj_Bhi2XPL3siwIh4sx4VRLAe31yD50oKdj5UlRYW0c/"", ""Сводка!A:AA""), 11, FALSE)"),"978-601-342-587-0")</f>
        <v>978-601-342-587-0</v>
      </c>
      <c r="E2201" s="11" t="s">
        <v>8879</v>
      </c>
      <c r="F2201" s="11" t="s">
        <v>8885</v>
      </c>
      <c r="G2201" s="12">
        <f ca="1">IFERROR(__xludf.DUMMYFUNCTION(" VLOOKUP(A2198, IMPORTRANGE(""https://docs.google.com/spreadsheets/d/1fj_Bhi2XPL3siwIh4sx4VRLAe31yD50oKdj5UlRYW0c/"", ""Сводка!A:AA""), 5, FALSE)"),220)</f>
        <v>220</v>
      </c>
      <c r="H2201" s="12" t="s">
        <v>24</v>
      </c>
      <c r="I2201" s="10">
        <f ca="1">IFERROR(__xludf.DUMMYFUNCTION(" VLOOKUP(A2198, IMPORTRANGE(""https://docs.google.com/spreadsheets/d/1QNLbnkR_AongFt22vMfNzfpjZ0CjpI8QI-w0wBnYA1w/"", ""Инфа!A:AA""), 6, FALSE)"),2024)</f>
        <v>2024</v>
      </c>
      <c r="J2201" s="5">
        <f t="shared" ca="1" si="72"/>
        <v>11600</v>
      </c>
      <c r="K2201" s="12" t="s">
        <v>160</v>
      </c>
      <c r="L2201" s="15" t="s">
        <v>8886</v>
      </c>
    </row>
    <row r="2202" spans="1:12" ht="292.5">
      <c r="A2202" s="8" t="s">
        <v>8887</v>
      </c>
      <c r="B2202" s="9" t="s">
        <v>12</v>
      </c>
      <c r="C2202" s="10" t="s">
        <v>443</v>
      </c>
      <c r="D2202" s="10" t="str">
        <f ca="1">IFERROR(__xludf.DUMMYFUNCTION(" VLOOKUP(A2199, IMPORTRANGE(""https://docs.google.com/spreadsheets/d/1fj_Bhi2XPL3siwIh4sx4VRLAe31yD50oKdj5UlRYW0c/"", ""Сводка!A:AA""), 11, FALSE)"),"978-601-342-584-9")</f>
        <v>978-601-342-584-9</v>
      </c>
      <c r="E2202" s="11" t="s">
        <v>8888</v>
      </c>
      <c r="F2202" s="11" t="s">
        <v>8889</v>
      </c>
      <c r="G2202" s="12">
        <f ca="1">IFERROR(__xludf.DUMMYFUNCTION(" VLOOKUP(A2199, IMPORTRANGE(""https://docs.google.com/spreadsheets/d/1fj_Bhi2XPL3siwIh4sx4VRLAe31yD50oKdj5UlRYW0c/"", ""Сводка!A:AA""), 5, FALSE)"),252)</f>
        <v>252</v>
      </c>
      <c r="H2202" s="12" t="s">
        <v>24</v>
      </c>
      <c r="I2202" s="10">
        <f ca="1">IFERROR(__xludf.DUMMYFUNCTION(" VLOOKUP(A2199, IMPORTRANGE(""https://docs.google.com/spreadsheets/d/1QNLbnkR_AongFt22vMfNzfpjZ0CjpI8QI-w0wBnYA1w/"", ""Инфа!A:AA""), 6, FALSE)"),2024)</f>
        <v>2024</v>
      </c>
      <c r="J2202" s="5">
        <f t="shared" ca="1" si="72"/>
        <v>12600</v>
      </c>
      <c r="K2202" s="12" t="s">
        <v>160</v>
      </c>
      <c r="L2202" s="15" t="s">
        <v>8890</v>
      </c>
    </row>
    <row r="2203" spans="1:12" ht="202.5">
      <c r="A2203" s="8" t="s">
        <v>8891</v>
      </c>
      <c r="B2203" s="9" t="s">
        <v>12</v>
      </c>
      <c r="C2203" s="10" t="s">
        <v>443</v>
      </c>
      <c r="D2203" s="10" t="str">
        <f ca="1">IFERROR(__xludf.DUMMYFUNCTION(" VLOOKUP(A2200, IMPORTRANGE(""https://docs.google.com/spreadsheets/d/1fj_Bhi2XPL3siwIh4sx4VRLAe31yD50oKdj5UlRYW0c/"", ""Сводка!A:AA""), 11, FALSE)"),"978-601-7400-79-8")</f>
        <v>978-601-7400-79-8</v>
      </c>
      <c r="E2203" s="11" t="s">
        <v>8892</v>
      </c>
      <c r="F2203" s="11" t="s">
        <v>8893</v>
      </c>
      <c r="G2203" s="12">
        <v>285</v>
      </c>
      <c r="H2203" s="12" t="s">
        <v>56</v>
      </c>
      <c r="I2203" s="10">
        <f ca="1">IFERROR(__xludf.DUMMYFUNCTION(" VLOOKUP(A2200, IMPORTRANGE(""https://docs.google.com/spreadsheets/d/1QNLbnkR_AongFt22vMfNzfpjZ0CjpI8QI-w0wBnYA1w/"", ""Инфа!A:AA""), 6, FALSE)"),2024)</f>
        <v>2024</v>
      </c>
      <c r="J2203" s="5">
        <f t="shared" si="72"/>
        <v>13600</v>
      </c>
      <c r="K2203" s="12" t="s">
        <v>160</v>
      </c>
      <c r="L2203" s="15" t="s">
        <v>8894</v>
      </c>
    </row>
    <row r="2204" spans="1:12" ht="168.75">
      <c r="A2204" s="8" t="s">
        <v>8895</v>
      </c>
      <c r="B2204" s="9" t="s">
        <v>12</v>
      </c>
      <c r="C2204" s="10" t="s">
        <v>443</v>
      </c>
      <c r="D2204" s="10" t="str">
        <f ca="1">IFERROR(__xludf.DUMMYFUNCTION(" VLOOKUP(A2201, IMPORTRANGE(""https://docs.google.com/spreadsheets/d/1fj_Bhi2XPL3siwIh4sx4VRLAe31yD50oKdj5UlRYW0c/"", ""Сводка!A:AA""), 11, FALSE)"),"978-601-327-324-2")</f>
        <v>978-601-327-324-2</v>
      </c>
      <c r="E2204" s="11" t="s">
        <v>8896</v>
      </c>
      <c r="F2204" s="11" t="s">
        <v>8897</v>
      </c>
      <c r="G2204" s="12">
        <v>325</v>
      </c>
      <c r="H2204" s="12" t="s">
        <v>671</v>
      </c>
      <c r="I2204" s="10">
        <f ca="1">IFERROR(__xludf.DUMMYFUNCTION(" VLOOKUP(A2201, IMPORTRANGE(""https://docs.google.com/spreadsheets/d/1QNLbnkR_AongFt22vMfNzfpjZ0CjpI8QI-w0wBnYA1w/"", ""Инфа!A:AA""), 6, FALSE)"),2024)</f>
        <v>2024</v>
      </c>
      <c r="J2204" s="5">
        <f>ROUND(((5000+G2204*30)*1.3),-2)</f>
        <v>19200</v>
      </c>
      <c r="K2204" s="12" t="s">
        <v>160</v>
      </c>
      <c r="L2204" s="15" t="s">
        <v>8898</v>
      </c>
    </row>
    <row r="2205" spans="1:12" ht="236.25">
      <c r="A2205" s="8" t="s">
        <v>8899</v>
      </c>
      <c r="B2205" s="9" t="s">
        <v>12</v>
      </c>
      <c r="C2205" s="10" t="s">
        <v>443</v>
      </c>
      <c r="D2205" s="10" t="str">
        <f ca="1">IFERROR(__xludf.DUMMYFUNCTION(" VLOOKUP(A2202, IMPORTRANGE(""https://docs.google.com/spreadsheets/d/1fj_Bhi2XPL3siwIh4sx4VRLAe31yD50oKdj5UlRYW0c/"", ""Сводка!A:AA""), 11, FALSE)"),"978-601-342-013-4")</f>
        <v>978-601-342-013-4</v>
      </c>
      <c r="E2205" s="11" t="s">
        <v>8896</v>
      </c>
      <c r="F2205" s="11" t="s">
        <v>8900</v>
      </c>
      <c r="G2205" s="12">
        <f ca="1">IFERROR(__xludf.DUMMYFUNCTION(" VLOOKUP(A2202, IMPORTRANGE(""https://docs.google.com/spreadsheets/d/1fj_Bhi2XPL3siwIh4sx4VRLAe31yD50oKdj5UlRYW0c/"", ""Сводка!A:AA""), 5, FALSE)"),216)</f>
        <v>216</v>
      </c>
      <c r="H2205" s="12" t="s">
        <v>24</v>
      </c>
      <c r="I2205" s="10">
        <f ca="1">IFERROR(__xludf.DUMMYFUNCTION(" VLOOKUP(A2202, IMPORTRANGE(""https://docs.google.com/spreadsheets/d/1QNLbnkR_AongFt22vMfNzfpjZ0CjpI8QI-w0wBnYA1w/"", ""Инфа!A:AA""), 6, FALSE)"),2024)</f>
        <v>2024</v>
      </c>
      <c r="J2205" s="5">
        <f ca="1">ROUND((5000+G2205*30),-2)</f>
        <v>11500</v>
      </c>
      <c r="K2205" s="10" t="s">
        <v>160</v>
      </c>
      <c r="L2205" s="15" t="s">
        <v>8901</v>
      </c>
    </row>
    <row r="2206" spans="1:12" ht="180">
      <c r="A2206" s="8" t="s">
        <v>8902</v>
      </c>
      <c r="B2206" s="9" t="s">
        <v>12</v>
      </c>
      <c r="C2206" s="10" t="s">
        <v>151</v>
      </c>
      <c r="D2206" s="10" t="str">
        <f ca="1">IFERROR(__xludf.DUMMYFUNCTION(" VLOOKUP(A2203, IMPORTRANGE(""https://docs.google.com/spreadsheets/d/1fj_Bhi2XPL3siwIh4sx4VRLAe31yD50oKdj5UlRYW0c/"", ""Сводка!A:AA""), 11, FALSE)"),"978-601-327-710-3")</f>
        <v>978-601-327-710-3</v>
      </c>
      <c r="E2206" s="11" t="s">
        <v>8903</v>
      </c>
      <c r="F2206" s="11" t="s">
        <v>8904</v>
      </c>
      <c r="G2206" s="12">
        <f ca="1">IFERROR(__xludf.DUMMYFUNCTION(" VLOOKUP(A2203, IMPORTRANGE(""https://docs.google.com/spreadsheets/d/1fj_Bhi2XPL3siwIh4sx4VRLAe31yD50oKdj5UlRYW0c/"", ""Сводка!A:AA""), 5, FALSE)"),220)</f>
        <v>220</v>
      </c>
      <c r="H2206" s="12" t="s">
        <v>165</v>
      </c>
      <c r="I2206" s="10">
        <f ca="1">IFERROR(__xludf.DUMMYFUNCTION(" VLOOKUP(A2203, IMPORTRANGE(""https://docs.google.com/spreadsheets/d/1QNLbnkR_AongFt22vMfNzfpjZ0CjpI8QI-w0wBnYA1w/"", ""Инфа!A:AA""), 6, FALSE)"),2024)</f>
        <v>2024</v>
      </c>
      <c r="J2206" s="5">
        <f ca="1">ROUND((5000+G2206*30),-2)</f>
        <v>11600</v>
      </c>
      <c r="K2206" s="12" t="s">
        <v>1603</v>
      </c>
      <c r="L2206" s="15" t="s">
        <v>8905</v>
      </c>
    </row>
    <row r="2207" spans="1:12" ht="180">
      <c r="A2207" s="8" t="s">
        <v>8906</v>
      </c>
      <c r="B2207" s="9" t="s">
        <v>12</v>
      </c>
      <c r="C2207" s="10" t="s">
        <v>151</v>
      </c>
      <c r="D2207" s="10" t="str">
        <f ca="1">IFERROR(__xludf.DUMMYFUNCTION(" VLOOKUP(A2204, IMPORTRANGE(""https://docs.google.com/spreadsheets/d/1fj_Bhi2XPL3siwIh4sx4VRLAe31yD50oKdj5UlRYW0c/"", ""Сводка!A:AA""), 11, FALSE)"),"978-601-327-710-3")</f>
        <v>978-601-327-710-3</v>
      </c>
      <c r="E2207" s="11" t="s">
        <v>8903</v>
      </c>
      <c r="F2207" s="11" t="s">
        <v>8907</v>
      </c>
      <c r="G2207" s="12">
        <f ca="1">IFERROR(__xludf.DUMMYFUNCTION(" VLOOKUP(A2204, IMPORTRANGE(""https://docs.google.com/spreadsheets/d/1fj_Bhi2XPL3siwIh4sx4VRLAe31yD50oKdj5UlRYW0c/"", ""Сводка!A:AA""), 5, FALSE)"),192)</f>
        <v>192</v>
      </c>
      <c r="H2207" s="12" t="s">
        <v>165</v>
      </c>
      <c r="I2207" s="10">
        <f ca="1">IFERROR(__xludf.DUMMYFUNCTION(" VLOOKUP(A2204, IMPORTRANGE(""https://docs.google.com/spreadsheets/d/1QNLbnkR_AongFt22vMfNzfpjZ0CjpI8QI-w0wBnYA1w/"", ""Инфа!A:AA""), 6, FALSE)"),2024)</f>
        <v>2024</v>
      </c>
      <c r="J2207" s="5">
        <f ca="1">ROUND((5000+G2207*30),-2)</f>
        <v>10800</v>
      </c>
      <c r="K2207" s="12" t="s">
        <v>1603</v>
      </c>
      <c r="L2207" s="15" t="s">
        <v>8905</v>
      </c>
    </row>
    <row r="2208" spans="1:12" ht="146.25">
      <c r="A2208" s="8" t="s">
        <v>8908</v>
      </c>
      <c r="B2208" s="9" t="s">
        <v>12</v>
      </c>
      <c r="C2208" s="10" t="s">
        <v>151</v>
      </c>
      <c r="D2208" s="10" t="str">
        <f ca="1">IFERROR(__xludf.DUMMYFUNCTION(" VLOOKUP(A2205, IMPORTRANGE(""https://docs.google.com/spreadsheets/d/1fj_Bhi2XPL3siwIh4sx4VRLAe31yD50oKdj5UlRYW0c/"", ""Сводка!A:AA""), 11, FALSE)"),"978–601–754-471-3")</f>
        <v>978–601–754-471-3</v>
      </c>
      <c r="E2208" s="11" t="s">
        <v>8909</v>
      </c>
      <c r="F2208" s="11" t="s">
        <v>8910</v>
      </c>
      <c r="G2208" s="12">
        <f ca="1">IFERROR(__xludf.DUMMYFUNCTION(" VLOOKUP(A2205, IMPORTRANGE(""https://docs.google.com/spreadsheets/d/1fj_Bhi2XPL3siwIh4sx4VRLAe31yD50oKdj5UlRYW0c/"", ""Сводка!A:AA""), 5, FALSE)"),164)</f>
        <v>164</v>
      </c>
      <c r="H2208" s="12" t="s">
        <v>165</v>
      </c>
      <c r="I2208" s="10">
        <f ca="1">IFERROR(__xludf.DUMMYFUNCTION(" VLOOKUP(A2205, IMPORTRANGE(""https://docs.google.com/spreadsheets/d/1QNLbnkR_AongFt22vMfNzfpjZ0CjpI8QI-w0wBnYA1w/"", ""Инфа!A:AA""), 6, FALSE)"),2024)</f>
        <v>2024</v>
      </c>
      <c r="J2208" s="5">
        <f ca="1">ROUND((5000+G2208*60),-2)</f>
        <v>14800</v>
      </c>
      <c r="K2208" s="12" t="s">
        <v>1603</v>
      </c>
      <c r="L2208" s="15" t="s">
        <v>8911</v>
      </c>
    </row>
    <row r="2209" spans="1:12" ht="135">
      <c r="A2209" s="8" t="s">
        <v>8912</v>
      </c>
      <c r="B2209" s="9" t="s">
        <v>12</v>
      </c>
      <c r="C2209" s="10" t="s">
        <v>151</v>
      </c>
      <c r="D2209" s="10" t="str">
        <f ca="1">IFERROR(__xludf.DUMMYFUNCTION(" VLOOKUP(A2206, IMPORTRANGE(""https://docs.google.com/spreadsheets/d/1fj_Bhi2XPL3siwIh4sx4VRLAe31yD50oKdj5UlRYW0c/"", ""Сводка!A:AA""), 11, FALSE)"),"978-601-246-377-4")</f>
        <v>978-601-246-377-4</v>
      </c>
      <c r="E2209" s="11" t="s">
        <v>8913</v>
      </c>
      <c r="F2209" s="11" t="s">
        <v>8914</v>
      </c>
      <c r="G2209" s="12">
        <f ca="1">IFERROR(__xludf.DUMMYFUNCTION(" VLOOKUP(A2206, IMPORTRANGE(""https://docs.google.com/spreadsheets/d/1fj_Bhi2XPL3siwIh4sx4VRLAe31yD50oKdj5UlRYW0c/"", ""Сводка!A:AA""), 5, FALSE)"),192)</f>
        <v>192</v>
      </c>
      <c r="H2209" s="12" t="s">
        <v>47</v>
      </c>
      <c r="I2209" s="10">
        <f ca="1">IFERROR(__xludf.DUMMYFUNCTION(" VLOOKUP(A2206, IMPORTRANGE(""https://docs.google.com/spreadsheets/d/1QNLbnkR_AongFt22vMfNzfpjZ0CjpI8QI-w0wBnYA1w/"", ""Инфа!A:AA""), 6, FALSE)"),2024)</f>
        <v>2024</v>
      </c>
      <c r="J2209" s="5">
        <f ca="1">ROUND((5000+G2209*60),-2)</f>
        <v>16500</v>
      </c>
      <c r="K2209" s="12" t="s">
        <v>257</v>
      </c>
      <c r="L2209" s="15" t="s">
        <v>8915</v>
      </c>
    </row>
    <row r="2210" spans="1:12" ht="112.5">
      <c r="A2210" s="8" t="s">
        <v>8916</v>
      </c>
      <c r="B2210" s="9" t="s">
        <v>12</v>
      </c>
      <c r="C2210" s="10" t="s">
        <v>443</v>
      </c>
      <c r="D2210" s="10" t="str">
        <f ca="1">IFERROR(__xludf.DUMMYFUNCTION(" VLOOKUP(A2207, IMPORTRANGE(""https://docs.google.com/spreadsheets/d/1fj_Bhi2XPL3siwIh4sx4VRLAe31yD50oKdj5UlRYW0c/"", ""Сводка!A:AA""), 11, FALSE)"),"978-601-225-150-5")</f>
        <v>978-601-225-150-5</v>
      </c>
      <c r="E2210" s="11" t="s">
        <v>8917</v>
      </c>
      <c r="F2210" s="11" t="s">
        <v>8918</v>
      </c>
      <c r="G2210" s="12">
        <f ca="1">IFERROR(__xludf.DUMMYFUNCTION(" VLOOKUP(A2207, IMPORTRANGE(""https://docs.google.com/spreadsheets/d/1fj_Bhi2XPL3siwIh4sx4VRLAe31yD50oKdj5UlRYW0c/"", ""Сводка!A:AA""), 5, FALSE)"),164)</f>
        <v>164</v>
      </c>
      <c r="H2210" s="12" t="s">
        <v>538</v>
      </c>
      <c r="I2210" s="10">
        <f ca="1">IFERROR(__xludf.DUMMYFUNCTION(" VLOOKUP(A2207, IMPORTRANGE(""https://docs.google.com/spreadsheets/d/1QNLbnkR_AongFt22vMfNzfpjZ0CjpI8QI-w0wBnYA1w/"", ""Инфа!A:AA""), 6, FALSE)"),2024)</f>
        <v>2024</v>
      </c>
      <c r="J2210" s="5">
        <f ca="1">ROUND((5000+G2210*60),-2)</f>
        <v>14800</v>
      </c>
      <c r="K2210" s="9" t="s">
        <v>257</v>
      </c>
      <c r="L2210" s="15" t="s">
        <v>8919</v>
      </c>
    </row>
    <row r="2211" spans="1:12" ht="213.75">
      <c r="A2211" s="8" t="s">
        <v>8920</v>
      </c>
      <c r="B2211" s="9" t="s">
        <v>12</v>
      </c>
      <c r="C2211" s="10" t="s">
        <v>151</v>
      </c>
      <c r="D2211" s="10" t="str">
        <f ca="1">IFERROR(__xludf.DUMMYFUNCTION(" VLOOKUP(A2208, IMPORTRANGE(""https://docs.google.com/spreadsheets/d/1fj_Bhi2XPL3siwIh4sx4VRLAe31yD50oKdj5UlRYW0c/"", ""Сводка!A:AA""), 11, FALSE)"),"978-601-310-461-4")</f>
        <v>978-601-310-461-4</v>
      </c>
      <c r="E2211" s="11" t="s">
        <v>8921</v>
      </c>
      <c r="F2211" s="11" t="s">
        <v>8922</v>
      </c>
      <c r="G2211" s="12">
        <f ca="1">IFERROR(__xludf.DUMMYFUNCTION(" VLOOKUP(A2208, IMPORTRANGE(""https://docs.google.com/spreadsheets/d/1fj_Bhi2XPL3siwIh4sx4VRLAe31yD50oKdj5UlRYW0c/"", ""Сводка!A:AA""), 5, FALSE)"),292)</f>
        <v>292</v>
      </c>
      <c r="H2211" s="12" t="s">
        <v>47</v>
      </c>
      <c r="I2211" s="10">
        <f ca="1">IFERROR(__xludf.DUMMYFUNCTION(" VLOOKUP(A2208, IMPORTRANGE(""https://docs.google.com/spreadsheets/d/1QNLbnkR_AongFt22vMfNzfpjZ0CjpI8QI-w0wBnYA1w/"", ""Инфа!A:AA""), 6, FALSE)"),2024)</f>
        <v>2024</v>
      </c>
      <c r="J2211" s="5">
        <f ca="1">ROUND((5000+G2211*30),-2)</f>
        <v>13800</v>
      </c>
      <c r="K2211" s="9" t="s">
        <v>171</v>
      </c>
      <c r="L2211" s="15" t="s">
        <v>8923</v>
      </c>
    </row>
    <row r="2212" spans="1:12" ht="112.5">
      <c r="A2212" s="8" t="s">
        <v>8924</v>
      </c>
      <c r="B2212" s="9" t="s">
        <v>12</v>
      </c>
      <c r="C2212" s="13" t="s">
        <v>443</v>
      </c>
      <c r="D2212" s="10" t="str">
        <f ca="1">IFERROR(__xludf.DUMMYFUNCTION(" VLOOKUP(A2209, IMPORTRANGE(""https://docs.google.com/spreadsheets/d/1fj_Bhi2XPL3siwIh4sx4VRLAe31yD50oKdj5UlRYW0c/"", ""Сводка!A:AA""), 11, FALSE)"),"978-601-352-237-1")</f>
        <v>978-601-352-237-1</v>
      </c>
      <c r="E2212" s="11" t="s">
        <v>8925</v>
      </c>
      <c r="F2212" s="11" t="s">
        <v>8926</v>
      </c>
      <c r="G2212" s="12">
        <f ca="1">IFERROR(__xludf.DUMMYFUNCTION(" VLOOKUP(A2209, IMPORTRANGE(""https://docs.google.com/spreadsheets/d/1fj_Bhi2XPL3siwIh4sx4VRLAe31yD50oKdj5UlRYW0c/"", ""Сводка!A:AA""), 5, FALSE)"),248)</f>
        <v>248</v>
      </c>
      <c r="H2212" s="12" t="s">
        <v>8927</v>
      </c>
      <c r="I2212" s="10">
        <f ca="1">IFERROR(__xludf.DUMMYFUNCTION(" VLOOKUP(A2209, IMPORTRANGE(""https://docs.google.com/spreadsheets/d/1QNLbnkR_AongFt22vMfNzfpjZ0CjpI8QI-w0wBnYA1w/"", ""Инфа!A:AA""), 6, FALSE)"),2024)</f>
        <v>2024</v>
      </c>
      <c r="J2212" s="5">
        <f ca="1">ROUND((5000+G2212*60),-2)</f>
        <v>19900</v>
      </c>
      <c r="K2212" s="10" t="s">
        <v>8928</v>
      </c>
      <c r="L2212" s="15" t="s">
        <v>8929</v>
      </c>
    </row>
    <row r="2213" spans="1:12" ht="247.5">
      <c r="A2213" s="8" t="s">
        <v>8930</v>
      </c>
      <c r="B2213" s="9" t="s">
        <v>12</v>
      </c>
      <c r="C2213" s="10" t="s">
        <v>443</v>
      </c>
      <c r="D2213" s="10" t="str">
        <f ca="1">IFERROR(__xludf.DUMMYFUNCTION(" VLOOKUP(A2210, IMPORTRANGE(""https://docs.google.com/spreadsheets/d/1fj_Bhi2XPL3siwIh4sx4VRLAe31yD50oKdj5UlRYW0c/"", ""Сводка!A:AA""), 11, FALSE)"),"978-601-310-215-3")</f>
        <v>978-601-310-215-3</v>
      </c>
      <c r="E2213" s="11" t="s">
        <v>8931</v>
      </c>
      <c r="F2213" s="11" t="s">
        <v>8932</v>
      </c>
      <c r="G2213" s="12">
        <f ca="1">IFERROR(__xludf.DUMMYFUNCTION(" VLOOKUP(A2210, IMPORTRANGE(""https://docs.google.com/spreadsheets/d/1fj_Bhi2XPL3siwIh4sx4VRLAe31yD50oKdj5UlRYW0c/"", ""Сводка!A:AA""), 5, FALSE)"),244)</f>
        <v>244</v>
      </c>
      <c r="H2213" s="12" t="s">
        <v>538</v>
      </c>
      <c r="I2213" s="10">
        <f ca="1">IFERROR(__xludf.DUMMYFUNCTION(" VLOOKUP(A2210, IMPORTRANGE(""https://docs.google.com/spreadsheets/d/1QNLbnkR_AongFt22vMfNzfpjZ0CjpI8QI-w0wBnYA1w/"", ""Инфа!A:AA""), 6, FALSE)"),2024)</f>
        <v>2024</v>
      </c>
      <c r="J2213" s="5">
        <f ca="1">ROUND((5000+G2213*30),-2)</f>
        <v>12300</v>
      </c>
      <c r="K2213" s="12" t="s">
        <v>1147</v>
      </c>
      <c r="L2213" s="15" t="s">
        <v>8933</v>
      </c>
    </row>
    <row r="2214" spans="1:12" ht="180">
      <c r="A2214" s="8" t="s">
        <v>8934</v>
      </c>
      <c r="B2214" s="9" t="s">
        <v>12</v>
      </c>
      <c r="C2214" s="10" t="s">
        <v>151</v>
      </c>
      <c r="D2214" s="10" t="str">
        <f ca="1">IFERROR(__xludf.DUMMYFUNCTION(" VLOOKUP(A2211, IMPORTRANGE(""https://docs.google.com/spreadsheets/d/1fj_Bhi2XPL3siwIh4sx4VRLAe31yD50oKdj5UlRYW0c/"", ""Сводка!A:AA""), 11, FALSE)"),"978-601-310-872-8")</f>
        <v>978-601-310-872-8</v>
      </c>
      <c r="E2214" s="11" t="s">
        <v>8935</v>
      </c>
      <c r="F2214" s="11" t="s">
        <v>8936</v>
      </c>
      <c r="G2214" s="12">
        <f ca="1">IFERROR(__xludf.DUMMYFUNCTION(" VLOOKUP(A2211, IMPORTRANGE(""https://docs.google.com/spreadsheets/d/1fj_Bhi2XPL3siwIh4sx4VRLAe31yD50oKdj5UlRYW0c/"", ""Сводка!A:AA""), 5, FALSE)"),188)</f>
        <v>188</v>
      </c>
      <c r="H2214" s="12" t="s">
        <v>106</v>
      </c>
      <c r="I2214" s="10">
        <f ca="1">IFERROR(__xludf.DUMMYFUNCTION(" VLOOKUP(A2211, IMPORTRANGE(""https://docs.google.com/spreadsheets/d/1QNLbnkR_AongFt22vMfNzfpjZ0CjpI8QI-w0wBnYA1w/"", ""Инфа!A:AA""), 6, FALSE)"),2024)</f>
        <v>2024</v>
      </c>
      <c r="J2214" s="5">
        <f ca="1">ROUND((5000+G2214*60),-2)</f>
        <v>16300</v>
      </c>
      <c r="K2214" s="9" t="s">
        <v>570</v>
      </c>
      <c r="L2214" s="15" t="s">
        <v>8937</v>
      </c>
    </row>
    <row r="2215" spans="1:12" ht="180">
      <c r="A2215" s="8" t="s">
        <v>8938</v>
      </c>
      <c r="B2215" s="9" t="s">
        <v>12</v>
      </c>
      <c r="C2215" s="10" t="s">
        <v>151</v>
      </c>
      <c r="D2215" s="10" t="str">
        <f ca="1">IFERROR(__xludf.DUMMYFUNCTION(" VLOOKUP(A2212, IMPORTRANGE(""https://docs.google.com/spreadsheets/d/1fj_Bhi2XPL3siwIh4sx4VRLAe31yD50oKdj5UlRYW0c/"", ""Сводка!A:AA""), 11, FALSE)"),"978-601-601-310-088-3")</f>
        <v>978-601-601-310-088-3</v>
      </c>
      <c r="E2215" s="11" t="s">
        <v>8939</v>
      </c>
      <c r="F2215" s="11" t="s">
        <v>8940</v>
      </c>
      <c r="G2215" s="12" t="e">
        <f>#REF!</f>
        <v>#REF!</v>
      </c>
      <c r="H2215" s="12" t="s">
        <v>47</v>
      </c>
      <c r="I2215" s="10">
        <f ca="1">IFERROR(__xludf.DUMMYFUNCTION(" VLOOKUP(A2212, IMPORTRANGE(""https://docs.google.com/spreadsheets/d/1QNLbnkR_AongFt22vMfNzfpjZ0CjpI8QI-w0wBnYA1w/"", ""Инфа!A:AA""), 6, FALSE)"),2024)</f>
        <v>2024</v>
      </c>
      <c r="J2215" s="5" t="e">
        <f>ROUND((5000+G2215*30),-2)</f>
        <v>#REF!</v>
      </c>
      <c r="K2215" s="12" t="s">
        <v>961</v>
      </c>
      <c r="L2215" s="15" t="s">
        <v>8941</v>
      </c>
    </row>
    <row r="2216" spans="1:12" ht="146.25">
      <c r="A2216" s="8" t="s">
        <v>8942</v>
      </c>
      <c r="B2216" s="9" t="s">
        <v>12</v>
      </c>
      <c r="C2216" s="10" t="s">
        <v>151</v>
      </c>
      <c r="D2216" s="10" t="str">
        <f ca="1">IFERROR(__xludf.DUMMYFUNCTION(" VLOOKUP(A2213, IMPORTRANGE(""https://docs.google.com/spreadsheets/d/1fj_Bhi2XPL3siwIh4sx4VRLAe31yD50oKdj5UlRYW0c/"", ""Сводка!A:AA""), 11, FALSE)"),"978-601-240-808-9")</f>
        <v>978-601-240-808-9</v>
      </c>
      <c r="E2216" s="11" t="s">
        <v>8943</v>
      </c>
      <c r="F2216" s="11" t="s">
        <v>8944</v>
      </c>
      <c r="G2216" s="12">
        <f ca="1">IFERROR(__xludf.DUMMYFUNCTION(" VLOOKUP(A2213, IMPORTRANGE(""https://docs.google.com/spreadsheets/d/1fj_Bhi2XPL3siwIh4sx4VRLAe31yD50oKdj5UlRYW0c/"", ""Сводка!A:AA""), 5, FALSE)"),192)</f>
        <v>192</v>
      </c>
      <c r="H2216" s="12" t="s">
        <v>47</v>
      </c>
      <c r="I2216" s="10">
        <f ca="1">IFERROR(__xludf.DUMMYFUNCTION(" VLOOKUP(A2213, IMPORTRANGE(""https://docs.google.com/spreadsheets/d/1QNLbnkR_AongFt22vMfNzfpjZ0CjpI8QI-w0wBnYA1w/"", ""Инфа!A:AA""), 6, FALSE)"),2024)</f>
        <v>2024</v>
      </c>
      <c r="J2216" s="5">
        <f ca="1">ROUND(((5000+G2216*60)*1.3),-2)</f>
        <v>21500</v>
      </c>
      <c r="K2216" s="12" t="s">
        <v>961</v>
      </c>
      <c r="L2216" s="15" t="s">
        <v>8945</v>
      </c>
    </row>
    <row r="2217" spans="1:12" ht="51">
      <c r="A2217" s="8" t="s">
        <v>8946</v>
      </c>
      <c r="B2217" s="9" t="s">
        <v>12</v>
      </c>
      <c r="C2217" s="10" t="s">
        <v>151</v>
      </c>
      <c r="D2217" s="10" t="str">
        <f ca="1">IFERROR(__xludf.DUMMYFUNCTION(" VLOOKUP(A2214, IMPORTRANGE(""https://docs.google.com/spreadsheets/d/1fj_Bhi2XPL3siwIh4sx4VRLAe31yD50oKdj5UlRYW0c/"", ""Сводка!A:AA""), 11, FALSE)"),"")</f>
        <v/>
      </c>
      <c r="E2217" s="11" t="s">
        <v>8943</v>
      </c>
      <c r="F2217" s="11" t="s">
        <v>8947</v>
      </c>
      <c r="G2217" s="12">
        <f ca="1">IFERROR(__xludf.DUMMYFUNCTION(" VLOOKUP(A2214, IMPORTRANGE(""https://docs.google.com/spreadsheets/d/1fj_Bhi2XPL3siwIh4sx4VRLAe31yD50oKdj5UlRYW0c/"", ""Сводка!A:AA""), 5, FALSE)"),148)</f>
        <v>148</v>
      </c>
      <c r="H2217" s="12" t="s">
        <v>47</v>
      </c>
      <c r="I2217" s="10">
        <f ca="1">IFERROR(__xludf.DUMMYFUNCTION(" VLOOKUP(A2214, IMPORTRANGE(""https://docs.google.com/spreadsheets/d/1QNLbnkR_AongFt22vMfNzfpjZ0CjpI8QI-w0wBnYA1w/"", ""Инфа!A:AA""), 6, FALSE)"),2024)</f>
        <v>2024</v>
      </c>
      <c r="J2217" s="5">
        <f ca="1">ROUND(((5000+G2217*60)*1.3),-2)</f>
        <v>18000</v>
      </c>
      <c r="K2217" s="12" t="s">
        <v>961</v>
      </c>
      <c r="L2217" s="15"/>
    </row>
    <row r="2218" spans="1:12" ht="247.5">
      <c r="A2218" s="8" t="s">
        <v>8948</v>
      </c>
      <c r="B2218" s="9" t="s">
        <v>12</v>
      </c>
      <c r="C2218" s="10" t="s">
        <v>443</v>
      </c>
      <c r="D2218" s="10" t="str">
        <f ca="1">IFERROR(__xludf.DUMMYFUNCTION(" VLOOKUP(A2215, IMPORTRANGE(""https://docs.google.com/spreadsheets/d/1fj_Bhi2XPL3siwIh4sx4VRLAe31yD50oKdj5UlRYW0c/"", ""Сводка!A:AA""), 11, FALSE)"),"978-601-327-387-7")</f>
        <v>978-601-327-387-7</v>
      </c>
      <c r="E2218" s="11" t="s">
        <v>8949</v>
      </c>
      <c r="F2218" s="11" t="s">
        <v>8950</v>
      </c>
      <c r="G2218" s="12">
        <f ca="1">IFERROR(__xludf.DUMMYFUNCTION(" VLOOKUP(A2215, IMPORTRANGE(""https://docs.google.com/spreadsheets/d/1fj_Bhi2XPL3siwIh4sx4VRLAe31yD50oKdj5UlRYW0c/"", ""Сводка!A:AA""), 5, FALSE)"),240)</f>
        <v>240</v>
      </c>
      <c r="H2218" s="12" t="s">
        <v>511</v>
      </c>
      <c r="I2218" s="10">
        <f ca="1">IFERROR(__xludf.DUMMYFUNCTION(" VLOOKUP(A2215, IMPORTRANGE(""https://docs.google.com/spreadsheets/d/1QNLbnkR_AongFt22vMfNzfpjZ0CjpI8QI-w0wBnYA1w/"", ""Инфа!A:AA""), 6, FALSE)"),2024)</f>
        <v>2024</v>
      </c>
      <c r="J2218" s="5">
        <f ca="1">ROUND((5000+G2218*60),-2)</f>
        <v>19400</v>
      </c>
      <c r="K2218" s="12" t="s">
        <v>17</v>
      </c>
      <c r="L2218" s="15" t="s">
        <v>8951</v>
      </c>
    </row>
    <row r="2219" spans="1:12" ht="315">
      <c r="A2219" s="8" t="s">
        <v>8952</v>
      </c>
      <c r="B2219" s="9" t="s">
        <v>12</v>
      </c>
      <c r="C2219" s="10" t="s">
        <v>443</v>
      </c>
      <c r="D2219" s="10" t="str">
        <f ca="1">IFERROR(__xludf.DUMMYFUNCTION(" VLOOKUP(A2216, IMPORTRANGE(""https://docs.google.com/spreadsheets/d/1fj_Bhi2XPL3siwIh4sx4VRLAe31yD50oKdj5UlRYW0c/"", ""Сводка!A:AA""), 11, FALSE)"),"978-601-241-236-9")</f>
        <v>978-601-241-236-9</v>
      </c>
      <c r="E2219" s="11" t="s">
        <v>8949</v>
      </c>
      <c r="F2219" s="11" t="s">
        <v>8953</v>
      </c>
      <c r="G2219" s="12">
        <f ca="1">IFERROR(__xludf.DUMMYFUNCTION(" VLOOKUP(A2216, IMPORTRANGE(""https://docs.google.com/spreadsheets/d/1fj_Bhi2XPL3siwIh4sx4VRLAe31yD50oKdj5UlRYW0c/"", ""Сводка!A:AA""), 5, FALSE)"),176)</f>
        <v>176</v>
      </c>
      <c r="H2219" s="12" t="s">
        <v>538</v>
      </c>
      <c r="I2219" s="10">
        <f ca="1">IFERROR(__xludf.DUMMYFUNCTION(" VLOOKUP(A2216, IMPORTRANGE(""https://docs.google.com/spreadsheets/d/1QNLbnkR_AongFt22vMfNzfpjZ0CjpI8QI-w0wBnYA1w/"", ""Инфа!A:AA""), 6, FALSE)"),2024)</f>
        <v>2024</v>
      </c>
      <c r="J2219" s="5">
        <f ca="1">ROUND((5000+G2219*30),-2)</f>
        <v>10300</v>
      </c>
      <c r="K2219" s="12" t="s">
        <v>8954</v>
      </c>
      <c r="L2219" s="15" t="s">
        <v>8955</v>
      </c>
    </row>
    <row r="2220" spans="1:12" ht="202.5">
      <c r="A2220" s="8" t="s">
        <v>8956</v>
      </c>
      <c r="B2220" s="9" t="s">
        <v>12</v>
      </c>
      <c r="C2220" s="10" t="s">
        <v>443</v>
      </c>
      <c r="D2220" s="10" t="str">
        <f ca="1">IFERROR(__xludf.DUMMYFUNCTION(" VLOOKUP(A2217, IMPORTRANGE(""https://docs.google.com/spreadsheets/d/1fj_Bhi2XPL3siwIh4sx4VRLAe31yD50oKdj5UlRYW0c/"", ""Сводка!A:AA""), 11, FALSE)"),"978-664-241-598-8")</f>
        <v>978-664-241-598-8</v>
      </c>
      <c r="E2220" s="11" t="s">
        <v>8949</v>
      </c>
      <c r="F2220" s="11" t="s">
        <v>8957</v>
      </c>
      <c r="G2220" s="12">
        <f ca="1">IFERROR(__xludf.DUMMYFUNCTION(" VLOOKUP(A2217, IMPORTRANGE(""https://docs.google.com/spreadsheets/d/1fj_Bhi2XPL3siwIh4sx4VRLAe31yD50oKdj5UlRYW0c/"", ""Сводка!A:AA""), 5, FALSE)"),240)</f>
        <v>240</v>
      </c>
      <c r="H2220" s="12" t="s">
        <v>511</v>
      </c>
      <c r="I2220" s="10">
        <f ca="1">IFERROR(__xludf.DUMMYFUNCTION(" VLOOKUP(A2217, IMPORTRANGE(""https://docs.google.com/spreadsheets/d/1QNLbnkR_AongFt22vMfNzfpjZ0CjpI8QI-w0wBnYA1w/"", ""Инфа!A:AA""), 6, FALSE)"),2024)</f>
        <v>2024</v>
      </c>
      <c r="J2220" s="5">
        <f ca="1">ROUND((5000+G2220*30),-2)</f>
        <v>12200</v>
      </c>
      <c r="K2220" s="12" t="s">
        <v>8954</v>
      </c>
      <c r="L2220" s="15" t="s">
        <v>8958</v>
      </c>
    </row>
    <row r="2221" spans="1:12" ht="225">
      <c r="A2221" s="8" t="s">
        <v>8959</v>
      </c>
      <c r="B2221" s="9" t="s">
        <v>12</v>
      </c>
      <c r="C2221" s="10" t="s">
        <v>443</v>
      </c>
      <c r="D2221" s="10" t="str">
        <f ca="1">IFERROR(__xludf.DUMMYFUNCTION(" VLOOKUP(A2218, IMPORTRANGE(""https://docs.google.com/spreadsheets/d/1fj_Bhi2XPL3siwIh4sx4VRLAe31yD50oKdj5UlRYW0c/"", ""Сводка!A:AA""), 11, FALSE)"),"978-601-7816-03-2")</f>
        <v>978-601-7816-03-2</v>
      </c>
      <c r="E2221" s="11" t="s">
        <v>8960</v>
      </c>
      <c r="F2221" s="11" t="s">
        <v>8961</v>
      </c>
      <c r="G2221" s="12">
        <f ca="1">IFERROR(__xludf.DUMMYFUNCTION(" VLOOKUP(A2218, IMPORTRANGE(""https://docs.google.com/spreadsheets/d/1fj_Bhi2XPL3siwIh4sx4VRLAe31yD50oKdj5UlRYW0c/"", ""Сводка!A:AA""), 5, FALSE)"),120)</f>
        <v>120</v>
      </c>
      <c r="H2221" s="12" t="s">
        <v>47</v>
      </c>
      <c r="I2221" s="10">
        <f ca="1">IFERROR(__xludf.DUMMYFUNCTION(" VLOOKUP(A2218, IMPORTRANGE(""https://docs.google.com/spreadsheets/d/1QNLbnkR_AongFt22vMfNzfpjZ0CjpI8QI-w0wBnYA1w/"", ""Инфа!A:AA""), 6, FALSE)"),2024)</f>
        <v>2024</v>
      </c>
      <c r="J2221" s="5">
        <f ca="1">ROUND((5000+G2221*30),-2)</f>
        <v>8600</v>
      </c>
      <c r="K2221" s="9" t="s">
        <v>171</v>
      </c>
      <c r="L2221" s="15" t="s">
        <v>8962</v>
      </c>
    </row>
    <row r="2222" spans="1:12" ht="25.5">
      <c r="A2222" s="8" t="s">
        <v>8963</v>
      </c>
      <c r="B2222" s="9" t="s">
        <v>12</v>
      </c>
      <c r="C2222" s="10" t="s">
        <v>151</v>
      </c>
      <c r="D2222" s="10" t="str">
        <f ca="1">IFERROR(__xludf.DUMMYFUNCTION(" VLOOKUP(A2219, IMPORTRANGE(""https://docs.google.com/spreadsheets/d/1fj_Bhi2XPL3siwIh4sx4VRLAe31yD50oKdj5UlRYW0c/"", ""Сводка!A:AA""), 11, FALSE)"),"978-601-781-603-2")</f>
        <v>978-601-781-603-2</v>
      </c>
      <c r="E2222" s="11" t="s">
        <v>8960</v>
      </c>
      <c r="F2222" s="11" t="s">
        <v>8964</v>
      </c>
      <c r="G2222" s="12" t="e">
        <f>#REF!</f>
        <v>#REF!</v>
      </c>
      <c r="H2222" s="12" t="s">
        <v>47</v>
      </c>
      <c r="I2222" s="10">
        <f ca="1">IFERROR(__xludf.DUMMYFUNCTION(" VLOOKUP(A2219, IMPORTRANGE(""https://docs.google.com/spreadsheets/d/1QNLbnkR_AongFt22vMfNzfpjZ0CjpI8QI-w0wBnYA1w/"", ""Инфа!A:AA""), 6, FALSE)"),2024)</f>
        <v>2024</v>
      </c>
      <c r="J2222" s="5" t="e">
        <f>ROUND(((5000+G2222*60)*1.3),-2)</f>
        <v>#REF!</v>
      </c>
      <c r="K2222" s="9" t="s">
        <v>171</v>
      </c>
      <c r="L2222" s="15"/>
    </row>
    <row r="2223" spans="1:12" ht="51">
      <c r="A2223" s="8" t="s">
        <v>8965</v>
      </c>
      <c r="B2223" s="9" t="s">
        <v>12</v>
      </c>
      <c r="C2223" s="10" t="s">
        <v>443</v>
      </c>
      <c r="D2223" s="10" t="str">
        <f ca="1">IFERROR(__xludf.DUMMYFUNCTION(" VLOOKUP(A2220, IMPORTRANGE(""https://docs.google.com/spreadsheets/d/1fj_Bhi2XPL3siwIh4sx4VRLAe31yD50oKdj5UlRYW0c/"", ""Сводка!A:AA""), 11, FALSE)"),"978-601-240-916-1")</f>
        <v>978-601-240-916-1</v>
      </c>
      <c r="E2223" s="11" t="s">
        <v>8966</v>
      </c>
      <c r="F2223" s="11" t="s">
        <v>8967</v>
      </c>
      <c r="G2223" s="12">
        <f ca="1">IFERROR(__xludf.DUMMYFUNCTION(" VLOOKUP(A2220, IMPORTRANGE(""https://docs.google.com/spreadsheets/d/1fj_Bhi2XPL3siwIh4sx4VRLAe31yD50oKdj5UlRYW0c/"", ""Сводка!A:AA""), 5, FALSE)"),228)</f>
        <v>228</v>
      </c>
      <c r="H2223" s="12" t="s">
        <v>106</v>
      </c>
      <c r="I2223" s="10">
        <f ca="1">IFERROR(__xludf.DUMMYFUNCTION(" VLOOKUP(A2220, IMPORTRANGE(""https://docs.google.com/spreadsheets/d/1QNLbnkR_AongFt22vMfNzfpjZ0CjpI8QI-w0wBnYA1w/"", ""Инфа!A:AA""), 6, FALSE)"),2024)</f>
        <v>2024</v>
      </c>
      <c r="J2223" s="5">
        <f ca="1">ROUND(((5000+G2223*30)*1.3),-2)</f>
        <v>15400</v>
      </c>
      <c r="K2223" s="9" t="s">
        <v>257</v>
      </c>
      <c r="L2223" s="15"/>
    </row>
    <row r="2224" spans="1:12" ht="213.75">
      <c r="A2224" s="8" t="s">
        <v>8968</v>
      </c>
      <c r="B2224" s="9" t="s">
        <v>12</v>
      </c>
      <c r="C2224" s="10" t="s">
        <v>443</v>
      </c>
      <c r="D2224" s="10" t="str">
        <f ca="1">IFERROR(__xludf.DUMMYFUNCTION(" VLOOKUP(A2221, IMPORTRANGE(""https://docs.google.com/spreadsheets/d/1fj_Bhi2XPL3siwIh4sx4VRLAe31yD50oKdj5UlRYW0c/"", ""Сводка!A:AA""), 11, FALSE)"),"978-601-240-959-8")</f>
        <v>978-601-240-959-8</v>
      </c>
      <c r="E2224" s="11" t="s">
        <v>8966</v>
      </c>
      <c r="F2224" s="11" t="s">
        <v>8969</v>
      </c>
      <c r="G2224" s="12">
        <f ca="1">IFERROR(__xludf.DUMMYFUNCTION(" VLOOKUP(A2221, IMPORTRANGE(""https://docs.google.com/spreadsheets/d/1fj_Bhi2XPL3siwIh4sx4VRLAe31yD50oKdj5UlRYW0c/"", ""Сводка!A:AA""), 5, FALSE)"),232)</f>
        <v>232</v>
      </c>
      <c r="H2224" s="12" t="s">
        <v>538</v>
      </c>
      <c r="I2224" s="10">
        <f ca="1">IFERROR(__xludf.DUMMYFUNCTION(" VLOOKUP(A2221, IMPORTRANGE(""https://docs.google.com/spreadsheets/d/1QNLbnkR_AongFt22vMfNzfpjZ0CjpI8QI-w0wBnYA1w/"", ""Инфа!A:AA""), 6, FALSE)"),2024)</f>
        <v>2024</v>
      </c>
      <c r="J2224" s="5">
        <f ca="1">ROUND(((5000+G2224*30)*1.3),-2)</f>
        <v>15500</v>
      </c>
      <c r="K2224" s="12" t="s">
        <v>257</v>
      </c>
      <c r="L2224" s="15" t="s">
        <v>8970</v>
      </c>
    </row>
    <row r="2225" spans="1:12" ht="112.5">
      <c r="A2225" s="8" t="s">
        <v>8971</v>
      </c>
      <c r="B2225" s="9" t="s">
        <v>12</v>
      </c>
      <c r="C2225" s="10" t="s">
        <v>443</v>
      </c>
      <c r="D2225" s="10" t="str">
        <f ca="1">IFERROR(__xludf.DUMMYFUNCTION(" VLOOKUP(A2222, IMPORTRANGE(""https://docs.google.com/spreadsheets/d/1fj_Bhi2XPL3siwIh4sx4VRLAe31yD50oKdj5UlRYW0c/"", ""Сводка!A:AA""), 11, FALSE)"),"978-601-327-248-1")</f>
        <v>978-601-327-248-1</v>
      </c>
      <c r="E2225" s="11" t="s">
        <v>8972</v>
      </c>
      <c r="F2225" s="11" t="s">
        <v>575</v>
      </c>
      <c r="G2225" s="12">
        <f ca="1">IFERROR(__xludf.DUMMYFUNCTION(" VLOOKUP(A2222, IMPORTRANGE(""https://docs.google.com/spreadsheets/d/1fj_Bhi2XPL3siwIh4sx4VRLAe31yD50oKdj5UlRYW0c/"", ""Сводка!A:AA""), 5, FALSE)"),176)</f>
        <v>176</v>
      </c>
      <c r="H2225" s="12" t="s">
        <v>538</v>
      </c>
      <c r="I2225" s="10">
        <f ca="1">IFERROR(__xludf.DUMMYFUNCTION(" VLOOKUP(A2222, IMPORTRANGE(""https://docs.google.com/spreadsheets/d/1QNLbnkR_AongFt22vMfNzfpjZ0CjpI8QI-w0wBnYA1w/"", ""Инфа!A:AA""), 6, FALSE)"),2024)</f>
        <v>2024</v>
      </c>
      <c r="J2225" s="5">
        <f t="shared" ref="J2225:J2233" ca="1" si="73">ROUND((5000+G2225*30),-2)</f>
        <v>10300</v>
      </c>
      <c r="K2225" s="12" t="s">
        <v>575</v>
      </c>
      <c r="L2225" s="15" t="s">
        <v>8973</v>
      </c>
    </row>
    <row r="2226" spans="1:12" ht="90">
      <c r="A2226" s="8" t="s">
        <v>8974</v>
      </c>
      <c r="B2226" s="9" t="s">
        <v>12</v>
      </c>
      <c r="C2226" s="10" t="s">
        <v>443</v>
      </c>
      <c r="D2226" s="10" t="str">
        <f ca="1">IFERROR(__xludf.DUMMYFUNCTION(" VLOOKUP(A2223, IMPORTRANGE(""https://docs.google.com/spreadsheets/d/1fj_Bhi2XPL3siwIh4sx4VRLAe31yD50oKdj5UlRYW0c/"", ""Сводка!A:AA""), 11, FALSE)"),"978-601-327-283-2")</f>
        <v>978-601-327-283-2</v>
      </c>
      <c r="E2226" s="11" t="s">
        <v>8972</v>
      </c>
      <c r="F2226" s="11" t="s">
        <v>8975</v>
      </c>
      <c r="G2226" s="12">
        <f ca="1">IFERROR(__xludf.DUMMYFUNCTION(" VLOOKUP(A2223, IMPORTRANGE(""https://docs.google.com/spreadsheets/d/1fj_Bhi2XPL3siwIh4sx4VRLAe31yD50oKdj5UlRYW0c/"", ""Сводка!A:AA""), 5, FALSE)"),96)</f>
        <v>96</v>
      </c>
      <c r="H2226" s="12" t="s">
        <v>511</v>
      </c>
      <c r="I2226" s="10">
        <f ca="1">IFERROR(__xludf.DUMMYFUNCTION(" VLOOKUP(A2223, IMPORTRANGE(""https://docs.google.com/spreadsheets/d/1QNLbnkR_AongFt22vMfNzfpjZ0CjpI8QI-w0wBnYA1w/"", ""Инфа!A:AA""), 6, FALSE)"),2024)</f>
        <v>2024</v>
      </c>
      <c r="J2226" s="5">
        <f t="shared" ca="1" si="73"/>
        <v>7900</v>
      </c>
      <c r="K2226" s="12" t="s">
        <v>3304</v>
      </c>
      <c r="L2226" s="15" t="s">
        <v>8976</v>
      </c>
    </row>
    <row r="2227" spans="1:12" ht="112.5">
      <c r="A2227" s="8" t="s">
        <v>8977</v>
      </c>
      <c r="B2227" s="9" t="s">
        <v>12</v>
      </c>
      <c r="C2227" s="10" t="s">
        <v>443</v>
      </c>
      <c r="D2227" s="10" t="str">
        <f ca="1">IFERROR(__xludf.DUMMYFUNCTION(" VLOOKUP(A2224, IMPORTRANGE(""https://docs.google.com/spreadsheets/d/1fj_Bhi2XPL3siwIh4sx4VRLAe31yD50oKdj5UlRYW0c/"", ""Сводка!A:AA""), 11, FALSE)"),"978-601-327-243-6")</f>
        <v>978-601-327-243-6</v>
      </c>
      <c r="E2227" s="11" t="s">
        <v>8972</v>
      </c>
      <c r="F2227" s="11" t="s">
        <v>8978</v>
      </c>
      <c r="G2227" s="12">
        <f ca="1">IFERROR(__xludf.DUMMYFUNCTION(" VLOOKUP(A2224, IMPORTRANGE(""https://docs.google.com/spreadsheets/d/1fj_Bhi2XPL3siwIh4sx4VRLAe31yD50oKdj5UlRYW0c/"", ""Сводка!A:AA""), 5, FALSE)"),156)</f>
        <v>156</v>
      </c>
      <c r="H2227" s="12" t="s">
        <v>8979</v>
      </c>
      <c r="I2227" s="10">
        <f ca="1">IFERROR(__xludf.DUMMYFUNCTION(" VLOOKUP(A2224, IMPORTRANGE(""https://docs.google.com/spreadsheets/d/1QNLbnkR_AongFt22vMfNzfpjZ0CjpI8QI-w0wBnYA1w/"", ""Инфа!A:AA""), 6, FALSE)"),2024)</f>
        <v>2024</v>
      </c>
      <c r="J2227" s="5">
        <f t="shared" ca="1" si="73"/>
        <v>9700</v>
      </c>
      <c r="K2227" s="12" t="s">
        <v>3304</v>
      </c>
      <c r="L2227" s="15" t="s">
        <v>8980</v>
      </c>
    </row>
    <row r="2228" spans="1:12" ht="90">
      <c r="A2228" s="8" t="s">
        <v>8981</v>
      </c>
      <c r="B2228" s="9" t="s">
        <v>12</v>
      </c>
      <c r="C2228" s="10" t="s">
        <v>443</v>
      </c>
      <c r="D2228" s="10" t="str">
        <f ca="1">IFERROR(__xludf.DUMMYFUNCTION(" VLOOKUP(A2225, IMPORTRANGE(""https://docs.google.com/spreadsheets/d/1fj_Bhi2XPL3siwIh4sx4VRLAe31yD50oKdj5UlRYW0c/"", ""Сводка!A:AA""), 11, FALSE)"),"978-601-327-851-3")</f>
        <v>978-601-327-851-3</v>
      </c>
      <c r="E2228" s="11" t="s">
        <v>8982</v>
      </c>
      <c r="F2228" s="11" t="s">
        <v>8983</v>
      </c>
      <c r="G2228" s="12">
        <f ca="1">IFERROR(__xludf.DUMMYFUNCTION(" VLOOKUP(A2225, IMPORTRANGE(""https://docs.google.com/spreadsheets/d/1fj_Bhi2XPL3siwIh4sx4VRLAe31yD50oKdj5UlRYW0c/"", ""Сводка!A:AA""), 5, FALSE)"),136)</f>
        <v>136</v>
      </c>
      <c r="H2228" s="12" t="s">
        <v>538</v>
      </c>
      <c r="I2228" s="10">
        <f ca="1">IFERROR(__xludf.DUMMYFUNCTION(" VLOOKUP(A2225, IMPORTRANGE(""https://docs.google.com/spreadsheets/d/1QNLbnkR_AongFt22vMfNzfpjZ0CjpI8QI-w0wBnYA1w/"", ""Инфа!A:AA""), 6, FALSE)"),2024)</f>
        <v>2024</v>
      </c>
      <c r="J2228" s="5">
        <f t="shared" ca="1" si="73"/>
        <v>9100</v>
      </c>
      <c r="K2228" s="12" t="s">
        <v>26</v>
      </c>
      <c r="L2228" s="15" t="s">
        <v>8984</v>
      </c>
    </row>
    <row r="2229" spans="1:12" ht="78.75">
      <c r="A2229" s="8" t="s">
        <v>8985</v>
      </c>
      <c r="B2229" s="9" t="s">
        <v>12</v>
      </c>
      <c r="C2229" s="10" t="s">
        <v>443</v>
      </c>
      <c r="D2229" s="10" t="str">
        <f ca="1">IFERROR(__xludf.DUMMYFUNCTION(" VLOOKUP(A2226, IMPORTRANGE(""https://docs.google.com/spreadsheets/d/1fj_Bhi2XPL3siwIh4sx4VRLAe31yD50oKdj5UlRYW0c/"", ""Сводка!A:AA""), 11, FALSE)"),"978-601-342-601-3")</f>
        <v>978-601-342-601-3</v>
      </c>
      <c r="E2229" s="11" t="s">
        <v>8986</v>
      </c>
      <c r="F2229" s="11" t="s">
        <v>2758</v>
      </c>
      <c r="G2229" s="12">
        <f ca="1">IFERROR(__xludf.DUMMYFUNCTION(" VLOOKUP(A2226, IMPORTRANGE(""https://docs.google.com/spreadsheets/d/1fj_Bhi2XPL3siwIh4sx4VRLAe31yD50oKdj5UlRYW0c/"", ""Сводка!A:AA""), 5, FALSE)"),216)</f>
        <v>216</v>
      </c>
      <c r="H2229" s="12" t="s">
        <v>538</v>
      </c>
      <c r="I2229" s="10">
        <f ca="1">IFERROR(__xludf.DUMMYFUNCTION(" VLOOKUP(A2226, IMPORTRANGE(""https://docs.google.com/spreadsheets/d/1QNLbnkR_AongFt22vMfNzfpjZ0CjpI8QI-w0wBnYA1w/"", ""Инфа!A:AA""), 6, FALSE)"),2024)</f>
        <v>2024</v>
      </c>
      <c r="J2229" s="5">
        <f t="shared" ca="1" si="73"/>
        <v>11500</v>
      </c>
      <c r="K2229" s="12" t="s">
        <v>2758</v>
      </c>
      <c r="L2229" s="15" t="s">
        <v>8987</v>
      </c>
    </row>
    <row r="2230" spans="1:12" ht="123.75">
      <c r="A2230" s="8" t="s">
        <v>8988</v>
      </c>
      <c r="B2230" s="9" t="s">
        <v>12</v>
      </c>
      <c r="C2230" s="10" t="s">
        <v>443</v>
      </c>
      <c r="D2230" s="10" t="str">
        <f ca="1">IFERROR(__xludf.DUMMYFUNCTION(" VLOOKUP(A2227, IMPORTRANGE(""https://docs.google.com/spreadsheets/d/1fj_Bhi2XPL3siwIh4sx4VRLAe31yD50oKdj5UlRYW0c/"", ""Сводка!A:AA""), 11, FALSE)"),"978-601-327-593-2")</f>
        <v>978-601-327-593-2</v>
      </c>
      <c r="E2230" s="11" t="s">
        <v>8989</v>
      </c>
      <c r="F2230" s="11" t="s">
        <v>699</v>
      </c>
      <c r="G2230" s="12">
        <f ca="1">IFERROR(__xludf.DUMMYFUNCTION(" VLOOKUP(A2227, IMPORTRANGE(""https://docs.google.com/spreadsheets/d/1fj_Bhi2XPL3siwIh4sx4VRLAe31yD50oKdj5UlRYW0c/"", ""Сводка!A:AA""), 5, FALSE)"),144)</f>
        <v>144</v>
      </c>
      <c r="H2230" s="12" t="s">
        <v>538</v>
      </c>
      <c r="I2230" s="10">
        <f ca="1">IFERROR(__xludf.DUMMYFUNCTION(" VLOOKUP(A2227, IMPORTRANGE(""https://docs.google.com/spreadsheets/d/1QNLbnkR_AongFt22vMfNzfpjZ0CjpI8QI-w0wBnYA1w/"", ""Инфа!A:AA""), 6, FALSE)"),2024)</f>
        <v>2024</v>
      </c>
      <c r="J2230" s="5">
        <f t="shared" ca="1" si="73"/>
        <v>9300</v>
      </c>
      <c r="K2230" s="12" t="s">
        <v>26</v>
      </c>
      <c r="L2230" s="15" t="s">
        <v>8990</v>
      </c>
    </row>
    <row r="2231" spans="1:12" ht="157.5">
      <c r="A2231" s="8" t="s">
        <v>8991</v>
      </c>
      <c r="B2231" s="9" t="s">
        <v>12</v>
      </c>
      <c r="C2231" s="10" t="s">
        <v>443</v>
      </c>
      <c r="D2231" s="10" t="str">
        <f ca="1">IFERROR(__xludf.DUMMYFUNCTION(" VLOOKUP(A2228, IMPORTRANGE(""https://docs.google.com/spreadsheets/d/1fj_Bhi2XPL3siwIh4sx4VRLAe31yD50oKdj5UlRYW0c/"", ""Сводка!A:AA""), 11, FALSE)"),"978-601-342-337-2")</f>
        <v>978-601-342-337-2</v>
      </c>
      <c r="E2231" s="11" t="s">
        <v>8992</v>
      </c>
      <c r="F2231" s="11" t="s">
        <v>8993</v>
      </c>
      <c r="G2231" s="12">
        <f ca="1">IFERROR(__xludf.DUMMYFUNCTION(" VLOOKUP(A2228, IMPORTRANGE(""https://docs.google.com/spreadsheets/d/1fj_Bhi2XPL3siwIh4sx4VRLAe31yD50oKdj5UlRYW0c/"", ""Сводка!A:AA""), 5, FALSE)"),264)</f>
        <v>264</v>
      </c>
      <c r="H2231" s="12" t="s">
        <v>8994</v>
      </c>
      <c r="I2231" s="10">
        <f ca="1">IFERROR(__xludf.DUMMYFUNCTION(" VLOOKUP(A2228, IMPORTRANGE(""https://docs.google.com/spreadsheets/d/1QNLbnkR_AongFt22vMfNzfpjZ0CjpI8QI-w0wBnYA1w/"", ""Инфа!A:AA""), 6, FALSE)"),2024)</f>
        <v>2024</v>
      </c>
      <c r="J2231" s="5">
        <f t="shared" ca="1" si="73"/>
        <v>12900</v>
      </c>
      <c r="K2231" s="12" t="s">
        <v>26</v>
      </c>
      <c r="L2231" s="15" t="s">
        <v>8995</v>
      </c>
    </row>
    <row r="2232" spans="1:12" ht="157.5">
      <c r="A2232" s="8" t="s">
        <v>8996</v>
      </c>
      <c r="B2232" s="9" t="s">
        <v>12</v>
      </c>
      <c r="C2232" s="10" t="s">
        <v>443</v>
      </c>
      <c r="D2232" s="10" t="str">
        <f ca="1">IFERROR(__xludf.DUMMYFUNCTION(" VLOOKUP(A2229, IMPORTRANGE(""https://docs.google.com/spreadsheets/d/1fj_Bhi2XPL3siwIh4sx4VRLAe31yD50oKdj5UlRYW0c/"", ""Сводка!A:AA""), 11, FALSE)"),"978-601-342-337-3")</f>
        <v>978-601-342-337-3</v>
      </c>
      <c r="E2232" s="11" t="s">
        <v>8992</v>
      </c>
      <c r="F2232" s="11" t="s">
        <v>8997</v>
      </c>
      <c r="G2232" s="12">
        <f ca="1">IFERROR(__xludf.DUMMYFUNCTION(" VLOOKUP(A2229, IMPORTRANGE(""https://docs.google.com/spreadsheets/d/1fj_Bhi2XPL3siwIh4sx4VRLAe31yD50oKdj5UlRYW0c/"", ""Сводка!A:AA""), 5, FALSE)"),132)</f>
        <v>132</v>
      </c>
      <c r="H2232" s="12" t="s">
        <v>8994</v>
      </c>
      <c r="I2232" s="10">
        <f ca="1">IFERROR(__xludf.DUMMYFUNCTION(" VLOOKUP(A2229, IMPORTRANGE(""https://docs.google.com/spreadsheets/d/1QNLbnkR_AongFt22vMfNzfpjZ0CjpI8QI-w0wBnYA1w/"", ""Инфа!A:AA""), 6, FALSE)"),2024)</f>
        <v>2024</v>
      </c>
      <c r="J2232" s="5">
        <f t="shared" ca="1" si="73"/>
        <v>9000</v>
      </c>
      <c r="K2232" s="12" t="s">
        <v>26</v>
      </c>
      <c r="L2232" s="15" t="s">
        <v>8995</v>
      </c>
    </row>
    <row r="2233" spans="1:12" ht="157.5">
      <c r="A2233" s="8" t="s">
        <v>8998</v>
      </c>
      <c r="B2233" s="9" t="s">
        <v>12</v>
      </c>
      <c r="C2233" s="10" t="s">
        <v>443</v>
      </c>
      <c r="D2233" s="10" t="str">
        <f ca="1">IFERROR(__xludf.DUMMYFUNCTION(" VLOOKUP(A2230, IMPORTRANGE(""https://docs.google.com/spreadsheets/d/1fj_Bhi2XPL3siwIh4sx4VRLAe31yD50oKdj5UlRYW0c/"", ""Сводка!A:AA""), 11, FALSE)"),"978-601-310-933-6")</f>
        <v>978-601-310-933-6</v>
      </c>
      <c r="E2233" s="11" t="s">
        <v>8999</v>
      </c>
      <c r="F2233" s="11" t="s">
        <v>9000</v>
      </c>
      <c r="G2233" s="12">
        <f ca="1">IFERROR(__xludf.DUMMYFUNCTION(" VLOOKUP(A2230, IMPORTRANGE(""https://docs.google.com/spreadsheets/d/1fj_Bhi2XPL3siwIh4sx4VRLAe31yD50oKdj5UlRYW0c/"", ""Сводка!A:AA""), 5, FALSE)"),372)</f>
        <v>372</v>
      </c>
      <c r="H2233" s="12" t="s">
        <v>671</v>
      </c>
      <c r="I2233" s="10">
        <f ca="1">IFERROR(__xludf.DUMMYFUNCTION(" VLOOKUP(A2230, IMPORTRANGE(""https://docs.google.com/spreadsheets/d/1QNLbnkR_AongFt22vMfNzfpjZ0CjpI8QI-w0wBnYA1w/"", ""Инфа!A:AA""), 6, FALSE)"),2024)</f>
        <v>2024</v>
      </c>
      <c r="J2233" s="5">
        <f t="shared" ca="1" si="73"/>
        <v>16200</v>
      </c>
      <c r="K2233" s="9" t="s">
        <v>539</v>
      </c>
      <c r="L2233" s="15" t="s">
        <v>9001</v>
      </c>
    </row>
    <row r="2234" spans="1:12" ht="225">
      <c r="A2234" s="8" t="s">
        <v>9002</v>
      </c>
      <c r="B2234" s="9" t="s">
        <v>12</v>
      </c>
      <c r="C2234" s="10" t="s">
        <v>9003</v>
      </c>
      <c r="D2234" s="10" t="str">
        <f ca="1">IFERROR(__xludf.DUMMYFUNCTION(" VLOOKUP(A2231, IMPORTRANGE(""https://docs.google.com/spreadsheets/d/1fj_Bhi2XPL3siwIh4sx4VRLAe31yD50oKdj5UlRYW0c/"", ""Сводка!A:AA""), 11, FALSE)"),"978-601-342-020-2")</f>
        <v>978-601-342-020-2</v>
      </c>
      <c r="E2234" s="11" t="s">
        <v>9004</v>
      </c>
      <c r="F2234" s="11" t="s">
        <v>9005</v>
      </c>
      <c r="G2234" s="12">
        <f ca="1">IFERROR(__xludf.DUMMYFUNCTION(" VLOOKUP(A2231, IMPORTRANGE(""https://docs.google.com/spreadsheets/d/1fj_Bhi2XPL3siwIh4sx4VRLAe31yD50oKdj5UlRYW0c/"", ""Сводка!A:AA""), 5, FALSE)"),120)</f>
        <v>120</v>
      </c>
      <c r="H2234" s="12" t="s">
        <v>9006</v>
      </c>
      <c r="I2234" s="10">
        <f ca="1">IFERROR(__xludf.DUMMYFUNCTION(" VLOOKUP(A2231, IMPORTRANGE(""https://docs.google.com/spreadsheets/d/1QNLbnkR_AongFt22vMfNzfpjZ0CjpI8QI-w0wBnYA1w/"", ""Инфа!A:AA""), 6, FALSE)"),2024)</f>
        <v>2024</v>
      </c>
      <c r="J2234" s="5">
        <f ca="1">ROUND(((5000+G2234*60)*1.3),-2)</f>
        <v>15900</v>
      </c>
      <c r="K2234" s="12" t="s">
        <v>447</v>
      </c>
      <c r="L2234" s="15" t="s">
        <v>9007</v>
      </c>
    </row>
    <row r="2235" spans="1:12" ht="101.25">
      <c r="A2235" s="8" t="s">
        <v>9008</v>
      </c>
      <c r="B2235" s="9" t="s">
        <v>12</v>
      </c>
      <c r="C2235" s="10" t="s">
        <v>151</v>
      </c>
      <c r="D2235" s="10" t="str">
        <f ca="1">IFERROR(__xludf.DUMMYFUNCTION(" VLOOKUP(A2232, IMPORTRANGE(""https://docs.google.com/spreadsheets/d/1fj_Bhi2XPL3siwIh4sx4VRLAe31yD50oKdj5UlRYW0c/"", ""Сводка!A:AA""), 11, FALSE)"),"978-601-342-020-2")</f>
        <v>978-601-342-020-2</v>
      </c>
      <c r="E2235" s="11" t="s">
        <v>9009</v>
      </c>
      <c r="F2235" s="11" t="s">
        <v>9010</v>
      </c>
      <c r="G2235" s="12">
        <f ca="1">IFERROR(__xludf.DUMMYFUNCTION(" VLOOKUP(A2232, IMPORTRANGE(""https://docs.google.com/spreadsheets/d/1fj_Bhi2XPL3siwIh4sx4VRLAe31yD50oKdj5UlRYW0c/"", ""Сводка!A:AA""), 5, FALSE)"),200)</f>
        <v>200</v>
      </c>
      <c r="H2235" s="12" t="s">
        <v>56</v>
      </c>
      <c r="I2235" s="10">
        <f ca="1">IFERROR(__xludf.DUMMYFUNCTION(" VLOOKUP(A2232, IMPORTRANGE(""https://docs.google.com/spreadsheets/d/1QNLbnkR_AongFt22vMfNzfpjZ0CjpI8QI-w0wBnYA1w/"", ""Инфа!A:AA""), 6, FALSE)"),2024)</f>
        <v>2024</v>
      </c>
      <c r="J2235" s="5">
        <f t="shared" ref="J2235:J2245" ca="1" si="74">ROUND((5000+G2235*30),-2)</f>
        <v>11000</v>
      </c>
      <c r="K2235" s="12" t="s">
        <v>447</v>
      </c>
      <c r="L2235" s="15" t="s">
        <v>9011</v>
      </c>
    </row>
    <row r="2236" spans="1:12" ht="281.25">
      <c r="A2236" s="8" t="s">
        <v>9012</v>
      </c>
      <c r="B2236" s="9" t="s">
        <v>12</v>
      </c>
      <c r="C2236" s="10" t="s">
        <v>443</v>
      </c>
      <c r="D2236" s="10" t="str">
        <f ca="1">IFERROR(__xludf.DUMMYFUNCTION(" VLOOKUP(A2233, IMPORTRANGE(""https://docs.google.com/spreadsheets/d/1fj_Bhi2XPL3siwIh4sx4VRLAe31yD50oKdj5UlRYW0c/"", ""Сводка!A:AA""), 11, FALSE)"),"978-601-327-961-9")</f>
        <v>978-601-327-961-9</v>
      </c>
      <c r="E2236" s="11" t="s">
        <v>9013</v>
      </c>
      <c r="F2236" s="11" t="s">
        <v>9014</v>
      </c>
      <c r="G2236" s="12">
        <f ca="1">IFERROR(__xludf.DUMMYFUNCTION(" VLOOKUP(A2233, IMPORTRANGE(""https://docs.google.com/spreadsheets/d/1fj_Bhi2XPL3siwIh4sx4VRLAe31yD50oKdj5UlRYW0c/"", ""Сводка!A:AA""), 5, FALSE)"),132)</f>
        <v>132</v>
      </c>
      <c r="H2236" s="12" t="s">
        <v>538</v>
      </c>
      <c r="I2236" s="10">
        <f ca="1">IFERROR(__xludf.DUMMYFUNCTION(" VLOOKUP(A2233, IMPORTRANGE(""https://docs.google.com/spreadsheets/d/1QNLbnkR_AongFt22vMfNzfpjZ0CjpI8QI-w0wBnYA1w/"", ""Инфа!A:AA""), 6, FALSE)"),2024)</f>
        <v>2024</v>
      </c>
      <c r="J2236" s="5">
        <f t="shared" ca="1" si="74"/>
        <v>9000</v>
      </c>
      <c r="K2236" s="12" t="s">
        <v>447</v>
      </c>
      <c r="L2236" s="15" t="s">
        <v>9015</v>
      </c>
    </row>
    <row r="2237" spans="1:12" ht="225">
      <c r="A2237" s="8" t="s">
        <v>9016</v>
      </c>
      <c r="B2237" s="9" t="s">
        <v>12</v>
      </c>
      <c r="C2237" s="10" t="s">
        <v>443</v>
      </c>
      <c r="D2237" s="10" t="str">
        <f ca="1">IFERROR(__xludf.DUMMYFUNCTION(" VLOOKUP(A2234, IMPORTRANGE(""https://docs.google.com/spreadsheets/d/1fj_Bhi2XPL3siwIh4sx4VRLAe31yD50oKdj5UlRYW0c/"", ""Сводка!A:AA""), 11, FALSE)"),"978-601-327-960-2")</f>
        <v>978-601-327-960-2</v>
      </c>
      <c r="E2237" s="11" t="s">
        <v>9017</v>
      </c>
      <c r="F2237" s="11" t="s">
        <v>9018</v>
      </c>
      <c r="G2237" s="12">
        <f ca="1">IFERROR(__xludf.DUMMYFUNCTION(" VLOOKUP(A2234, IMPORTRANGE(""https://docs.google.com/spreadsheets/d/1fj_Bhi2XPL3siwIh4sx4VRLAe31yD50oKdj5UlRYW0c/"", ""Сводка!A:AA""), 5, FALSE)"),160)</f>
        <v>160</v>
      </c>
      <c r="H2237" s="12" t="s">
        <v>671</v>
      </c>
      <c r="I2237" s="10">
        <f ca="1">IFERROR(__xludf.DUMMYFUNCTION(" VLOOKUP(A2234, IMPORTRANGE(""https://docs.google.com/spreadsheets/d/1QNLbnkR_AongFt22vMfNzfpjZ0CjpI8QI-w0wBnYA1w/"", ""Инфа!A:AA""), 6, FALSE)"),2024)</f>
        <v>2024</v>
      </c>
      <c r="J2237" s="5">
        <f t="shared" ca="1" si="74"/>
        <v>9800</v>
      </c>
      <c r="K2237" s="12" t="s">
        <v>447</v>
      </c>
      <c r="L2237" s="15" t="s">
        <v>9019</v>
      </c>
    </row>
    <row r="2238" spans="1:12" ht="157.5">
      <c r="A2238" s="8" t="s">
        <v>9020</v>
      </c>
      <c r="B2238" s="9" t="s">
        <v>12</v>
      </c>
      <c r="C2238" s="10" t="s">
        <v>151</v>
      </c>
      <c r="D2238" s="10" t="str">
        <f ca="1">IFERROR(__xludf.DUMMYFUNCTION(" VLOOKUP(A2235, IMPORTRANGE(""https://docs.google.com/spreadsheets/d/1fj_Bhi2XPL3siwIh4sx4VRLAe31yD50oKdj5UlRYW0c/"", ""Сводка!A:AA""), 11, FALSE)"),"978-601-327-488-1")</f>
        <v>978-601-327-488-1</v>
      </c>
      <c r="E2238" s="11" t="s">
        <v>9021</v>
      </c>
      <c r="F2238" s="11" t="s">
        <v>9022</v>
      </c>
      <c r="G2238" s="12">
        <f ca="1">IFERROR(__xludf.DUMMYFUNCTION(" VLOOKUP(A2235, IMPORTRANGE(""https://docs.google.com/spreadsheets/d/1fj_Bhi2XPL3siwIh4sx4VRLAe31yD50oKdj5UlRYW0c/"", ""Сводка!A:AA""), 5, FALSE)"),228)</f>
        <v>228</v>
      </c>
      <c r="H2238" s="12" t="s">
        <v>498</v>
      </c>
      <c r="I2238" s="10">
        <f ca="1">IFERROR(__xludf.DUMMYFUNCTION(" VLOOKUP(A2235, IMPORTRANGE(""https://docs.google.com/spreadsheets/d/1QNLbnkR_AongFt22vMfNzfpjZ0CjpI8QI-w0wBnYA1w/"", ""Инфа!A:AA""), 6, FALSE)"),2024)</f>
        <v>2024</v>
      </c>
      <c r="J2238" s="5">
        <f t="shared" ca="1" si="74"/>
        <v>11800</v>
      </c>
      <c r="K2238" s="12" t="s">
        <v>26</v>
      </c>
      <c r="L2238" s="15" t="s">
        <v>9023</v>
      </c>
    </row>
    <row r="2239" spans="1:12" ht="157.5">
      <c r="A2239" s="8" t="s">
        <v>9024</v>
      </c>
      <c r="B2239" s="9" t="s">
        <v>12</v>
      </c>
      <c r="C2239" s="10" t="s">
        <v>151</v>
      </c>
      <c r="D2239" s="10" t="str">
        <f ca="1">IFERROR(__xludf.DUMMYFUNCTION(" VLOOKUP(A2236, IMPORTRANGE(""https://docs.google.com/spreadsheets/d/1fj_Bhi2XPL3siwIh4sx4VRLAe31yD50oKdj5UlRYW0c/"", ""Сводка!A:AA""), 11, FALSE)"),"978-601-327-488-1")</f>
        <v>978-601-327-488-1</v>
      </c>
      <c r="E2239" s="11" t="s">
        <v>9021</v>
      </c>
      <c r="F2239" s="11" t="s">
        <v>9025</v>
      </c>
      <c r="G2239" s="12">
        <f ca="1">IFERROR(__xludf.DUMMYFUNCTION(" VLOOKUP(A2236, IMPORTRANGE(""https://docs.google.com/spreadsheets/d/1fj_Bhi2XPL3siwIh4sx4VRLAe31yD50oKdj5UlRYW0c/"", ""Сводка!A:AA""), 5, FALSE)"),228)</f>
        <v>228</v>
      </c>
      <c r="H2239" s="12" t="s">
        <v>498</v>
      </c>
      <c r="I2239" s="10">
        <f ca="1">IFERROR(__xludf.DUMMYFUNCTION(" VLOOKUP(A2236, IMPORTRANGE(""https://docs.google.com/spreadsheets/d/1QNLbnkR_AongFt22vMfNzfpjZ0CjpI8QI-w0wBnYA1w/"", ""Инфа!A:AA""), 6, FALSE)"),2024)</f>
        <v>2024</v>
      </c>
      <c r="J2239" s="5">
        <f t="shared" ca="1" si="74"/>
        <v>11800</v>
      </c>
      <c r="K2239" s="12" t="s">
        <v>26</v>
      </c>
      <c r="L2239" s="15" t="s">
        <v>9023</v>
      </c>
    </row>
    <row r="2240" spans="1:12" ht="146.25">
      <c r="A2240" s="8" t="s">
        <v>9026</v>
      </c>
      <c r="B2240" s="9" t="s">
        <v>12</v>
      </c>
      <c r="C2240" s="10" t="s">
        <v>151</v>
      </c>
      <c r="D2240" s="10" t="str">
        <f ca="1">IFERROR(__xludf.DUMMYFUNCTION(" VLOOKUP(A2237, IMPORTRANGE(""https://docs.google.com/spreadsheets/d/1fj_Bhi2XPL3siwIh4sx4VRLAe31yD50oKdj5UlRYW0c/"", ""Сводка!A:AA""), 11, FALSE)"),"978-601-327-488-1")</f>
        <v>978-601-327-488-1</v>
      </c>
      <c r="E2240" s="11" t="s">
        <v>9021</v>
      </c>
      <c r="F2240" s="11" t="s">
        <v>9027</v>
      </c>
      <c r="G2240" s="12">
        <f ca="1">IFERROR(__xludf.DUMMYFUNCTION(" VLOOKUP(A2237, IMPORTRANGE(""https://docs.google.com/spreadsheets/d/1fj_Bhi2XPL3siwIh4sx4VRLAe31yD50oKdj5UlRYW0c/"", ""Сводка!A:AA""), 5, FALSE)"),220)</f>
        <v>220</v>
      </c>
      <c r="H2240" s="12" t="s">
        <v>4784</v>
      </c>
      <c r="I2240" s="10">
        <f ca="1">IFERROR(__xludf.DUMMYFUNCTION(" VLOOKUP(A2237, IMPORTRANGE(""https://docs.google.com/spreadsheets/d/1QNLbnkR_AongFt22vMfNzfpjZ0CjpI8QI-w0wBnYA1w/"", ""Инфа!A:AA""), 6, FALSE)"),2024)</f>
        <v>2024</v>
      </c>
      <c r="J2240" s="5">
        <f t="shared" ca="1" si="74"/>
        <v>11600</v>
      </c>
      <c r="K2240" s="12" t="s">
        <v>26</v>
      </c>
      <c r="L2240" s="15" t="s">
        <v>9028</v>
      </c>
    </row>
    <row r="2241" spans="1:12" ht="146.25">
      <c r="A2241" s="8" t="s">
        <v>9029</v>
      </c>
      <c r="B2241" s="9" t="s">
        <v>12</v>
      </c>
      <c r="C2241" s="10" t="s">
        <v>151</v>
      </c>
      <c r="D2241" s="10" t="str">
        <f ca="1">IFERROR(__xludf.DUMMYFUNCTION(" VLOOKUP(A2238, IMPORTRANGE(""https://docs.google.com/spreadsheets/d/1fj_Bhi2XPL3siwIh4sx4VRLAe31yD50oKdj5UlRYW0c/"", ""Сводка!A:AA""), 11, FALSE)"),"978-601-327-488-1")</f>
        <v>978-601-327-488-1</v>
      </c>
      <c r="E2241" s="11" t="s">
        <v>9021</v>
      </c>
      <c r="F2241" s="11" t="s">
        <v>9030</v>
      </c>
      <c r="G2241" s="12">
        <f ca="1">IFERROR(__xludf.DUMMYFUNCTION(" VLOOKUP(A2238, IMPORTRANGE(""https://docs.google.com/spreadsheets/d/1fj_Bhi2XPL3siwIh4sx4VRLAe31yD50oKdj5UlRYW0c/"", ""Сводка!A:AA""), 5, FALSE)"),340)</f>
        <v>340</v>
      </c>
      <c r="H2241" s="12" t="s">
        <v>4784</v>
      </c>
      <c r="I2241" s="10">
        <f ca="1">IFERROR(__xludf.DUMMYFUNCTION(" VLOOKUP(A2238, IMPORTRANGE(""https://docs.google.com/spreadsheets/d/1QNLbnkR_AongFt22vMfNzfpjZ0CjpI8QI-w0wBnYA1w/"", ""Инфа!A:AA""), 6, FALSE)"),2024)</f>
        <v>2024</v>
      </c>
      <c r="J2241" s="5">
        <f t="shared" ca="1" si="74"/>
        <v>15200</v>
      </c>
      <c r="K2241" s="12" t="s">
        <v>26</v>
      </c>
      <c r="L2241" s="15" t="s">
        <v>9028</v>
      </c>
    </row>
    <row r="2242" spans="1:12" ht="78.75">
      <c r="A2242" s="8" t="s">
        <v>9031</v>
      </c>
      <c r="B2242" s="9" t="s">
        <v>12</v>
      </c>
      <c r="C2242" s="10" t="s">
        <v>151</v>
      </c>
      <c r="D2242" s="10" t="str">
        <f ca="1">IFERROR(__xludf.DUMMYFUNCTION(" VLOOKUP(A2239, IMPORTRANGE(""https://docs.google.com/spreadsheets/d/1fj_Bhi2XPL3siwIh4sx4VRLAe31yD50oKdj5UlRYW0c/"", ""Сводка!A:AA""), 11, FALSE)"),"978-601-327-488-1")</f>
        <v>978-601-327-488-1</v>
      </c>
      <c r="E2242" s="11" t="s">
        <v>9021</v>
      </c>
      <c r="F2242" s="11" t="s">
        <v>9032</v>
      </c>
      <c r="G2242" s="12">
        <f ca="1">IFERROR(__xludf.DUMMYFUNCTION(" VLOOKUP(A2239, IMPORTRANGE(""https://docs.google.com/spreadsheets/d/1fj_Bhi2XPL3siwIh4sx4VRLAe31yD50oKdj5UlRYW0c/"", ""Сводка!A:AA""), 5, FALSE)"),320)</f>
        <v>320</v>
      </c>
      <c r="H2242" s="12" t="s">
        <v>4784</v>
      </c>
      <c r="I2242" s="10">
        <f ca="1">IFERROR(__xludf.DUMMYFUNCTION(" VLOOKUP(A2239, IMPORTRANGE(""https://docs.google.com/spreadsheets/d/1QNLbnkR_AongFt22vMfNzfpjZ0CjpI8QI-w0wBnYA1w/"", ""Инфа!A:AA""), 6, FALSE)"),2024)</f>
        <v>2024</v>
      </c>
      <c r="J2242" s="5">
        <f t="shared" ca="1" si="74"/>
        <v>14600</v>
      </c>
      <c r="K2242" s="12" t="s">
        <v>26</v>
      </c>
      <c r="L2242" s="15" t="s">
        <v>9033</v>
      </c>
    </row>
    <row r="2243" spans="1:12" ht="78.75">
      <c r="A2243" s="8" t="s">
        <v>9034</v>
      </c>
      <c r="B2243" s="9" t="s">
        <v>12</v>
      </c>
      <c r="C2243" s="10" t="s">
        <v>151</v>
      </c>
      <c r="D2243" s="10" t="str">
        <f ca="1">IFERROR(__xludf.DUMMYFUNCTION(" VLOOKUP(A2240, IMPORTRANGE(""https://docs.google.com/spreadsheets/d/1fj_Bhi2XPL3siwIh4sx4VRLAe31yD50oKdj5UlRYW0c/"", ""Сводка!A:AA""), 11, FALSE)"),"978-601-327-488-1")</f>
        <v>978-601-327-488-1</v>
      </c>
      <c r="E2243" s="11" t="s">
        <v>9021</v>
      </c>
      <c r="F2243" s="11" t="s">
        <v>9035</v>
      </c>
      <c r="G2243" s="12">
        <f ca="1">IFERROR(__xludf.DUMMYFUNCTION(" VLOOKUP(A2240, IMPORTRANGE(""https://docs.google.com/spreadsheets/d/1fj_Bhi2XPL3siwIh4sx4VRLAe31yD50oKdj5UlRYW0c/"", ""Сводка!A:AA""), 5, FALSE)"),260)</f>
        <v>260</v>
      </c>
      <c r="H2243" s="12" t="s">
        <v>4784</v>
      </c>
      <c r="I2243" s="10">
        <f ca="1">IFERROR(__xludf.DUMMYFUNCTION(" VLOOKUP(A2240, IMPORTRANGE(""https://docs.google.com/spreadsheets/d/1QNLbnkR_AongFt22vMfNzfpjZ0CjpI8QI-w0wBnYA1w/"", ""Инфа!A:AA""), 6, FALSE)"),2024)</f>
        <v>2024</v>
      </c>
      <c r="J2243" s="5">
        <f t="shared" ca="1" si="74"/>
        <v>12800</v>
      </c>
      <c r="K2243" s="12" t="s">
        <v>26</v>
      </c>
      <c r="L2243" s="15" t="s">
        <v>9033</v>
      </c>
    </row>
    <row r="2244" spans="1:12" ht="101.25">
      <c r="A2244" s="8" t="s">
        <v>9036</v>
      </c>
      <c r="B2244" s="9" t="s">
        <v>12</v>
      </c>
      <c r="C2244" s="10" t="s">
        <v>151</v>
      </c>
      <c r="D2244" s="10" t="str">
        <f ca="1">IFERROR(__xludf.DUMMYFUNCTION(" VLOOKUP(A2241, IMPORTRANGE(""https://docs.google.com/spreadsheets/d/1fj_Bhi2XPL3siwIh4sx4VRLAe31yD50oKdj5UlRYW0c/"", ""Сводка!A:AA""), 11, FALSE)"),"978-601-327-488-1")</f>
        <v>978-601-327-488-1</v>
      </c>
      <c r="E2244" s="11" t="s">
        <v>4782</v>
      </c>
      <c r="F2244" s="11" t="s">
        <v>9037</v>
      </c>
      <c r="G2244" s="12">
        <f ca="1">IFERROR(__xludf.DUMMYFUNCTION(" VLOOKUP(A2241, IMPORTRANGE(""https://docs.google.com/spreadsheets/d/1fj_Bhi2XPL3siwIh4sx4VRLAe31yD50oKdj5UlRYW0c/"", ""Сводка!A:AA""), 5, FALSE)"),308)</f>
        <v>308</v>
      </c>
      <c r="H2244" s="12" t="s">
        <v>498</v>
      </c>
      <c r="I2244" s="10">
        <f ca="1">IFERROR(__xludf.DUMMYFUNCTION(" VLOOKUP(A2241, IMPORTRANGE(""https://docs.google.com/spreadsheets/d/1QNLbnkR_AongFt22vMfNzfpjZ0CjpI8QI-w0wBnYA1w/"", ""Инфа!A:AA""), 6, FALSE)"),2024)</f>
        <v>2024</v>
      </c>
      <c r="J2244" s="5">
        <f t="shared" ca="1" si="74"/>
        <v>14200</v>
      </c>
      <c r="K2244" s="12" t="s">
        <v>26</v>
      </c>
      <c r="L2244" s="15" t="s">
        <v>9038</v>
      </c>
    </row>
    <row r="2245" spans="1:12" ht="101.25">
      <c r="A2245" s="8" t="s">
        <v>9039</v>
      </c>
      <c r="B2245" s="9" t="s">
        <v>12</v>
      </c>
      <c r="C2245" s="10" t="s">
        <v>151</v>
      </c>
      <c r="D2245" s="10" t="str">
        <f ca="1">IFERROR(__xludf.DUMMYFUNCTION(" VLOOKUP(A2242, IMPORTRANGE(""https://docs.google.com/spreadsheets/d/1fj_Bhi2XPL3siwIh4sx4VRLAe31yD50oKdj5UlRYW0c/"", ""Сводка!A:AA""), 11, FALSE)"),"978-601-327-488-1")</f>
        <v>978-601-327-488-1</v>
      </c>
      <c r="E2245" s="11" t="s">
        <v>4782</v>
      </c>
      <c r="F2245" s="11" t="s">
        <v>9040</v>
      </c>
      <c r="G2245" s="12">
        <f ca="1">IFERROR(__xludf.DUMMYFUNCTION(" VLOOKUP(A2242, IMPORTRANGE(""https://docs.google.com/spreadsheets/d/1fj_Bhi2XPL3siwIh4sx4VRLAe31yD50oKdj5UlRYW0c/"", ""Сводка!A:AA""), 5, FALSE)"),348)</f>
        <v>348</v>
      </c>
      <c r="H2245" s="12" t="s">
        <v>498</v>
      </c>
      <c r="I2245" s="10">
        <f ca="1">IFERROR(__xludf.DUMMYFUNCTION(" VLOOKUP(A2242, IMPORTRANGE(""https://docs.google.com/spreadsheets/d/1QNLbnkR_AongFt22vMfNzfpjZ0CjpI8QI-w0wBnYA1w/"", ""Инфа!A:AA""), 6, FALSE)"),2024)</f>
        <v>2024</v>
      </c>
      <c r="J2245" s="5">
        <f t="shared" ca="1" si="74"/>
        <v>15400</v>
      </c>
      <c r="K2245" s="12" t="s">
        <v>26</v>
      </c>
      <c r="L2245" s="15" t="s">
        <v>9038</v>
      </c>
    </row>
    <row r="2246" spans="1:12" ht="101.25">
      <c r="A2246" s="8" t="s">
        <v>9041</v>
      </c>
      <c r="B2246" s="9" t="s">
        <v>12</v>
      </c>
      <c r="C2246" s="10" t="s">
        <v>151</v>
      </c>
      <c r="D2246" s="10" t="str">
        <f ca="1">IFERROR(__xludf.DUMMYFUNCTION(" VLOOKUP(A2243, IMPORTRANGE(""https://docs.google.com/spreadsheets/d/1fj_Bhi2XPL3siwIh4sx4VRLAe31yD50oKdj5UlRYW0c/"", ""Сводка!A:AA""), 11, FALSE)"),"978-601-327-488-1")</f>
        <v>978-601-327-488-1</v>
      </c>
      <c r="E2246" s="11" t="s">
        <v>4782</v>
      </c>
      <c r="F2246" s="11" t="s">
        <v>9042</v>
      </c>
      <c r="G2246" s="12">
        <f ca="1">IFERROR(__xludf.DUMMYFUNCTION(" VLOOKUP(A2243, IMPORTRANGE(""https://docs.google.com/spreadsheets/d/1fj_Bhi2XPL3siwIh4sx4VRLAe31yD50oKdj5UlRYW0c/"", ""Сводка!A:AA""), 5, FALSE)"),324)</f>
        <v>324</v>
      </c>
      <c r="H2246" s="12" t="s">
        <v>498</v>
      </c>
      <c r="I2246" s="10">
        <f ca="1">IFERROR(__xludf.DUMMYFUNCTION(" VLOOKUP(A2243, IMPORTRANGE(""https://docs.google.com/spreadsheets/d/1QNLbnkR_AongFt22vMfNzfpjZ0CjpI8QI-w0wBnYA1w/"", ""Инфа!A:AA""), 6, FALSE)"),2024)</f>
        <v>2024</v>
      </c>
      <c r="J2246" s="5">
        <f ca="1">ROUND((5000+G2246*60),-2)</f>
        <v>24400</v>
      </c>
      <c r="K2246" s="12" t="s">
        <v>26</v>
      </c>
      <c r="L2246" s="23" t="s">
        <v>9038</v>
      </c>
    </row>
    <row r="2247" spans="1:12" ht="101.25">
      <c r="A2247" s="8" t="s">
        <v>9043</v>
      </c>
      <c r="B2247" s="9" t="s">
        <v>12</v>
      </c>
      <c r="C2247" s="10" t="s">
        <v>151</v>
      </c>
      <c r="D2247" s="10" t="str">
        <f ca="1">IFERROR(__xludf.DUMMYFUNCTION(" VLOOKUP(A2244, IMPORTRANGE(""https://docs.google.com/spreadsheets/d/1fj_Bhi2XPL3siwIh4sx4VRLAe31yD50oKdj5UlRYW0c/"", ""Сводка!A:AA""), 11, FALSE)"),"978-601-327-488-1")</f>
        <v>978-601-327-488-1</v>
      </c>
      <c r="E2247" s="11" t="s">
        <v>4782</v>
      </c>
      <c r="F2247" s="11" t="s">
        <v>9044</v>
      </c>
      <c r="G2247" s="12">
        <f ca="1">IFERROR(__xludf.DUMMYFUNCTION(" VLOOKUP(A2244, IMPORTRANGE(""https://docs.google.com/spreadsheets/d/1fj_Bhi2XPL3siwIh4sx4VRLAe31yD50oKdj5UlRYW0c/"", ""Сводка!A:AA""), 5, FALSE)"),268)</f>
        <v>268</v>
      </c>
      <c r="H2247" s="12" t="s">
        <v>498</v>
      </c>
      <c r="I2247" s="10">
        <f ca="1">IFERROR(__xludf.DUMMYFUNCTION(" VLOOKUP(A2244, IMPORTRANGE(""https://docs.google.com/spreadsheets/d/1QNLbnkR_AongFt22vMfNzfpjZ0CjpI8QI-w0wBnYA1w/"", ""Инфа!A:AA""), 6, FALSE)"),2024)</f>
        <v>2024</v>
      </c>
      <c r="J2247" s="5">
        <f ca="1">ROUND((5000+G2247*60),-2)</f>
        <v>21100</v>
      </c>
      <c r="K2247" s="12" t="s">
        <v>26</v>
      </c>
      <c r="L2247" s="23" t="s">
        <v>9038</v>
      </c>
    </row>
    <row r="2248" spans="1:12" ht="101.25">
      <c r="A2248" s="8" t="s">
        <v>9045</v>
      </c>
      <c r="B2248" s="9" t="s">
        <v>12</v>
      </c>
      <c r="C2248" s="10" t="s">
        <v>151</v>
      </c>
      <c r="D2248" s="10" t="str">
        <f ca="1">IFERROR(__xludf.DUMMYFUNCTION(" VLOOKUP(A2245, IMPORTRANGE(""https://docs.google.com/spreadsheets/d/1fj_Bhi2XPL3siwIh4sx4VRLAe31yD50oKdj5UlRYW0c/"", ""Сводка!A:AA""), 11, FALSE)"),"978-601-327-488-1")</f>
        <v>978-601-327-488-1</v>
      </c>
      <c r="E2248" s="11" t="s">
        <v>4782</v>
      </c>
      <c r="F2248" s="11" t="s">
        <v>9046</v>
      </c>
      <c r="G2248" s="12">
        <f ca="1">IFERROR(__xludf.DUMMYFUNCTION(" VLOOKUP(A2245, IMPORTRANGE(""https://docs.google.com/spreadsheets/d/1fj_Bhi2XPL3siwIh4sx4VRLAe31yD50oKdj5UlRYW0c/"", ""Сводка!A:AA""), 5, FALSE)"),252)</f>
        <v>252</v>
      </c>
      <c r="H2248" s="12" t="s">
        <v>498</v>
      </c>
      <c r="I2248" s="10">
        <f ca="1">IFERROR(__xludf.DUMMYFUNCTION(" VLOOKUP(A2245, IMPORTRANGE(""https://docs.google.com/spreadsheets/d/1QNLbnkR_AongFt22vMfNzfpjZ0CjpI8QI-w0wBnYA1w/"", ""Инфа!A:AA""), 6, FALSE)"),2024)</f>
        <v>2024</v>
      </c>
      <c r="J2248" s="5">
        <f t="shared" ref="J2248:J2259" ca="1" si="75">ROUND((5000+G2248*30),-2)</f>
        <v>12600</v>
      </c>
      <c r="K2248" s="12" t="s">
        <v>26</v>
      </c>
      <c r="L2248" s="23" t="s">
        <v>9038</v>
      </c>
    </row>
    <row r="2249" spans="1:12" ht="101.25">
      <c r="A2249" s="8" t="s">
        <v>9047</v>
      </c>
      <c r="B2249" s="9" t="s">
        <v>12</v>
      </c>
      <c r="C2249" s="10" t="s">
        <v>151</v>
      </c>
      <c r="D2249" s="10" t="str">
        <f ca="1">IFERROR(__xludf.DUMMYFUNCTION(" VLOOKUP(A2246, IMPORTRANGE(""https://docs.google.com/spreadsheets/d/1fj_Bhi2XPL3siwIh4sx4VRLAe31yD50oKdj5UlRYW0c/"", ""Сводка!A:AA""), 11, FALSE)"),"978-601-327-488-1")</f>
        <v>978-601-327-488-1</v>
      </c>
      <c r="E2249" s="11" t="s">
        <v>4782</v>
      </c>
      <c r="F2249" s="11" t="s">
        <v>9048</v>
      </c>
      <c r="G2249" s="12">
        <f ca="1">IFERROR(__xludf.DUMMYFUNCTION(" VLOOKUP(A2246, IMPORTRANGE(""https://docs.google.com/spreadsheets/d/1fj_Bhi2XPL3siwIh4sx4VRLAe31yD50oKdj5UlRYW0c/"", ""Сводка!A:AA""), 5, FALSE)"),296)</f>
        <v>296</v>
      </c>
      <c r="H2249" s="12" t="s">
        <v>498</v>
      </c>
      <c r="I2249" s="10">
        <f ca="1">IFERROR(__xludf.DUMMYFUNCTION(" VLOOKUP(A2246, IMPORTRANGE(""https://docs.google.com/spreadsheets/d/1QNLbnkR_AongFt22vMfNzfpjZ0CjpI8QI-w0wBnYA1w/"", ""Инфа!A:AA""), 6, FALSE)"),2024)</f>
        <v>2024</v>
      </c>
      <c r="J2249" s="5">
        <f t="shared" ca="1" si="75"/>
        <v>13900</v>
      </c>
      <c r="K2249" s="12" t="s">
        <v>26</v>
      </c>
      <c r="L2249" s="23" t="s">
        <v>9038</v>
      </c>
    </row>
    <row r="2250" spans="1:12" ht="180">
      <c r="A2250" s="8" t="s">
        <v>9049</v>
      </c>
      <c r="B2250" s="9" t="s">
        <v>12</v>
      </c>
      <c r="C2250" s="10" t="s">
        <v>151</v>
      </c>
      <c r="D2250" s="10" t="str">
        <f ca="1">IFERROR(__xludf.DUMMYFUNCTION(" VLOOKUP(A2247, IMPORTRANGE(""https://docs.google.com/spreadsheets/d/1fj_Bhi2XPL3siwIh4sx4VRLAe31yD50oKdj5UlRYW0c/"", ""Сводка!A:AA""), 11, FALSE)"),"978-601-327-488-1")</f>
        <v>978-601-327-488-1</v>
      </c>
      <c r="E2250" s="11" t="s">
        <v>4782</v>
      </c>
      <c r="F2250" s="11" t="s">
        <v>9050</v>
      </c>
      <c r="G2250" s="12">
        <f ca="1">IFERROR(__xludf.DUMMYFUNCTION(" VLOOKUP(A2247, IMPORTRANGE(""https://docs.google.com/spreadsheets/d/1fj_Bhi2XPL3siwIh4sx4VRLAe31yD50oKdj5UlRYW0c/"", ""Сводка!A:AA""), 5, FALSE)"),340)</f>
        <v>340</v>
      </c>
      <c r="H2250" s="12" t="s">
        <v>4784</v>
      </c>
      <c r="I2250" s="10">
        <f ca="1">IFERROR(__xludf.DUMMYFUNCTION(" VLOOKUP(A2247, IMPORTRANGE(""https://docs.google.com/spreadsheets/d/1QNLbnkR_AongFt22vMfNzfpjZ0CjpI8QI-w0wBnYA1w/"", ""Инфа!A:AA""), 6, FALSE)"),2024)</f>
        <v>2024</v>
      </c>
      <c r="J2250" s="5">
        <f t="shared" ca="1" si="75"/>
        <v>15200</v>
      </c>
      <c r="K2250" s="12" t="s">
        <v>26</v>
      </c>
      <c r="L2250" s="15" t="s">
        <v>9051</v>
      </c>
    </row>
    <row r="2251" spans="1:12" ht="180">
      <c r="A2251" s="8" t="s">
        <v>9052</v>
      </c>
      <c r="B2251" s="9" t="s">
        <v>12</v>
      </c>
      <c r="C2251" s="10" t="s">
        <v>443</v>
      </c>
      <c r="D2251" s="10" t="str">
        <f ca="1">IFERROR(__xludf.DUMMYFUNCTION(" VLOOKUP(A2248, IMPORTRANGE(""https://docs.google.com/spreadsheets/d/1fj_Bhi2XPL3siwIh4sx4VRLAe31yD50oKdj5UlRYW0c/"", ""Сводка!A:AA""), 11, FALSE)"),"978-601-327-917-6")</f>
        <v>978-601-327-917-6</v>
      </c>
      <c r="E2251" s="11" t="s">
        <v>9053</v>
      </c>
      <c r="F2251" s="11" t="s">
        <v>9054</v>
      </c>
      <c r="G2251" s="12">
        <f ca="1">IFERROR(__xludf.DUMMYFUNCTION(" VLOOKUP(A2248, IMPORTRANGE(""https://docs.google.com/spreadsheets/d/1fj_Bhi2XPL3siwIh4sx4VRLAe31yD50oKdj5UlRYW0c/"", ""Сводка!A:AA""), 5, FALSE)"),136)</f>
        <v>136</v>
      </c>
      <c r="H2251" s="12" t="s">
        <v>538</v>
      </c>
      <c r="I2251" s="10">
        <f ca="1">IFERROR(__xludf.DUMMYFUNCTION(" VLOOKUP(A2248, IMPORTRANGE(""https://docs.google.com/spreadsheets/d/1QNLbnkR_AongFt22vMfNzfpjZ0CjpI8QI-w0wBnYA1w/"", ""Инфа!A:AA""), 6, FALSE)"),2024)</f>
        <v>2024</v>
      </c>
      <c r="J2251" s="5">
        <f t="shared" ca="1" si="75"/>
        <v>9100</v>
      </c>
      <c r="K2251" s="12" t="s">
        <v>26</v>
      </c>
      <c r="L2251" s="15" t="s">
        <v>9055</v>
      </c>
    </row>
    <row r="2252" spans="1:12" ht="168.75">
      <c r="A2252" s="8" t="s">
        <v>9056</v>
      </c>
      <c r="B2252" s="9" t="s">
        <v>12</v>
      </c>
      <c r="C2252" s="10" t="s">
        <v>443</v>
      </c>
      <c r="D2252" s="10" t="str">
        <f ca="1">IFERROR(__xludf.DUMMYFUNCTION(" VLOOKUP(A2249, IMPORTRANGE(""https://docs.google.com/spreadsheets/d/1fj_Bhi2XPL3siwIh4sx4VRLAe31yD50oKdj5UlRYW0c/"", ""Сводка!A:AA""), 11, FALSE)"),"978-601-342-043-1")</f>
        <v>978-601-342-043-1</v>
      </c>
      <c r="E2252" s="11" t="s">
        <v>9057</v>
      </c>
      <c r="F2252" s="11" t="s">
        <v>9058</v>
      </c>
      <c r="G2252" s="12">
        <f ca="1">IFERROR(__xludf.DUMMYFUNCTION(" VLOOKUP(A2249, IMPORTRANGE(""https://docs.google.com/spreadsheets/d/1fj_Bhi2XPL3siwIh4sx4VRLAe31yD50oKdj5UlRYW0c/"", ""Сводка!A:AA""), 5, FALSE)"),88)</f>
        <v>88</v>
      </c>
      <c r="H2252" s="12" t="s">
        <v>538</v>
      </c>
      <c r="I2252" s="10">
        <f ca="1">IFERROR(__xludf.DUMMYFUNCTION(" VLOOKUP(A2249, IMPORTRANGE(""https://docs.google.com/spreadsheets/d/1QNLbnkR_AongFt22vMfNzfpjZ0CjpI8QI-w0wBnYA1w/"", ""Инфа!A:AA""), 6, FALSE)"),2024)</f>
        <v>2024</v>
      </c>
      <c r="J2252" s="5">
        <f t="shared" ca="1" si="75"/>
        <v>7600</v>
      </c>
      <c r="K2252" s="12" t="s">
        <v>26</v>
      </c>
      <c r="L2252" s="15" t="s">
        <v>9059</v>
      </c>
    </row>
    <row r="2253" spans="1:12" ht="168.75">
      <c r="A2253" s="8" t="s">
        <v>9060</v>
      </c>
      <c r="B2253" s="9" t="s">
        <v>12</v>
      </c>
      <c r="C2253" s="10" t="s">
        <v>151</v>
      </c>
      <c r="D2253" s="10" t="str">
        <f ca="1">IFERROR(__xludf.DUMMYFUNCTION(" VLOOKUP(A2250, IMPORTRANGE(""https://docs.google.com/spreadsheets/d/1fj_Bhi2XPL3siwIh4sx4VRLAe31yD50oKdj5UlRYW0c/"", ""Сводка!A:AA""), 11, FALSE)"),"978-601-342-103-2")</f>
        <v>978-601-342-103-2</v>
      </c>
      <c r="E2253" s="11" t="s">
        <v>9061</v>
      </c>
      <c r="F2253" s="11" t="s">
        <v>9062</v>
      </c>
      <c r="G2253" s="12">
        <f ca="1">IFERROR(__xludf.DUMMYFUNCTION(" VLOOKUP(A2250, IMPORTRANGE(""https://docs.google.com/spreadsheets/d/1fj_Bhi2XPL3siwIh4sx4VRLAe31yD50oKdj5UlRYW0c/"", ""Сводка!A:AA""), 5, FALSE)"),146)</f>
        <v>146</v>
      </c>
      <c r="H2253" s="12" t="s">
        <v>47</v>
      </c>
      <c r="I2253" s="10">
        <f ca="1">IFERROR(__xludf.DUMMYFUNCTION(" VLOOKUP(A2250, IMPORTRANGE(""https://docs.google.com/spreadsheets/d/1QNLbnkR_AongFt22vMfNzfpjZ0CjpI8QI-w0wBnYA1w/"", ""Инфа!A:AA""), 6, FALSE)"),2024)</f>
        <v>2024</v>
      </c>
      <c r="J2253" s="5">
        <f t="shared" ca="1" si="75"/>
        <v>9400</v>
      </c>
      <c r="K2253" s="12" t="s">
        <v>1105</v>
      </c>
      <c r="L2253" s="15" t="s">
        <v>9063</v>
      </c>
    </row>
    <row r="2254" spans="1:12" ht="123.75">
      <c r="A2254" s="8" t="s">
        <v>9064</v>
      </c>
      <c r="B2254" s="9" t="s">
        <v>12</v>
      </c>
      <c r="C2254" s="10" t="s">
        <v>443</v>
      </c>
      <c r="D2254" s="10" t="str">
        <f ca="1">IFERROR(__xludf.DUMMYFUNCTION(" VLOOKUP(A2251, IMPORTRANGE(""https://docs.google.com/spreadsheets/d/1fj_Bhi2XPL3siwIh4sx4VRLAe31yD50oKdj5UlRYW0c/"", ""Сводка!A:AA""), 11, FALSE)"),"978-601-310-892-6")</f>
        <v>978-601-310-892-6</v>
      </c>
      <c r="E2254" s="11" t="s">
        <v>9065</v>
      </c>
      <c r="F2254" s="11" t="s">
        <v>9066</v>
      </c>
      <c r="G2254" s="12">
        <f ca="1">IFERROR(__xludf.DUMMYFUNCTION(" VLOOKUP(A2251, IMPORTRANGE(""https://docs.google.com/spreadsheets/d/1fj_Bhi2XPL3siwIh4sx4VRLAe31yD50oKdj5UlRYW0c/"", ""Сводка!A:AA""), 5, FALSE)"),172)</f>
        <v>172</v>
      </c>
      <c r="H2254" s="12" t="s">
        <v>538</v>
      </c>
      <c r="I2254" s="10">
        <f ca="1">IFERROR(__xludf.DUMMYFUNCTION(" VLOOKUP(A2251, IMPORTRANGE(""https://docs.google.com/spreadsheets/d/1QNLbnkR_AongFt22vMfNzfpjZ0CjpI8QI-w0wBnYA1w/"", ""Инфа!A:AA""), 6, FALSE)"),2024)</f>
        <v>2024</v>
      </c>
      <c r="J2254" s="5">
        <f t="shared" ca="1" si="75"/>
        <v>10200</v>
      </c>
      <c r="K2254" s="12" t="s">
        <v>257</v>
      </c>
      <c r="L2254" s="15" t="s">
        <v>9067</v>
      </c>
    </row>
    <row r="2255" spans="1:12" ht="168.75">
      <c r="A2255" s="8" t="s">
        <v>9068</v>
      </c>
      <c r="B2255" s="9" t="s">
        <v>12</v>
      </c>
      <c r="C2255" s="10" t="s">
        <v>443</v>
      </c>
      <c r="D2255" s="10" t="str">
        <f ca="1">IFERROR(__xludf.DUMMYFUNCTION(" VLOOKUP(A2252, IMPORTRANGE(""https://docs.google.com/spreadsheets/d/1fj_Bhi2XPL3siwIh4sx4VRLAe31yD50oKdj5UlRYW0c/"", ""Сводка!A:AA""), 11, FALSE)"),"978-601-310-850-6")</f>
        <v>978-601-310-850-6</v>
      </c>
      <c r="E2255" s="11" t="s">
        <v>9065</v>
      </c>
      <c r="F2255" s="11" t="s">
        <v>9069</v>
      </c>
      <c r="G2255" s="12">
        <f ca="1">IFERROR(__xludf.DUMMYFUNCTION(" VLOOKUP(A2252, IMPORTRANGE(""https://docs.google.com/spreadsheets/d/1fj_Bhi2XPL3siwIh4sx4VRLAe31yD50oKdj5UlRYW0c/"", ""Сводка!A:AA""), 5, FALSE)"),136)</f>
        <v>136</v>
      </c>
      <c r="H2255" s="12" t="s">
        <v>538</v>
      </c>
      <c r="I2255" s="10">
        <f ca="1">IFERROR(__xludf.DUMMYFUNCTION(" VLOOKUP(A2252, IMPORTRANGE(""https://docs.google.com/spreadsheets/d/1QNLbnkR_AongFt22vMfNzfpjZ0CjpI8QI-w0wBnYA1w/"", ""Инфа!A:AA""), 6, FALSE)"),2023)</f>
        <v>2023</v>
      </c>
      <c r="J2255" s="5">
        <f t="shared" ca="1" si="75"/>
        <v>9100</v>
      </c>
      <c r="K2255" s="12" t="s">
        <v>257</v>
      </c>
      <c r="L2255" s="15" t="s">
        <v>9070</v>
      </c>
    </row>
    <row r="2256" spans="1:12" ht="146.25">
      <c r="A2256" s="8" t="s">
        <v>9071</v>
      </c>
      <c r="B2256" s="9" t="s">
        <v>12</v>
      </c>
      <c r="C2256" s="10" t="s">
        <v>151</v>
      </c>
      <c r="D2256" s="10" t="str">
        <f ca="1">IFERROR(__xludf.DUMMYFUNCTION(" VLOOKUP(A2253, IMPORTRANGE(""https://docs.google.com/spreadsheets/d/1fj_Bhi2XPL3siwIh4sx4VRLAe31yD50oKdj5UlRYW0c/"", ""Сводка!A:AA""), 11, FALSE)"),"978-601-342-160-5")</f>
        <v>978-601-342-160-5</v>
      </c>
      <c r="E2256" s="11" t="s">
        <v>9072</v>
      </c>
      <c r="F2256" s="11" t="s">
        <v>9073</v>
      </c>
      <c r="G2256" s="12">
        <f ca="1">IFERROR(__xludf.DUMMYFUNCTION(" VLOOKUP(A2253, IMPORTRANGE(""https://docs.google.com/spreadsheets/d/1fj_Bhi2XPL3siwIh4sx4VRLAe31yD50oKdj5UlRYW0c/"", ""Сводка!A:AA""), 5, FALSE)"),172)</f>
        <v>172</v>
      </c>
      <c r="H2256" s="12" t="s">
        <v>47</v>
      </c>
      <c r="I2256" s="10">
        <f ca="1">IFERROR(__xludf.DUMMYFUNCTION(" VLOOKUP(A2253, IMPORTRANGE(""https://docs.google.com/spreadsheets/d/1QNLbnkR_AongFt22vMfNzfpjZ0CjpI8QI-w0wBnYA1w/"", ""Инфа!A:AA""), 6, FALSE)"),2024)</f>
        <v>2024</v>
      </c>
      <c r="J2256" s="5">
        <f t="shared" ca="1" si="75"/>
        <v>10200</v>
      </c>
      <c r="K2256" s="12" t="s">
        <v>277</v>
      </c>
      <c r="L2256" s="15" t="s">
        <v>9074</v>
      </c>
    </row>
    <row r="2257" spans="1:12" ht="25.5">
      <c r="A2257" s="8" t="s">
        <v>9075</v>
      </c>
      <c r="B2257" s="9" t="s">
        <v>12</v>
      </c>
      <c r="C2257" s="10" t="s">
        <v>443</v>
      </c>
      <c r="D2257" s="10" t="str">
        <f ca="1">IFERROR(__xludf.DUMMYFUNCTION(" VLOOKUP(A2254, IMPORTRANGE(""https://docs.google.com/spreadsheets/d/1fj_Bhi2XPL3siwIh4sx4VRLAe31yD50oKdj5UlRYW0c/"", ""Сводка!A:AA""), 11, FALSE)"),"9965-668-88-4")</f>
        <v>9965-668-88-4</v>
      </c>
      <c r="E2257" s="11" t="s">
        <v>9076</v>
      </c>
      <c r="F2257" s="11" t="s">
        <v>9077</v>
      </c>
      <c r="G2257" s="12">
        <f ca="1">IFERROR(__xludf.DUMMYFUNCTION(" VLOOKUP(A2254, IMPORTRANGE(""https://docs.google.com/spreadsheets/d/1fj_Bhi2XPL3siwIh4sx4VRLAe31yD50oKdj5UlRYW0c/"", ""Сводка!A:AA""), 5, FALSE)"),100)</f>
        <v>100</v>
      </c>
      <c r="H2257" s="12" t="s">
        <v>538</v>
      </c>
      <c r="I2257" s="10">
        <f ca="1">IFERROR(__xludf.DUMMYFUNCTION(" VLOOKUP(A2254, IMPORTRANGE(""https://docs.google.com/spreadsheets/d/1QNLbnkR_AongFt22vMfNzfpjZ0CjpI8QI-w0wBnYA1w/"", ""Инфа!A:AA""), 6, FALSE)"),2024)</f>
        <v>2024</v>
      </c>
      <c r="J2257" s="5">
        <f t="shared" ca="1" si="75"/>
        <v>8000</v>
      </c>
      <c r="K2257" s="12" t="s">
        <v>160</v>
      </c>
      <c r="L2257" s="15"/>
    </row>
    <row r="2258" spans="1:12" ht="101.25">
      <c r="A2258" s="8" t="s">
        <v>9078</v>
      </c>
      <c r="B2258" s="9" t="s">
        <v>12</v>
      </c>
      <c r="C2258" s="10" t="s">
        <v>443</v>
      </c>
      <c r="D2258" s="10" t="str">
        <f ca="1">IFERROR(__xludf.DUMMYFUNCTION(" VLOOKUP(A2255, IMPORTRANGE(""https://docs.google.com/spreadsheets/d/1fj_Bhi2XPL3siwIh4sx4VRLAe31yD50oKdj5UlRYW0c/"", ""Сводка!A:AA""), 11, FALSE)"),"978-601-301-984-0")</f>
        <v>978-601-301-984-0</v>
      </c>
      <c r="E2258" s="11" t="s">
        <v>9079</v>
      </c>
      <c r="F2258" s="11" t="s">
        <v>9080</v>
      </c>
      <c r="G2258" s="12">
        <f ca="1">IFERROR(__xludf.DUMMYFUNCTION(" VLOOKUP(A2255, IMPORTRANGE(""https://docs.google.com/spreadsheets/d/1fj_Bhi2XPL3siwIh4sx4VRLAe31yD50oKdj5UlRYW0c/"", ""Сводка!A:AA""), 5, FALSE)"),104)</f>
        <v>104</v>
      </c>
      <c r="H2258" s="12" t="s">
        <v>9081</v>
      </c>
      <c r="I2258" s="10">
        <f ca="1">IFERROR(__xludf.DUMMYFUNCTION(" VLOOKUP(A2255, IMPORTRANGE(""https://docs.google.com/spreadsheets/d/1QNLbnkR_AongFt22vMfNzfpjZ0CjpI8QI-w0wBnYA1w/"", ""Инфа!A:AA""), 6, FALSE)"),2024)</f>
        <v>2024</v>
      </c>
      <c r="J2258" s="5">
        <f t="shared" ca="1" si="75"/>
        <v>8100</v>
      </c>
      <c r="K2258" s="12" t="s">
        <v>160</v>
      </c>
      <c r="L2258" s="15" t="s">
        <v>9082</v>
      </c>
    </row>
    <row r="2259" spans="1:12" ht="25.5">
      <c r="A2259" s="8" t="s">
        <v>9083</v>
      </c>
      <c r="B2259" s="9" t="s">
        <v>12</v>
      </c>
      <c r="C2259" s="10" t="s">
        <v>443</v>
      </c>
      <c r="D2259" s="10" t="str">
        <f ca="1">IFERROR(__xludf.DUMMYFUNCTION(" VLOOKUP(A2256, IMPORTRANGE(""https://docs.google.com/spreadsheets/d/1fj_Bhi2XPL3siwIh4sx4VRLAe31yD50oKdj5UlRYW0c/"", ""Сводка!A:AA""), 11, FALSE)"),"978-601-240-997-0")</f>
        <v>978-601-240-997-0</v>
      </c>
      <c r="E2259" s="11" t="s">
        <v>9084</v>
      </c>
      <c r="F2259" s="11" t="s">
        <v>972</v>
      </c>
      <c r="G2259" s="12">
        <f ca="1">IFERROR(__xludf.DUMMYFUNCTION(" VLOOKUP(A2256, IMPORTRANGE(""https://docs.google.com/spreadsheets/d/1fj_Bhi2XPL3siwIh4sx4VRLAe31yD50oKdj5UlRYW0c/"", ""Сводка!A:AA""), 5, FALSE)"),208)</f>
        <v>208</v>
      </c>
      <c r="H2259" s="12" t="s">
        <v>556</v>
      </c>
      <c r="I2259" s="10">
        <f ca="1">IFERROR(__xludf.DUMMYFUNCTION(" VLOOKUP(A2256, IMPORTRANGE(""https://docs.google.com/spreadsheets/d/1QNLbnkR_AongFt22vMfNzfpjZ0CjpI8QI-w0wBnYA1w/"", ""Инфа!A:AA""), 6, FALSE)"),2024)</f>
        <v>2024</v>
      </c>
      <c r="J2259" s="5">
        <f t="shared" ca="1" si="75"/>
        <v>11200</v>
      </c>
      <c r="K2259" s="12" t="s">
        <v>160</v>
      </c>
      <c r="L2259" s="15"/>
    </row>
    <row r="2260" spans="1:12" ht="168.75">
      <c r="A2260" s="8" t="s">
        <v>9085</v>
      </c>
      <c r="B2260" s="9" t="s">
        <v>12</v>
      </c>
      <c r="C2260" s="10" t="s">
        <v>151</v>
      </c>
      <c r="D2260" s="10" t="str">
        <f ca="1">IFERROR(__xludf.DUMMYFUNCTION(" VLOOKUP(A2257, IMPORTRANGE(""https://docs.google.com/spreadsheets/d/1fj_Bhi2XPL3siwIh4sx4VRLAe31yD50oKdj5UlRYW0c/"", ""Сводка!A:AA""), 11, FALSE)"),"978-601-327-305-1")</f>
        <v>978-601-327-305-1</v>
      </c>
      <c r="E2260" s="11" t="s">
        <v>9086</v>
      </c>
      <c r="F2260" s="11" t="s">
        <v>9087</v>
      </c>
      <c r="G2260" s="12">
        <f ca="1">IFERROR(__xludf.DUMMYFUNCTION(" VLOOKUP(A2257, IMPORTRANGE(""https://docs.google.com/spreadsheets/d/1fj_Bhi2XPL3siwIh4sx4VRLAe31yD50oKdj5UlRYW0c/"", ""Сводка!A:AA""), 5, FALSE)"),268)</f>
        <v>268</v>
      </c>
      <c r="H2260" s="12" t="s">
        <v>106</v>
      </c>
      <c r="I2260" s="10">
        <f ca="1">IFERROR(__xludf.DUMMYFUNCTION(" VLOOKUP(A2257, IMPORTRANGE(""https://docs.google.com/spreadsheets/d/1QNLbnkR_AongFt22vMfNzfpjZ0CjpI8QI-w0wBnYA1w/"", ""Инфа!A:AA""), 6, FALSE)"),2024)</f>
        <v>2024</v>
      </c>
      <c r="J2260" s="5">
        <f ca="1">ROUND(((5000+G2260*60)*1.3),-2)</f>
        <v>27400</v>
      </c>
      <c r="K2260" s="12" t="s">
        <v>160</v>
      </c>
      <c r="L2260" s="15" t="s">
        <v>9088</v>
      </c>
    </row>
    <row r="2261" spans="1:12" ht="25.5">
      <c r="A2261" s="8" t="s">
        <v>9089</v>
      </c>
      <c r="B2261" s="9" t="s">
        <v>12</v>
      </c>
      <c r="C2261" s="10" t="s">
        <v>151</v>
      </c>
      <c r="D2261" s="10" t="str">
        <f ca="1">IFERROR(__xludf.DUMMYFUNCTION(" VLOOKUP(A2258, IMPORTRANGE(""https://docs.google.com/spreadsheets/d/1fj_Bhi2XPL3siwIh4sx4VRLAe31yD50oKdj5UlRYW0c/"", ""Сводка!A:AA""), 11, FALSE)"),"9965-668-48-5")</f>
        <v>9965-668-48-5</v>
      </c>
      <c r="E2261" s="11" t="s">
        <v>9090</v>
      </c>
      <c r="F2261" s="11" t="s">
        <v>9091</v>
      </c>
      <c r="G2261" s="12">
        <f ca="1">IFERROR(__xludf.DUMMYFUNCTION(" VLOOKUP(A2258, IMPORTRANGE(""https://docs.google.com/spreadsheets/d/1fj_Bhi2XPL3siwIh4sx4VRLAe31yD50oKdj5UlRYW0c/"", ""Сводка!A:AA""), 5, FALSE)"),72)</f>
        <v>72</v>
      </c>
      <c r="H2261" s="12" t="s">
        <v>47</v>
      </c>
      <c r="I2261" s="10">
        <f ca="1">IFERROR(__xludf.DUMMYFUNCTION(" VLOOKUP(A2258, IMPORTRANGE(""https://docs.google.com/spreadsheets/d/1QNLbnkR_AongFt22vMfNzfpjZ0CjpI8QI-w0wBnYA1w/"", ""Инфа!A:AA""), 6, FALSE)"),2024)</f>
        <v>2024</v>
      </c>
      <c r="J2261" s="5">
        <f ca="1">ROUND((5000+G2261*30),-2)</f>
        <v>7200</v>
      </c>
      <c r="K2261" s="12" t="s">
        <v>271</v>
      </c>
      <c r="L2261" s="15"/>
    </row>
    <row r="2262" spans="1:12" ht="270">
      <c r="A2262" s="8" t="s">
        <v>9092</v>
      </c>
      <c r="B2262" s="9" t="s">
        <v>12</v>
      </c>
      <c r="C2262" s="10" t="s">
        <v>443</v>
      </c>
      <c r="D2262" s="10" t="str">
        <f ca="1">IFERROR(__xludf.DUMMYFUNCTION(" VLOOKUP(A2259, IMPORTRANGE(""https://docs.google.com/spreadsheets/d/1fj_Bhi2XPL3siwIh4sx4VRLAe31yD50oKdj5UlRYW0c/"", ""Сводка!A:AA""), 11, FALSE)"),"978-601-310-103-3")</f>
        <v>978-601-310-103-3</v>
      </c>
      <c r="E2262" s="19" t="s">
        <v>9093</v>
      </c>
      <c r="F2262" s="19" t="s">
        <v>9094</v>
      </c>
      <c r="G2262" s="12">
        <f ca="1">IFERROR(__xludf.DUMMYFUNCTION(" VLOOKUP(A2259, IMPORTRANGE(""https://docs.google.com/spreadsheets/d/1fj_Bhi2XPL3siwIh4sx4VRLAe31yD50oKdj5UlRYW0c/"", ""Сводка!A:AA""), 5, FALSE)"),196)</f>
        <v>196</v>
      </c>
      <c r="H2262" s="9" t="s">
        <v>47</v>
      </c>
      <c r="I2262" s="10">
        <f ca="1">IFERROR(__xludf.DUMMYFUNCTION(" VLOOKUP(A2259, IMPORTRANGE(""https://docs.google.com/spreadsheets/d/1QNLbnkR_AongFt22vMfNzfpjZ0CjpI8QI-w0wBnYA1w/"", ""Инфа!A:AA""), 6, FALSE)"),2024)</f>
        <v>2024</v>
      </c>
      <c r="J2262" s="5">
        <f ca="1">ROUND((5000+G2262*30),-2)</f>
        <v>10900</v>
      </c>
      <c r="K2262" s="9" t="s">
        <v>1219</v>
      </c>
      <c r="L2262" s="15" t="s">
        <v>9095</v>
      </c>
    </row>
    <row r="2263" spans="1:12" ht="123.75">
      <c r="A2263" s="8" t="s">
        <v>9096</v>
      </c>
      <c r="B2263" s="9" t="s">
        <v>12</v>
      </c>
      <c r="C2263" s="10" t="s">
        <v>151</v>
      </c>
      <c r="D2263" s="10" t="str">
        <f ca="1">IFERROR(__xludf.DUMMYFUNCTION(" VLOOKUP(A2260, IMPORTRANGE(""https://docs.google.com/spreadsheets/d/1fj_Bhi2XPL3siwIh4sx4VRLAe31yD50oKdj5UlRYW0c/"", ""Сводка!A:AA""), 11, FALSE)"),"978-601-240-575-0")</f>
        <v>978-601-240-575-0</v>
      </c>
      <c r="E2263" s="11" t="s">
        <v>9097</v>
      </c>
      <c r="F2263" s="11" t="s">
        <v>9098</v>
      </c>
      <c r="G2263" s="12">
        <f ca="1">IFERROR(__xludf.DUMMYFUNCTION(" VLOOKUP(A2260, IMPORTRANGE(""https://docs.google.com/spreadsheets/d/1fj_Bhi2XPL3siwIh4sx4VRLAe31yD50oKdj5UlRYW0c/"", ""Сводка!A:AA""), 5, FALSE)"),80)</f>
        <v>80</v>
      </c>
      <c r="H2263" s="12" t="s">
        <v>538</v>
      </c>
      <c r="I2263" s="10">
        <f ca="1">IFERROR(__xludf.DUMMYFUNCTION(" VLOOKUP(A2260, IMPORTRANGE(""https://docs.google.com/spreadsheets/d/1QNLbnkR_AongFt22vMfNzfpjZ0CjpI8QI-w0wBnYA1w/"", ""Инфа!A:AA""), 6, FALSE)"),2024)</f>
        <v>2024</v>
      </c>
      <c r="J2263" s="5">
        <f ca="1">ROUND((5000+G2263*30),-2)</f>
        <v>7400</v>
      </c>
      <c r="K2263" s="12" t="s">
        <v>160</v>
      </c>
      <c r="L2263" s="15" t="s">
        <v>9099</v>
      </c>
    </row>
    <row r="2264" spans="1:12" ht="225">
      <c r="A2264" s="8" t="s">
        <v>9100</v>
      </c>
      <c r="B2264" s="9" t="s">
        <v>12</v>
      </c>
      <c r="C2264" s="10" t="s">
        <v>443</v>
      </c>
      <c r="D2264" s="10" t="str">
        <f ca="1">IFERROR(__xludf.DUMMYFUNCTION(" VLOOKUP(A2261, IMPORTRANGE(""https://docs.google.com/spreadsheets/d/1fj_Bhi2XPL3siwIh4sx4VRLAe31yD50oKdj5UlRYW0c/"", ""Сводка!A:AA""), 11, FALSE)"),"978-601-240-690-0")</f>
        <v>978-601-240-690-0</v>
      </c>
      <c r="E2264" s="11" t="s">
        <v>9101</v>
      </c>
      <c r="F2264" s="11" t="s">
        <v>9102</v>
      </c>
      <c r="G2264" s="12">
        <f ca="1">IFERROR(__xludf.DUMMYFUNCTION(" VLOOKUP(A2261, IMPORTRANGE(""https://docs.google.com/spreadsheets/d/1fj_Bhi2XPL3siwIh4sx4VRLAe31yD50oKdj5UlRYW0c/"", ""Сводка!A:AA""), 5, FALSE)"),224)</f>
        <v>224</v>
      </c>
      <c r="H2264" s="12" t="s">
        <v>106</v>
      </c>
      <c r="I2264" s="10">
        <f ca="1">IFERROR(__xludf.DUMMYFUNCTION(" VLOOKUP(A2261, IMPORTRANGE(""https://docs.google.com/spreadsheets/d/1QNLbnkR_AongFt22vMfNzfpjZ0CjpI8QI-w0wBnYA1w/"", ""Инфа!A:AA""), 6, FALSE)"),2024)</f>
        <v>2024</v>
      </c>
      <c r="J2264" s="5">
        <f ca="1">ROUND(((5000+G2264*30)*1.3),-2)</f>
        <v>15200</v>
      </c>
      <c r="K2264" s="12" t="s">
        <v>2363</v>
      </c>
      <c r="L2264" s="15" t="s">
        <v>9103</v>
      </c>
    </row>
    <row r="2265" spans="1:12" ht="135">
      <c r="A2265" s="8" t="s">
        <v>9104</v>
      </c>
      <c r="B2265" s="9" t="s">
        <v>12</v>
      </c>
      <c r="C2265" s="10" t="s">
        <v>443</v>
      </c>
      <c r="D2265" s="10" t="str">
        <f ca="1">IFERROR(__xludf.DUMMYFUNCTION(" VLOOKUP(A2262, IMPORTRANGE(""https://docs.google.com/spreadsheets/d/1fj_Bhi2XPL3siwIh4sx4VRLAe31yD50oKdj5UlRYW0c/"", ""Сводка!A:AA""), 11, FALSE)"),"978-601-327-696-0")</f>
        <v>978-601-327-696-0</v>
      </c>
      <c r="E2265" s="11" t="s">
        <v>9105</v>
      </c>
      <c r="F2265" s="11" t="s">
        <v>9106</v>
      </c>
      <c r="G2265" s="12">
        <f ca="1">IFERROR(__xludf.DUMMYFUNCTION(" VLOOKUP(A2262, IMPORTRANGE(""https://docs.google.com/spreadsheets/d/1fj_Bhi2XPL3siwIh4sx4VRLAe31yD50oKdj5UlRYW0c/"", ""Сводка!A:AA""), 5, FALSE)"),320)</f>
        <v>320</v>
      </c>
      <c r="H2265" s="12" t="s">
        <v>9107</v>
      </c>
      <c r="I2265" s="10">
        <f ca="1">IFERROR(__xludf.DUMMYFUNCTION(" VLOOKUP(A2262, IMPORTRANGE(""https://docs.google.com/spreadsheets/d/1QNLbnkR_AongFt22vMfNzfpjZ0CjpI8QI-w0wBnYA1w/"", ""Инфа!A:AA""), 6, FALSE)"),2024)</f>
        <v>2024</v>
      </c>
      <c r="J2265" s="5">
        <f ca="1">ROUND((5000+G2265*30),-2)</f>
        <v>14600</v>
      </c>
      <c r="K2265" s="12" t="s">
        <v>447</v>
      </c>
      <c r="L2265" s="15" t="s">
        <v>9108</v>
      </c>
    </row>
    <row r="2266" spans="1:12" ht="135">
      <c r="A2266" s="8" t="s">
        <v>9109</v>
      </c>
      <c r="B2266" s="9" t="s">
        <v>12</v>
      </c>
      <c r="C2266" s="10" t="s">
        <v>151</v>
      </c>
      <c r="D2266" s="10" t="str">
        <f ca="1">IFERROR(__xludf.DUMMYFUNCTION(" VLOOKUP(A2263, IMPORTRANGE(""https://docs.google.com/spreadsheets/d/1fj_Bhi2XPL3siwIh4sx4VRLAe31yD50oKdj5UlRYW0c/"", ""Сводка!A:AA""), 11, FALSE)"),"978-601-7936-22-8")</f>
        <v>978-601-7936-22-8</v>
      </c>
      <c r="E2266" s="11" t="s">
        <v>9110</v>
      </c>
      <c r="F2266" s="11" t="s">
        <v>9111</v>
      </c>
      <c r="G2266" s="12">
        <f ca="1">IFERROR(__xludf.DUMMYFUNCTION(" VLOOKUP(A2263, IMPORTRANGE(""https://docs.google.com/spreadsheets/d/1fj_Bhi2XPL3siwIh4sx4VRLAe31yD50oKdj5UlRYW0c/"", ""Сводка!A:AA""), 5, FALSE)"),136)</f>
        <v>136</v>
      </c>
      <c r="H2266" s="12" t="s">
        <v>24</v>
      </c>
      <c r="I2266" s="10">
        <f ca="1">IFERROR(__xludf.DUMMYFUNCTION(" VLOOKUP(A2263, IMPORTRANGE(""https://docs.google.com/spreadsheets/d/1QNLbnkR_AongFt22vMfNzfpjZ0CjpI8QI-w0wBnYA1w/"", ""Инфа!A:AA""), 6, FALSE)"),2024)</f>
        <v>2024</v>
      </c>
      <c r="J2266" s="5">
        <f ca="1">ROUND(((5000+G2266*60)*1.3),-2)</f>
        <v>17100</v>
      </c>
      <c r="K2266" s="12" t="s">
        <v>248</v>
      </c>
      <c r="L2266" s="15" t="s">
        <v>9112</v>
      </c>
    </row>
    <row r="2267" spans="1:12" ht="191.25">
      <c r="A2267" s="8" t="s">
        <v>9113</v>
      </c>
      <c r="B2267" s="9" t="s">
        <v>12</v>
      </c>
      <c r="C2267" s="10" t="s">
        <v>151</v>
      </c>
      <c r="D2267" s="10" t="str">
        <f ca="1">IFERROR(__xludf.DUMMYFUNCTION(" VLOOKUP(A2264, IMPORTRANGE(""https://docs.google.com/spreadsheets/d/1fj_Bhi2XPL3siwIh4sx4VRLAe31yD50oKdj5UlRYW0c/"", ""Сводка!A:AA""), 11, FALSE)"),"978-601-310-167-5")</f>
        <v>978-601-310-167-5</v>
      </c>
      <c r="E2267" s="11" t="s">
        <v>9114</v>
      </c>
      <c r="F2267" s="11" t="s">
        <v>9115</v>
      </c>
      <c r="G2267" s="12">
        <f ca="1">IFERROR(__xludf.DUMMYFUNCTION(" VLOOKUP(A2264, IMPORTRANGE(""https://docs.google.com/spreadsheets/d/1fj_Bhi2XPL3siwIh4sx4VRLAe31yD50oKdj5UlRYW0c/"", ""Сводка!A:AA""), 5, FALSE)"),156)</f>
        <v>156</v>
      </c>
      <c r="H2267" s="12" t="s">
        <v>106</v>
      </c>
      <c r="I2267" s="10">
        <f ca="1">IFERROR(__xludf.DUMMYFUNCTION(" VLOOKUP(A2264, IMPORTRANGE(""https://docs.google.com/spreadsheets/d/1QNLbnkR_AongFt22vMfNzfpjZ0CjpI8QI-w0wBnYA1w/"", ""Инфа!A:AA""), 6, FALSE)"),2024)</f>
        <v>2024</v>
      </c>
      <c r="J2267" s="5">
        <f ca="1">ROUND((5000+G2267*60),-2)</f>
        <v>14400</v>
      </c>
      <c r="K2267" s="12" t="s">
        <v>961</v>
      </c>
      <c r="L2267" s="15" t="s">
        <v>9116</v>
      </c>
    </row>
    <row r="2268" spans="1:12" ht="25.5">
      <c r="A2268" s="8" t="s">
        <v>9117</v>
      </c>
      <c r="B2268" s="9" t="s">
        <v>12</v>
      </c>
      <c r="C2268" s="10" t="s">
        <v>443</v>
      </c>
      <c r="D2268" s="10" t="str">
        <f ca="1">IFERROR(__xludf.DUMMYFUNCTION(" VLOOKUP(A2265, IMPORTRANGE(""https://docs.google.com/spreadsheets/d/1fj_Bhi2XPL3siwIh4sx4VRLAe31yD50oKdj5UlRYW0c/"", ""Сводка!A:AA""), 11, FALSE)"),"978-601-240-988-8")</f>
        <v>978-601-240-988-8</v>
      </c>
      <c r="E2268" s="11" t="s">
        <v>9114</v>
      </c>
      <c r="F2268" s="11" t="s">
        <v>9118</v>
      </c>
      <c r="G2268" s="12">
        <f ca="1">IFERROR(__xludf.DUMMYFUNCTION(" VLOOKUP(A2265, IMPORTRANGE(""https://docs.google.com/spreadsheets/d/1fj_Bhi2XPL3siwIh4sx4VRLAe31yD50oKdj5UlRYW0c/"", ""Сводка!A:AA""), 5, FALSE)"),164)</f>
        <v>164</v>
      </c>
      <c r="H2268" s="12" t="s">
        <v>106</v>
      </c>
      <c r="I2268" s="10">
        <f ca="1">IFERROR(__xludf.DUMMYFUNCTION(" VLOOKUP(A2265, IMPORTRANGE(""https://docs.google.com/spreadsheets/d/1QNLbnkR_AongFt22vMfNzfpjZ0CjpI8QI-w0wBnYA1w/"", ""Инфа!A:AA""), 6, FALSE)"),2024)</f>
        <v>2024</v>
      </c>
      <c r="J2268" s="5">
        <f ca="1">ROUND((5000+G2268*60),-2)</f>
        <v>14800</v>
      </c>
      <c r="K2268" s="12" t="s">
        <v>961</v>
      </c>
      <c r="L2268" s="15"/>
    </row>
    <row r="2269" spans="1:12" ht="191.25">
      <c r="A2269" s="8" t="s">
        <v>9119</v>
      </c>
      <c r="B2269" s="9" t="s">
        <v>12</v>
      </c>
      <c r="C2269" s="10" t="s">
        <v>443</v>
      </c>
      <c r="D2269" s="10" t="str">
        <f ca="1">IFERROR(__xludf.DUMMYFUNCTION(" VLOOKUP(A2266, IMPORTRANGE(""https://docs.google.com/spreadsheets/d/1fj_Bhi2XPL3siwIh4sx4VRLAe31yD50oKdj5UlRYW0c/"", ""Сводка!A:AA""), 11, FALSE)"),"978-601-327-023-4")</f>
        <v>978-601-327-023-4</v>
      </c>
      <c r="E2269" s="11" t="s">
        <v>9120</v>
      </c>
      <c r="F2269" s="11" t="s">
        <v>9121</v>
      </c>
      <c r="G2269" s="12">
        <f ca="1">IFERROR(__xludf.DUMMYFUNCTION(" VLOOKUP(A2266, IMPORTRANGE(""https://docs.google.com/spreadsheets/d/1fj_Bhi2XPL3siwIh4sx4VRLAe31yD50oKdj5UlRYW0c/"", ""Сводка!A:AA""), 5, FALSE)"),296)</f>
        <v>296</v>
      </c>
      <c r="H2269" s="12" t="s">
        <v>671</v>
      </c>
      <c r="I2269" s="10">
        <f ca="1">IFERROR(__xludf.DUMMYFUNCTION(" VLOOKUP(A2266, IMPORTRANGE(""https://docs.google.com/spreadsheets/d/1QNLbnkR_AongFt22vMfNzfpjZ0CjpI8QI-w0wBnYA1w/"", ""Инфа!A:AA""), 6, FALSE)"),2024)</f>
        <v>2024</v>
      </c>
      <c r="J2269" s="5">
        <f ca="1">ROUND((5000+G2269*30),-2)</f>
        <v>13900</v>
      </c>
      <c r="K2269" s="12" t="s">
        <v>248</v>
      </c>
      <c r="L2269" s="15" t="s">
        <v>9122</v>
      </c>
    </row>
    <row r="2270" spans="1:12" ht="78.75">
      <c r="A2270" s="8" t="s">
        <v>9123</v>
      </c>
      <c r="B2270" s="9" t="s">
        <v>12</v>
      </c>
      <c r="C2270" s="10" t="s">
        <v>443</v>
      </c>
      <c r="D2270" s="10" t="str">
        <f ca="1">IFERROR(__xludf.DUMMYFUNCTION(" VLOOKUP(A2267, IMPORTRANGE(""https://docs.google.com/spreadsheets/d/1fj_Bhi2XPL3siwIh4sx4VRLAe31yD50oKdj5UlRYW0c/"", ""Сводка!A:AA""), 11, FALSE)"),"978-601-327-025-8")</f>
        <v>978-601-327-025-8</v>
      </c>
      <c r="E2270" s="11" t="s">
        <v>9124</v>
      </c>
      <c r="F2270" s="11" t="s">
        <v>9125</v>
      </c>
      <c r="G2270" s="12">
        <f ca="1">IFERROR(__xludf.DUMMYFUNCTION(" VLOOKUP(A2267, IMPORTRANGE(""https://docs.google.com/spreadsheets/d/1fj_Bhi2XPL3siwIh4sx4VRLAe31yD50oKdj5UlRYW0c/"", ""Сводка!A:AA""), 5, FALSE)"),204)</f>
        <v>204</v>
      </c>
      <c r="H2270" s="12" t="s">
        <v>671</v>
      </c>
      <c r="I2270" s="10">
        <f ca="1">IFERROR(__xludf.DUMMYFUNCTION(" VLOOKUP(A2267, IMPORTRANGE(""https://docs.google.com/spreadsheets/d/1QNLbnkR_AongFt22vMfNzfpjZ0CjpI8QI-w0wBnYA1w/"", ""Инфа!A:AA""), 6, FALSE)"),2024)</f>
        <v>2024</v>
      </c>
      <c r="J2270" s="5">
        <f ca="1">ROUND((5000+G2270*30),-2)</f>
        <v>11100</v>
      </c>
      <c r="K2270" s="12" t="s">
        <v>248</v>
      </c>
      <c r="L2270" s="15" t="s">
        <v>9126</v>
      </c>
    </row>
    <row r="2271" spans="1:12" ht="281.25">
      <c r="A2271" s="8" t="s">
        <v>9127</v>
      </c>
      <c r="B2271" s="9" t="s">
        <v>12</v>
      </c>
      <c r="C2271" s="10" t="s">
        <v>151</v>
      </c>
      <c r="D2271" s="10" t="str">
        <f ca="1">IFERROR(__xludf.DUMMYFUNCTION(" VLOOKUP(A2268, IMPORTRANGE(""https://docs.google.com/spreadsheets/d/1fj_Bhi2XPL3siwIh4sx4VRLAe31yD50oKdj5UlRYW0c/"", ""Сводка!A:AA""), 11, FALSE)"),"978-601-327-666-3")</f>
        <v>978-601-327-666-3</v>
      </c>
      <c r="E2271" s="62" t="s">
        <v>9128</v>
      </c>
      <c r="F2271" s="62" t="s">
        <v>9129</v>
      </c>
      <c r="G2271" s="12">
        <f ca="1">IFERROR(__xludf.DUMMYFUNCTION(" VLOOKUP(A2268, IMPORTRANGE(""https://docs.google.com/spreadsheets/d/1fj_Bhi2XPL3siwIh4sx4VRLAe31yD50oKdj5UlRYW0c/"", ""Сводка!A:AA""), 5, FALSE)"),276)</f>
        <v>276</v>
      </c>
      <c r="H2271" s="63" t="s">
        <v>47</v>
      </c>
      <c r="I2271" s="10">
        <f ca="1">IFERROR(__xludf.DUMMYFUNCTION(" VLOOKUP(A2268, IMPORTRANGE(""https://docs.google.com/spreadsheets/d/1QNLbnkR_AongFt22vMfNzfpjZ0CjpI8QI-w0wBnYA1w/"", ""Инфа!A:AA""), 6, FALSE)"),2024)</f>
        <v>2024</v>
      </c>
      <c r="J2271" s="5">
        <f ca="1">ROUND((5000+G2271*60),-2)</f>
        <v>21600</v>
      </c>
      <c r="K2271" s="63" t="s">
        <v>1387</v>
      </c>
      <c r="L2271" s="64" t="s">
        <v>9130</v>
      </c>
    </row>
    <row r="2272" spans="1:12" ht="281.25">
      <c r="A2272" s="8" t="s">
        <v>9131</v>
      </c>
      <c r="B2272" s="9" t="s">
        <v>12</v>
      </c>
      <c r="C2272" s="10" t="s">
        <v>151</v>
      </c>
      <c r="D2272" s="10" t="str">
        <f ca="1">IFERROR(__xludf.DUMMYFUNCTION(" VLOOKUP(A2269, IMPORTRANGE(""https://docs.google.com/spreadsheets/d/1fj_Bhi2XPL3siwIh4sx4VRLAe31yD50oKdj5UlRYW0c/"", ""Сводка!A:AA""), 11, FALSE)"),"978-601-327-666-3")</f>
        <v>978-601-327-666-3</v>
      </c>
      <c r="E2272" s="62" t="s">
        <v>9128</v>
      </c>
      <c r="F2272" s="62" t="s">
        <v>9132</v>
      </c>
      <c r="G2272" s="12">
        <f ca="1">IFERROR(__xludf.DUMMYFUNCTION(" VLOOKUP(A2269, IMPORTRANGE(""https://docs.google.com/spreadsheets/d/1fj_Bhi2XPL3siwIh4sx4VRLAe31yD50oKdj5UlRYW0c/"", ""Сводка!A:AA""), 5, FALSE)"),276)</f>
        <v>276</v>
      </c>
      <c r="H2272" s="63" t="s">
        <v>47</v>
      </c>
      <c r="I2272" s="10">
        <f ca="1">IFERROR(__xludf.DUMMYFUNCTION(" VLOOKUP(A2269, IMPORTRANGE(""https://docs.google.com/spreadsheets/d/1QNLbnkR_AongFt22vMfNzfpjZ0CjpI8QI-w0wBnYA1w/"", ""Инфа!A:AA""), 6, FALSE)"),2024)</f>
        <v>2024</v>
      </c>
      <c r="J2272" s="5">
        <f ca="1">ROUND((5000+G2272*60),-2)</f>
        <v>21600</v>
      </c>
      <c r="K2272" s="63" t="s">
        <v>1387</v>
      </c>
      <c r="L2272" s="64" t="s">
        <v>9130</v>
      </c>
    </row>
    <row r="2273" spans="1:12" ht="281.25">
      <c r="A2273" s="8" t="s">
        <v>9133</v>
      </c>
      <c r="B2273" s="9" t="s">
        <v>12</v>
      </c>
      <c r="C2273" s="10" t="s">
        <v>151</v>
      </c>
      <c r="D2273" s="10" t="str">
        <f ca="1">IFERROR(__xludf.DUMMYFUNCTION(" VLOOKUP(A2270, IMPORTRANGE(""https://docs.google.com/spreadsheets/d/1fj_Bhi2XPL3siwIh4sx4VRLAe31yD50oKdj5UlRYW0c/"", ""Сводка!A:AA""), 11, FALSE)"),"978-601-327-666-3")</f>
        <v>978-601-327-666-3</v>
      </c>
      <c r="E2273" s="62" t="s">
        <v>9128</v>
      </c>
      <c r="F2273" s="62" t="s">
        <v>9134</v>
      </c>
      <c r="G2273" s="12">
        <f ca="1">IFERROR(__xludf.DUMMYFUNCTION(" VLOOKUP(A2270, IMPORTRANGE(""https://docs.google.com/spreadsheets/d/1fj_Bhi2XPL3siwIh4sx4VRLAe31yD50oKdj5UlRYW0c/"", ""Сводка!A:AA""), 5, FALSE)"),276)</f>
        <v>276</v>
      </c>
      <c r="H2273" s="63" t="s">
        <v>47</v>
      </c>
      <c r="I2273" s="10">
        <f ca="1">IFERROR(__xludf.DUMMYFUNCTION(" VLOOKUP(A2270, IMPORTRANGE(""https://docs.google.com/spreadsheets/d/1QNLbnkR_AongFt22vMfNzfpjZ0CjpI8QI-w0wBnYA1w/"", ""Инфа!A:AA""), 6, FALSE)"),2024)</f>
        <v>2024</v>
      </c>
      <c r="J2273" s="5">
        <f ca="1">ROUND((5000+G2273*60),-2)</f>
        <v>21600</v>
      </c>
      <c r="K2273" s="63" t="s">
        <v>1387</v>
      </c>
      <c r="L2273" s="64" t="s">
        <v>9130</v>
      </c>
    </row>
    <row r="2274" spans="1:12" ht="281.25">
      <c r="A2274" s="8" t="s">
        <v>9135</v>
      </c>
      <c r="B2274" s="9" t="s">
        <v>12</v>
      </c>
      <c r="C2274" s="10" t="s">
        <v>151</v>
      </c>
      <c r="D2274" s="10" t="str">
        <f ca="1">IFERROR(__xludf.DUMMYFUNCTION(" VLOOKUP(A2271, IMPORTRANGE(""https://docs.google.com/spreadsheets/d/1fj_Bhi2XPL3siwIh4sx4VRLAe31yD50oKdj5UlRYW0c/"", ""Сводка!A:AA""), 11, FALSE)"),"978-601-327-666-3")</f>
        <v>978-601-327-666-3</v>
      </c>
      <c r="E2274" s="62" t="s">
        <v>9128</v>
      </c>
      <c r="F2274" s="62" t="s">
        <v>9136</v>
      </c>
      <c r="G2274" s="12">
        <f ca="1">IFERROR(__xludf.DUMMYFUNCTION(" VLOOKUP(A2271, IMPORTRANGE(""https://docs.google.com/spreadsheets/d/1fj_Bhi2XPL3siwIh4sx4VRLAe31yD50oKdj5UlRYW0c/"", ""Сводка!A:AA""), 5, FALSE)"),276)</f>
        <v>276</v>
      </c>
      <c r="H2274" s="63" t="s">
        <v>47</v>
      </c>
      <c r="I2274" s="10">
        <f ca="1">IFERROR(__xludf.DUMMYFUNCTION(" VLOOKUP(A2271, IMPORTRANGE(""https://docs.google.com/spreadsheets/d/1QNLbnkR_AongFt22vMfNzfpjZ0CjpI8QI-w0wBnYA1w/"", ""Инфа!A:AA""), 6, FALSE)"),2024)</f>
        <v>2024</v>
      </c>
      <c r="J2274" s="5">
        <f ca="1">ROUND((5000+G2274*60),-2)</f>
        <v>21600</v>
      </c>
      <c r="K2274" s="63" t="s">
        <v>1387</v>
      </c>
      <c r="L2274" s="64" t="s">
        <v>9130</v>
      </c>
    </row>
    <row r="2275" spans="1:12" ht="38.25">
      <c r="A2275" s="8" t="s">
        <v>9137</v>
      </c>
      <c r="B2275" s="9" t="s">
        <v>12</v>
      </c>
      <c r="C2275" s="10" t="s">
        <v>443</v>
      </c>
      <c r="D2275" s="10" t="str">
        <f ca="1">IFERROR(__xludf.DUMMYFUNCTION(" VLOOKUP(A2272, IMPORTRANGE(""https://docs.google.com/spreadsheets/d/1fj_Bhi2XPL3siwIh4sx4VRLAe31yD50oKdj5UlRYW0c/"", ""Сводка!A:AA""), 11, FALSE)"),"978-601-327-026-5")</f>
        <v>978-601-327-026-5</v>
      </c>
      <c r="E2275" s="11" t="s">
        <v>9138</v>
      </c>
      <c r="F2275" s="11" t="s">
        <v>9139</v>
      </c>
      <c r="G2275" s="12">
        <f ca="1">IFERROR(__xludf.DUMMYFUNCTION(" VLOOKUP(A2272, IMPORTRANGE(""https://docs.google.com/spreadsheets/d/1fj_Bhi2XPL3siwIh4sx4VRLAe31yD50oKdj5UlRYW0c/"", ""Сводка!A:AA""), 5, FALSE)"),140)</f>
        <v>140</v>
      </c>
      <c r="H2275" s="12" t="s">
        <v>446</v>
      </c>
      <c r="I2275" s="10">
        <f ca="1">IFERROR(__xludf.DUMMYFUNCTION(" VLOOKUP(A2272, IMPORTRANGE(""https://docs.google.com/spreadsheets/d/1QNLbnkR_AongFt22vMfNzfpjZ0CjpI8QI-w0wBnYA1w/"", ""Инфа!A:AA""), 6, FALSE)"),2024)</f>
        <v>2024</v>
      </c>
      <c r="J2275" s="5">
        <f ca="1">ROUND((5000+G2275*30),-2)</f>
        <v>9200</v>
      </c>
      <c r="K2275" s="12" t="s">
        <v>248</v>
      </c>
      <c r="L2275" s="15"/>
    </row>
    <row r="2276" spans="1:12" ht="135">
      <c r="A2276" s="8" t="s">
        <v>9140</v>
      </c>
      <c r="B2276" s="9" t="s">
        <v>12</v>
      </c>
      <c r="C2276" s="10" t="s">
        <v>443</v>
      </c>
      <c r="D2276" s="10" t="str">
        <f ca="1">IFERROR(__xludf.DUMMYFUNCTION(" VLOOKUP(A2273, IMPORTRANGE(""https://docs.google.com/spreadsheets/d/1fj_Bhi2XPL3siwIh4sx4VRLAe31yD50oKdj5UlRYW0c/"", ""Сводка!A:AA""), 11, FALSE)"),"978-601-240-731-0")</f>
        <v>978-601-240-731-0</v>
      </c>
      <c r="E2276" s="11" t="s">
        <v>9141</v>
      </c>
      <c r="F2276" s="11" t="s">
        <v>9142</v>
      </c>
      <c r="G2276" s="12" t="e">
        <f>#REF!</f>
        <v>#REF!</v>
      </c>
      <c r="H2276" s="12" t="s">
        <v>538</v>
      </c>
      <c r="I2276" s="10">
        <f ca="1">IFERROR(__xludf.DUMMYFUNCTION(" VLOOKUP(A2273, IMPORTRANGE(""https://docs.google.com/spreadsheets/d/1QNLbnkR_AongFt22vMfNzfpjZ0CjpI8QI-w0wBnYA1w/"", ""Инфа!A:AA""), 6, FALSE)"),2024)</f>
        <v>2024</v>
      </c>
      <c r="J2276" s="5" t="e">
        <f>ROUND((5000+G2276*30),-2)</f>
        <v>#REF!</v>
      </c>
      <c r="K2276" s="12" t="s">
        <v>26</v>
      </c>
      <c r="L2276" s="15" t="s">
        <v>9143</v>
      </c>
    </row>
    <row r="2277" spans="1:12" ht="146.25">
      <c r="A2277" s="8" t="s">
        <v>9144</v>
      </c>
      <c r="B2277" s="9" t="s">
        <v>12</v>
      </c>
      <c r="C2277" s="10" t="s">
        <v>443</v>
      </c>
      <c r="D2277" s="10" t="str">
        <f ca="1">IFERROR(__xludf.DUMMYFUNCTION(" VLOOKUP(A2274, IMPORTRANGE(""https://docs.google.com/spreadsheets/d/1fj_Bhi2XPL3siwIh4sx4VRLAe31yD50oKdj5UlRYW0c/"", ""Сводка!A:AA""), 11, FALSE)"),"978-601-342-482-8")</f>
        <v>978-601-342-482-8</v>
      </c>
      <c r="E2277" s="11" t="s">
        <v>9145</v>
      </c>
      <c r="F2277" s="11" t="s">
        <v>9146</v>
      </c>
      <c r="G2277" s="12">
        <f ca="1">IFERROR(__xludf.DUMMYFUNCTION(" VLOOKUP(A2274, IMPORTRANGE(""https://docs.google.com/spreadsheets/d/1fj_Bhi2XPL3siwIh4sx4VRLAe31yD50oKdj5UlRYW0c/"", ""Сводка!A:AA""), 5, FALSE)"),260)</f>
        <v>260</v>
      </c>
      <c r="H2277" s="12" t="s">
        <v>671</v>
      </c>
      <c r="I2277" s="10">
        <f ca="1">IFERROR(__xludf.DUMMYFUNCTION(" VLOOKUP(A2274, IMPORTRANGE(""https://docs.google.com/spreadsheets/d/1QNLbnkR_AongFt22vMfNzfpjZ0CjpI8QI-w0wBnYA1w/"", ""Инфа!A:AA""), 6, FALSE)"),2024)</f>
        <v>2024</v>
      </c>
      <c r="J2277" s="5">
        <f ca="1">ROUND((5000+G2277*30),-2)</f>
        <v>12800</v>
      </c>
      <c r="K2277" s="12" t="s">
        <v>2283</v>
      </c>
      <c r="L2277" s="15" t="s">
        <v>9147</v>
      </c>
    </row>
    <row r="2278" spans="1:12" ht="38.25">
      <c r="A2278" s="8" t="s">
        <v>9148</v>
      </c>
      <c r="B2278" s="9" t="s">
        <v>12</v>
      </c>
      <c r="C2278" s="10" t="s">
        <v>443</v>
      </c>
      <c r="D2278" s="10" t="str">
        <f ca="1">IFERROR(__xludf.DUMMYFUNCTION(" VLOOKUP(A2275, IMPORTRANGE(""https://docs.google.com/spreadsheets/d/1fj_Bhi2XPL3siwIh4sx4VRLAe31yD50oKdj5UlRYW0c/"", ""Сводка!A:AA""), 11, FALSE)"),"9965-749-37-X")</f>
        <v>9965-749-37-X</v>
      </c>
      <c r="E2278" s="11" t="s">
        <v>9149</v>
      </c>
      <c r="F2278" s="11" t="s">
        <v>9150</v>
      </c>
      <c r="G2278" s="12">
        <f ca="1">IFERROR(__xludf.DUMMYFUNCTION(" VLOOKUP(A2275, IMPORTRANGE(""https://docs.google.com/spreadsheets/d/1fj_Bhi2XPL3siwIh4sx4VRLAe31yD50oKdj5UlRYW0c/"", ""Сводка!A:AA""), 5, FALSE)"),308)</f>
        <v>308</v>
      </c>
      <c r="H2278" s="12" t="s">
        <v>777</v>
      </c>
      <c r="I2278" s="10">
        <f ca="1">IFERROR(__xludf.DUMMYFUNCTION(" VLOOKUP(A2275, IMPORTRANGE(""https://docs.google.com/spreadsheets/d/1QNLbnkR_AongFt22vMfNzfpjZ0CjpI8QI-w0wBnYA1w/"", ""Инфа!A:AA""), 6, FALSE)"),2024)</f>
        <v>2024</v>
      </c>
      <c r="J2278" s="5">
        <f ca="1">ROUND((5000+G2278*30),-2)</f>
        <v>14200</v>
      </c>
      <c r="K2278" s="12" t="s">
        <v>139</v>
      </c>
      <c r="L2278" s="15"/>
    </row>
    <row r="2279" spans="1:12" ht="146.25">
      <c r="A2279" s="8" t="s">
        <v>9151</v>
      </c>
      <c r="B2279" s="9" t="s">
        <v>12</v>
      </c>
      <c r="C2279" s="10" t="s">
        <v>443</v>
      </c>
      <c r="D2279" s="10" t="str">
        <f ca="1">IFERROR(__xludf.DUMMYFUNCTION(" VLOOKUP(A2276, IMPORTRANGE(""https://docs.google.com/spreadsheets/d/1fj_Bhi2XPL3siwIh4sx4VRLAe31yD50oKdj5UlRYW0c/"", ""Сводка!A:AA""), 11, FALSE)"),"978-601-310-876-6")</f>
        <v>978-601-310-876-6</v>
      </c>
      <c r="E2279" s="11" t="s">
        <v>9149</v>
      </c>
      <c r="F2279" s="11" t="s">
        <v>9152</v>
      </c>
      <c r="G2279" s="12">
        <f ca="1">IFERROR(__xludf.DUMMYFUNCTION(" VLOOKUP(A2276, IMPORTRANGE(""https://docs.google.com/spreadsheets/d/1fj_Bhi2XPL3siwIh4sx4VRLAe31yD50oKdj5UlRYW0c/"", ""Сводка!A:AA""), 5, FALSE)"),180)</f>
        <v>180</v>
      </c>
      <c r="H2279" s="12" t="s">
        <v>538</v>
      </c>
      <c r="I2279" s="10">
        <f ca="1">IFERROR(__xludf.DUMMYFUNCTION(" VLOOKUP(A2276, IMPORTRANGE(""https://docs.google.com/spreadsheets/d/1QNLbnkR_AongFt22vMfNzfpjZ0CjpI8QI-w0wBnYA1w/"", ""Инфа!A:AA""), 6, FALSE)"),2024)</f>
        <v>2024</v>
      </c>
      <c r="J2279" s="5">
        <f ca="1">ROUND((5000+G2279*30),-2)</f>
        <v>10400</v>
      </c>
      <c r="K2279" s="12" t="s">
        <v>139</v>
      </c>
      <c r="L2279" s="15" t="s">
        <v>9153</v>
      </c>
    </row>
    <row r="2280" spans="1:12" ht="258.75">
      <c r="A2280" s="8" t="s">
        <v>9154</v>
      </c>
      <c r="B2280" s="9" t="s">
        <v>12</v>
      </c>
      <c r="C2280" s="10" t="s">
        <v>443</v>
      </c>
      <c r="D2280" s="10" t="str">
        <f ca="1">IFERROR(__xludf.DUMMYFUNCTION(" VLOOKUP(A2277, IMPORTRANGE(""https://docs.google.com/spreadsheets/d/1fj_Bhi2XPL3siwIh4sx4VRLAe31yD50oKdj5UlRYW0c/"", ""Сводка!A:AA""), 11, FALSE)"),"978-601-327-303-7")</f>
        <v>978-601-327-303-7</v>
      </c>
      <c r="E2280" s="11" t="s">
        <v>9149</v>
      </c>
      <c r="F2280" s="11" t="s">
        <v>9155</v>
      </c>
      <c r="G2280" s="12">
        <f ca="1">IFERROR(__xludf.DUMMYFUNCTION(" VLOOKUP(A2277, IMPORTRANGE(""https://docs.google.com/spreadsheets/d/1fj_Bhi2XPL3siwIh4sx4VRLAe31yD50oKdj5UlRYW0c/"", ""Сводка!A:AA""), 5, FALSE)"),252)</f>
        <v>252</v>
      </c>
      <c r="H2280" s="12" t="s">
        <v>446</v>
      </c>
      <c r="I2280" s="10">
        <f ca="1">IFERROR(__xludf.DUMMYFUNCTION(" VLOOKUP(A2277, IMPORTRANGE(""https://docs.google.com/spreadsheets/d/1QNLbnkR_AongFt22vMfNzfpjZ0CjpI8QI-w0wBnYA1w/"", ""Инфа!A:AA""), 6, FALSE)"),2024)</f>
        <v>2024</v>
      </c>
      <c r="J2280" s="5">
        <f t="shared" ref="J2280:J2285" ca="1" si="76">ROUND((5000+G2280*60),-2)</f>
        <v>20100</v>
      </c>
      <c r="K2280" s="12" t="s">
        <v>139</v>
      </c>
      <c r="L2280" s="15" t="s">
        <v>9156</v>
      </c>
    </row>
    <row r="2281" spans="1:12" ht="258.75">
      <c r="A2281" s="8" t="s">
        <v>9157</v>
      </c>
      <c r="B2281" s="9" t="s">
        <v>12</v>
      </c>
      <c r="C2281" s="10" t="s">
        <v>443</v>
      </c>
      <c r="D2281" s="10" t="str">
        <f ca="1">IFERROR(__xludf.DUMMYFUNCTION(" VLOOKUP(A2278, IMPORTRANGE(""https://docs.google.com/spreadsheets/d/1fj_Bhi2XPL3siwIh4sx4VRLAe31yD50oKdj5UlRYW0c/"", ""Сводка!A:AA""), 11, FALSE)"),"978-601-327-303-7")</f>
        <v>978-601-327-303-7</v>
      </c>
      <c r="E2281" s="11" t="s">
        <v>9149</v>
      </c>
      <c r="F2281" s="11" t="s">
        <v>9158</v>
      </c>
      <c r="G2281" s="12">
        <f ca="1">IFERROR(__xludf.DUMMYFUNCTION(" VLOOKUP(A2278, IMPORTRANGE(""https://docs.google.com/spreadsheets/d/1fj_Bhi2XPL3siwIh4sx4VRLAe31yD50oKdj5UlRYW0c/"", ""Сводка!A:AA""), 5, FALSE)"),284)</f>
        <v>284</v>
      </c>
      <c r="H2281" s="12" t="s">
        <v>446</v>
      </c>
      <c r="I2281" s="10">
        <f ca="1">IFERROR(__xludf.DUMMYFUNCTION(" VLOOKUP(A2278, IMPORTRANGE(""https://docs.google.com/spreadsheets/d/1QNLbnkR_AongFt22vMfNzfpjZ0CjpI8QI-w0wBnYA1w/"", ""Инфа!A:AA""), 6, FALSE)"),2024)</f>
        <v>2024</v>
      </c>
      <c r="J2281" s="5">
        <f t="shared" ca="1" si="76"/>
        <v>22000</v>
      </c>
      <c r="K2281" s="12" t="s">
        <v>139</v>
      </c>
      <c r="L2281" s="15" t="s">
        <v>9156</v>
      </c>
    </row>
    <row r="2282" spans="1:12" ht="51">
      <c r="A2282" s="8" t="s">
        <v>9159</v>
      </c>
      <c r="B2282" s="9" t="s">
        <v>12</v>
      </c>
      <c r="C2282" s="10" t="s">
        <v>443</v>
      </c>
      <c r="D2282" s="10" t="str">
        <f ca="1">IFERROR(__xludf.DUMMYFUNCTION(" VLOOKUP(A2279, IMPORTRANGE(""https://docs.google.com/spreadsheets/d/1fj_Bhi2XPL3siwIh4sx4VRLAe31yD50oKdj5UlRYW0c/"", ""Сводка!A:AA""), 11, FALSE)"),"978-601-327-594-9")</f>
        <v>978-601-327-594-9</v>
      </c>
      <c r="E2282" s="11" t="s">
        <v>9149</v>
      </c>
      <c r="F2282" s="11" t="s">
        <v>9160</v>
      </c>
      <c r="G2282" s="12">
        <f ca="1">IFERROR(__xludf.DUMMYFUNCTION(" VLOOKUP(A2279, IMPORTRANGE(""https://docs.google.com/spreadsheets/d/1fj_Bhi2XPL3siwIh4sx4VRLAe31yD50oKdj5UlRYW0c/"", ""Сводка!A:AA""), 5, FALSE)"),224)</f>
        <v>224</v>
      </c>
      <c r="H2282" s="12" t="s">
        <v>446</v>
      </c>
      <c r="I2282" s="10">
        <f ca="1">IFERROR(__xludf.DUMMYFUNCTION(" VLOOKUP(A2279, IMPORTRANGE(""https://docs.google.com/spreadsheets/d/1QNLbnkR_AongFt22vMfNzfpjZ0CjpI8QI-w0wBnYA1w/"", ""Инфа!A:AA""), 6, FALSE)"),2024)</f>
        <v>2024</v>
      </c>
      <c r="J2282" s="5">
        <f t="shared" ca="1" si="76"/>
        <v>18400</v>
      </c>
      <c r="K2282" s="12" t="s">
        <v>37</v>
      </c>
      <c r="L2282" s="15" t="s">
        <v>9161</v>
      </c>
    </row>
    <row r="2283" spans="1:12" ht="38.25">
      <c r="A2283" s="8" t="s">
        <v>9162</v>
      </c>
      <c r="B2283" s="9" t="s">
        <v>12</v>
      </c>
      <c r="C2283" s="10" t="s">
        <v>443</v>
      </c>
      <c r="D2283" s="10" t="str">
        <f ca="1">IFERROR(__xludf.DUMMYFUNCTION(" VLOOKUP(A2280, IMPORTRANGE(""https://docs.google.com/spreadsheets/d/1fj_Bhi2XPL3siwIh4sx4VRLAe31yD50oKdj5UlRYW0c/"", ""Сводка!A:AA""), 11, FALSE)"),"978-601-327-311-2")</f>
        <v>978-601-327-311-2</v>
      </c>
      <c r="E2283" s="11" t="s">
        <v>9149</v>
      </c>
      <c r="F2283" s="11" t="s">
        <v>9163</v>
      </c>
      <c r="G2283" s="12">
        <f ca="1">IFERROR(__xludf.DUMMYFUNCTION(" VLOOKUP(A2280, IMPORTRANGE(""https://docs.google.com/spreadsheets/d/1fj_Bhi2XPL3siwIh4sx4VRLAe31yD50oKdj5UlRYW0c/"", ""Сводка!A:AA""), 5, FALSE)"),228)</f>
        <v>228</v>
      </c>
      <c r="H2283" s="12" t="s">
        <v>2442</v>
      </c>
      <c r="I2283" s="10">
        <f ca="1">IFERROR(__xludf.DUMMYFUNCTION(" VLOOKUP(A2280, IMPORTRANGE(""https://docs.google.com/spreadsheets/d/1QNLbnkR_AongFt22vMfNzfpjZ0CjpI8QI-w0wBnYA1w/"", ""Инфа!A:AA""), 6, FALSE)"),2024)</f>
        <v>2024</v>
      </c>
      <c r="J2283" s="5">
        <f t="shared" ca="1" si="76"/>
        <v>18700</v>
      </c>
      <c r="K2283" s="12" t="s">
        <v>139</v>
      </c>
      <c r="L2283" s="15"/>
    </row>
    <row r="2284" spans="1:12" ht="90">
      <c r="A2284" s="8" t="s">
        <v>9164</v>
      </c>
      <c r="B2284" s="9" t="s">
        <v>12</v>
      </c>
      <c r="C2284" s="10" t="s">
        <v>443</v>
      </c>
      <c r="D2284" s="10" t="s">
        <v>9165</v>
      </c>
      <c r="E2284" s="11" t="s">
        <v>9149</v>
      </c>
      <c r="F2284" s="11" t="s">
        <v>9166</v>
      </c>
      <c r="G2284" s="12" t="e">
        <f>#REF!</f>
        <v>#REF!</v>
      </c>
      <c r="H2284" s="12" t="s">
        <v>671</v>
      </c>
      <c r="I2284" s="10">
        <f ca="1">IFERROR(__xludf.DUMMYFUNCTION(" VLOOKUP(A2281, IMPORTRANGE(""https://docs.google.com/spreadsheets/d/1QNLbnkR_AongFt22vMfNzfpjZ0CjpI8QI-w0wBnYA1w/"", ""Инфа!A:AA""), 6, FALSE)"),2024)</f>
        <v>2024</v>
      </c>
      <c r="J2284" s="5" t="e">
        <f t="shared" si="76"/>
        <v>#REF!</v>
      </c>
      <c r="K2284" s="12" t="s">
        <v>139</v>
      </c>
      <c r="L2284" s="15" t="s">
        <v>9167</v>
      </c>
    </row>
    <row r="2285" spans="1:12" ht="38.25">
      <c r="A2285" s="8" t="s">
        <v>9168</v>
      </c>
      <c r="B2285" s="9" t="s">
        <v>12</v>
      </c>
      <c r="C2285" s="10" t="s">
        <v>443</v>
      </c>
      <c r="D2285" s="10" t="str">
        <f ca="1">IFERROR(__xludf.DUMMYFUNCTION(" VLOOKUP(A2282, IMPORTRANGE(""https://docs.google.com/spreadsheets/d/1fj_Bhi2XPL3siwIh4sx4VRLAe31yD50oKdj5UlRYW0c/"", ""Сводка!A:AA""), 11, FALSE)"),"978-601-310-342-6")</f>
        <v>978-601-310-342-6</v>
      </c>
      <c r="E2285" s="11" t="s">
        <v>9169</v>
      </c>
      <c r="F2285" s="11" t="s">
        <v>9170</v>
      </c>
      <c r="G2285" s="12">
        <f ca="1">IFERROR(__xludf.DUMMYFUNCTION(" VLOOKUP(A2282, IMPORTRANGE(""https://docs.google.com/spreadsheets/d/1fj_Bhi2XPL3siwIh4sx4VRLAe31yD50oKdj5UlRYW0c/"", ""Сводка!A:AA""), 5, FALSE)"),332)</f>
        <v>332</v>
      </c>
      <c r="H2285" s="12" t="s">
        <v>538</v>
      </c>
      <c r="I2285" s="10">
        <f ca="1">IFERROR(__xludf.DUMMYFUNCTION(" VLOOKUP(A2282, IMPORTRANGE(""https://docs.google.com/spreadsheets/d/1QNLbnkR_AongFt22vMfNzfpjZ0CjpI8QI-w0wBnYA1w/"", ""Инфа!A:AA""), 6, FALSE)"),2024)</f>
        <v>2024</v>
      </c>
      <c r="J2285" s="5">
        <f t="shared" ca="1" si="76"/>
        <v>24900</v>
      </c>
      <c r="K2285" s="12" t="s">
        <v>139</v>
      </c>
      <c r="L2285" s="15"/>
    </row>
    <row r="2286" spans="1:12" ht="38.25">
      <c r="A2286" s="8" t="s">
        <v>9171</v>
      </c>
      <c r="B2286" s="9" t="s">
        <v>12</v>
      </c>
      <c r="C2286" s="10" t="s">
        <v>443</v>
      </c>
      <c r="D2286" s="10" t="str">
        <f ca="1">IFERROR(__xludf.DUMMYFUNCTION(" VLOOKUP(A2283, IMPORTRANGE(""https://docs.google.com/spreadsheets/d/1fj_Bhi2XPL3siwIh4sx4VRLAe31yD50oKdj5UlRYW0c/"", ""Сводка!A:AA""), 11, FALSE)"),"978-601-310-658-8")</f>
        <v>978-601-310-658-8</v>
      </c>
      <c r="E2286" s="11" t="s">
        <v>9169</v>
      </c>
      <c r="F2286" s="11" t="s">
        <v>9172</v>
      </c>
      <c r="G2286" s="12">
        <f ca="1">IFERROR(__xludf.DUMMYFUNCTION(" VLOOKUP(A2283, IMPORTRANGE(""https://docs.google.com/spreadsheets/d/1fj_Bhi2XPL3siwIh4sx4VRLAe31yD50oKdj5UlRYW0c/"", ""Сводка!A:AA""), 5, FALSE)"),248)</f>
        <v>248</v>
      </c>
      <c r="H2286" s="12" t="s">
        <v>538</v>
      </c>
      <c r="I2286" s="10">
        <f ca="1">IFERROR(__xludf.DUMMYFUNCTION(" VLOOKUP(A2283, IMPORTRANGE(""https://docs.google.com/spreadsheets/d/1QNLbnkR_AongFt22vMfNzfpjZ0CjpI8QI-w0wBnYA1w/"", ""Инфа!A:AA""), 6, FALSE)"),2024)</f>
        <v>2024</v>
      </c>
      <c r="J2286" s="5">
        <f ca="1">ROUND((5000+G2286*30),-2)</f>
        <v>12400</v>
      </c>
      <c r="K2286" s="12" t="s">
        <v>139</v>
      </c>
      <c r="L2286" s="15"/>
    </row>
    <row r="2287" spans="1:12" ht="78.75">
      <c r="A2287" s="8" t="s">
        <v>9173</v>
      </c>
      <c r="B2287" s="9" t="s">
        <v>12</v>
      </c>
      <c r="C2287" s="10" t="s">
        <v>443</v>
      </c>
      <c r="D2287" s="10" t="str">
        <f ca="1">IFERROR(__xludf.DUMMYFUNCTION(" VLOOKUP(A2284, IMPORTRANGE(""https://docs.google.com/spreadsheets/d/1fj_Bhi2XPL3siwIh4sx4VRLAe31yD50oKdj5UlRYW0c/"", ""Сводка!A:AA""), 11, FALSE)"),"978-601-310-392-1")</f>
        <v>978-601-310-392-1</v>
      </c>
      <c r="E2287" s="11" t="s">
        <v>9174</v>
      </c>
      <c r="F2287" s="11" t="s">
        <v>9175</v>
      </c>
      <c r="G2287" s="12">
        <f ca="1">IFERROR(__xludf.DUMMYFUNCTION(" VLOOKUP(A2284, IMPORTRANGE(""https://docs.google.com/spreadsheets/d/1fj_Bhi2XPL3siwIh4sx4VRLAe31yD50oKdj5UlRYW0c/"", ""Сводка!A:AA""), 5, FALSE)"),184)</f>
        <v>184</v>
      </c>
      <c r="H2287" s="12" t="s">
        <v>106</v>
      </c>
      <c r="I2287" s="10">
        <f ca="1">IFERROR(__xludf.DUMMYFUNCTION(" VLOOKUP(A2284, IMPORTRANGE(""https://docs.google.com/spreadsheets/d/1QNLbnkR_AongFt22vMfNzfpjZ0CjpI8QI-w0wBnYA1w/"", ""Инфа!A:AA""), 6, FALSE)"),2024)</f>
        <v>2024</v>
      </c>
      <c r="J2287" s="5">
        <f ca="1">ROUND(((5000+G2287*30)*1.3),-2)</f>
        <v>13700</v>
      </c>
      <c r="K2287" s="12" t="s">
        <v>139</v>
      </c>
      <c r="L2287" s="15" t="s">
        <v>9176</v>
      </c>
    </row>
    <row r="2288" spans="1:12" ht="146.25">
      <c r="A2288" s="8" t="s">
        <v>9177</v>
      </c>
      <c r="B2288" s="9" t="s">
        <v>12</v>
      </c>
      <c r="C2288" s="10" t="s">
        <v>443</v>
      </c>
      <c r="D2288" s="10" t="str">
        <f ca="1">IFERROR(__xludf.DUMMYFUNCTION(" VLOOKUP(A2285, IMPORTRANGE(""https://docs.google.com/spreadsheets/d/1fj_Bhi2XPL3siwIh4sx4VRLAe31yD50oKdj5UlRYW0c/"", ""Сводка!A:AA""), 11, FALSE)"),"978-601-240-218-6")</f>
        <v>978-601-240-218-6</v>
      </c>
      <c r="E2288" s="11" t="s">
        <v>9178</v>
      </c>
      <c r="F2288" s="11" t="s">
        <v>9179</v>
      </c>
      <c r="G2288" s="12">
        <f ca="1">IFERROR(__xludf.DUMMYFUNCTION(" VLOOKUP(A2285, IMPORTRANGE(""https://docs.google.com/spreadsheets/d/1fj_Bhi2XPL3siwIh4sx4VRLAe31yD50oKdj5UlRYW0c/"", ""Сводка!A:AA""), 5, FALSE)"),168)</f>
        <v>168</v>
      </c>
      <c r="H2288" s="12"/>
      <c r="I2288" s="10">
        <f ca="1">IFERROR(__xludf.DUMMYFUNCTION(" VLOOKUP(A2285, IMPORTRANGE(""https://docs.google.com/spreadsheets/d/1QNLbnkR_AongFt22vMfNzfpjZ0CjpI8QI-w0wBnYA1w/"", ""Инфа!A:AA""), 6, FALSE)"),2024)</f>
        <v>2024</v>
      </c>
      <c r="J2288" s="5">
        <f t="shared" ref="J2288:J2293" ca="1" si="77">ROUND((5000+G2288*30),-2)</f>
        <v>10000</v>
      </c>
      <c r="K2288" s="9" t="s">
        <v>539</v>
      </c>
      <c r="L2288" s="15" t="s">
        <v>9180</v>
      </c>
    </row>
    <row r="2289" spans="1:12" ht="180">
      <c r="A2289" s="8" t="s">
        <v>9181</v>
      </c>
      <c r="B2289" s="9" t="s">
        <v>12</v>
      </c>
      <c r="C2289" s="10" t="s">
        <v>151</v>
      </c>
      <c r="D2289" s="10" t="s">
        <v>9182</v>
      </c>
      <c r="E2289" s="11" t="s">
        <v>9183</v>
      </c>
      <c r="F2289" s="11" t="s">
        <v>9184</v>
      </c>
      <c r="G2289" s="12">
        <f ca="1">IFERROR(__xludf.DUMMYFUNCTION(" VLOOKUP(A2286, IMPORTRANGE(""https://docs.google.com/spreadsheets/d/1fj_Bhi2XPL3siwIh4sx4VRLAe31yD50oKdj5UlRYW0c/"", ""Сводка!A:AA""), 5, FALSE)"),304)</f>
        <v>304</v>
      </c>
      <c r="H2289" s="12" t="s">
        <v>47</v>
      </c>
      <c r="I2289" s="10">
        <f ca="1">IFERROR(__xludf.DUMMYFUNCTION(" VLOOKUP(A2286, IMPORTRANGE(""https://docs.google.com/spreadsheets/d/1QNLbnkR_AongFt22vMfNzfpjZ0CjpI8QI-w0wBnYA1w/"", ""Инфа!A:AA""), 6, FALSE)"),2024)</f>
        <v>2024</v>
      </c>
      <c r="J2289" s="5">
        <f t="shared" ca="1" si="77"/>
        <v>14100</v>
      </c>
      <c r="K2289" s="12" t="s">
        <v>213</v>
      </c>
      <c r="L2289" s="15" t="s">
        <v>9185</v>
      </c>
    </row>
    <row r="2290" spans="1:12" ht="202.5">
      <c r="A2290" s="8" t="s">
        <v>9186</v>
      </c>
      <c r="B2290" s="9" t="s">
        <v>12</v>
      </c>
      <c r="C2290" s="10" t="s">
        <v>151</v>
      </c>
      <c r="D2290" s="10" t="str">
        <f ca="1">IFERROR(__xludf.DUMMYFUNCTION(" VLOOKUP(A2287, IMPORTRANGE(""https://docs.google.com/spreadsheets/d/1fj_Bhi2XPL3siwIh4sx4VRLAe31yD50oKdj5UlRYW0c/"", ""Сводка!A:AA""), 11, FALSE)"),"978-601-240-835-5")</f>
        <v>978-601-240-835-5</v>
      </c>
      <c r="E2290" s="11" t="s">
        <v>9187</v>
      </c>
      <c r="F2290" s="11" t="s">
        <v>9188</v>
      </c>
      <c r="G2290" s="12">
        <f ca="1">IFERROR(__xludf.DUMMYFUNCTION(" VLOOKUP(A2287, IMPORTRANGE(""https://docs.google.com/spreadsheets/d/1fj_Bhi2XPL3siwIh4sx4VRLAe31yD50oKdj5UlRYW0c/"", ""Сводка!A:AA""), 5, FALSE)"),268)</f>
        <v>268</v>
      </c>
      <c r="H2290" s="12" t="s">
        <v>47</v>
      </c>
      <c r="I2290" s="10">
        <f ca="1">IFERROR(__xludf.DUMMYFUNCTION(" VLOOKUP(A2287, IMPORTRANGE(""https://docs.google.com/spreadsheets/d/1QNLbnkR_AongFt22vMfNzfpjZ0CjpI8QI-w0wBnYA1w/"", ""Инфа!A:AA""), 6, FALSE)"),2023)</f>
        <v>2023</v>
      </c>
      <c r="J2290" s="5">
        <f t="shared" ca="1" si="77"/>
        <v>13000</v>
      </c>
      <c r="K2290" s="12" t="s">
        <v>213</v>
      </c>
      <c r="L2290" s="15" t="s">
        <v>9189</v>
      </c>
    </row>
    <row r="2291" spans="1:12" ht="51">
      <c r="A2291" s="8" t="s">
        <v>9190</v>
      </c>
      <c r="B2291" s="9" t="s">
        <v>12</v>
      </c>
      <c r="C2291" s="10" t="s">
        <v>151</v>
      </c>
      <c r="D2291" s="10" t="str">
        <f ca="1">IFERROR(__xludf.DUMMYFUNCTION(" VLOOKUP(A2288, IMPORTRANGE(""https://docs.google.com/spreadsheets/d/1fj_Bhi2XPL3siwIh4sx4VRLAe31yD50oKdj5UlRYW0c/"", ""Сводка!A:AA""), 11, FALSE)"),"978-601-310-307-5")</f>
        <v>978-601-310-307-5</v>
      </c>
      <c r="E2291" s="11" t="s">
        <v>9191</v>
      </c>
      <c r="F2291" s="11" t="s">
        <v>9192</v>
      </c>
      <c r="G2291" s="12">
        <f ca="1">IFERROR(__xludf.DUMMYFUNCTION(" VLOOKUP(A2288, IMPORTRANGE(""https://docs.google.com/spreadsheets/d/1fj_Bhi2XPL3siwIh4sx4VRLAe31yD50oKdj5UlRYW0c/"", ""Сводка!A:AA""), 5, FALSE)"),88)</f>
        <v>88</v>
      </c>
      <c r="H2291" s="12" t="s">
        <v>47</v>
      </c>
      <c r="I2291" s="10">
        <f ca="1">IFERROR(__xludf.DUMMYFUNCTION(" VLOOKUP(A2288, IMPORTRANGE(""https://docs.google.com/spreadsheets/d/1QNLbnkR_AongFt22vMfNzfpjZ0CjpI8QI-w0wBnYA1w/"", ""Инфа!A:AA""), 6, FALSE)"),2024)</f>
        <v>2024</v>
      </c>
      <c r="J2291" s="5">
        <f t="shared" ca="1" si="77"/>
        <v>7600</v>
      </c>
      <c r="K2291" s="12" t="s">
        <v>5272</v>
      </c>
      <c r="L2291" s="15"/>
    </row>
    <row r="2292" spans="1:12" ht="123.75">
      <c r="A2292" s="8" t="s">
        <v>9193</v>
      </c>
      <c r="B2292" s="9" t="s">
        <v>12</v>
      </c>
      <c r="C2292" s="10" t="s">
        <v>151</v>
      </c>
      <c r="D2292" s="10" t="str">
        <f ca="1">IFERROR(__xludf.DUMMYFUNCTION(" VLOOKUP(A2289, IMPORTRANGE(""https://docs.google.com/spreadsheets/d/1fj_Bhi2XPL3siwIh4sx4VRLAe31yD50oKdj5UlRYW0c/"", ""Сводка!A:AA""), 11, FALSE)"),"978-601-310-307-5")</f>
        <v>978-601-310-307-5</v>
      </c>
      <c r="E2292" s="11" t="s">
        <v>9191</v>
      </c>
      <c r="F2292" s="11" t="s">
        <v>9194</v>
      </c>
      <c r="G2292" s="12">
        <f ca="1">IFERROR(__xludf.DUMMYFUNCTION(" VLOOKUP(A2289, IMPORTRANGE(""https://docs.google.com/spreadsheets/d/1fj_Bhi2XPL3siwIh4sx4VRLAe31yD50oKdj5UlRYW0c/"", ""Сводка!A:AA""), 5, FALSE)"),96)</f>
        <v>96</v>
      </c>
      <c r="H2292" s="12" t="s">
        <v>47</v>
      </c>
      <c r="I2292" s="10">
        <f ca="1">IFERROR(__xludf.DUMMYFUNCTION(" VLOOKUP(A2289, IMPORTRANGE(""https://docs.google.com/spreadsheets/d/1QNLbnkR_AongFt22vMfNzfpjZ0CjpI8QI-w0wBnYA1w/"", ""Инфа!A:AA""), 6, FALSE)"),2024)</f>
        <v>2024</v>
      </c>
      <c r="J2292" s="5">
        <f t="shared" ca="1" si="77"/>
        <v>7900</v>
      </c>
      <c r="K2292" s="12" t="s">
        <v>1240</v>
      </c>
      <c r="L2292" s="15" t="s">
        <v>9195</v>
      </c>
    </row>
    <row r="2293" spans="1:12" ht="236.25">
      <c r="A2293" s="8" t="s">
        <v>9196</v>
      </c>
      <c r="B2293" s="9" t="s">
        <v>12</v>
      </c>
      <c r="C2293" s="10" t="s">
        <v>151</v>
      </c>
      <c r="D2293" s="10" t="str">
        <f ca="1">IFERROR(__xludf.DUMMYFUNCTION(" VLOOKUP(A2290, IMPORTRANGE(""https://docs.google.com/spreadsheets/d/1fj_Bhi2XPL3siwIh4sx4VRLAe31yD50oKdj5UlRYW0c/"", ""Сводка!A:AA""), 11, FALSE)"),"978-601-327-217-7")</f>
        <v>978-601-327-217-7</v>
      </c>
      <c r="E2293" s="11" t="s">
        <v>9197</v>
      </c>
      <c r="F2293" s="11" t="s">
        <v>9198</v>
      </c>
      <c r="G2293" s="12">
        <f ca="1">IFERROR(__xludf.DUMMYFUNCTION(" VLOOKUP(A2290, IMPORTRANGE(""https://docs.google.com/spreadsheets/d/1fj_Bhi2XPL3siwIh4sx4VRLAe31yD50oKdj5UlRYW0c/"", ""Сводка!A:AA""), 5, FALSE)"),276)</f>
        <v>276</v>
      </c>
      <c r="H2293" s="12" t="s">
        <v>2216</v>
      </c>
      <c r="I2293" s="10">
        <f ca="1">IFERROR(__xludf.DUMMYFUNCTION(" VLOOKUP(A2290, IMPORTRANGE(""https://docs.google.com/spreadsheets/d/1QNLbnkR_AongFt22vMfNzfpjZ0CjpI8QI-w0wBnYA1w/"", ""Инфа!A:AA""), 6, FALSE)"),2024)</f>
        <v>2024</v>
      </c>
      <c r="J2293" s="5">
        <f t="shared" ca="1" si="77"/>
        <v>13300</v>
      </c>
      <c r="K2293" s="9" t="s">
        <v>625</v>
      </c>
      <c r="L2293" s="15" t="s">
        <v>9199</v>
      </c>
    </row>
    <row r="2294" spans="1:12" ht="191.25">
      <c r="A2294" s="8" t="s">
        <v>9200</v>
      </c>
      <c r="B2294" s="9" t="s">
        <v>12</v>
      </c>
      <c r="C2294" s="10" t="s">
        <v>151</v>
      </c>
      <c r="D2294" s="10" t="str">
        <f ca="1">IFERROR(__xludf.DUMMYFUNCTION(" VLOOKUP(A2291, IMPORTRANGE(""https://docs.google.com/spreadsheets/d/1fj_Bhi2XPL3siwIh4sx4VRLAe31yD50oKdj5UlRYW0c/"", ""Сводка!A:AA""), 11, FALSE)"),"978-601-327-836-0")</f>
        <v>978-601-327-836-0</v>
      </c>
      <c r="E2294" s="11" t="s">
        <v>9201</v>
      </c>
      <c r="F2294" s="11" t="s">
        <v>9202</v>
      </c>
      <c r="G2294" s="12">
        <f ca="1">IFERROR(__xludf.DUMMYFUNCTION(" VLOOKUP(A2291, IMPORTRANGE(""https://docs.google.com/spreadsheets/d/1fj_Bhi2XPL3siwIh4sx4VRLAe31yD50oKdj5UlRYW0c/"", ""Сводка!A:AA""), 5, FALSE)"),216)</f>
        <v>216</v>
      </c>
      <c r="H2294" s="12" t="s">
        <v>9203</v>
      </c>
      <c r="I2294" s="10">
        <f ca="1">IFERROR(__xludf.DUMMYFUNCTION(" VLOOKUP(A2291, IMPORTRANGE(""https://docs.google.com/spreadsheets/d/1QNLbnkR_AongFt22vMfNzfpjZ0CjpI8QI-w0wBnYA1w/"", ""Инфа!A:AA""), 6, FALSE)"),2024)</f>
        <v>2024</v>
      </c>
      <c r="J2294" s="5">
        <f t="shared" ref="J2294:J2299" ca="1" si="78">ROUND((5000+G2294*60),-2)</f>
        <v>18000</v>
      </c>
      <c r="K2294" s="12" t="s">
        <v>160</v>
      </c>
      <c r="L2294" s="15" t="s">
        <v>9204</v>
      </c>
    </row>
    <row r="2295" spans="1:12" ht="213.75">
      <c r="A2295" s="8" t="s">
        <v>9205</v>
      </c>
      <c r="B2295" s="9" t="s">
        <v>12</v>
      </c>
      <c r="C2295" s="10" t="s">
        <v>151</v>
      </c>
      <c r="D2295" s="10" t="str">
        <f ca="1">IFERROR(__xludf.DUMMYFUNCTION(" VLOOKUP(A2292, IMPORTRANGE(""https://docs.google.com/spreadsheets/d/1fj_Bhi2XPL3siwIh4sx4VRLAe31yD50oKdj5UlRYW0c/"", ""Сводка!A:AA""), 11, FALSE)"),"978-601-310-826-1")</f>
        <v>978-601-310-826-1</v>
      </c>
      <c r="E2295" s="11" t="s">
        <v>9206</v>
      </c>
      <c r="F2295" s="11" t="s">
        <v>9207</v>
      </c>
      <c r="G2295" s="12">
        <f ca="1">IFERROR(__xludf.DUMMYFUNCTION(" VLOOKUP(A2292, IMPORTRANGE(""https://docs.google.com/spreadsheets/d/1fj_Bhi2XPL3siwIh4sx4VRLAe31yD50oKdj5UlRYW0c/"", ""Сводка!A:AA""), 5, FALSE)"),212)</f>
        <v>212</v>
      </c>
      <c r="H2295" s="12" t="s">
        <v>47</v>
      </c>
      <c r="I2295" s="10">
        <f ca="1">IFERROR(__xludf.DUMMYFUNCTION(" VLOOKUP(A2292, IMPORTRANGE(""https://docs.google.com/spreadsheets/d/1QNLbnkR_AongFt22vMfNzfpjZ0CjpI8QI-w0wBnYA1w/"", ""Инфа!A:AA""), 6, FALSE)"),2024)</f>
        <v>2024</v>
      </c>
      <c r="J2295" s="5">
        <f t="shared" ca="1" si="78"/>
        <v>17700</v>
      </c>
      <c r="K2295" s="12" t="s">
        <v>160</v>
      </c>
      <c r="L2295" s="15" t="s">
        <v>9208</v>
      </c>
    </row>
    <row r="2296" spans="1:12" ht="51">
      <c r="A2296" s="8" t="s">
        <v>9209</v>
      </c>
      <c r="B2296" s="9" t="s">
        <v>12</v>
      </c>
      <c r="C2296" s="10" t="s">
        <v>151</v>
      </c>
      <c r="D2296" s="10" t="str">
        <f ca="1">IFERROR(__xludf.DUMMYFUNCTION(" VLOOKUP(A2293, IMPORTRANGE(""https://docs.google.com/spreadsheets/d/1fj_Bhi2XPL3siwIh4sx4VRLAe31yD50oKdj5UlRYW0c/"", ""Сводка!A:AA""), 11, FALSE)"),"978-601-327-358-7")</f>
        <v>978-601-327-358-7</v>
      </c>
      <c r="E2296" s="75" t="s">
        <v>9210</v>
      </c>
      <c r="F2296" s="11" t="s">
        <v>9211</v>
      </c>
      <c r="G2296" s="12">
        <f ca="1">IFERROR(__xludf.DUMMYFUNCTION(" VLOOKUP(A2293, IMPORTRANGE(""https://docs.google.com/spreadsheets/d/1fj_Bhi2XPL3siwIh4sx4VRLAe31yD50oKdj5UlRYW0c/"", ""Сводка!A:AA""), 5, FALSE)"),128)</f>
        <v>128</v>
      </c>
      <c r="H2296" s="76" t="s">
        <v>5552</v>
      </c>
      <c r="I2296" s="10">
        <f ca="1">IFERROR(__xludf.DUMMYFUNCTION(" VLOOKUP(A2293, IMPORTRANGE(""https://docs.google.com/spreadsheets/d/1QNLbnkR_AongFt22vMfNzfpjZ0CjpI8QI-w0wBnYA1w/"", ""Инфа!A:AA""), 6, FALSE)"),2024)</f>
        <v>2024</v>
      </c>
      <c r="J2296" s="5">
        <f t="shared" ca="1" si="78"/>
        <v>12700</v>
      </c>
      <c r="K2296" s="12" t="s">
        <v>860</v>
      </c>
      <c r="L2296" s="15"/>
    </row>
    <row r="2297" spans="1:12" ht="101.25">
      <c r="A2297" s="8" t="s">
        <v>9212</v>
      </c>
      <c r="B2297" s="9" t="s">
        <v>12</v>
      </c>
      <c r="C2297" s="10" t="s">
        <v>151</v>
      </c>
      <c r="D2297" s="10" t="str">
        <f ca="1">IFERROR(__xludf.DUMMYFUNCTION(" VLOOKUP(A2294, IMPORTRANGE(""https://docs.google.com/spreadsheets/d/1fj_Bhi2XPL3siwIh4sx4VRLAe31yD50oKdj5UlRYW0c/"", ""Сводка!A:AA""), 11, FALSE)"),"978-601-310-980-0")</f>
        <v>978-601-310-980-0</v>
      </c>
      <c r="E2297" s="75" t="s">
        <v>9210</v>
      </c>
      <c r="F2297" s="11" t="s">
        <v>9213</v>
      </c>
      <c r="G2297" s="12">
        <f ca="1">IFERROR(__xludf.DUMMYFUNCTION(" VLOOKUP(A2294, IMPORTRANGE(""https://docs.google.com/spreadsheets/d/1fj_Bhi2XPL3siwIh4sx4VRLAe31yD50oKdj5UlRYW0c/"", ""Сводка!A:AA""), 5, FALSE)"),132)</f>
        <v>132</v>
      </c>
      <c r="H2297" s="76" t="s">
        <v>5552</v>
      </c>
      <c r="I2297" s="10">
        <f ca="1">IFERROR(__xludf.DUMMYFUNCTION(" VLOOKUP(A2294, IMPORTRANGE(""https://docs.google.com/spreadsheets/d/1QNLbnkR_AongFt22vMfNzfpjZ0CjpI8QI-w0wBnYA1w/"", ""Инфа!A:AA""), 6, FALSE)"),2024)</f>
        <v>2024</v>
      </c>
      <c r="J2297" s="5">
        <f t="shared" ca="1" si="78"/>
        <v>12900</v>
      </c>
      <c r="K2297" s="12" t="s">
        <v>860</v>
      </c>
      <c r="L2297" s="77" t="s">
        <v>9214</v>
      </c>
    </row>
    <row r="2298" spans="1:12" ht="101.25">
      <c r="A2298" s="8" t="s">
        <v>9215</v>
      </c>
      <c r="B2298" s="9" t="s">
        <v>12</v>
      </c>
      <c r="C2298" s="10" t="s">
        <v>151</v>
      </c>
      <c r="D2298" s="10" t="str">
        <f ca="1">IFERROR(__xludf.DUMMYFUNCTION(" VLOOKUP(A2295, IMPORTRANGE(""https://docs.google.com/spreadsheets/d/1fj_Bhi2XPL3siwIh4sx4VRLAe31yD50oKdj5UlRYW0c/"", ""Сводка!A:AA""), 11, FALSE)"),"978-601-310-954")</f>
        <v>978-601-310-954</v>
      </c>
      <c r="E2298" s="75" t="s">
        <v>9216</v>
      </c>
      <c r="F2298" s="11" t="s">
        <v>9217</v>
      </c>
      <c r="G2298" s="12">
        <f ca="1">IFERROR(__xludf.DUMMYFUNCTION(" VLOOKUP(A2295, IMPORTRANGE(""https://docs.google.com/spreadsheets/d/1fj_Bhi2XPL3siwIh4sx4VRLAe31yD50oKdj5UlRYW0c/"", ""Сводка!A:AA""), 5, FALSE)"),92)</f>
        <v>92</v>
      </c>
      <c r="H2298" s="76" t="s">
        <v>5552</v>
      </c>
      <c r="I2298" s="10">
        <f ca="1">IFERROR(__xludf.DUMMYFUNCTION(" VLOOKUP(A2295, IMPORTRANGE(""https://docs.google.com/spreadsheets/d/1QNLbnkR_AongFt22vMfNzfpjZ0CjpI8QI-w0wBnYA1w/"", ""Инфа!A:AA""), 6, FALSE)"),2024)</f>
        <v>2024</v>
      </c>
      <c r="J2298" s="5">
        <f t="shared" ca="1" si="78"/>
        <v>10500</v>
      </c>
      <c r="K2298" s="12" t="s">
        <v>860</v>
      </c>
      <c r="L2298" s="77" t="s">
        <v>9218</v>
      </c>
    </row>
    <row r="2299" spans="1:12" ht="101.25">
      <c r="A2299" s="8" t="s">
        <v>9219</v>
      </c>
      <c r="B2299" s="9" t="s">
        <v>12</v>
      </c>
      <c r="C2299" s="13" t="s">
        <v>151</v>
      </c>
      <c r="D2299" s="10" t="str">
        <f ca="1">IFERROR(__xludf.DUMMYFUNCTION(" VLOOKUP(A2296, IMPORTRANGE(""https://docs.google.com/spreadsheets/d/1fj_Bhi2XPL3siwIh4sx4VRLAe31yD50oKdj5UlRYW0c/"", ""Сводка!A:AA""), 11, FALSE)"),"978-601-310-950-3")</f>
        <v>978-601-310-950-3</v>
      </c>
      <c r="E2299" s="19" t="s">
        <v>9216</v>
      </c>
      <c r="F2299" s="19" t="s">
        <v>9220</v>
      </c>
      <c r="G2299" s="12">
        <f ca="1">IFERROR(__xludf.DUMMYFUNCTION(" VLOOKUP(A2296, IMPORTRANGE(""https://docs.google.com/spreadsheets/d/1fj_Bhi2XPL3siwIh4sx4VRLAe31yD50oKdj5UlRYW0c/"", ""Сводка!A:AA""), 5, FALSE)"),120)</f>
        <v>120</v>
      </c>
      <c r="H2299" s="9" t="s">
        <v>5552</v>
      </c>
      <c r="I2299" s="10">
        <f ca="1">IFERROR(__xludf.DUMMYFUNCTION(" VLOOKUP(A2296, IMPORTRANGE(""https://docs.google.com/spreadsheets/d/1QNLbnkR_AongFt22vMfNzfpjZ0CjpI8QI-w0wBnYA1w/"", ""Инфа!A:AA""), 6, FALSE)"),2024)</f>
        <v>2024</v>
      </c>
      <c r="J2299" s="5">
        <f t="shared" ca="1" si="78"/>
        <v>12200</v>
      </c>
      <c r="K2299" s="12" t="s">
        <v>860</v>
      </c>
      <c r="L2299" s="21" t="s">
        <v>9221</v>
      </c>
    </row>
    <row r="2300" spans="1:12" ht="168.75">
      <c r="A2300" s="8" t="s">
        <v>9222</v>
      </c>
      <c r="B2300" s="9" t="s">
        <v>12</v>
      </c>
      <c r="C2300" s="10" t="s">
        <v>443</v>
      </c>
      <c r="D2300" s="10" t="str">
        <f ca="1">IFERROR(__xludf.DUMMYFUNCTION(" VLOOKUP(A2297, IMPORTRANGE(""https://docs.google.com/spreadsheets/d/1fj_Bhi2XPL3siwIh4sx4VRLAe31yD50oKdj5UlRYW0c/"", ""Сводка!A:AA""), 11, FALSE)"),"978-601-240-737-2")</f>
        <v>978-601-240-737-2</v>
      </c>
      <c r="E2300" s="11" t="s">
        <v>9223</v>
      </c>
      <c r="F2300" s="11" t="s">
        <v>8621</v>
      </c>
      <c r="G2300" s="12">
        <f ca="1">IFERROR(__xludf.DUMMYFUNCTION(" VLOOKUP(A2297, IMPORTRANGE(""https://docs.google.com/spreadsheets/d/1fj_Bhi2XPL3siwIh4sx4VRLAe31yD50oKdj5UlRYW0c/"", ""Сводка!A:AA""), 5, FALSE)"),228)</f>
        <v>228</v>
      </c>
      <c r="H2300" s="12" t="s">
        <v>538</v>
      </c>
      <c r="I2300" s="10">
        <f ca="1">IFERROR(__xludf.DUMMYFUNCTION(" VLOOKUP(A2297, IMPORTRANGE(""https://docs.google.com/spreadsheets/d/1QNLbnkR_AongFt22vMfNzfpjZ0CjpI8QI-w0wBnYA1w/"", ""Инфа!A:AA""), 6, FALSE)"),2024)</f>
        <v>2024</v>
      </c>
      <c r="J2300" s="5">
        <f ca="1">ROUND((5000+G2300*30),-2)</f>
        <v>11800</v>
      </c>
      <c r="K2300" s="12" t="s">
        <v>860</v>
      </c>
      <c r="L2300" s="15" t="s">
        <v>9224</v>
      </c>
    </row>
    <row r="2301" spans="1:12" ht="157.5">
      <c r="A2301" s="8" t="s">
        <v>9225</v>
      </c>
      <c r="B2301" s="9" t="s">
        <v>12</v>
      </c>
      <c r="C2301" s="10" t="s">
        <v>443</v>
      </c>
      <c r="D2301" s="10" t="str">
        <f ca="1">IFERROR(__xludf.DUMMYFUNCTION(" VLOOKUP(A2298, IMPORTRANGE(""https://docs.google.com/spreadsheets/d/1fj_Bhi2XPL3siwIh4sx4VRLAe31yD50oKdj5UlRYW0c/"", ""Сводка!A:AA""), 11, FALSE)"),"978-601-327-940-4")</f>
        <v>978-601-327-940-4</v>
      </c>
      <c r="E2301" s="11" t="s">
        <v>9226</v>
      </c>
      <c r="F2301" s="11" t="s">
        <v>9227</v>
      </c>
      <c r="G2301" s="12">
        <f ca="1">IFERROR(__xludf.DUMMYFUNCTION(" VLOOKUP(A2298, IMPORTRANGE(""https://docs.google.com/spreadsheets/d/1fj_Bhi2XPL3siwIh4sx4VRLAe31yD50oKdj5UlRYW0c/"", ""Сводка!A:AA""), 5, FALSE)"),116)</f>
        <v>116</v>
      </c>
      <c r="H2301" s="12" t="s">
        <v>538</v>
      </c>
      <c r="I2301" s="10">
        <f ca="1">IFERROR(__xludf.DUMMYFUNCTION(" VLOOKUP(A2298, IMPORTRANGE(""https://docs.google.com/spreadsheets/d/1QNLbnkR_AongFt22vMfNzfpjZ0CjpI8QI-w0wBnYA1w/"", ""Инфа!A:AA""), 6, FALSE)"),2024)</f>
        <v>2024</v>
      </c>
      <c r="J2301" s="5">
        <f ca="1">ROUND((5000+G2301*60),-2)</f>
        <v>12000</v>
      </c>
      <c r="K2301" s="12" t="s">
        <v>860</v>
      </c>
      <c r="L2301" s="15" t="s">
        <v>9228</v>
      </c>
    </row>
    <row r="2302" spans="1:12" ht="101.25">
      <c r="A2302" s="8" t="s">
        <v>9229</v>
      </c>
      <c r="B2302" s="9" t="s">
        <v>12</v>
      </c>
      <c r="C2302" s="10" t="s">
        <v>443</v>
      </c>
      <c r="D2302" s="10" t="str">
        <f ca="1">IFERROR(__xludf.DUMMYFUNCTION(" VLOOKUP(A2299, IMPORTRANGE(""https://docs.google.com/spreadsheets/d/1fj_Bhi2XPL3siwIh4sx4VRLAe31yD50oKdj5UlRYW0c/"", ""Сводка!A:AA""), 11, FALSE)"),"9965-435-96-0")</f>
        <v>9965-435-96-0</v>
      </c>
      <c r="E2302" s="11" t="s">
        <v>9230</v>
      </c>
      <c r="F2302" s="11" t="s">
        <v>9231</v>
      </c>
      <c r="G2302" s="12" t="e">
        <f>#REF!</f>
        <v>#REF!</v>
      </c>
      <c r="H2302" s="12" t="s">
        <v>538</v>
      </c>
      <c r="I2302" s="10">
        <f ca="1">IFERROR(__xludf.DUMMYFUNCTION(" VLOOKUP(A2299, IMPORTRANGE(""https://docs.google.com/spreadsheets/d/1QNLbnkR_AongFt22vMfNzfpjZ0CjpI8QI-w0wBnYA1w/"", ""Инфа!A:AA""), 6, FALSE)"),2024)</f>
        <v>2024</v>
      </c>
      <c r="J2302" s="5" t="e">
        <f>ROUND((5000+G2302*60),-2)</f>
        <v>#REF!</v>
      </c>
      <c r="K2302" s="12" t="s">
        <v>860</v>
      </c>
      <c r="L2302" s="15" t="s">
        <v>9232</v>
      </c>
    </row>
    <row r="2303" spans="1:12" ht="146.25">
      <c r="A2303" s="8" t="s">
        <v>9233</v>
      </c>
      <c r="B2303" s="9" t="s">
        <v>12</v>
      </c>
      <c r="C2303" s="10" t="s">
        <v>443</v>
      </c>
      <c r="D2303" s="10" t="str">
        <f ca="1">IFERROR(__xludf.DUMMYFUNCTION(" VLOOKUP(A2300, IMPORTRANGE(""https://docs.google.com/spreadsheets/d/1fj_Bhi2XPL3siwIh4sx4VRLAe31yD50oKdj5UlRYW0c/"", ""Сводка!A:AA""), 11, FALSE)"),"978-601-327-939-8")</f>
        <v>978-601-327-939-8</v>
      </c>
      <c r="E2303" s="11" t="s">
        <v>9234</v>
      </c>
      <c r="F2303" s="11" t="s">
        <v>9235</v>
      </c>
      <c r="G2303" s="12">
        <f ca="1">IFERROR(__xludf.DUMMYFUNCTION(" VLOOKUP(A2300, IMPORTRANGE(""https://docs.google.com/spreadsheets/d/1fj_Bhi2XPL3siwIh4sx4VRLAe31yD50oKdj5UlRYW0c/"", ""Сводка!A:AA""), 5, FALSE)"),120)</f>
        <v>120</v>
      </c>
      <c r="H2303" s="12" t="s">
        <v>538</v>
      </c>
      <c r="I2303" s="10">
        <f ca="1">IFERROR(__xludf.DUMMYFUNCTION(" VLOOKUP(A2300, IMPORTRANGE(""https://docs.google.com/spreadsheets/d/1QNLbnkR_AongFt22vMfNzfpjZ0CjpI8QI-w0wBnYA1w/"", ""Инфа!A:AA""), 6, FALSE)"),2024)</f>
        <v>2024</v>
      </c>
      <c r="J2303" s="5">
        <f ca="1">ROUND((5000+G2303*60),-2)</f>
        <v>12200</v>
      </c>
      <c r="K2303" s="12" t="s">
        <v>860</v>
      </c>
      <c r="L2303" s="15" t="s">
        <v>9236</v>
      </c>
    </row>
    <row r="2304" spans="1:12" ht="157.5">
      <c r="A2304" s="8" t="s">
        <v>9237</v>
      </c>
      <c r="B2304" s="9" t="s">
        <v>12</v>
      </c>
      <c r="C2304" s="10" t="s">
        <v>443</v>
      </c>
      <c r="D2304" s="10" t="str">
        <f ca="1">IFERROR(__xludf.DUMMYFUNCTION(" VLOOKUP(A2301, IMPORTRANGE(""https://docs.google.com/spreadsheets/d/1fj_Bhi2XPL3siwIh4sx4VRLAe31yD50oKdj5UlRYW0c/"", ""Сводка!A:AA""), 11, FALSE)"),"978-601-243-546-7")</f>
        <v>978-601-243-546-7</v>
      </c>
      <c r="E2304" s="11" t="s">
        <v>9238</v>
      </c>
      <c r="F2304" s="11" t="s">
        <v>9239</v>
      </c>
      <c r="G2304" s="12">
        <f ca="1">IFERROR(__xludf.DUMMYFUNCTION(" VLOOKUP(A2301, IMPORTRANGE(""https://docs.google.com/spreadsheets/d/1fj_Bhi2XPL3siwIh4sx4VRLAe31yD50oKdj5UlRYW0c/"", ""Сводка!A:AA""), 5, FALSE)"),120)</f>
        <v>120</v>
      </c>
      <c r="H2304" s="12" t="s">
        <v>538</v>
      </c>
      <c r="I2304" s="10">
        <f ca="1">IFERROR(__xludf.DUMMYFUNCTION(" VLOOKUP(A2301, IMPORTRANGE(""https://docs.google.com/spreadsheets/d/1QNLbnkR_AongFt22vMfNzfpjZ0CjpI8QI-w0wBnYA1w/"", ""Инфа!A:AA""), 6, FALSE)"),2024)</f>
        <v>2024</v>
      </c>
      <c r="J2304" s="5">
        <f ca="1">ROUND((5000+G2304*30),-2)</f>
        <v>8600</v>
      </c>
      <c r="K2304" s="12" t="s">
        <v>860</v>
      </c>
      <c r="L2304" s="15" t="s">
        <v>9240</v>
      </c>
    </row>
    <row r="2305" spans="1:12" ht="146.25">
      <c r="A2305" s="8" t="s">
        <v>9241</v>
      </c>
      <c r="B2305" s="9" t="s">
        <v>12</v>
      </c>
      <c r="C2305" s="10" t="s">
        <v>443</v>
      </c>
      <c r="D2305" s="10" t="str">
        <f ca="1">IFERROR(__xludf.DUMMYFUNCTION(" VLOOKUP(A2302, IMPORTRANGE(""https://docs.google.com/spreadsheets/d/1fj_Bhi2XPL3siwIh4sx4VRLAe31yD50oKdj5UlRYW0c/"", ""Сводка!A:AA""), 11, FALSE)"),"9965-435-96-0")</f>
        <v>9965-435-96-0</v>
      </c>
      <c r="E2305" s="11" t="s">
        <v>9238</v>
      </c>
      <c r="F2305" s="11" t="s">
        <v>9242</v>
      </c>
      <c r="G2305" s="12">
        <f ca="1">IFERROR(__xludf.DUMMYFUNCTION(" VLOOKUP(A2302, IMPORTRANGE(""https://docs.google.com/spreadsheets/d/1fj_Bhi2XPL3siwIh4sx4VRLAe31yD50oKdj5UlRYW0c/"", ""Сводка!A:AA""), 5, FALSE)"),112)</f>
        <v>112</v>
      </c>
      <c r="H2305" s="12" t="s">
        <v>538</v>
      </c>
      <c r="I2305" s="10">
        <f ca="1">IFERROR(__xludf.DUMMYFUNCTION(" VLOOKUP(A2302, IMPORTRANGE(""https://docs.google.com/spreadsheets/d/1QNLbnkR_AongFt22vMfNzfpjZ0CjpI8QI-w0wBnYA1w/"", ""Инфа!A:AA""), 6, FALSE)"),2024)</f>
        <v>2024</v>
      </c>
      <c r="J2305" s="5">
        <f ca="1">ROUND((5000+G2305*60),-2)</f>
        <v>11700</v>
      </c>
      <c r="K2305" s="12" t="s">
        <v>860</v>
      </c>
      <c r="L2305" s="15" t="s">
        <v>9243</v>
      </c>
    </row>
    <row r="2306" spans="1:12" ht="123.75">
      <c r="A2306" s="8" t="s">
        <v>9244</v>
      </c>
      <c r="B2306" s="9" t="s">
        <v>12</v>
      </c>
      <c r="C2306" s="10" t="s">
        <v>443</v>
      </c>
      <c r="D2306" s="10" t="str">
        <f ca="1">IFERROR(__xludf.DUMMYFUNCTION(" VLOOKUP(A2303, IMPORTRANGE(""https://docs.google.com/spreadsheets/d/1fj_Bhi2XPL3siwIh4sx4VRLAe31yD50oKdj5UlRYW0c/"", ""Сводка!A:AA""), 11, FALSE)"),"978-601-243-546-7")</f>
        <v>978-601-243-546-7</v>
      </c>
      <c r="E2306" s="11" t="s">
        <v>9238</v>
      </c>
      <c r="F2306" s="11" t="s">
        <v>9245</v>
      </c>
      <c r="G2306" s="12">
        <f ca="1">IFERROR(__xludf.DUMMYFUNCTION(" VLOOKUP(A2303, IMPORTRANGE(""https://docs.google.com/spreadsheets/d/1fj_Bhi2XPL3siwIh4sx4VRLAe31yD50oKdj5UlRYW0c/"", ""Сводка!A:AA""), 5, FALSE)"),240)</f>
        <v>240</v>
      </c>
      <c r="H2306" s="12" t="s">
        <v>538</v>
      </c>
      <c r="I2306" s="10">
        <f ca="1">IFERROR(__xludf.DUMMYFUNCTION(" VLOOKUP(A2303, IMPORTRANGE(""https://docs.google.com/spreadsheets/d/1QNLbnkR_AongFt22vMfNzfpjZ0CjpI8QI-w0wBnYA1w/"", ""Инфа!A:AA""), 6, FALSE)"),2024)</f>
        <v>2024</v>
      </c>
      <c r="J2306" s="5">
        <f ca="1">ROUND((5000+G2306*30),-2)</f>
        <v>12200</v>
      </c>
      <c r="K2306" s="12" t="s">
        <v>860</v>
      </c>
      <c r="L2306" s="15" t="s">
        <v>9246</v>
      </c>
    </row>
    <row r="2307" spans="1:12" ht="180">
      <c r="A2307" s="8" t="s">
        <v>9247</v>
      </c>
      <c r="B2307" s="9" t="s">
        <v>12</v>
      </c>
      <c r="C2307" s="10" t="s">
        <v>443</v>
      </c>
      <c r="D2307" s="10" t="str">
        <f ca="1">IFERROR(__xludf.DUMMYFUNCTION(" VLOOKUP(A2304, IMPORTRANGE(""https://docs.google.com/spreadsheets/d/1fj_Bhi2XPL3siwIh4sx4VRLAe31yD50oKdj5UlRYW0c/"", ""Сводка!A:AA""), 11, FALSE)"),"978-601-310-778-3")</f>
        <v>978-601-310-778-3</v>
      </c>
      <c r="E2307" s="11" t="s">
        <v>9248</v>
      </c>
      <c r="F2307" s="11" t="s">
        <v>9249</v>
      </c>
      <c r="G2307" s="12">
        <f ca="1">IFERROR(__xludf.DUMMYFUNCTION(" VLOOKUP(A2304, IMPORTRANGE(""https://docs.google.com/spreadsheets/d/1fj_Bhi2XPL3siwIh4sx4VRLAe31yD50oKdj5UlRYW0c/"", ""Сводка!A:AA""), 5, FALSE)"),192)</f>
        <v>192</v>
      </c>
      <c r="H2307" s="12" t="s">
        <v>538</v>
      </c>
      <c r="I2307" s="10">
        <f ca="1">IFERROR(__xludf.DUMMYFUNCTION(" VLOOKUP(A2304, IMPORTRANGE(""https://docs.google.com/spreadsheets/d/1QNLbnkR_AongFt22vMfNzfpjZ0CjpI8QI-w0wBnYA1w/"", ""Инфа!A:AA""), 6, FALSE)"),2024)</f>
        <v>2024</v>
      </c>
      <c r="J2307" s="5">
        <f ca="1">ROUND((5000+G2307*60),-2)</f>
        <v>16500</v>
      </c>
      <c r="K2307" s="12" t="s">
        <v>860</v>
      </c>
      <c r="L2307" s="15" t="s">
        <v>9250</v>
      </c>
    </row>
    <row r="2308" spans="1:12" ht="123.75">
      <c r="A2308" s="8" t="s">
        <v>9251</v>
      </c>
      <c r="B2308" s="9" t="s">
        <v>12</v>
      </c>
      <c r="C2308" s="10" t="s">
        <v>443</v>
      </c>
      <c r="D2308" s="10" t="str">
        <f ca="1">IFERROR(__xludf.DUMMYFUNCTION(" VLOOKUP(A2305, IMPORTRANGE(""https://docs.google.com/spreadsheets/d/1fj_Bhi2XPL3siwIh4sx4VRLAe31yD50oKdj5UlRYW0c/"", ""Сводка!A:AA""), 11, FALSE)"),"978-601-240-886-7")</f>
        <v>978-601-240-886-7</v>
      </c>
      <c r="E2308" s="11" t="s">
        <v>9252</v>
      </c>
      <c r="F2308" s="11" t="s">
        <v>9253</v>
      </c>
      <c r="G2308" s="12">
        <f ca="1">IFERROR(__xludf.DUMMYFUNCTION(" VLOOKUP(A2305, IMPORTRANGE(""https://docs.google.com/spreadsheets/d/1fj_Bhi2XPL3siwIh4sx4VRLAe31yD50oKdj5UlRYW0c/"", ""Сводка!A:AA""), 5, FALSE)"),320)</f>
        <v>320</v>
      </c>
      <c r="H2308" s="12" t="s">
        <v>538</v>
      </c>
      <c r="I2308" s="10">
        <f ca="1">IFERROR(__xludf.DUMMYFUNCTION(" VLOOKUP(A2305, IMPORTRANGE(""https://docs.google.com/spreadsheets/d/1QNLbnkR_AongFt22vMfNzfpjZ0CjpI8QI-w0wBnYA1w/"", ""Инфа!A:AA""), 6, FALSE)"),2024)</f>
        <v>2024</v>
      </c>
      <c r="J2308" s="5">
        <f ca="1">ROUND((5000+G2308*30),-2)</f>
        <v>14600</v>
      </c>
      <c r="K2308" s="12" t="s">
        <v>3304</v>
      </c>
      <c r="L2308" s="15" t="s">
        <v>9254</v>
      </c>
    </row>
    <row r="2309" spans="1:12" ht="56.25">
      <c r="A2309" s="8" t="s">
        <v>9255</v>
      </c>
      <c r="B2309" s="9" t="s">
        <v>12</v>
      </c>
      <c r="C2309" s="10" t="s">
        <v>151</v>
      </c>
      <c r="D2309" s="10" t="str">
        <f ca="1">IFERROR(__xludf.DUMMYFUNCTION(" VLOOKUP(A2306, IMPORTRANGE(""https://docs.google.com/spreadsheets/d/1fj_Bhi2XPL3siwIh4sx4VRLAe31yD50oKdj5UlRYW0c/"", ""Сводка!A:AA""), 11, FALSE)"),"978-601-310-307-5")</f>
        <v>978-601-310-307-5</v>
      </c>
      <c r="E2309" s="11" t="s">
        <v>9256</v>
      </c>
      <c r="F2309" s="11" t="s">
        <v>9257</v>
      </c>
      <c r="G2309" s="12">
        <f ca="1">IFERROR(__xludf.DUMMYFUNCTION(" VLOOKUP(A2306, IMPORTRANGE(""https://docs.google.com/spreadsheets/d/1fj_Bhi2XPL3siwIh4sx4VRLAe31yD50oKdj5UlRYW0c/"", ""Сводка!A:AA""), 5, FALSE)"),68)</f>
        <v>68</v>
      </c>
      <c r="H2309" s="12" t="s">
        <v>9258</v>
      </c>
      <c r="I2309" s="10">
        <f ca="1">IFERROR(__xludf.DUMMYFUNCTION(" VLOOKUP(A2306, IMPORTRANGE(""https://docs.google.com/spreadsheets/d/1QNLbnkR_AongFt22vMfNzfpjZ0CjpI8QI-w0wBnYA1w/"", ""Инфа!A:AA""), 6, FALSE)"),2024)</f>
        <v>2024</v>
      </c>
      <c r="J2309" s="5">
        <f ca="1">ROUND((5000+G2309*30),-2)</f>
        <v>7000</v>
      </c>
      <c r="K2309" s="12" t="s">
        <v>1240</v>
      </c>
      <c r="L2309" s="15" t="s">
        <v>9259</v>
      </c>
    </row>
    <row r="2310" spans="1:12" ht="202.5">
      <c r="A2310" s="8" t="s">
        <v>9260</v>
      </c>
      <c r="B2310" s="9" t="s">
        <v>12</v>
      </c>
      <c r="C2310" s="10" t="s">
        <v>151</v>
      </c>
      <c r="D2310" s="10" t="str">
        <f ca="1">IFERROR(__xludf.DUMMYFUNCTION(" VLOOKUP(A2307, IMPORTRANGE(""https://docs.google.com/spreadsheets/d/1fj_Bhi2XPL3siwIh4sx4VRLAe31yD50oKdj5UlRYW0c/"", ""Сводка!A:AA""), 11, FALSE)"),"996-590-86-72")</f>
        <v>996-590-86-72</v>
      </c>
      <c r="E2310" s="11" t="s">
        <v>9261</v>
      </c>
      <c r="F2310" s="11" t="s">
        <v>9262</v>
      </c>
      <c r="G2310" s="12">
        <f ca="1">IFERROR(__xludf.DUMMYFUNCTION(" VLOOKUP(A2307, IMPORTRANGE(""https://docs.google.com/spreadsheets/d/1fj_Bhi2XPL3siwIh4sx4VRLAe31yD50oKdj5UlRYW0c/"", ""Сводка!A:AA""), 5, FALSE)"),332)</f>
        <v>332</v>
      </c>
      <c r="H2310" s="12" t="s">
        <v>47</v>
      </c>
      <c r="I2310" s="10">
        <f ca="1">IFERROR(__xludf.DUMMYFUNCTION(" VLOOKUP(A2307, IMPORTRANGE(""https://docs.google.com/spreadsheets/d/1QNLbnkR_AongFt22vMfNzfpjZ0CjpI8QI-w0wBnYA1w/"", ""Инфа!A:AA""), 6, FALSE)"),2024)</f>
        <v>2024</v>
      </c>
      <c r="J2310" s="5">
        <f ca="1">ROUND((5000+G2310*30),-2)</f>
        <v>15000</v>
      </c>
      <c r="K2310" s="12" t="s">
        <v>213</v>
      </c>
      <c r="L2310" s="15" t="s">
        <v>9263</v>
      </c>
    </row>
    <row r="2311" spans="1:12" ht="146.25">
      <c r="A2311" s="8" t="s">
        <v>9264</v>
      </c>
      <c r="B2311" s="9" t="s">
        <v>12</v>
      </c>
      <c r="C2311" s="10" t="s">
        <v>443</v>
      </c>
      <c r="D2311" s="10" t="str">
        <f ca="1">IFERROR(__xludf.DUMMYFUNCTION(" VLOOKUP(A2308, IMPORTRANGE(""https://docs.google.com/spreadsheets/d/1fj_Bhi2XPL3siwIh4sx4VRLAe31yD50oKdj5UlRYW0c/"", ""Сводка!A:AA""), 11, FALSE)"),"978-601-352-24-1")</f>
        <v>978-601-352-24-1</v>
      </c>
      <c r="E2311" s="11" t="s">
        <v>9265</v>
      </c>
      <c r="F2311" s="11" t="s">
        <v>9266</v>
      </c>
      <c r="G2311" s="12">
        <f ca="1">IFERROR(__xludf.DUMMYFUNCTION(" VLOOKUP(A2308, IMPORTRANGE(""https://docs.google.com/spreadsheets/d/1fj_Bhi2XPL3siwIh4sx4VRLAe31yD50oKdj5UlRYW0c/"", ""Сводка!A:AA""), 5, FALSE)"),228)</f>
        <v>228</v>
      </c>
      <c r="H2311" s="12" t="s">
        <v>538</v>
      </c>
      <c r="I2311" s="10">
        <f ca="1">IFERROR(__xludf.DUMMYFUNCTION(" VLOOKUP(A2308, IMPORTRANGE(""https://docs.google.com/spreadsheets/d/1QNLbnkR_AongFt22vMfNzfpjZ0CjpI8QI-w0wBnYA1w/"", ""Инфа!A:AA""), 6, FALSE)"),2024)</f>
        <v>2024</v>
      </c>
      <c r="J2311" s="5">
        <f ca="1">ROUND((5000+G2311*60),-2)</f>
        <v>18700</v>
      </c>
      <c r="K2311" s="12" t="s">
        <v>213</v>
      </c>
      <c r="L2311" s="15" t="s">
        <v>9267</v>
      </c>
    </row>
    <row r="2312" spans="1:12" ht="78.75">
      <c r="A2312" s="8" t="s">
        <v>9268</v>
      </c>
      <c r="B2312" s="9" t="s">
        <v>12</v>
      </c>
      <c r="C2312" s="10" t="s">
        <v>443</v>
      </c>
      <c r="D2312" s="10" t="str">
        <f ca="1">IFERROR(__xludf.DUMMYFUNCTION(" VLOOKUP(A2309, IMPORTRANGE(""https://docs.google.com/spreadsheets/d/1fj_Bhi2XPL3siwIh4sx4VRLAe31yD50oKdj5UlRYW0c/"", ""Сводка!A:AA""), 11, FALSE)"),"978-601-342-545-0")</f>
        <v>978-601-342-545-0</v>
      </c>
      <c r="E2312" s="11" t="s">
        <v>9269</v>
      </c>
      <c r="F2312" s="11" t="s">
        <v>9270</v>
      </c>
      <c r="G2312" s="12">
        <f ca="1">IFERROR(__xludf.DUMMYFUNCTION(" VLOOKUP(A2309, IMPORTRANGE(""https://docs.google.com/spreadsheets/d/1fj_Bhi2XPL3siwIh4sx4VRLAe31yD50oKdj5UlRYW0c/"", ""Сводка!A:AA""), 5, FALSE)"),260)</f>
        <v>260</v>
      </c>
      <c r="H2312" s="12" t="s">
        <v>511</v>
      </c>
      <c r="I2312" s="10">
        <f ca="1">IFERROR(__xludf.DUMMYFUNCTION(" VLOOKUP(A2309, IMPORTRANGE(""https://docs.google.com/spreadsheets/d/1QNLbnkR_AongFt22vMfNzfpjZ0CjpI8QI-w0wBnYA1w/"", ""Инфа!A:AA""), 6, FALSE)"),2024)</f>
        <v>2024</v>
      </c>
      <c r="J2312" s="5">
        <f t="shared" ref="J2312:J2317" ca="1" si="79">ROUND((5000+G2312*30),-2)</f>
        <v>12800</v>
      </c>
      <c r="K2312" s="12" t="s">
        <v>2283</v>
      </c>
      <c r="L2312" s="15" t="s">
        <v>9271</v>
      </c>
    </row>
    <row r="2313" spans="1:12" ht="78.75">
      <c r="A2313" s="8" t="s">
        <v>9272</v>
      </c>
      <c r="B2313" s="9" t="s">
        <v>12</v>
      </c>
      <c r="C2313" s="10" t="s">
        <v>2342</v>
      </c>
      <c r="D2313" s="10" t="str">
        <f ca="1">IFERROR(__xludf.DUMMYFUNCTION(" VLOOKUP(A2310, IMPORTRANGE(""https://docs.google.com/spreadsheets/d/1fj_Bhi2XPL3siwIh4sx4VRLAe31yD50oKdj5UlRYW0c/"", ""Сводка!A:AA""), 11, FALSE)"),"978-601-327-834-6")</f>
        <v>978-601-327-834-6</v>
      </c>
      <c r="E2313" s="11" t="s">
        <v>9273</v>
      </c>
      <c r="F2313" s="11" t="s">
        <v>9274</v>
      </c>
      <c r="G2313" s="12">
        <f ca="1">IFERROR(__xludf.DUMMYFUNCTION(" VLOOKUP(A2310, IMPORTRANGE(""https://docs.google.com/spreadsheets/d/1fj_Bhi2XPL3siwIh4sx4VRLAe31yD50oKdj5UlRYW0c/"", ""Сводка!A:AA""), 5, FALSE)"),108)</f>
        <v>108</v>
      </c>
      <c r="H2313" s="12" t="s">
        <v>47</v>
      </c>
      <c r="I2313" s="10">
        <f ca="1">IFERROR(__xludf.DUMMYFUNCTION(" VLOOKUP(A2310, IMPORTRANGE(""https://docs.google.com/spreadsheets/d/1QNLbnkR_AongFt22vMfNzfpjZ0CjpI8QI-w0wBnYA1w/"", ""Инфа!A:AA""), 6, FALSE)"),2024)</f>
        <v>2024</v>
      </c>
      <c r="J2313" s="5">
        <f t="shared" ca="1" si="79"/>
        <v>8200</v>
      </c>
      <c r="K2313" s="12" t="s">
        <v>2046</v>
      </c>
      <c r="L2313" s="15" t="s">
        <v>9275</v>
      </c>
    </row>
    <row r="2314" spans="1:12" ht="225">
      <c r="A2314" s="8" t="s">
        <v>9276</v>
      </c>
      <c r="B2314" s="9" t="s">
        <v>12</v>
      </c>
      <c r="C2314" s="10" t="s">
        <v>443</v>
      </c>
      <c r="D2314" s="10" t="str">
        <f ca="1">IFERROR(__xludf.DUMMYFUNCTION(" VLOOKUP(A2311, IMPORTRANGE(""https://docs.google.com/spreadsheets/d/1fj_Bhi2XPL3siwIh4sx4VRLAe31yD50oKdj5UlRYW0c/"", ""Сводка!A:AA""), 11, FALSE)"),"978-601-327-436-2")</f>
        <v>978-601-327-436-2</v>
      </c>
      <c r="E2314" s="11" t="s">
        <v>9277</v>
      </c>
      <c r="F2314" s="11" t="s">
        <v>9278</v>
      </c>
      <c r="G2314" s="12">
        <f ca="1">IFERROR(__xludf.DUMMYFUNCTION(" VLOOKUP(A2311, IMPORTRANGE(""https://docs.google.com/spreadsheets/d/1fj_Bhi2XPL3siwIh4sx4VRLAe31yD50oKdj5UlRYW0c/"", ""Сводка!A:AA""), 5, FALSE)"),288)</f>
        <v>288</v>
      </c>
      <c r="H2314" s="12" t="s">
        <v>671</v>
      </c>
      <c r="I2314" s="10">
        <f ca="1">IFERROR(__xludf.DUMMYFUNCTION(" VLOOKUP(A2311, IMPORTRANGE(""https://docs.google.com/spreadsheets/d/1QNLbnkR_AongFt22vMfNzfpjZ0CjpI8QI-w0wBnYA1w/"", ""Инфа!A:AA""), 6, FALSE)"),2024)</f>
        <v>2024</v>
      </c>
      <c r="J2314" s="5">
        <f t="shared" ca="1" si="79"/>
        <v>13600</v>
      </c>
      <c r="K2314" s="9" t="s">
        <v>619</v>
      </c>
      <c r="L2314" s="15" t="s">
        <v>9279</v>
      </c>
    </row>
    <row r="2315" spans="1:12" ht="225">
      <c r="A2315" s="8" t="s">
        <v>9280</v>
      </c>
      <c r="B2315" s="9" t="s">
        <v>12</v>
      </c>
      <c r="C2315" s="10" t="s">
        <v>443</v>
      </c>
      <c r="D2315" s="10" t="str">
        <f ca="1">IFERROR(__xludf.DUMMYFUNCTION(" VLOOKUP(A2312, IMPORTRANGE(""https://docs.google.com/spreadsheets/d/1fj_Bhi2XPL3siwIh4sx4VRLAe31yD50oKdj5UlRYW0c/"", ""Сводка!A:AA""), 11, FALSE)"),"978-601-327-436-3")</f>
        <v>978-601-327-436-3</v>
      </c>
      <c r="E2315" s="11" t="s">
        <v>9277</v>
      </c>
      <c r="F2315" s="11" t="s">
        <v>9281</v>
      </c>
      <c r="G2315" s="12">
        <f ca="1">IFERROR(__xludf.DUMMYFUNCTION(" VLOOKUP(A2312, IMPORTRANGE(""https://docs.google.com/spreadsheets/d/1fj_Bhi2XPL3siwIh4sx4VRLAe31yD50oKdj5UlRYW0c/"", ""Сводка!A:AA""), 5, FALSE)"),156)</f>
        <v>156</v>
      </c>
      <c r="H2315" s="12" t="s">
        <v>671</v>
      </c>
      <c r="I2315" s="10">
        <f ca="1">IFERROR(__xludf.DUMMYFUNCTION(" VLOOKUP(A2312, IMPORTRANGE(""https://docs.google.com/spreadsheets/d/1QNLbnkR_AongFt22vMfNzfpjZ0CjpI8QI-w0wBnYA1w/"", ""Инфа!A:AA""), 6, FALSE)"),2024)</f>
        <v>2024</v>
      </c>
      <c r="J2315" s="5">
        <f t="shared" ca="1" si="79"/>
        <v>9700</v>
      </c>
      <c r="K2315" s="9" t="s">
        <v>619</v>
      </c>
      <c r="L2315" s="15" t="s">
        <v>9279</v>
      </c>
    </row>
    <row r="2316" spans="1:12" ht="225">
      <c r="A2316" s="8" t="s">
        <v>9282</v>
      </c>
      <c r="B2316" s="9" t="s">
        <v>12</v>
      </c>
      <c r="C2316" s="10" t="s">
        <v>443</v>
      </c>
      <c r="D2316" s="10" t="str">
        <f ca="1">IFERROR(__xludf.DUMMYFUNCTION(" VLOOKUP(A2313, IMPORTRANGE(""https://docs.google.com/spreadsheets/d/1fj_Bhi2XPL3siwIh4sx4VRLAe31yD50oKdj5UlRYW0c/"", ""Сводка!A:AA""), 11, FALSE)"),"978-601-327-436-4")</f>
        <v>978-601-327-436-4</v>
      </c>
      <c r="E2316" s="11" t="s">
        <v>9277</v>
      </c>
      <c r="F2316" s="11" t="s">
        <v>9283</v>
      </c>
      <c r="G2316" s="12">
        <f ca="1">IFERROR(__xludf.DUMMYFUNCTION(" VLOOKUP(A2313, IMPORTRANGE(""https://docs.google.com/spreadsheets/d/1fj_Bhi2XPL3siwIh4sx4VRLAe31yD50oKdj5UlRYW0c/"", ""Сводка!A:AA""), 5, FALSE)"),168)</f>
        <v>168</v>
      </c>
      <c r="H2316" s="78" t="s">
        <v>671</v>
      </c>
      <c r="I2316" s="10">
        <f ca="1">IFERROR(__xludf.DUMMYFUNCTION(" VLOOKUP(A2313, IMPORTRANGE(""https://docs.google.com/spreadsheets/d/1QNLbnkR_AongFt22vMfNzfpjZ0CjpI8QI-w0wBnYA1w/"", ""Инфа!A:AA""), 6, FALSE)"),2024)</f>
        <v>2024</v>
      </c>
      <c r="J2316" s="5">
        <f t="shared" ca="1" si="79"/>
        <v>10000</v>
      </c>
      <c r="K2316" s="9" t="s">
        <v>619</v>
      </c>
      <c r="L2316" s="15" t="s">
        <v>9279</v>
      </c>
    </row>
    <row r="2317" spans="1:12" ht="315">
      <c r="A2317" s="8" t="s">
        <v>9284</v>
      </c>
      <c r="B2317" s="9" t="s">
        <v>12</v>
      </c>
      <c r="C2317" s="10" t="s">
        <v>443</v>
      </c>
      <c r="D2317" s="10" t="str">
        <f ca="1">IFERROR(__xludf.DUMMYFUNCTION(" VLOOKUP(A2314, IMPORTRANGE(""https://docs.google.com/spreadsheets/d/1fj_Bhi2XPL3siwIh4sx4VRLAe31yD50oKdj5UlRYW0c/"", ""Сводка!A:AA""), 11, FALSE)"),"978-601-327-832-2")</f>
        <v>978-601-327-832-2</v>
      </c>
      <c r="E2317" s="11" t="s">
        <v>9285</v>
      </c>
      <c r="F2317" s="11" t="s">
        <v>9286</v>
      </c>
      <c r="G2317" s="12">
        <f ca="1">IFERROR(__xludf.DUMMYFUNCTION(" VLOOKUP(A2314, IMPORTRANGE(""https://docs.google.com/spreadsheets/d/1fj_Bhi2XPL3siwIh4sx4VRLAe31yD50oKdj5UlRYW0c/"", ""Сводка!A:AA""), 5, FALSE)"),188)</f>
        <v>188</v>
      </c>
      <c r="H2317" s="12" t="s">
        <v>538</v>
      </c>
      <c r="I2317" s="10">
        <f ca="1">IFERROR(__xludf.DUMMYFUNCTION(" VLOOKUP(A2314, IMPORTRANGE(""https://docs.google.com/spreadsheets/d/1QNLbnkR_AongFt22vMfNzfpjZ0CjpI8QI-w0wBnYA1w/"", ""Инфа!A:AA""), 6, FALSE)"),2024)</f>
        <v>2024</v>
      </c>
      <c r="J2317" s="5">
        <f t="shared" ca="1" si="79"/>
        <v>10600</v>
      </c>
      <c r="K2317" s="12" t="s">
        <v>9287</v>
      </c>
      <c r="L2317" s="15" t="s">
        <v>9288</v>
      </c>
    </row>
    <row r="2318" spans="1:12" ht="101.25">
      <c r="A2318" s="8" t="s">
        <v>9289</v>
      </c>
      <c r="B2318" s="9" t="s">
        <v>12</v>
      </c>
      <c r="C2318" s="13" t="s">
        <v>151</v>
      </c>
      <c r="D2318" s="10" t="str">
        <f ca="1">IFERROR(__xludf.DUMMYFUNCTION(" VLOOKUP(A2315, IMPORTRANGE(""https://docs.google.com/spreadsheets/d/1fj_Bhi2XPL3siwIh4sx4VRLAe31yD50oKdj5UlRYW0c/"", ""Сводка!A:AA""), 11, FALSE)"),"978-601-246-320-8")</f>
        <v>978-601-246-320-8</v>
      </c>
      <c r="E2318" s="19" t="s">
        <v>9290</v>
      </c>
      <c r="F2318" s="19" t="s">
        <v>9291</v>
      </c>
      <c r="G2318" s="12" t="e">
        <f>#REF!</f>
        <v>#REF!</v>
      </c>
      <c r="H2318" s="12" t="s">
        <v>47</v>
      </c>
      <c r="I2318" s="10">
        <f ca="1">IFERROR(__xludf.DUMMYFUNCTION(" VLOOKUP(A2315, IMPORTRANGE(""https://docs.google.com/spreadsheets/d/1QNLbnkR_AongFt22vMfNzfpjZ0CjpI8QI-w0wBnYA1w/"", ""Инфа!A:AA""), 6, FALSE)"),2024)</f>
        <v>2024</v>
      </c>
      <c r="J2318" s="5" t="e">
        <f>ROUND((5000+G2318*60),-2)</f>
        <v>#REF!</v>
      </c>
      <c r="K2318" s="9" t="s">
        <v>758</v>
      </c>
      <c r="L2318" s="21" t="s">
        <v>9292</v>
      </c>
    </row>
    <row r="2319" spans="1:12" ht="112.5">
      <c r="A2319" s="8" t="s">
        <v>9293</v>
      </c>
      <c r="B2319" s="9" t="s">
        <v>12</v>
      </c>
      <c r="C2319" s="10" t="s">
        <v>443</v>
      </c>
      <c r="D2319" s="10" t="str">
        <f ca="1">IFERROR(__xludf.DUMMYFUNCTION(" VLOOKUP(A2316, IMPORTRANGE(""https://docs.google.com/spreadsheets/d/1fj_Bhi2XPL3siwIh4sx4VRLAe31yD50oKdj5UlRYW0c/"", ""Сводка!A:AA""), 11, FALSE)"),"978-601-310-402-7")</f>
        <v>978-601-310-402-7</v>
      </c>
      <c r="E2319" s="11" t="s">
        <v>9294</v>
      </c>
      <c r="F2319" s="11" t="s">
        <v>9295</v>
      </c>
      <c r="G2319" s="12" t="e">
        <f>#REF!</f>
        <v>#REF!</v>
      </c>
      <c r="H2319" s="12" t="s">
        <v>538</v>
      </c>
      <c r="I2319" s="10">
        <f ca="1">IFERROR(__xludf.DUMMYFUNCTION(" VLOOKUP(A2316, IMPORTRANGE(""https://docs.google.com/spreadsheets/d/1QNLbnkR_AongFt22vMfNzfpjZ0CjpI8QI-w0wBnYA1w/"", ""Инфа!A:AA""), 6, FALSE)"),2024)</f>
        <v>2024</v>
      </c>
      <c r="J2319" s="5" t="e">
        <f>ROUND((5000+G2319*30),-2)</f>
        <v>#REF!</v>
      </c>
      <c r="K2319" s="9" t="s">
        <v>758</v>
      </c>
      <c r="L2319" s="15" t="s">
        <v>9296</v>
      </c>
    </row>
    <row r="2320" spans="1:12" ht="101.25">
      <c r="A2320" s="8" t="s">
        <v>9297</v>
      </c>
      <c r="B2320" s="9" t="s">
        <v>12</v>
      </c>
      <c r="C2320" s="10" t="s">
        <v>443</v>
      </c>
      <c r="D2320" s="10" t="str">
        <f ca="1">IFERROR(__xludf.DUMMYFUNCTION(" VLOOKUP(A2317, IMPORTRANGE(""https://docs.google.com/spreadsheets/d/1fj_Bhi2XPL3siwIh4sx4VRLAe31yD50oKdj5UlRYW0c/"", ""Сводка!A:AA""), 11, FALSE)"),"978-601-240-184-5")</f>
        <v>978-601-240-184-5</v>
      </c>
      <c r="E2320" s="11" t="s">
        <v>9298</v>
      </c>
      <c r="F2320" s="11" t="s">
        <v>9299</v>
      </c>
      <c r="G2320" s="12">
        <f ca="1">IFERROR(__xludf.DUMMYFUNCTION(" VLOOKUP(A2317, IMPORTRANGE(""https://docs.google.com/spreadsheets/d/1fj_Bhi2XPL3siwIh4sx4VRLAe31yD50oKdj5UlRYW0c/"", ""Сводка!A:AA""), 5, FALSE)"),120)</f>
        <v>120</v>
      </c>
      <c r="H2320" s="12" t="s">
        <v>165</v>
      </c>
      <c r="I2320" s="10">
        <f ca="1">IFERROR(__xludf.DUMMYFUNCTION(" VLOOKUP(A2317, IMPORTRANGE(""https://docs.google.com/spreadsheets/d/1QNLbnkR_AongFt22vMfNzfpjZ0CjpI8QI-w0wBnYA1w/"", ""Инфа!A:AA""), 6, FALSE)"),2024)</f>
        <v>2024</v>
      </c>
      <c r="J2320" s="5">
        <f ca="1">ROUND((5000+G2320*30),-2)</f>
        <v>8600</v>
      </c>
      <c r="K2320" s="9" t="s">
        <v>271</v>
      </c>
      <c r="L2320" s="15" t="s">
        <v>9300</v>
      </c>
    </row>
    <row r="2321" spans="1:12" ht="202.5">
      <c r="A2321" s="8" t="s">
        <v>9301</v>
      </c>
      <c r="B2321" s="9" t="s">
        <v>12</v>
      </c>
      <c r="C2321" s="10" t="s">
        <v>151</v>
      </c>
      <c r="D2321" s="10" t="str">
        <f ca="1">IFERROR(__xludf.DUMMYFUNCTION(" VLOOKUP(A2318, IMPORTRANGE(""https://docs.google.com/spreadsheets/d/1fj_Bhi2XPL3siwIh4sx4VRLAe31yD50oKdj5UlRYW0c/"", ""Сводка!A:AA""), 11, FALSE)"),"978-601-7354-68-7")</f>
        <v>978-601-7354-68-7</v>
      </c>
      <c r="E2321" s="11" t="s">
        <v>9302</v>
      </c>
      <c r="F2321" s="11" t="s">
        <v>9303</v>
      </c>
      <c r="G2321" s="12">
        <f ca="1">IFERROR(__xludf.DUMMYFUNCTION(" VLOOKUP(A2318, IMPORTRANGE(""https://docs.google.com/spreadsheets/d/1fj_Bhi2XPL3siwIh4sx4VRLAe31yD50oKdj5UlRYW0c/"", ""Сводка!A:AA""), 5, FALSE)"),272)</f>
        <v>272</v>
      </c>
      <c r="H2321" s="12" t="s">
        <v>24</v>
      </c>
      <c r="I2321" s="10">
        <f ca="1">IFERROR(__xludf.DUMMYFUNCTION(" VLOOKUP(A2318, IMPORTRANGE(""https://docs.google.com/spreadsheets/d/1QNLbnkR_AongFt22vMfNzfpjZ0CjpI8QI-w0wBnYA1w/"", ""Инфа!A:AA""), 6, FALSE)"),2024)</f>
        <v>2024</v>
      </c>
      <c r="J2321" s="5">
        <f ca="1">ROUND((5000+G2321*30),-2)</f>
        <v>13200</v>
      </c>
      <c r="K2321" s="12" t="s">
        <v>26</v>
      </c>
      <c r="L2321" s="15" t="s">
        <v>9304</v>
      </c>
    </row>
    <row r="2322" spans="1:12" ht="303.75">
      <c r="A2322" s="8" t="s">
        <v>9305</v>
      </c>
      <c r="B2322" s="9" t="s">
        <v>12</v>
      </c>
      <c r="C2322" s="10" t="s">
        <v>151</v>
      </c>
      <c r="D2322" s="10" t="str">
        <f ca="1">IFERROR(__xludf.DUMMYFUNCTION(" VLOOKUP(A2319, IMPORTRANGE(""https://docs.google.com/spreadsheets/d/1fj_Bhi2XPL3siwIh4sx4VRLAe31yD50oKdj5UlRYW0c/"", ""Сводка!A:AA""), 11, FALSE)"),"978-601-7354-68-7")</f>
        <v>978-601-7354-68-7</v>
      </c>
      <c r="E2322" s="11" t="s">
        <v>9302</v>
      </c>
      <c r="F2322" s="11" t="s">
        <v>9303</v>
      </c>
      <c r="G2322" s="12">
        <f ca="1">IFERROR(__xludf.DUMMYFUNCTION(" VLOOKUP(A2319, IMPORTRANGE(""https://docs.google.com/spreadsheets/d/1fj_Bhi2XPL3siwIh4sx4VRLAe31yD50oKdj5UlRYW0c/"", ""Сводка!A:AA""), 5, FALSE)"),272)</f>
        <v>272</v>
      </c>
      <c r="H2322" s="12" t="s">
        <v>24</v>
      </c>
      <c r="I2322" s="10">
        <f ca="1">IFERROR(__xludf.DUMMYFUNCTION(" VLOOKUP(A2319, IMPORTRANGE(""https://docs.google.com/spreadsheets/d/1QNLbnkR_AongFt22vMfNzfpjZ0CjpI8QI-w0wBnYA1w/"", ""Инфа!A:AA""), 6, FALSE)"),2024)</f>
        <v>2024</v>
      </c>
      <c r="J2322" s="5">
        <f ca="1">ROUND((5000+G2322*30),-2)</f>
        <v>13200</v>
      </c>
      <c r="K2322" s="12" t="s">
        <v>26</v>
      </c>
      <c r="L2322" s="15" t="s">
        <v>9306</v>
      </c>
    </row>
    <row r="2323" spans="1:12" ht="101.25">
      <c r="A2323" s="8" t="s">
        <v>9307</v>
      </c>
      <c r="B2323" s="9" t="s">
        <v>12</v>
      </c>
      <c r="C2323" s="10" t="s">
        <v>151</v>
      </c>
      <c r="D2323" s="10" t="str">
        <f ca="1">IFERROR(__xludf.DUMMYFUNCTION(" VLOOKUP(A2320, IMPORTRANGE(""https://docs.google.com/spreadsheets/d/1fj_Bhi2XPL3siwIh4sx4VRLAe31yD50oKdj5UlRYW0c/"", ""Сводка!A:AA""), 11, FALSE)"),"978-601-342-595-5")</f>
        <v>978-601-342-595-5</v>
      </c>
      <c r="E2323" s="11" t="s">
        <v>9308</v>
      </c>
      <c r="F2323" s="11" t="s">
        <v>9309</v>
      </c>
      <c r="G2323" s="12">
        <f ca="1">IFERROR(__xludf.DUMMYFUNCTION(" VLOOKUP(A2320, IMPORTRANGE(""https://docs.google.com/spreadsheets/d/1fj_Bhi2XPL3siwIh4sx4VRLAe31yD50oKdj5UlRYW0c/"", ""Сводка!A:AA""), 5, FALSE)"),272)</f>
        <v>272</v>
      </c>
      <c r="H2323" s="12" t="s">
        <v>47</v>
      </c>
      <c r="I2323" s="10">
        <f ca="1">IFERROR(__xludf.DUMMYFUNCTION(" VLOOKUP(A2320, IMPORTRANGE(""https://docs.google.com/spreadsheets/d/1QNLbnkR_AongFt22vMfNzfpjZ0CjpI8QI-w0wBnYA1w/"", ""Инфа!A:AA""), 6, FALSE)"),2023)</f>
        <v>2023</v>
      </c>
      <c r="J2323" s="5">
        <f ca="1">ROUND((5000+G2323*30),-2)</f>
        <v>13200</v>
      </c>
      <c r="K2323" s="12" t="s">
        <v>9310</v>
      </c>
      <c r="L2323" s="15" t="s">
        <v>9311</v>
      </c>
    </row>
    <row r="2324" spans="1:12" ht="135">
      <c r="A2324" s="8" t="s">
        <v>9312</v>
      </c>
      <c r="B2324" s="9" t="s">
        <v>12</v>
      </c>
      <c r="C2324" s="10" t="s">
        <v>151</v>
      </c>
      <c r="D2324" s="10" t="str">
        <f ca="1">IFERROR(__xludf.DUMMYFUNCTION(" VLOOKUP(A2321, IMPORTRANGE(""https://docs.google.com/spreadsheets/d/1fj_Bhi2XPL3siwIh4sx4VRLAe31yD50oKdj5UlRYW0c/"", ""Сводка!A:AA""), 11, FALSE)"),"978-601-327-092-5")</f>
        <v>978-601-327-092-5</v>
      </c>
      <c r="E2324" s="11" t="s">
        <v>9313</v>
      </c>
      <c r="F2324" s="11" t="s">
        <v>1336</v>
      </c>
      <c r="G2324" s="12">
        <f ca="1">IFERROR(__xludf.DUMMYFUNCTION(" VLOOKUP(A2321, IMPORTRANGE(""https://docs.google.com/spreadsheets/d/1fj_Bhi2XPL3siwIh4sx4VRLAe31yD50oKdj5UlRYW0c/"", ""Сводка!A:AA""), 5, FALSE)"),184)</f>
        <v>184</v>
      </c>
      <c r="H2324" s="12" t="s">
        <v>165</v>
      </c>
      <c r="I2324" s="10">
        <f ca="1">IFERROR(__xludf.DUMMYFUNCTION(" VLOOKUP(A2321, IMPORTRANGE(""https://docs.google.com/spreadsheets/d/1QNLbnkR_AongFt22vMfNzfpjZ0CjpI8QI-w0wBnYA1w/"", ""Инфа!A:AA""), 6, FALSE)"),2024)</f>
        <v>2024</v>
      </c>
      <c r="J2324" s="5">
        <f ca="1">ROUND((5000+G2324*60),-2)</f>
        <v>16000</v>
      </c>
      <c r="K2324" s="12" t="s">
        <v>160</v>
      </c>
      <c r="L2324" s="15" t="s">
        <v>9314</v>
      </c>
    </row>
    <row r="2325" spans="1:12" ht="168.75">
      <c r="A2325" s="8" t="s">
        <v>9315</v>
      </c>
      <c r="B2325" s="9" t="s">
        <v>12</v>
      </c>
      <c r="C2325" s="10" t="s">
        <v>443</v>
      </c>
      <c r="D2325" s="10" t="str">
        <f ca="1">IFERROR(__xludf.DUMMYFUNCTION(" VLOOKUP(A2322, IMPORTRANGE(""https://docs.google.com/spreadsheets/d/1fj_Bhi2XPL3siwIh4sx4VRLAe31yD50oKdj5UlRYW0c/"", ""Сводка!A:AA""), 11, FALSE)"),"978-601-240-438-5")</f>
        <v>978-601-240-438-5</v>
      </c>
      <c r="E2325" s="11" t="s">
        <v>9316</v>
      </c>
      <c r="F2325" s="11" t="s">
        <v>9317</v>
      </c>
      <c r="G2325" s="12">
        <f ca="1">IFERROR(__xludf.DUMMYFUNCTION(" VLOOKUP(A2322, IMPORTRANGE(""https://docs.google.com/spreadsheets/d/1fj_Bhi2XPL3siwIh4sx4VRLAe31yD50oKdj5UlRYW0c/"", ""Сводка!A:AA""), 5, FALSE)"),100)</f>
        <v>100</v>
      </c>
      <c r="H2325" s="12" t="s">
        <v>1016</v>
      </c>
      <c r="I2325" s="10">
        <f ca="1">IFERROR(__xludf.DUMMYFUNCTION(" VLOOKUP(A2322, IMPORTRANGE(""https://docs.google.com/spreadsheets/d/1QNLbnkR_AongFt22vMfNzfpjZ0CjpI8QI-w0wBnYA1w/"", ""Инфа!A:AA""), 6, FALSE)"),2024)</f>
        <v>2024</v>
      </c>
      <c r="J2325" s="5">
        <f ca="1">ROUND((5000+G2325*60),-2)</f>
        <v>11000</v>
      </c>
      <c r="K2325" s="12" t="s">
        <v>148</v>
      </c>
      <c r="L2325" s="15" t="s">
        <v>9318</v>
      </c>
    </row>
    <row r="2326" spans="1:12" ht="51">
      <c r="A2326" s="8" t="s">
        <v>9319</v>
      </c>
      <c r="B2326" s="9" t="s">
        <v>12</v>
      </c>
      <c r="C2326" s="10" t="s">
        <v>151</v>
      </c>
      <c r="D2326" s="10" t="str">
        <f ca="1">IFERROR(__xludf.DUMMYFUNCTION(" VLOOKUP(A2323, IMPORTRANGE(""https://docs.google.com/spreadsheets/d/1fj_Bhi2XPL3siwIh4sx4VRLAe31yD50oKdj5UlRYW0c/"", ""Сводка!A:AA""), 11, FALSE)"),"978-601-310-570-3")</f>
        <v>978-601-310-570-3</v>
      </c>
      <c r="E2326" s="11" t="s">
        <v>9320</v>
      </c>
      <c r="F2326" s="11" t="s">
        <v>9321</v>
      </c>
      <c r="G2326" s="12">
        <f ca="1">IFERROR(__xludf.DUMMYFUNCTION(" VLOOKUP(A2323, IMPORTRANGE(""https://docs.google.com/spreadsheets/d/1fj_Bhi2XPL3siwIh4sx4VRLAe31yD50oKdj5UlRYW0c/"", ""Сводка!A:AA""), 5, FALSE)"),84)</f>
        <v>84</v>
      </c>
      <c r="H2326" s="12" t="s">
        <v>282</v>
      </c>
      <c r="I2326" s="10">
        <f ca="1">IFERROR(__xludf.DUMMYFUNCTION(" VLOOKUP(A2323, IMPORTRANGE(""https://docs.google.com/spreadsheets/d/1QNLbnkR_AongFt22vMfNzfpjZ0CjpI8QI-w0wBnYA1w/"", ""Инфа!A:AA""), 6, FALSE)"),2024)</f>
        <v>2024</v>
      </c>
      <c r="J2326" s="5">
        <f ca="1">ROUND((5000+G2326*60),-2)</f>
        <v>10000</v>
      </c>
      <c r="K2326" s="12" t="s">
        <v>570</v>
      </c>
      <c r="L2326" s="15"/>
    </row>
    <row r="2327" spans="1:12" ht="33.75">
      <c r="A2327" s="8" t="s">
        <v>9322</v>
      </c>
      <c r="B2327" s="9" t="s">
        <v>12</v>
      </c>
      <c r="C2327" s="10" t="s">
        <v>443</v>
      </c>
      <c r="D2327" s="10" t="str">
        <f ca="1">IFERROR(__xludf.DUMMYFUNCTION(" VLOOKUP(A2324, IMPORTRANGE(""https://docs.google.com/spreadsheets/d/1fj_Bhi2XPL3siwIh4sx4VRLAe31yD50oKdj5UlRYW0c/"", ""Сводка!A:AA""), 11, FALSE)"),"9965-668-52-2")</f>
        <v>9965-668-52-2</v>
      </c>
      <c r="E2327" s="11" t="s">
        <v>9323</v>
      </c>
      <c r="F2327" s="11" t="s">
        <v>9324</v>
      </c>
      <c r="G2327" s="12">
        <v>210</v>
      </c>
      <c r="H2327" s="12" t="s">
        <v>538</v>
      </c>
      <c r="I2327" s="10">
        <f ca="1">IFERROR(__xludf.DUMMYFUNCTION(" VLOOKUP(A2324, IMPORTRANGE(""https://docs.google.com/spreadsheets/d/1QNLbnkR_AongFt22vMfNzfpjZ0CjpI8QI-w0wBnYA1w/"", ""Инфа!A:AA""), 6, FALSE)"),2024)</f>
        <v>2024</v>
      </c>
      <c r="J2327" s="5">
        <f>ROUND((5000+G2327*30),-2)</f>
        <v>11300</v>
      </c>
      <c r="K2327" s="9" t="s">
        <v>271</v>
      </c>
      <c r="L2327" s="15" t="s">
        <v>9325</v>
      </c>
    </row>
    <row r="2328" spans="1:12" ht="25.5">
      <c r="A2328" s="8" t="s">
        <v>9326</v>
      </c>
      <c r="B2328" s="9" t="s">
        <v>12</v>
      </c>
      <c r="C2328" s="10" t="s">
        <v>443</v>
      </c>
      <c r="D2328" s="10" t="str">
        <f ca="1">IFERROR(__xludf.DUMMYFUNCTION(" VLOOKUP(A2325, IMPORTRANGE(""https://docs.google.com/spreadsheets/d/1fj_Bhi2XPL3siwIh4sx4VRLAe31yD50oKdj5UlRYW0c/"", ""Сводка!A:AA""), 11, FALSE)"),"9965-580-11-1")</f>
        <v>9965-580-11-1</v>
      </c>
      <c r="E2328" s="11" t="s">
        <v>9327</v>
      </c>
      <c r="F2328" s="11" t="s">
        <v>9328</v>
      </c>
      <c r="G2328" s="12" t="e">
        <f>#REF!</f>
        <v>#REF!</v>
      </c>
      <c r="H2328" s="12" t="s">
        <v>538</v>
      </c>
      <c r="I2328" s="10">
        <f ca="1">IFERROR(__xludf.DUMMYFUNCTION(" VLOOKUP(A2325, IMPORTRANGE(""https://docs.google.com/spreadsheets/d/1QNLbnkR_AongFt22vMfNzfpjZ0CjpI8QI-w0wBnYA1w/"", ""Инфа!A:AA""), 6, FALSE)"),2024)</f>
        <v>2024</v>
      </c>
      <c r="J2328" s="5" t="e">
        <f>ROUND((5000+G2328*30),-2)</f>
        <v>#REF!</v>
      </c>
      <c r="K2328" s="12" t="s">
        <v>160</v>
      </c>
      <c r="L2328" s="15"/>
    </row>
    <row r="2329" spans="1:12" ht="157.5">
      <c r="A2329" s="8" t="s">
        <v>9329</v>
      </c>
      <c r="B2329" s="9" t="s">
        <v>12</v>
      </c>
      <c r="C2329" s="10" t="s">
        <v>151</v>
      </c>
      <c r="D2329" s="10" t="str">
        <f ca="1">IFERROR(__xludf.DUMMYFUNCTION(" VLOOKUP(A2326, IMPORTRANGE(""https://docs.google.com/spreadsheets/d/1fj_Bhi2XPL3siwIh4sx4VRLAe31yD50oKdj5UlRYW0c/"", ""Сводка!A:AA""), 11, FALSE)"),"978-601-240-003-8")</f>
        <v>978-601-240-003-8</v>
      </c>
      <c r="E2329" s="11" t="s">
        <v>9330</v>
      </c>
      <c r="F2329" s="11" t="s">
        <v>9331</v>
      </c>
      <c r="G2329" s="12" t="e">
        <f>#REF!</f>
        <v>#REF!</v>
      </c>
      <c r="H2329" s="12" t="s">
        <v>47</v>
      </c>
      <c r="I2329" s="10">
        <f ca="1">IFERROR(__xludf.DUMMYFUNCTION(" VLOOKUP(A2326, IMPORTRANGE(""https://docs.google.com/spreadsheets/d/1QNLbnkR_AongFt22vMfNzfpjZ0CjpI8QI-w0wBnYA1w/"", ""Инфа!A:AA""), 6, FALSE)"),2024)</f>
        <v>2024</v>
      </c>
      <c r="J2329" s="5" t="e">
        <f>ROUND((5000+G2329*30),-2)</f>
        <v>#REF!</v>
      </c>
      <c r="K2329" s="12" t="s">
        <v>160</v>
      </c>
      <c r="L2329" s="15" t="s">
        <v>9332</v>
      </c>
    </row>
    <row r="2330" spans="1:12" ht="135">
      <c r="A2330" s="8" t="s">
        <v>9333</v>
      </c>
      <c r="B2330" s="9" t="s">
        <v>12</v>
      </c>
      <c r="C2330" s="10" t="s">
        <v>443</v>
      </c>
      <c r="D2330" s="10" t="str">
        <f ca="1">IFERROR(__xludf.DUMMYFUNCTION(" VLOOKUP(A2327, IMPORTRANGE(""https://docs.google.com/spreadsheets/d/1fj_Bhi2XPL3siwIh4sx4VRLAe31yD50oKdj5UlRYW0c/"", ""Сводка!A:AA""), 11, FALSE)"),"978-601-241-247-5")</f>
        <v>978-601-241-247-5</v>
      </c>
      <c r="E2330" s="11" t="s">
        <v>9334</v>
      </c>
      <c r="F2330" s="11" t="s">
        <v>9335</v>
      </c>
      <c r="G2330" s="12">
        <f ca="1">IFERROR(__xludf.DUMMYFUNCTION(" VLOOKUP(A2327, IMPORTRANGE(""https://docs.google.com/spreadsheets/d/1fj_Bhi2XPL3siwIh4sx4VRLAe31yD50oKdj5UlRYW0c/"", ""Сводка!A:AA""), 5, FALSE)"),192)</f>
        <v>192</v>
      </c>
      <c r="H2330" s="12" t="s">
        <v>511</v>
      </c>
      <c r="I2330" s="10">
        <f ca="1">IFERROR(__xludf.DUMMYFUNCTION(" VLOOKUP(A2327, IMPORTRANGE(""https://docs.google.com/spreadsheets/d/1QNLbnkR_AongFt22vMfNzfpjZ0CjpI8QI-w0wBnYA1w/"", ""Инфа!A:AA""), 6, FALSE)"),2024)</f>
        <v>2024</v>
      </c>
      <c r="J2330" s="5">
        <f ca="1">ROUND((5000+G2330*30),-2)</f>
        <v>10800</v>
      </c>
      <c r="K2330" s="12" t="s">
        <v>160</v>
      </c>
      <c r="L2330" s="15" t="s">
        <v>9336</v>
      </c>
    </row>
    <row r="2331" spans="1:12" ht="135">
      <c r="A2331" s="8" t="s">
        <v>9337</v>
      </c>
      <c r="B2331" s="9" t="s">
        <v>12</v>
      </c>
      <c r="C2331" s="10" t="s">
        <v>9338</v>
      </c>
      <c r="D2331" s="10" t="str">
        <f ca="1">IFERROR(__xludf.DUMMYFUNCTION(" VLOOKUP(A2328, IMPORTRANGE(""https://docs.google.com/spreadsheets/d/1fj_Bhi2XPL3siwIh4sx4VRLAe31yD50oKdj5UlRYW0c/"", ""Сводка!A:AA""), 11, FALSE)"),"978-601-241-246-8")</f>
        <v>978-601-241-246-8</v>
      </c>
      <c r="E2331" s="11" t="s">
        <v>9334</v>
      </c>
      <c r="F2331" s="11" t="s">
        <v>9339</v>
      </c>
      <c r="G2331" s="12">
        <f ca="1">IFERROR(__xludf.DUMMYFUNCTION(" VLOOKUP(A2328, IMPORTRANGE(""https://docs.google.com/spreadsheets/d/1fj_Bhi2XPL3siwIh4sx4VRLAe31yD50oKdj5UlRYW0c/"", ""Сводка!A:AA""), 5, FALSE)"),312)</f>
        <v>312</v>
      </c>
      <c r="H2331" s="12" t="s">
        <v>511</v>
      </c>
      <c r="I2331" s="10">
        <f ca="1">IFERROR(__xludf.DUMMYFUNCTION(" VLOOKUP(A2328, IMPORTRANGE(""https://docs.google.com/spreadsheets/d/1QNLbnkR_AongFt22vMfNzfpjZ0CjpI8QI-w0wBnYA1w/"", ""Инфа!A:AA""), 6, FALSE)"),2024)</f>
        <v>2024</v>
      </c>
      <c r="J2331" s="5">
        <f ca="1">ROUND((5000+G2331*30),-2)</f>
        <v>14400</v>
      </c>
      <c r="K2331" s="12" t="s">
        <v>160</v>
      </c>
      <c r="L2331" s="15" t="s">
        <v>9340</v>
      </c>
    </row>
    <row r="2332" spans="1:12" ht="213.75">
      <c r="A2332" s="8" t="s">
        <v>9341</v>
      </c>
      <c r="B2332" s="9" t="s">
        <v>12</v>
      </c>
      <c r="C2332" s="10" t="s">
        <v>443</v>
      </c>
      <c r="D2332" s="10" t="str">
        <f ca="1">IFERROR(__xludf.DUMMYFUNCTION(" VLOOKUP(A2329, IMPORTRANGE(""https://docs.google.com/spreadsheets/d/1fj_Bhi2XPL3siwIh4sx4VRLAe31yD50oKdj5UlRYW0c/"", ""Сводка!A:AA""), 11, FALSE)"),"978-601-310-400-3")</f>
        <v>978-601-310-400-3</v>
      </c>
      <c r="E2332" s="11" t="s">
        <v>9342</v>
      </c>
      <c r="F2332" s="11" t="s">
        <v>9343</v>
      </c>
      <c r="G2332" s="12" t="e">
        <f>#REF!</f>
        <v>#REF!</v>
      </c>
      <c r="H2332" s="12" t="s">
        <v>538</v>
      </c>
      <c r="I2332" s="10">
        <f ca="1">IFERROR(__xludf.DUMMYFUNCTION(" VLOOKUP(A2329, IMPORTRANGE(""https://docs.google.com/spreadsheets/d/1QNLbnkR_AongFt22vMfNzfpjZ0CjpI8QI-w0wBnYA1w/"", ""Инфа!A:AA""), 6, FALSE)"),2024)</f>
        <v>2024</v>
      </c>
      <c r="J2332" s="5" t="e">
        <f>ROUND((5000+G2332*60),-2)</f>
        <v>#REF!</v>
      </c>
      <c r="K2332" s="12" t="s">
        <v>961</v>
      </c>
      <c r="L2332" s="15" t="s">
        <v>9344</v>
      </c>
    </row>
    <row r="2333" spans="1:12" ht="236.25">
      <c r="A2333" s="8" t="s">
        <v>9345</v>
      </c>
      <c r="B2333" s="9" t="s">
        <v>12</v>
      </c>
      <c r="C2333" s="10" t="s">
        <v>151</v>
      </c>
      <c r="D2333" s="10" t="str">
        <f ca="1">IFERROR(__xludf.DUMMYFUNCTION(" VLOOKUP(A2330, IMPORTRANGE(""https://docs.google.com/spreadsheets/d/1fj_Bhi2XPL3siwIh4sx4VRLAe31yD50oKdj5UlRYW0c/"", ""Сводка!A:AA""), 11, FALSE)"),"978-601-310-400-3")</f>
        <v>978-601-310-400-3</v>
      </c>
      <c r="E2333" s="11" t="s">
        <v>9342</v>
      </c>
      <c r="F2333" s="11" t="s">
        <v>9346</v>
      </c>
      <c r="G2333" s="12" t="e">
        <f>#REF!</f>
        <v>#REF!</v>
      </c>
      <c r="H2333" s="12" t="s">
        <v>47</v>
      </c>
      <c r="I2333" s="10">
        <f ca="1">IFERROR(__xludf.DUMMYFUNCTION(" VLOOKUP(A2330, IMPORTRANGE(""https://docs.google.com/spreadsheets/d/1QNLbnkR_AongFt22vMfNzfpjZ0CjpI8QI-w0wBnYA1w/"", ""Инфа!A:AA""), 6, FALSE)"),2024)</f>
        <v>2024</v>
      </c>
      <c r="J2333" s="5" t="e">
        <f>ROUND((5000+G2333*60),-2)</f>
        <v>#REF!</v>
      </c>
      <c r="K2333" s="9" t="s">
        <v>619</v>
      </c>
      <c r="L2333" s="15" t="s">
        <v>9347</v>
      </c>
    </row>
    <row r="2334" spans="1:12" ht="90">
      <c r="A2334" s="8" t="s">
        <v>9348</v>
      </c>
      <c r="B2334" s="9" t="s">
        <v>12</v>
      </c>
      <c r="C2334" s="10" t="s">
        <v>443</v>
      </c>
      <c r="D2334" s="10" t="str">
        <f ca="1">IFERROR(__xludf.DUMMYFUNCTION(" VLOOKUP(A2331, IMPORTRANGE(""https://docs.google.com/spreadsheets/d/1fj_Bhi2XPL3siwIh4sx4VRLAe31yD50oKdj5UlRYW0c/"", ""Сводка!A:AA""), 11, FALSE)"),"978-601-327-218-4")</f>
        <v>978-601-327-218-4</v>
      </c>
      <c r="E2334" s="11" t="s">
        <v>9349</v>
      </c>
      <c r="F2334" s="11" t="s">
        <v>9350</v>
      </c>
      <c r="G2334" s="12">
        <f ca="1">IFERROR(__xludf.DUMMYFUNCTION(" VLOOKUP(A2331, IMPORTRANGE(""https://docs.google.com/spreadsheets/d/1fj_Bhi2XPL3siwIh4sx4VRLAe31yD50oKdj5UlRYW0c/"", ""Сводка!A:AA""), 5, FALSE)"),164)</f>
        <v>164</v>
      </c>
      <c r="H2334" s="12" t="s">
        <v>106</v>
      </c>
      <c r="I2334" s="10">
        <f ca="1">IFERROR(__xludf.DUMMYFUNCTION(" VLOOKUP(A2331, IMPORTRANGE(""https://docs.google.com/spreadsheets/d/1QNLbnkR_AongFt22vMfNzfpjZ0CjpI8QI-w0wBnYA1w/"", ""Инфа!A:AA""), 6, FALSE)"),2024)</f>
        <v>2024</v>
      </c>
      <c r="J2334" s="5">
        <f ca="1">ROUND((5000+G2334*60),-2)</f>
        <v>14800</v>
      </c>
      <c r="K2334" s="12" t="s">
        <v>9351</v>
      </c>
      <c r="L2334" s="15" t="s">
        <v>9352</v>
      </c>
    </row>
    <row r="2335" spans="1:12" ht="202.5">
      <c r="A2335" s="8" t="s">
        <v>9353</v>
      </c>
      <c r="B2335" s="9" t="s">
        <v>12</v>
      </c>
      <c r="C2335" s="10" t="s">
        <v>443</v>
      </c>
      <c r="D2335" s="10" t="str">
        <f ca="1">IFERROR(__xludf.DUMMYFUNCTION(" VLOOKUP(A2332, IMPORTRANGE(""https://docs.google.com/spreadsheets/d/1fj_Bhi2XPL3siwIh4sx4VRLAe31yD50oKdj5UlRYW0c/"", ""Сводка!A:AA""), 11, FALSE)"),"978-601-342-514-6")</f>
        <v>978-601-342-514-6</v>
      </c>
      <c r="E2335" s="11" t="s">
        <v>9354</v>
      </c>
      <c r="F2335" s="11" t="s">
        <v>9355</v>
      </c>
      <c r="G2335" s="12">
        <f ca="1">IFERROR(__xludf.DUMMYFUNCTION(" VLOOKUP(A2332, IMPORTRANGE(""https://docs.google.com/spreadsheets/d/1fj_Bhi2XPL3siwIh4sx4VRLAe31yD50oKdj5UlRYW0c/"", ""Сводка!A:AA""), 5, FALSE)"),188)</f>
        <v>188</v>
      </c>
      <c r="H2335" s="12" t="s">
        <v>106</v>
      </c>
      <c r="I2335" s="10">
        <f ca="1">IFERROR(__xludf.DUMMYFUNCTION(" VLOOKUP(A2332, IMPORTRANGE(""https://docs.google.com/spreadsheets/d/1QNLbnkR_AongFt22vMfNzfpjZ0CjpI8QI-w0wBnYA1w/"", ""Инфа!A:AA""), 6, FALSE)"),2024)</f>
        <v>2024</v>
      </c>
      <c r="J2335" s="5">
        <f ca="1">ROUND((5000+G2335*60),-2)</f>
        <v>16300</v>
      </c>
      <c r="K2335" s="12" t="s">
        <v>160</v>
      </c>
      <c r="L2335" s="16" t="s">
        <v>9356</v>
      </c>
    </row>
    <row r="2336" spans="1:12" ht="25.5">
      <c r="A2336" s="8" t="s">
        <v>9357</v>
      </c>
      <c r="B2336" s="9" t="s">
        <v>12</v>
      </c>
      <c r="C2336" s="10" t="s">
        <v>151</v>
      </c>
      <c r="D2336" s="10" t="str">
        <f ca="1">IFERROR(__xludf.DUMMYFUNCTION(" VLOOKUP(A2333, IMPORTRANGE(""https://docs.google.com/spreadsheets/d/1fj_Bhi2XPL3siwIh4sx4VRLAe31yD50oKdj5UlRYW0c/"", ""Сводка!A:AA""), 11, FALSE)"),"978-601-7252-18-2")</f>
        <v>978-601-7252-18-2</v>
      </c>
      <c r="E2336" s="25" t="s">
        <v>9358</v>
      </c>
      <c r="F2336" s="25" t="s">
        <v>9359</v>
      </c>
      <c r="G2336" s="12">
        <f ca="1">IFERROR(__xludf.DUMMYFUNCTION(" VLOOKUP(A2333, IMPORTRANGE(""https://docs.google.com/spreadsheets/d/1fj_Bhi2XPL3siwIh4sx4VRLAe31yD50oKdj5UlRYW0c/"", ""Сводка!A:AA""), 5, FALSE)"),128)</f>
        <v>128</v>
      </c>
      <c r="H2336" s="26" t="s">
        <v>165</v>
      </c>
      <c r="I2336" s="10">
        <f ca="1">IFERROR(__xludf.DUMMYFUNCTION(" VLOOKUP(A2333, IMPORTRANGE(""https://docs.google.com/spreadsheets/d/1QNLbnkR_AongFt22vMfNzfpjZ0CjpI8QI-w0wBnYA1w/"", ""Инфа!A:AA""), 6, FALSE)"),2024)</f>
        <v>2024</v>
      </c>
      <c r="J2336" s="5">
        <f ca="1">ROUND((5000+G2336*30),-2)</f>
        <v>8800</v>
      </c>
      <c r="K2336" s="12" t="s">
        <v>740</v>
      </c>
      <c r="L2336" s="15"/>
    </row>
    <row r="2337" spans="1:12" ht="38.25">
      <c r="A2337" s="8" t="s">
        <v>9360</v>
      </c>
      <c r="B2337" s="9" t="s">
        <v>12</v>
      </c>
      <c r="C2337" s="10" t="s">
        <v>151</v>
      </c>
      <c r="D2337" s="10" t="str">
        <f ca="1">IFERROR(__xludf.DUMMYFUNCTION(" VLOOKUP(A2334, IMPORTRANGE(""https://docs.google.com/spreadsheets/d/1fj_Bhi2XPL3siwIh4sx4VRLAe31yD50oKdj5UlRYW0c/"", ""Сводка!A:AA""), 11, FALSE)"),"978-601-7252-48-9")</f>
        <v>978-601-7252-48-9</v>
      </c>
      <c r="E2337" s="25" t="s">
        <v>9358</v>
      </c>
      <c r="F2337" s="25" t="s">
        <v>9361</v>
      </c>
      <c r="G2337" s="12">
        <f ca="1">IFERROR(__xludf.DUMMYFUNCTION(" VLOOKUP(A2334, IMPORTRANGE(""https://docs.google.com/spreadsheets/d/1fj_Bhi2XPL3siwIh4sx4VRLAe31yD50oKdj5UlRYW0c/"", ""Сводка!A:AA""), 5, FALSE)"),248)</f>
        <v>248</v>
      </c>
      <c r="H2337" s="26" t="s">
        <v>165</v>
      </c>
      <c r="I2337" s="10">
        <f ca="1">IFERROR(__xludf.DUMMYFUNCTION(" VLOOKUP(A2334, IMPORTRANGE(""https://docs.google.com/spreadsheets/d/1QNLbnkR_AongFt22vMfNzfpjZ0CjpI8QI-w0wBnYA1w/"", ""Инфа!A:AA""), 6, FALSE)"),2024)</f>
        <v>2024</v>
      </c>
      <c r="J2337" s="5">
        <f ca="1">ROUND((5000+G2337*60),-2)</f>
        <v>19900</v>
      </c>
      <c r="K2337" s="12" t="s">
        <v>740</v>
      </c>
      <c r="L2337" s="15"/>
    </row>
    <row r="2338" spans="1:12" ht="45">
      <c r="A2338" s="8" t="s">
        <v>9362</v>
      </c>
      <c r="B2338" s="9" t="s">
        <v>12</v>
      </c>
      <c r="C2338" s="10" t="s">
        <v>443</v>
      </c>
      <c r="D2338" s="10" t="str">
        <f ca="1">IFERROR(__xludf.DUMMYFUNCTION(" VLOOKUP(A2335, IMPORTRANGE(""https://docs.google.com/spreadsheets/d/1fj_Bhi2XPL3siwIh4sx4VRLAe31yD50oKdj5UlRYW0c/"", ""Сводка!A:AA""), 11, FALSE)"),"978-601-342-543-6")</f>
        <v>978-601-342-543-6</v>
      </c>
      <c r="E2338" s="11" t="s">
        <v>9363</v>
      </c>
      <c r="F2338" s="11" t="s">
        <v>9364</v>
      </c>
      <c r="G2338" s="12">
        <f ca="1">IFERROR(__xludf.DUMMYFUNCTION(" VLOOKUP(A2335, IMPORTRANGE(""https://docs.google.com/spreadsheets/d/1fj_Bhi2XPL3siwIh4sx4VRLAe31yD50oKdj5UlRYW0c/"", ""Сводка!A:AA""), 5, FALSE)"),152)</f>
        <v>152</v>
      </c>
      <c r="H2338" s="12" t="s">
        <v>538</v>
      </c>
      <c r="I2338" s="10">
        <f ca="1">IFERROR(__xludf.DUMMYFUNCTION(" VLOOKUP(A2335, IMPORTRANGE(""https://docs.google.com/spreadsheets/d/1QNLbnkR_AongFt22vMfNzfpjZ0CjpI8QI-w0wBnYA1w/"", ""Инфа!A:AA""), 6, FALSE)"),2024)</f>
        <v>2024</v>
      </c>
      <c r="J2338" s="5">
        <f ca="1">ROUND((5000+G2338*30),-2)</f>
        <v>9600</v>
      </c>
      <c r="K2338" s="12" t="s">
        <v>2283</v>
      </c>
      <c r="L2338" s="15" t="s">
        <v>9365</v>
      </c>
    </row>
    <row r="2339" spans="1:12" ht="89.25">
      <c r="A2339" s="8" t="s">
        <v>9366</v>
      </c>
      <c r="B2339" s="9" t="s">
        <v>12</v>
      </c>
      <c r="C2339" s="10" t="s">
        <v>151</v>
      </c>
      <c r="D2339" s="10" t="str">
        <f ca="1">IFERROR(__xludf.DUMMYFUNCTION(" VLOOKUP(A2336, IMPORTRANGE(""https://docs.google.com/spreadsheets/d/1fj_Bhi2XPL3siwIh4sx4VRLAe31yD50oKdj5UlRYW0c/"", ""Сводка!A:AA""), 11, FALSE)"),"978-601-342-662-4")</f>
        <v>978-601-342-662-4</v>
      </c>
      <c r="E2339" s="11" t="s">
        <v>9363</v>
      </c>
      <c r="F2339" s="11" t="s">
        <v>9367</v>
      </c>
      <c r="G2339" s="12">
        <f ca="1">IFERROR(__xludf.DUMMYFUNCTION(" VLOOKUP(A2336, IMPORTRANGE(""https://docs.google.com/spreadsheets/d/1fj_Bhi2XPL3siwIh4sx4VRLAe31yD50oKdj5UlRYW0c/"", ""Сводка!A:AA""), 5, FALSE)"),140)</f>
        <v>140</v>
      </c>
      <c r="H2339" s="12" t="s">
        <v>24</v>
      </c>
      <c r="I2339" s="10">
        <f ca="1">IFERROR(__xludf.DUMMYFUNCTION(" VLOOKUP(A2336, IMPORTRANGE(""https://docs.google.com/spreadsheets/d/1QNLbnkR_AongFt22vMfNzfpjZ0CjpI8QI-w0wBnYA1w/"", ""Инфа!A:AA""), 6, FALSE)"),2024)</f>
        <v>2024</v>
      </c>
      <c r="J2339" s="5">
        <f ca="1">ROUND((5000+G2339*30),-2)</f>
        <v>9200</v>
      </c>
      <c r="K2339" s="12" t="s">
        <v>2283</v>
      </c>
      <c r="L2339" s="15" t="s">
        <v>9368</v>
      </c>
    </row>
    <row r="2340" spans="1:12" ht="112.5">
      <c r="A2340" s="8" t="s">
        <v>9369</v>
      </c>
      <c r="B2340" s="9" t="s">
        <v>12</v>
      </c>
      <c r="C2340" s="10" t="s">
        <v>443</v>
      </c>
      <c r="D2340" s="10" t="str">
        <f ca="1">IFERROR(__xludf.DUMMYFUNCTION(" VLOOKUP(A2337, IMPORTRANGE(""https://docs.google.com/spreadsheets/d/1fj_Bhi2XPL3siwIh4sx4VRLAe31yD50oKdj5UlRYW0c/"", ""Сводка!A:AA""), 11, FALSE)"),"978-601-342-483-5")</f>
        <v>978-601-342-483-5</v>
      </c>
      <c r="E2340" s="11" t="s">
        <v>9370</v>
      </c>
      <c r="F2340" s="11" t="s">
        <v>9371</v>
      </c>
      <c r="G2340" s="12">
        <f ca="1">IFERROR(__xludf.DUMMYFUNCTION(" VLOOKUP(A2337, IMPORTRANGE(""https://docs.google.com/spreadsheets/d/1fj_Bhi2XPL3siwIh4sx4VRLAe31yD50oKdj5UlRYW0c/"", ""Сводка!A:AA""), 5, FALSE)"),208)</f>
        <v>208</v>
      </c>
      <c r="H2340" s="12" t="s">
        <v>446</v>
      </c>
      <c r="I2340" s="10">
        <f ca="1">IFERROR(__xludf.DUMMYFUNCTION(" VLOOKUP(A2337, IMPORTRANGE(""https://docs.google.com/spreadsheets/d/1QNLbnkR_AongFt22vMfNzfpjZ0CjpI8QI-w0wBnYA1w/"", ""Инфа!A:AA""), 6, FALSE)"),2024)</f>
        <v>2024</v>
      </c>
      <c r="J2340" s="5">
        <f ca="1">ROUND((5000+G2340*30),-2)</f>
        <v>11200</v>
      </c>
      <c r="K2340" s="12" t="s">
        <v>2283</v>
      </c>
      <c r="L2340" s="15" t="s">
        <v>9372</v>
      </c>
    </row>
    <row r="2341" spans="1:12" ht="303.75">
      <c r="A2341" s="8" t="s">
        <v>9373</v>
      </c>
      <c r="B2341" s="9" t="s">
        <v>12</v>
      </c>
      <c r="C2341" s="10" t="s">
        <v>443</v>
      </c>
      <c r="D2341" s="10" t="str">
        <f ca="1">IFERROR(__xludf.DUMMYFUNCTION(" VLOOKUP(A2338, IMPORTRANGE(""https://docs.google.com/spreadsheets/d/1fj_Bhi2XPL3siwIh4sx4VRLAe31yD50oKdj5UlRYW0c/"", ""Сводка!A:AA""), 11, FALSE)"),"978-601-310-412-6")</f>
        <v>978-601-310-412-6</v>
      </c>
      <c r="E2341" s="11" t="s">
        <v>9374</v>
      </c>
      <c r="F2341" s="11" t="s">
        <v>9375</v>
      </c>
      <c r="G2341" s="12">
        <f ca="1">IFERROR(__xludf.DUMMYFUNCTION(" VLOOKUP(A2338, IMPORTRANGE(""https://docs.google.com/spreadsheets/d/1fj_Bhi2XPL3siwIh4sx4VRLAe31yD50oKdj5UlRYW0c/"", ""Сводка!A:AA""), 5, FALSE)"),64)</f>
        <v>64</v>
      </c>
      <c r="H2341" s="12" t="s">
        <v>538</v>
      </c>
      <c r="I2341" s="10">
        <f ca="1">IFERROR(__xludf.DUMMYFUNCTION(" VLOOKUP(A2338, IMPORTRANGE(""https://docs.google.com/spreadsheets/d/1QNLbnkR_AongFt22vMfNzfpjZ0CjpI8QI-w0wBnYA1w/"", ""Инфа!A:AA""), 6, FALSE)"),2024)</f>
        <v>2024</v>
      </c>
      <c r="J2341" s="5">
        <f ca="1">ROUND((5000+G2341*60),-2)</f>
        <v>8800</v>
      </c>
      <c r="K2341" s="12" t="s">
        <v>160</v>
      </c>
      <c r="L2341" s="15" t="s">
        <v>9376</v>
      </c>
    </row>
    <row r="2342" spans="1:12" ht="157.5">
      <c r="A2342" s="8" t="s">
        <v>9377</v>
      </c>
      <c r="B2342" s="9" t="s">
        <v>12</v>
      </c>
      <c r="C2342" s="10" t="s">
        <v>151</v>
      </c>
      <c r="D2342" s="10" t="str">
        <f ca="1">IFERROR(__xludf.DUMMYFUNCTION(" VLOOKUP(A2339, IMPORTRANGE(""https://docs.google.com/spreadsheets/d/1fj_Bhi2XPL3siwIh4sx4VRLAe31yD50oKdj5UlRYW0c/"", ""Сводка!A:AA""), 11, FALSE)"),"978-601-240-940-6")</f>
        <v>978-601-240-940-6</v>
      </c>
      <c r="E2342" s="11" t="s">
        <v>9378</v>
      </c>
      <c r="F2342" s="11" t="s">
        <v>9379</v>
      </c>
      <c r="G2342" s="12">
        <f ca="1">IFERROR(__xludf.DUMMYFUNCTION(" VLOOKUP(A2339, IMPORTRANGE(""https://docs.google.com/spreadsheets/d/1fj_Bhi2XPL3siwIh4sx4VRLAe31yD50oKdj5UlRYW0c/"", ""Сводка!A:AA""), 5, FALSE)"),176)</f>
        <v>176</v>
      </c>
      <c r="H2342" s="12" t="s">
        <v>47</v>
      </c>
      <c r="I2342" s="10">
        <f ca="1">IFERROR(__xludf.DUMMYFUNCTION(" VLOOKUP(A2339, IMPORTRANGE(""https://docs.google.com/spreadsheets/d/1QNLbnkR_AongFt22vMfNzfpjZ0CjpI8QI-w0wBnYA1w/"", ""Инфа!A:AA""), 6, FALSE)"),2024)</f>
        <v>2024</v>
      </c>
      <c r="J2342" s="5">
        <f ca="1">ROUND(((5000+G2342*60)*1.3),-2)</f>
        <v>20200</v>
      </c>
      <c r="K2342" s="9" t="s">
        <v>69</v>
      </c>
      <c r="L2342" s="15" t="s">
        <v>9380</v>
      </c>
    </row>
    <row r="2343" spans="1:12" ht="168.75">
      <c r="A2343" s="8" t="s">
        <v>9381</v>
      </c>
      <c r="B2343" s="9" t="s">
        <v>12</v>
      </c>
      <c r="C2343" s="10" t="s">
        <v>443</v>
      </c>
      <c r="D2343" s="10" t="str">
        <f ca="1">IFERROR(__xludf.DUMMYFUNCTION(" VLOOKUP(A2340, IMPORTRANGE(""https://docs.google.com/spreadsheets/d/1fj_Bhi2XPL3siwIh4sx4VRLAe31yD50oKdj5UlRYW0c/"", ""Сводка!A:AA""), 11, FALSE)"),"978-601-240-960-4")</f>
        <v>978-601-240-960-4</v>
      </c>
      <c r="E2343" s="11" t="s">
        <v>9378</v>
      </c>
      <c r="F2343" s="11" t="s">
        <v>6206</v>
      </c>
      <c r="G2343" s="12">
        <f ca="1">IFERROR(__xludf.DUMMYFUNCTION(" VLOOKUP(A2340, IMPORTRANGE(""https://docs.google.com/spreadsheets/d/1fj_Bhi2XPL3siwIh4sx4VRLAe31yD50oKdj5UlRYW0c/"", ""Сводка!A:AA""), 5, FALSE)"),148)</f>
        <v>148</v>
      </c>
      <c r="H2343" s="12" t="s">
        <v>538</v>
      </c>
      <c r="I2343" s="10">
        <f ca="1">IFERROR(__xludf.DUMMYFUNCTION(" VLOOKUP(A2340, IMPORTRANGE(""https://docs.google.com/spreadsheets/d/1QNLbnkR_AongFt22vMfNzfpjZ0CjpI8QI-w0wBnYA1w/"", ""Инфа!A:AA""), 6, FALSE)"),2024)</f>
        <v>2024</v>
      </c>
      <c r="J2343" s="5">
        <f ca="1">ROUND((5000+G2343*60),-2)</f>
        <v>13900</v>
      </c>
      <c r="K2343" s="9" t="s">
        <v>69</v>
      </c>
      <c r="L2343" s="15" t="s">
        <v>9382</v>
      </c>
    </row>
    <row r="2344" spans="1:12" ht="191.25">
      <c r="A2344" s="8" t="s">
        <v>9383</v>
      </c>
      <c r="B2344" s="9" t="s">
        <v>12</v>
      </c>
      <c r="C2344" s="10" t="s">
        <v>443</v>
      </c>
      <c r="D2344" s="10" t="str">
        <f ca="1">IFERROR(__xludf.DUMMYFUNCTION(" VLOOKUP(A2341, IMPORTRANGE(""https://docs.google.com/spreadsheets/d/1fj_Bhi2XPL3siwIh4sx4VRLAe31yD50oKdj5UlRYW0c/"", ""Сводка!A:AA""), 11, FALSE)"),"978-601-310-019-7")</f>
        <v>978-601-310-019-7</v>
      </c>
      <c r="E2344" s="11" t="s">
        <v>9384</v>
      </c>
      <c r="F2344" s="11" t="s">
        <v>9385</v>
      </c>
      <c r="G2344" s="12">
        <f ca="1">IFERROR(__xludf.DUMMYFUNCTION(" VLOOKUP(A2341, IMPORTRANGE(""https://docs.google.com/spreadsheets/d/1fj_Bhi2XPL3siwIh4sx4VRLAe31yD50oKdj5UlRYW0c/"", ""Сводка!A:AA""), 5, FALSE)"),240)</f>
        <v>240</v>
      </c>
      <c r="H2344" s="12" t="s">
        <v>538</v>
      </c>
      <c r="I2344" s="10">
        <f ca="1">IFERROR(__xludf.DUMMYFUNCTION(" VLOOKUP(A2341, IMPORTRANGE(""https://docs.google.com/spreadsheets/d/1QNLbnkR_AongFt22vMfNzfpjZ0CjpI8QI-w0wBnYA1w/"", ""Инфа!A:AA""), 6, FALSE)"),2024)</f>
        <v>2024</v>
      </c>
      <c r="J2344" s="5">
        <f ca="1">ROUND(((5000+G2344*60)*1.3),-2)</f>
        <v>25200</v>
      </c>
      <c r="K2344" s="12" t="s">
        <v>213</v>
      </c>
      <c r="L2344" s="15" t="s">
        <v>9386</v>
      </c>
    </row>
    <row r="2345" spans="1:12" ht="225">
      <c r="A2345" s="8" t="s">
        <v>9387</v>
      </c>
      <c r="B2345" s="9" t="s">
        <v>12</v>
      </c>
      <c r="C2345" s="10" t="s">
        <v>151</v>
      </c>
      <c r="D2345" s="10" t="str">
        <f ca="1">IFERROR(__xludf.DUMMYFUNCTION(" VLOOKUP(A2342, IMPORTRANGE(""https://docs.google.com/spreadsheets/d/1fj_Bhi2XPL3siwIh4sx4VRLAe31yD50oKdj5UlRYW0c/"", ""Сводка!A:AA""), 11, FALSE)"),"978-601-310-020-3")</f>
        <v>978-601-310-020-3</v>
      </c>
      <c r="E2345" s="11" t="s">
        <v>9384</v>
      </c>
      <c r="F2345" s="11" t="s">
        <v>9388</v>
      </c>
      <c r="G2345" s="12">
        <f ca="1">IFERROR(__xludf.DUMMYFUNCTION(" VLOOKUP(A2342, IMPORTRANGE(""https://docs.google.com/spreadsheets/d/1fj_Bhi2XPL3siwIh4sx4VRLAe31yD50oKdj5UlRYW0c/"", ""Сводка!A:AA""), 5, FALSE)"),248)</f>
        <v>248</v>
      </c>
      <c r="H2345" s="12" t="s">
        <v>47</v>
      </c>
      <c r="I2345" s="10">
        <f ca="1">IFERROR(__xludf.DUMMYFUNCTION(" VLOOKUP(A2342, IMPORTRANGE(""https://docs.google.com/spreadsheets/d/1QNLbnkR_AongFt22vMfNzfpjZ0CjpI8QI-w0wBnYA1w/"", ""Инфа!A:AA""), 6, FALSE)"),2024)</f>
        <v>2024</v>
      </c>
      <c r="J2345" s="5">
        <f ca="1">ROUND(((5000+G2345*60)*1.3),-2)</f>
        <v>25800</v>
      </c>
      <c r="K2345" s="12" t="s">
        <v>213</v>
      </c>
      <c r="L2345" s="15" t="s">
        <v>9389</v>
      </c>
    </row>
    <row r="2346" spans="1:12" ht="292.5">
      <c r="A2346" s="8" t="s">
        <v>9390</v>
      </c>
      <c r="B2346" s="9" t="s">
        <v>12</v>
      </c>
      <c r="C2346" s="10" t="s">
        <v>151</v>
      </c>
      <c r="D2346" s="10" t="str">
        <f ca="1">IFERROR(__xludf.DUMMYFUNCTION(" VLOOKUP(A2343, IMPORTRANGE(""https://docs.google.com/spreadsheets/d/1fj_Bhi2XPL3siwIh4sx4VRLAe31yD50oKdj5UlRYW0c/"", ""Сводка!A:AA""), 11, FALSE)"),"978-601-310-413-7")</f>
        <v>978-601-310-413-7</v>
      </c>
      <c r="E2346" s="11" t="s">
        <v>9391</v>
      </c>
      <c r="F2346" s="11" t="s">
        <v>9392</v>
      </c>
      <c r="G2346" s="12">
        <f ca="1">IFERROR(__xludf.DUMMYFUNCTION(" VLOOKUP(A2343, IMPORTRANGE(""https://docs.google.com/spreadsheets/d/1fj_Bhi2XPL3siwIh4sx4VRLAe31yD50oKdj5UlRYW0c/"", ""Сводка!A:AA""), 5, FALSE)"),116)</f>
        <v>116</v>
      </c>
      <c r="H2346" s="12" t="s">
        <v>165</v>
      </c>
      <c r="I2346" s="10">
        <f ca="1">IFERROR(__xludf.DUMMYFUNCTION(" VLOOKUP(A2343, IMPORTRANGE(""https://docs.google.com/spreadsheets/d/1QNLbnkR_AongFt22vMfNzfpjZ0CjpI8QI-w0wBnYA1w/"", ""Инфа!A:AA""), 6, FALSE)"),2024)</f>
        <v>2024</v>
      </c>
      <c r="J2346" s="5">
        <f ca="1">ROUND((5000+G2346*30),-2)</f>
        <v>8500</v>
      </c>
      <c r="K2346" s="12" t="s">
        <v>961</v>
      </c>
      <c r="L2346" s="15" t="s">
        <v>9393</v>
      </c>
    </row>
    <row r="2347" spans="1:12" ht="123.75">
      <c r="A2347" s="8" t="s">
        <v>9394</v>
      </c>
      <c r="B2347" s="9" t="s">
        <v>12</v>
      </c>
      <c r="C2347" s="10" t="s">
        <v>443</v>
      </c>
      <c r="D2347" s="10" t="str">
        <f ca="1">IFERROR(__xludf.DUMMYFUNCTION(" VLOOKUP(A2344, IMPORTRANGE(""https://docs.google.com/spreadsheets/d/1fj_Bhi2XPL3siwIh4sx4VRLAe31yD50oKdj5UlRYW0c/"", ""Сводка!A:AA""), 11, FALSE)"),"978-601-216-573-9")</f>
        <v>978-601-216-573-9</v>
      </c>
      <c r="E2347" s="11" t="s">
        <v>9395</v>
      </c>
      <c r="F2347" s="11" t="s">
        <v>9396</v>
      </c>
      <c r="G2347" s="12" t="e">
        <f>#REF!</f>
        <v>#REF!</v>
      </c>
      <c r="H2347" s="12" t="s">
        <v>538</v>
      </c>
      <c r="I2347" s="10">
        <f ca="1">IFERROR(__xludf.DUMMYFUNCTION(" VLOOKUP(A2344, IMPORTRANGE(""https://docs.google.com/spreadsheets/d/1QNLbnkR_AongFt22vMfNzfpjZ0CjpI8QI-w0wBnYA1w/"", ""Инфа!A:AA""), 6, FALSE)"),2024)</f>
        <v>2024</v>
      </c>
      <c r="J2347" s="5" t="e">
        <f>ROUND((5000+G2347*30),-2)</f>
        <v>#REF!</v>
      </c>
      <c r="K2347" s="12" t="s">
        <v>2046</v>
      </c>
      <c r="L2347" s="15" t="s">
        <v>9397</v>
      </c>
    </row>
    <row r="2348" spans="1:12" ht="123.75">
      <c r="A2348" s="8" t="s">
        <v>9398</v>
      </c>
      <c r="B2348" s="9" t="s">
        <v>12</v>
      </c>
      <c r="C2348" s="10" t="s">
        <v>443</v>
      </c>
      <c r="D2348" s="10" t="str">
        <f ca="1">IFERROR(__xludf.DUMMYFUNCTION(" VLOOKUP(A2345, IMPORTRANGE(""https://docs.google.com/spreadsheets/d/1fj_Bhi2XPL3siwIh4sx4VRLAe31yD50oKdj5UlRYW0c/"", ""Сводка!A:AA""), 11, FALSE)"),"978-601-7816-56-8")</f>
        <v>978-601-7816-56-8</v>
      </c>
      <c r="E2348" s="11" t="s">
        <v>9399</v>
      </c>
      <c r="F2348" s="11" t="s">
        <v>9400</v>
      </c>
      <c r="G2348" s="12">
        <f ca="1">IFERROR(__xludf.DUMMYFUNCTION(" VLOOKUP(A2345, IMPORTRANGE(""https://docs.google.com/spreadsheets/d/1fj_Bhi2XPL3siwIh4sx4VRLAe31yD50oKdj5UlRYW0c/"", ""Сводка!A:AA""), 5, FALSE)"),332)</f>
        <v>332</v>
      </c>
      <c r="H2348" s="12" t="s">
        <v>538</v>
      </c>
      <c r="I2348" s="10">
        <f ca="1">IFERROR(__xludf.DUMMYFUNCTION(" VLOOKUP(A2345, IMPORTRANGE(""https://docs.google.com/spreadsheets/d/1QNLbnkR_AongFt22vMfNzfpjZ0CjpI8QI-w0wBnYA1w/"", ""Инфа!A:AA""), 6, FALSE)"),2024)</f>
        <v>2024</v>
      </c>
      <c r="J2348" s="5">
        <f ca="1">ROUND((5000+G2348*30),-2)</f>
        <v>15000</v>
      </c>
      <c r="K2348" s="12" t="s">
        <v>1387</v>
      </c>
      <c r="L2348" s="15" t="s">
        <v>9401</v>
      </c>
    </row>
    <row r="2349" spans="1:12" ht="78.75">
      <c r="A2349" s="8" t="s">
        <v>9402</v>
      </c>
      <c r="B2349" s="9" t="s">
        <v>12</v>
      </c>
      <c r="C2349" s="10" t="s">
        <v>443</v>
      </c>
      <c r="D2349" s="10" t="str">
        <f ca="1">IFERROR(__xludf.DUMMYFUNCTION(" VLOOKUP(A2346, IMPORTRANGE(""https://docs.google.com/spreadsheets/d/1fj_Bhi2XPL3siwIh4sx4VRLAe31yD50oKdj5UlRYW0c/"", ""Сводка!A:AA""), 11, FALSE)"),"978-601-207-003-3")</f>
        <v>978-601-207-003-3</v>
      </c>
      <c r="E2349" s="11" t="s">
        <v>9403</v>
      </c>
      <c r="F2349" s="11" t="s">
        <v>9404</v>
      </c>
      <c r="G2349" s="12" t="e">
        <f>#REF!</f>
        <v>#REF!</v>
      </c>
      <c r="H2349" s="12" t="s">
        <v>538</v>
      </c>
      <c r="I2349" s="10">
        <f ca="1">IFERROR(__xludf.DUMMYFUNCTION(" VLOOKUP(A2346, IMPORTRANGE(""https://docs.google.com/spreadsheets/d/1QNLbnkR_AongFt22vMfNzfpjZ0CjpI8QI-w0wBnYA1w/"", ""Инфа!A:AA""), 6, FALSE)"),2024)</f>
        <v>2024</v>
      </c>
      <c r="J2349" s="5" t="e">
        <f>ROUND((5000+G2349*30),-2)</f>
        <v>#REF!</v>
      </c>
      <c r="K2349" s="12" t="s">
        <v>277</v>
      </c>
      <c r="L2349" s="15" t="s">
        <v>9405</v>
      </c>
    </row>
    <row r="2350" spans="1:12" ht="292.5">
      <c r="A2350" s="8" t="s">
        <v>9406</v>
      </c>
      <c r="B2350" s="9" t="s">
        <v>12</v>
      </c>
      <c r="C2350" s="10" t="s">
        <v>151</v>
      </c>
      <c r="D2350" s="10" t="str">
        <f ca="1">IFERROR(__xludf.DUMMYFUNCTION(" VLOOKUP(A2347, IMPORTRANGE(""https://docs.google.com/spreadsheets/d/1fj_Bhi2XPL3siwIh4sx4VRLAe31yD50oKdj5UlRYW0c/"", ""Сводка!A:AA""), 11, FALSE)"),"978-601-327-284-9")</f>
        <v>978-601-327-284-9</v>
      </c>
      <c r="E2350" s="11" t="s">
        <v>9407</v>
      </c>
      <c r="F2350" s="11" t="s">
        <v>9408</v>
      </c>
      <c r="G2350" s="12">
        <f ca="1">IFERROR(__xludf.DUMMYFUNCTION(" VLOOKUP(A2347, IMPORTRANGE(""https://docs.google.com/spreadsheets/d/1fj_Bhi2XPL3siwIh4sx4VRLAe31yD50oKdj5UlRYW0c/"", ""Сводка!A:AA""), 5, FALSE)"),304)</f>
        <v>304</v>
      </c>
      <c r="H2350" s="12" t="s">
        <v>56</v>
      </c>
      <c r="I2350" s="10">
        <f ca="1">IFERROR(__xludf.DUMMYFUNCTION(" VLOOKUP(A2347, IMPORTRANGE(""https://docs.google.com/spreadsheets/d/1QNLbnkR_AongFt22vMfNzfpjZ0CjpI8QI-w0wBnYA1w/"", ""Инфа!A:AA""), 6, FALSE)"),2024)</f>
        <v>2024</v>
      </c>
      <c r="J2350" s="5">
        <f ca="1">ROUND(((5000+G2350*60)*1.3),-2)</f>
        <v>30200</v>
      </c>
      <c r="K2350" s="12" t="s">
        <v>166</v>
      </c>
      <c r="L2350" s="15" t="s">
        <v>9409</v>
      </c>
    </row>
    <row r="2351" spans="1:12" ht="236.25">
      <c r="A2351" s="8" t="s">
        <v>9410</v>
      </c>
      <c r="B2351" s="9" t="s">
        <v>12</v>
      </c>
      <c r="C2351" s="10" t="s">
        <v>151</v>
      </c>
      <c r="D2351" s="10" t="str">
        <f ca="1">IFERROR(__xludf.DUMMYFUNCTION(" VLOOKUP(A2348, IMPORTRANGE(""https://docs.google.com/spreadsheets/d/1fj_Bhi2XPL3siwIh4sx4VRLAe31yD50oKdj5UlRYW0c/"", ""Сводка!A:AA""), 11, FALSE)"),"978-9965-898-44-0")</f>
        <v>978-9965-898-44-0</v>
      </c>
      <c r="E2351" s="11" t="s">
        <v>9411</v>
      </c>
      <c r="F2351" s="11" t="s">
        <v>9412</v>
      </c>
      <c r="G2351" s="12">
        <f ca="1">IFERROR(__xludf.DUMMYFUNCTION(" VLOOKUP(A2348, IMPORTRANGE(""https://docs.google.com/spreadsheets/d/1fj_Bhi2XPL3siwIh4sx4VRLAe31yD50oKdj5UlRYW0c/"", ""Сводка!A:AA""), 5, FALSE)"),224)</f>
        <v>224</v>
      </c>
      <c r="H2351" s="12" t="s">
        <v>56</v>
      </c>
      <c r="I2351" s="10">
        <f ca="1">IFERROR(__xludf.DUMMYFUNCTION(" VLOOKUP(A2348, IMPORTRANGE(""https://docs.google.com/spreadsheets/d/1QNLbnkR_AongFt22vMfNzfpjZ0CjpI8QI-w0wBnYA1w/"", ""Инфа!A:AA""), 6, FALSE)"),2024)</f>
        <v>2024</v>
      </c>
      <c r="J2351" s="5">
        <f ca="1">ROUND((5000+G2351*60),-2)</f>
        <v>18400</v>
      </c>
      <c r="K2351" s="12" t="s">
        <v>166</v>
      </c>
      <c r="L2351" s="15" t="s">
        <v>9413</v>
      </c>
    </row>
    <row r="2352" spans="1:12" ht="236.25">
      <c r="A2352" s="8" t="s">
        <v>9414</v>
      </c>
      <c r="B2352" s="9" t="s">
        <v>12</v>
      </c>
      <c r="C2352" s="10" t="s">
        <v>443</v>
      </c>
      <c r="D2352" s="10" t="str">
        <f ca="1">IFERROR(__xludf.DUMMYFUNCTION(" VLOOKUP(A2349, IMPORTRANGE(""https://docs.google.com/spreadsheets/d/1fj_Bhi2XPL3siwIh4sx4VRLAe31yD50oKdj5UlRYW0c/"", ""Сводка!A:AA""), 11, FALSE)"),"978-601-327-470-6")</f>
        <v>978-601-327-470-6</v>
      </c>
      <c r="E2352" s="11" t="s">
        <v>9415</v>
      </c>
      <c r="F2352" s="11" t="s">
        <v>9416</v>
      </c>
      <c r="G2352" s="12">
        <f ca="1">IFERROR(__xludf.DUMMYFUNCTION(" VLOOKUP(A2349, IMPORTRANGE(""https://docs.google.com/spreadsheets/d/1fj_Bhi2XPL3siwIh4sx4VRLAe31yD50oKdj5UlRYW0c/"", ""Сводка!A:AA""), 5, FALSE)"),152)</f>
        <v>152</v>
      </c>
      <c r="H2352" s="12" t="s">
        <v>511</v>
      </c>
      <c r="I2352" s="10">
        <f ca="1">IFERROR(__xludf.DUMMYFUNCTION(" VLOOKUP(A2349, IMPORTRANGE(""https://docs.google.com/spreadsheets/d/1QNLbnkR_AongFt22vMfNzfpjZ0CjpI8QI-w0wBnYA1w/"", ""Инфа!A:AA""), 6, FALSE)"),2024)</f>
        <v>2024</v>
      </c>
      <c r="J2352" s="5">
        <f ca="1">ROUND((5000+G2352*30),-2)</f>
        <v>9600</v>
      </c>
      <c r="K2352" s="12" t="s">
        <v>308</v>
      </c>
      <c r="L2352" s="15" t="s">
        <v>9417</v>
      </c>
    </row>
    <row r="2353" spans="1:12" ht="202.5">
      <c r="A2353" s="8" t="s">
        <v>9418</v>
      </c>
      <c r="B2353" s="9" t="s">
        <v>12</v>
      </c>
      <c r="C2353" s="10" t="s">
        <v>443</v>
      </c>
      <c r="D2353" s="10" t="str">
        <f ca="1">IFERROR(__xludf.DUMMYFUNCTION(" VLOOKUP(A2350, IMPORTRANGE(""https://docs.google.com/spreadsheets/d/1fj_Bhi2XPL3siwIh4sx4VRLAe31yD50oKdj5UlRYW0c/"", ""Сводка!A:AA""), 11, FALSE)"),"978-601-327-469-0")</f>
        <v>978-601-327-469-0</v>
      </c>
      <c r="E2353" s="11" t="s">
        <v>9419</v>
      </c>
      <c r="F2353" s="11" t="s">
        <v>7927</v>
      </c>
      <c r="G2353" s="12">
        <f ca="1">IFERROR(__xludf.DUMMYFUNCTION(" VLOOKUP(A2350, IMPORTRANGE(""https://docs.google.com/spreadsheets/d/1fj_Bhi2XPL3siwIh4sx4VRLAe31yD50oKdj5UlRYW0c/"", ""Сводка!A:AA""), 5, FALSE)"),164)</f>
        <v>164</v>
      </c>
      <c r="H2353" s="12" t="s">
        <v>538</v>
      </c>
      <c r="I2353" s="10">
        <f ca="1">IFERROR(__xludf.DUMMYFUNCTION(" VLOOKUP(A2350, IMPORTRANGE(""https://docs.google.com/spreadsheets/d/1QNLbnkR_AongFt22vMfNzfpjZ0CjpI8QI-w0wBnYA1w/"", ""Инфа!A:AA""), 6, FALSE)"),2024)</f>
        <v>2024</v>
      </c>
      <c r="J2353" s="5">
        <f ca="1">ROUND((5000+G2353*30),-2)</f>
        <v>9900</v>
      </c>
      <c r="K2353" s="12" t="s">
        <v>308</v>
      </c>
      <c r="L2353" s="15" t="s">
        <v>9420</v>
      </c>
    </row>
    <row r="2354" spans="1:12" ht="101.25">
      <c r="A2354" s="8" t="s">
        <v>9421</v>
      </c>
      <c r="B2354" s="9" t="s">
        <v>12</v>
      </c>
      <c r="C2354" s="10" t="s">
        <v>443</v>
      </c>
      <c r="D2354" s="10" t="str">
        <f ca="1">IFERROR(__xludf.DUMMYFUNCTION(" VLOOKUP(A2351, IMPORTRANGE(""https://docs.google.com/spreadsheets/d/1fj_Bhi2XPL3siwIh4sx4VRLAe31yD50oKdj5UlRYW0c/"", ""Сводка!A:AA""), 11, FALSE)"),"978-601-310-427-0")</f>
        <v>978-601-310-427-0</v>
      </c>
      <c r="E2354" s="11" t="s">
        <v>4391</v>
      </c>
      <c r="F2354" s="11" t="s">
        <v>9422</v>
      </c>
      <c r="G2354" s="12" t="e">
        <f>#REF!</f>
        <v>#REF!</v>
      </c>
      <c r="H2354" s="12" t="s">
        <v>538</v>
      </c>
      <c r="I2354" s="10">
        <f ca="1">IFERROR(__xludf.DUMMYFUNCTION(" VLOOKUP(A2351, IMPORTRANGE(""https://docs.google.com/spreadsheets/d/1QNLbnkR_AongFt22vMfNzfpjZ0CjpI8QI-w0wBnYA1w/"", ""Инфа!A:AA""), 6, FALSE)"),2024)</f>
        <v>2024</v>
      </c>
      <c r="J2354" s="5" t="e">
        <f>ROUND((5000+G2354*30),-2)</f>
        <v>#REF!</v>
      </c>
      <c r="K2354" s="9" t="s">
        <v>171</v>
      </c>
      <c r="L2354" s="15" t="s">
        <v>9423</v>
      </c>
    </row>
    <row r="2355" spans="1:12" ht="51">
      <c r="A2355" s="8" t="s">
        <v>9424</v>
      </c>
      <c r="B2355" s="9" t="s">
        <v>12</v>
      </c>
      <c r="C2355" s="10" t="s">
        <v>443</v>
      </c>
      <c r="D2355" s="10" t="str">
        <f ca="1">IFERROR(__xludf.DUMMYFUNCTION(" VLOOKUP(A2352, IMPORTRANGE(""https://docs.google.com/spreadsheets/d/1fj_Bhi2XPL3siwIh4sx4VRLAe31yD50oKdj5UlRYW0c/"", ""Сводка!A:AA""), 11, FALSE)"),"978-601-310-346-4")</f>
        <v>978-601-310-346-4</v>
      </c>
      <c r="E2355" s="11" t="s">
        <v>9425</v>
      </c>
      <c r="F2355" s="11" t="s">
        <v>9426</v>
      </c>
      <c r="G2355" s="12">
        <f ca="1">IFERROR(__xludf.DUMMYFUNCTION(" VLOOKUP(A2352, IMPORTRANGE(""https://docs.google.com/spreadsheets/d/1fj_Bhi2XPL3siwIh4sx4VRLAe31yD50oKdj5UlRYW0c/"", ""Сводка!A:AA""), 5, FALSE)"),214)</f>
        <v>214</v>
      </c>
      <c r="H2355" s="12" t="s">
        <v>106</v>
      </c>
      <c r="I2355" s="10">
        <f ca="1">IFERROR(__xludf.DUMMYFUNCTION(" VLOOKUP(A2352, IMPORTRANGE(""https://docs.google.com/spreadsheets/d/1QNLbnkR_AongFt22vMfNzfpjZ0CjpI8QI-w0wBnYA1w/"", ""Инфа!A:AA""), 6, FALSE)"),2024)</f>
        <v>2024</v>
      </c>
      <c r="J2355" s="5">
        <f ca="1">ROUND((5000+G2355*30),-2)</f>
        <v>11400</v>
      </c>
      <c r="K2355" s="12" t="s">
        <v>3371</v>
      </c>
      <c r="L2355" s="15"/>
    </row>
    <row r="2356" spans="1:12" ht="38.25">
      <c r="A2356" s="8" t="s">
        <v>9427</v>
      </c>
      <c r="B2356" s="9" t="s">
        <v>12</v>
      </c>
      <c r="C2356" s="10" t="s">
        <v>443</v>
      </c>
      <c r="D2356" s="10" t="str">
        <f ca="1">IFERROR(__xludf.DUMMYFUNCTION(" VLOOKUP(A2353, IMPORTRANGE(""https://docs.google.com/spreadsheets/d/1fj_Bhi2XPL3siwIh4sx4VRLAe31yD50oKdj5UlRYW0c/"", ""Сводка!A:AA""), 11, FALSE)"),"978-601-310-343-3")</f>
        <v>978-601-310-343-3</v>
      </c>
      <c r="E2356" s="11" t="s">
        <v>9425</v>
      </c>
      <c r="F2356" s="11" t="s">
        <v>9428</v>
      </c>
      <c r="G2356" s="12">
        <f ca="1">IFERROR(__xludf.DUMMYFUNCTION(" VLOOKUP(A2353, IMPORTRANGE(""https://docs.google.com/spreadsheets/d/1fj_Bhi2XPL3siwIh4sx4VRLAe31yD50oKdj5UlRYW0c/"", ""Сводка!A:AA""), 5, FALSE)"),116)</f>
        <v>116</v>
      </c>
      <c r="H2356" s="12" t="s">
        <v>777</v>
      </c>
      <c r="I2356" s="10">
        <f ca="1">IFERROR(__xludf.DUMMYFUNCTION(" VLOOKUP(A2353, IMPORTRANGE(""https://docs.google.com/spreadsheets/d/1QNLbnkR_AongFt22vMfNzfpjZ0CjpI8QI-w0wBnYA1w/"", ""Инфа!A:AA""), 6, FALSE)"),2024)</f>
        <v>2024</v>
      </c>
      <c r="J2356" s="5">
        <f ca="1">ROUND((5000+G2356*60),-2)</f>
        <v>12000</v>
      </c>
      <c r="K2356" s="9" t="s">
        <v>69</v>
      </c>
      <c r="L2356" s="15"/>
    </row>
    <row r="2357" spans="1:12" ht="25.5">
      <c r="A2357" s="8" t="s">
        <v>9429</v>
      </c>
      <c r="B2357" s="9" t="s">
        <v>12</v>
      </c>
      <c r="C2357" s="10" t="s">
        <v>443</v>
      </c>
      <c r="D2357" s="10" t="str">
        <f ca="1">IFERROR(__xludf.DUMMYFUNCTION(" VLOOKUP(A2354, IMPORTRANGE(""https://docs.google.com/spreadsheets/d/1fj_Bhi2XPL3siwIh4sx4VRLAe31yD50oKdj5UlRYW0c/"", ""Сводка!A:AA""), 11, FALSE)"),"978-601-7320-00-3")</f>
        <v>978-601-7320-00-3</v>
      </c>
      <c r="E2357" s="11" t="s">
        <v>9425</v>
      </c>
      <c r="F2357" s="11" t="s">
        <v>9430</v>
      </c>
      <c r="G2357" s="12" t="e">
        <f>#REF!</f>
        <v>#REF!</v>
      </c>
      <c r="H2357" s="12" t="s">
        <v>538</v>
      </c>
      <c r="I2357" s="10">
        <f ca="1">IFERROR(__xludf.DUMMYFUNCTION(" VLOOKUP(A2354, IMPORTRANGE(""https://docs.google.com/spreadsheets/d/1QNLbnkR_AongFt22vMfNzfpjZ0CjpI8QI-w0wBnYA1w/"", ""Инфа!A:AA""), 6, FALSE)"),2024)</f>
        <v>2024</v>
      </c>
      <c r="J2357" s="5" t="e">
        <f>ROUND((5000+G2357*60),-2)</f>
        <v>#REF!</v>
      </c>
      <c r="K2357" s="12" t="s">
        <v>3371</v>
      </c>
      <c r="L2357" s="15"/>
    </row>
    <row r="2358" spans="1:12" ht="303.75">
      <c r="A2358" s="8" t="s">
        <v>9431</v>
      </c>
      <c r="B2358" s="9" t="s">
        <v>12</v>
      </c>
      <c r="C2358" s="10" t="s">
        <v>13</v>
      </c>
      <c r="D2358" s="10" t="str">
        <f ca="1">IFERROR(__xludf.DUMMYFUNCTION(" VLOOKUP(A2355, IMPORTRANGE(""https://docs.google.com/spreadsheets/d/1fj_Bhi2XPL3siwIh4sx4VRLAe31yD50oKdj5UlRYW0c/"", ""Сводка!A:AA""), 11, FALSE)"),"978-601-310-347-1")</f>
        <v>978-601-310-347-1</v>
      </c>
      <c r="E2358" s="11" t="s">
        <v>9432</v>
      </c>
      <c r="F2358" s="11" t="s">
        <v>9433</v>
      </c>
      <c r="G2358" s="12">
        <f ca="1">IFERROR(__xludf.DUMMYFUNCTION(" VLOOKUP(A2355, IMPORTRANGE(""https://docs.google.com/spreadsheets/d/1fj_Bhi2XPL3siwIh4sx4VRLAe31yD50oKdj5UlRYW0c/"", ""Сводка!A:AA""), 5, FALSE)"),284)</f>
        <v>284</v>
      </c>
      <c r="H2358" s="12" t="s">
        <v>106</v>
      </c>
      <c r="I2358" s="10">
        <f ca="1">IFERROR(__xludf.DUMMYFUNCTION(" VLOOKUP(A2355, IMPORTRANGE(""https://docs.google.com/spreadsheets/d/1QNLbnkR_AongFt22vMfNzfpjZ0CjpI8QI-w0wBnYA1w/"", ""Инфа!A:AA""), 6, FALSE)"),2024)</f>
        <v>2024</v>
      </c>
      <c r="J2358" s="5">
        <f ca="1">ROUND((5000+G2358*30),-2)</f>
        <v>13500</v>
      </c>
      <c r="K2358" s="12" t="s">
        <v>26</v>
      </c>
      <c r="L2358" s="15" t="s">
        <v>9434</v>
      </c>
    </row>
    <row r="2359" spans="1:12" ht="63.75">
      <c r="A2359" s="8" t="s">
        <v>9435</v>
      </c>
      <c r="B2359" s="9" t="s">
        <v>12</v>
      </c>
      <c r="C2359" s="10" t="s">
        <v>151</v>
      </c>
      <c r="D2359" s="10" t="str">
        <f ca="1">IFERROR(__xludf.DUMMYFUNCTION(" VLOOKUP(A2356, IMPORTRANGE(""https://docs.google.com/spreadsheets/d/1fj_Bhi2XPL3siwIh4sx4VRLAe31yD50oKdj5UlRYW0c/"", ""Сводка!A:AA""), 11, FALSE)"),"978-601-310-345-7")</f>
        <v>978-601-310-345-7</v>
      </c>
      <c r="E2359" s="11" t="s">
        <v>9436</v>
      </c>
      <c r="F2359" s="11" t="s">
        <v>9437</v>
      </c>
      <c r="G2359" s="12">
        <f ca="1">IFERROR(__xludf.DUMMYFUNCTION(" VLOOKUP(A2356, IMPORTRANGE(""https://docs.google.com/spreadsheets/d/1fj_Bhi2XPL3siwIh4sx4VRLAe31yD50oKdj5UlRYW0c/"", ""Сводка!A:AA""), 5, FALSE)"),216)</f>
        <v>216</v>
      </c>
      <c r="H2359" s="12" t="s">
        <v>106</v>
      </c>
      <c r="I2359" s="10">
        <f ca="1">IFERROR(__xludf.DUMMYFUNCTION(" VLOOKUP(A2356, IMPORTRANGE(""https://docs.google.com/spreadsheets/d/1QNLbnkR_AongFt22vMfNzfpjZ0CjpI8QI-w0wBnYA1w/"", ""Инфа!A:AA""), 6, FALSE)"),2024)</f>
        <v>2024</v>
      </c>
      <c r="J2359" s="5">
        <f ca="1">ROUND((5000+G2359*60),-2)</f>
        <v>18000</v>
      </c>
      <c r="K2359" s="12" t="s">
        <v>3371</v>
      </c>
      <c r="L2359" s="15"/>
    </row>
    <row r="2360" spans="1:12" ht="236.25">
      <c r="A2360" s="8" t="s">
        <v>9438</v>
      </c>
      <c r="B2360" s="9" t="s">
        <v>12</v>
      </c>
      <c r="C2360" s="10" t="s">
        <v>151</v>
      </c>
      <c r="D2360" s="10" t="str">
        <f ca="1">IFERROR(__xludf.DUMMYFUNCTION(" VLOOKUP(A2357, IMPORTRANGE(""https://docs.google.com/spreadsheets/d/1fj_Bhi2XPL3siwIh4sx4VRLAe31yD50oKdj5UlRYW0c/"", ""Сводка!A:AA""), 11, FALSE)"),"978-601-327-341-9")</f>
        <v>978-601-327-341-9</v>
      </c>
      <c r="E2360" s="11" t="s">
        <v>9439</v>
      </c>
      <c r="F2360" s="11" t="s">
        <v>9440</v>
      </c>
      <c r="G2360" s="12">
        <f ca="1">IFERROR(__xludf.DUMMYFUNCTION(" VLOOKUP(A2357, IMPORTRANGE(""https://docs.google.com/spreadsheets/d/1fj_Bhi2XPL3siwIh4sx4VRLAe31yD50oKdj5UlRYW0c/"", ""Сводка!A:AA""), 5, FALSE)"),208)</f>
        <v>208</v>
      </c>
      <c r="H2360" s="12" t="s">
        <v>24</v>
      </c>
      <c r="I2360" s="10">
        <f ca="1">IFERROR(__xludf.DUMMYFUNCTION(" VLOOKUP(A2357, IMPORTRANGE(""https://docs.google.com/spreadsheets/d/1QNLbnkR_AongFt22vMfNzfpjZ0CjpI8QI-w0wBnYA1w/"", ""Инфа!A:AA""), 6, FALSE)"),2024)</f>
        <v>2024</v>
      </c>
      <c r="J2360" s="5">
        <f ca="1">ROUND((5000+G2360*30),-2)</f>
        <v>11200</v>
      </c>
      <c r="K2360" s="12" t="s">
        <v>257</v>
      </c>
      <c r="L2360" s="15" t="s">
        <v>9441</v>
      </c>
    </row>
    <row r="2361" spans="1:12" ht="303.75">
      <c r="A2361" s="8" t="s">
        <v>9442</v>
      </c>
      <c r="B2361" s="9" t="s">
        <v>12</v>
      </c>
      <c r="C2361" s="10" t="s">
        <v>443</v>
      </c>
      <c r="D2361" s="10" t="str">
        <f ca="1">IFERROR(__xludf.DUMMYFUNCTION(" VLOOKUP(A2358, IMPORTRANGE(""https://docs.google.com/spreadsheets/d/1fj_Bhi2XPL3siwIh4sx4VRLAe31yD50oKdj5UlRYW0c/"", ""Сводка!A:AA""), 11, FALSE)"),"978-601-327-204-7")</f>
        <v>978-601-327-204-7</v>
      </c>
      <c r="E2361" s="11" t="s">
        <v>9443</v>
      </c>
      <c r="F2361" s="11" t="s">
        <v>9444</v>
      </c>
      <c r="G2361" s="12">
        <f ca="1">IFERROR(__xludf.DUMMYFUNCTION(" VLOOKUP(A2358, IMPORTRANGE(""https://docs.google.com/spreadsheets/d/1fj_Bhi2XPL3siwIh4sx4VRLAe31yD50oKdj5UlRYW0c/"", ""Сводка!A:AA""), 5, FALSE)"),108)</f>
        <v>108</v>
      </c>
      <c r="H2361" s="12" t="s">
        <v>538</v>
      </c>
      <c r="I2361" s="10">
        <f ca="1">IFERROR(__xludf.DUMMYFUNCTION(" VLOOKUP(A2358, IMPORTRANGE(""https://docs.google.com/spreadsheets/d/1QNLbnkR_AongFt22vMfNzfpjZ0CjpI8QI-w0wBnYA1w/"", ""Инфа!A:AA""), 6, FALSE)"),2024)</f>
        <v>2024</v>
      </c>
      <c r="J2361" s="5">
        <f ca="1">ROUND((5000+G2361*60),-2)</f>
        <v>11500</v>
      </c>
      <c r="K2361" s="12" t="s">
        <v>302</v>
      </c>
      <c r="L2361" s="15" t="s">
        <v>9445</v>
      </c>
    </row>
    <row r="2362" spans="1:12" ht="303.75">
      <c r="A2362" s="8" t="s">
        <v>9446</v>
      </c>
      <c r="B2362" s="9" t="s">
        <v>12</v>
      </c>
      <c r="C2362" s="10" t="s">
        <v>151</v>
      </c>
      <c r="D2362" s="10" t="str">
        <f ca="1">IFERROR(__xludf.DUMMYFUNCTION(" VLOOKUP(A2359, IMPORTRANGE(""https://docs.google.com/spreadsheets/d/1fj_Bhi2XPL3siwIh4sx4VRLAe31yD50oKdj5UlRYW0c/"", ""Сводка!A:AA""), 11, FALSE)"),"978-601-327-180-4")</f>
        <v>978-601-327-180-4</v>
      </c>
      <c r="E2362" s="11" t="s">
        <v>9443</v>
      </c>
      <c r="F2362" s="11" t="s">
        <v>9447</v>
      </c>
      <c r="G2362" s="12">
        <f ca="1">IFERROR(__xludf.DUMMYFUNCTION(" VLOOKUP(A2359, IMPORTRANGE(""https://docs.google.com/spreadsheets/d/1fj_Bhi2XPL3siwIh4sx4VRLAe31yD50oKdj5UlRYW0c/"", ""Сводка!A:AA""), 5, FALSE)"),116)</f>
        <v>116</v>
      </c>
      <c r="H2362" s="12" t="s">
        <v>165</v>
      </c>
      <c r="I2362" s="10">
        <f ca="1">IFERROR(__xludf.DUMMYFUNCTION(" VLOOKUP(A2359, IMPORTRANGE(""https://docs.google.com/spreadsheets/d/1QNLbnkR_AongFt22vMfNzfpjZ0CjpI8QI-w0wBnYA1w/"", ""Инфа!A:AA""), 6, FALSE)"),2024)</f>
        <v>2024</v>
      </c>
      <c r="J2362" s="5">
        <f ca="1">ROUND((5000+G2362*60),-2)</f>
        <v>12000</v>
      </c>
      <c r="K2362" s="12" t="s">
        <v>302</v>
      </c>
      <c r="L2362" s="15" t="s">
        <v>9448</v>
      </c>
    </row>
    <row r="2363" spans="1:12" ht="146.25">
      <c r="A2363" s="8" t="s">
        <v>9449</v>
      </c>
      <c r="B2363" s="9" t="s">
        <v>12</v>
      </c>
      <c r="C2363" s="10" t="s">
        <v>443</v>
      </c>
      <c r="D2363" s="10" t="str">
        <f ca="1">IFERROR(__xludf.DUMMYFUNCTION(" VLOOKUP(A2360, IMPORTRANGE(""https://docs.google.com/spreadsheets/d/1fj_Bhi2XPL3siwIh4sx4VRLAe31yD50oKdj5UlRYW0c/"", ""Сводка!A:AA""), 11, FALSE)"),"978-601-7787-30-1")</f>
        <v>978-601-7787-30-1</v>
      </c>
      <c r="E2363" s="11" t="s">
        <v>9450</v>
      </c>
      <c r="F2363" s="11" t="s">
        <v>9451</v>
      </c>
      <c r="G2363" s="12">
        <f ca="1">IFERROR(__xludf.DUMMYFUNCTION(" VLOOKUP(A2360, IMPORTRANGE(""https://docs.google.com/spreadsheets/d/1fj_Bhi2XPL3siwIh4sx4VRLAe31yD50oKdj5UlRYW0c/"", ""Сводка!A:AA""), 5, FALSE)"),232)</f>
        <v>232</v>
      </c>
      <c r="H2363" s="12" t="s">
        <v>538</v>
      </c>
      <c r="I2363" s="10">
        <f ca="1">IFERROR(__xludf.DUMMYFUNCTION(" VLOOKUP(A2360, IMPORTRANGE(""https://docs.google.com/spreadsheets/d/1QNLbnkR_AongFt22vMfNzfpjZ0CjpI8QI-w0wBnYA1w/"", ""Инфа!A:AA""), 6, FALSE)"),2024)</f>
        <v>2024</v>
      </c>
      <c r="J2363" s="5">
        <f ca="1">ROUND((5000+G2363*30),-2)</f>
        <v>12000</v>
      </c>
      <c r="K2363" s="12" t="s">
        <v>160</v>
      </c>
      <c r="L2363" s="16" t="s">
        <v>9452</v>
      </c>
    </row>
    <row r="2364" spans="1:12" ht="168.75">
      <c r="A2364" s="8" t="s">
        <v>9453</v>
      </c>
      <c r="B2364" s="9" t="s">
        <v>12</v>
      </c>
      <c r="C2364" s="10" t="s">
        <v>443</v>
      </c>
      <c r="D2364" s="10" t="str">
        <f ca="1">IFERROR(__xludf.DUMMYFUNCTION(" VLOOKUP(A2361, IMPORTRANGE(""https://docs.google.com/spreadsheets/d/1fj_Bhi2XPL3siwIh4sx4VRLAe31yD50oKdj5UlRYW0c/"", ""Сводка!A:AA""), 11, FALSE)"),"978-601-240-468-6")</f>
        <v>978-601-240-468-6</v>
      </c>
      <c r="E2364" s="11" t="s">
        <v>9450</v>
      </c>
      <c r="F2364" s="11" t="s">
        <v>9454</v>
      </c>
      <c r="G2364" s="12">
        <f ca="1">IFERROR(__xludf.DUMMYFUNCTION(" VLOOKUP(A2361, IMPORTRANGE(""https://docs.google.com/spreadsheets/d/1fj_Bhi2XPL3siwIh4sx4VRLAe31yD50oKdj5UlRYW0c/"", ""Сводка!A:AA""), 5, FALSE)"),252)</f>
        <v>252</v>
      </c>
      <c r="H2364" s="12" t="s">
        <v>538</v>
      </c>
      <c r="I2364" s="10">
        <f ca="1">IFERROR(__xludf.DUMMYFUNCTION(" VLOOKUP(A2361, IMPORTRANGE(""https://docs.google.com/spreadsheets/d/1QNLbnkR_AongFt22vMfNzfpjZ0CjpI8QI-w0wBnYA1w/"", ""Инфа!A:AA""), 6, FALSE)"),2024)</f>
        <v>2024</v>
      </c>
      <c r="J2364" s="5">
        <f ca="1">ROUND((5000+G2364*60),-2)</f>
        <v>20100</v>
      </c>
      <c r="K2364" s="12" t="s">
        <v>160</v>
      </c>
      <c r="L2364" s="16" t="s">
        <v>9455</v>
      </c>
    </row>
    <row r="2365" spans="1:12" ht="101.25">
      <c r="A2365" s="8" t="s">
        <v>9456</v>
      </c>
      <c r="B2365" s="9" t="s">
        <v>12</v>
      </c>
      <c r="C2365" s="10" t="s">
        <v>443</v>
      </c>
      <c r="D2365" s="10" t="str">
        <f ca="1">IFERROR(__xludf.DUMMYFUNCTION(" VLOOKUP(A2362, IMPORTRANGE(""https://docs.google.com/spreadsheets/d/1fj_Bhi2XPL3siwIh4sx4VRLAe31yD50oKdj5UlRYW0c/"", ""Сводка!A:AA""), 11, FALSE)"),"978-601-342-409-5")</f>
        <v>978-601-342-409-5</v>
      </c>
      <c r="E2365" s="11" t="s">
        <v>9457</v>
      </c>
      <c r="F2365" s="11" t="s">
        <v>9458</v>
      </c>
      <c r="G2365" s="12">
        <f ca="1">IFERROR(__xludf.DUMMYFUNCTION(" VLOOKUP(A2362, IMPORTRANGE(""https://docs.google.com/spreadsheets/d/1fj_Bhi2XPL3siwIh4sx4VRLAe31yD50oKdj5UlRYW0c/"", ""Сводка!A:AA""), 5, FALSE)"),268)</f>
        <v>268</v>
      </c>
      <c r="H2365" s="12" t="s">
        <v>165</v>
      </c>
      <c r="I2365" s="10">
        <f ca="1">IFERROR(__xludf.DUMMYFUNCTION(" VLOOKUP(A2362, IMPORTRANGE(""https://docs.google.com/spreadsheets/d/1QNLbnkR_AongFt22vMfNzfpjZ0CjpI8QI-w0wBnYA1w/"", ""Инфа!A:AA""), 6, FALSE)"),2024)</f>
        <v>2024</v>
      </c>
      <c r="J2365" s="5">
        <f ca="1">ROUND((5000+G2365*30),-2)</f>
        <v>13000</v>
      </c>
      <c r="K2365" s="12" t="s">
        <v>160</v>
      </c>
      <c r="L2365" s="15" t="s">
        <v>9459</v>
      </c>
    </row>
    <row r="2366" spans="1:12" ht="191.25">
      <c r="A2366" s="8" t="s">
        <v>9460</v>
      </c>
      <c r="B2366" s="9" t="s">
        <v>12</v>
      </c>
      <c r="C2366" s="10" t="s">
        <v>151</v>
      </c>
      <c r="D2366" s="10" t="str">
        <f ca="1">IFERROR(__xludf.DUMMYFUNCTION(" VLOOKUP(A2363, IMPORTRANGE(""https://docs.google.com/spreadsheets/d/1fj_Bhi2XPL3siwIh4sx4VRLAe31yD50oKdj5UlRYW0c/"", ""Сводка!A:AA""), 11, FALSE)"),"978-601-342-411-8")</f>
        <v>978-601-342-411-8</v>
      </c>
      <c r="E2366" s="11" t="s">
        <v>9457</v>
      </c>
      <c r="F2366" s="11" t="s">
        <v>9461</v>
      </c>
      <c r="G2366" s="12">
        <f ca="1">IFERROR(__xludf.DUMMYFUNCTION(" VLOOKUP(A2363, IMPORTRANGE(""https://docs.google.com/spreadsheets/d/1fj_Bhi2XPL3siwIh4sx4VRLAe31yD50oKdj5UlRYW0c/"", ""Сводка!A:AA""), 5, FALSE)"),308)</f>
        <v>308</v>
      </c>
      <c r="H2366" s="12" t="s">
        <v>165</v>
      </c>
      <c r="I2366" s="10">
        <f ca="1">IFERROR(__xludf.DUMMYFUNCTION(" VLOOKUP(A2363, IMPORTRANGE(""https://docs.google.com/spreadsheets/d/1QNLbnkR_AongFt22vMfNzfpjZ0CjpI8QI-w0wBnYA1w/"", ""Инфа!A:AA""), 6, FALSE)"),2024)</f>
        <v>2024</v>
      </c>
      <c r="J2366" s="5">
        <f ca="1">ROUND((5000+G2366*60),-2)</f>
        <v>23500</v>
      </c>
      <c r="K2366" s="12" t="s">
        <v>160</v>
      </c>
      <c r="L2366" s="15" t="s">
        <v>9462</v>
      </c>
    </row>
    <row r="2367" spans="1:12" ht="101.25">
      <c r="A2367" s="8" t="s">
        <v>9463</v>
      </c>
      <c r="B2367" s="9" t="s">
        <v>12</v>
      </c>
      <c r="C2367" s="10" t="s">
        <v>443</v>
      </c>
      <c r="D2367" s="10" t="str">
        <f ca="1">IFERROR(__xludf.DUMMYFUNCTION(" VLOOKUP(A2364, IMPORTRANGE(""https://docs.google.com/spreadsheets/d/1fj_Bhi2XPL3siwIh4sx4VRLAe31yD50oKdj5UlRYW0c/"", ""Сводка!A:AA""), 11, FALSE)"),"978-601-342-392-0")</f>
        <v>978-601-342-392-0</v>
      </c>
      <c r="E2367" s="11" t="s">
        <v>9457</v>
      </c>
      <c r="F2367" s="11" t="s">
        <v>9464</v>
      </c>
      <c r="G2367" s="12">
        <f ca="1">IFERROR(__xludf.DUMMYFUNCTION(" VLOOKUP(A2364, IMPORTRANGE(""https://docs.google.com/spreadsheets/d/1fj_Bhi2XPL3siwIh4sx4VRLAe31yD50oKdj5UlRYW0c/"", ""Сводка!A:AA""), 5, FALSE)"),280)</f>
        <v>280</v>
      </c>
      <c r="H2367" s="12" t="s">
        <v>165</v>
      </c>
      <c r="I2367" s="10">
        <f ca="1">IFERROR(__xludf.DUMMYFUNCTION(" VLOOKUP(A2364, IMPORTRANGE(""https://docs.google.com/spreadsheets/d/1QNLbnkR_AongFt22vMfNzfpjZ0CjpI8QI-w0wBnYA1w/"", ""Инфа!A:AA""), 6, FALSE)"),2024)</f>
        <v>2024</v>
      </c>
      <c r="J2367" s="5">
        <f ca="1">ROUND((5000+G2367*60),-2)</f>
        <v>21800</v>
      </c>
      <c r="K2367" s="12" t="s">
        <v>160</v>
      </c>
      <c r="L2367" s="15" t="s">
        <v>9465</v>
      </c>
    </row>
    <row r="2368" spans="1:12" ht="168.75">
      <c r="A2368" s="8" t="s">
        <v>9466</v>
      </c>
      <c r="B2368" s="9" t="s">
        <v>12</v>
      </c>
      <c r="C2368" s="10" t="s">
        <v>443</v>
      </c>
      <c r="D2368" s="10" t="str">
        <f ca="1">IFERROR(__xludf.DUMMYFUNCTION(" VLOOKUP(A2365, IMPORTRANGE(""https://docs.google.com/spreadsheets/d/1fj_Bhi2XPL3siwIh4sx4VRLAe31yD50oKdj5UlRYW0c/"", ""Сводка!A:AA""), 11, FALSE)"),"978-601-342-885-7")</f>
        <v>978-601-342-885-7</v>
      </c>
      <c r="E2368" s="11" t="s">
        <v>9467</v>
      </c>
      <c r="F2368" s="11" t="s">
        <v>9468</v>
      </c>
      <c r="G2368" s="12">
        <f ca="1">IFERROR(__xludf.DUMMYFUNCTION(" VLOOKUP(A2365, IMPORTRANGE(""https://docs.google.com/spreadsheets/d/1fj_Bhi2XPL3siwIh4sx4VRLAe31yD50oKdj5UlRYW0c/"", ""Сводка!A:AA""), 5, FALSE)"),296)</f>
        <v>296</v>
      </c>
      <c r="H2368" s="12" t="s">
        <v>165</v>
      </c>
      <c r="I2368" s="10">
        <f ca="1">IFERROR(__xludf.DUMMYFUNCTION(" VLOOKUP(A2365, IMPORTRANGE(""https://docs.google.com/spreadsheets/d/1QNLbnkR_AongFt22vMfNzfpjZ0CjpI8QI-w0wBnYA1w/"", ""Инфа!A:AA""), 6, FALSE)"),2024)</f>
        <v>2024</v>
      </c>
      <c r="J2368" s="5">
        <f ca="1">ROUND((5000+G2368*60),-2)</f>
        <v>22800</v>
      </c>
      <c r="K2368" s="12" t="s">
        <v>160</v>
      </c>
      <c r="L2368" s="15" t="s">
        <v>9469</v>
      </c>
    </row>
    <row r="2369" spans="1:12" ht="101.25">
      <c r="A2369" s="8" t="s">
        <v>9470</v>
      </c>
      <c r="B2369" s="9" t="s">
        <v>12</v>
      </c>
      <c r="C2369" s="10" t="s">
        <v>443</v>
      </c>
      <c r="D2369" s="10" t="str">
        <f ca="1">IFERROR(__xludf.DUMMYFUNCTION(" VLOOKUP(A2366, IMPORTRANGE(""https://docs.google.com/spreadsheets/d/1fj_Bhi2XPL3siwIh4sx4VRLAe31yD50oKdj5UlRYW0c/"", ""Сводка!A:AA""), 11, FALSE)"),"978-601-342-428-6")</f>
        <v>978-601-342-428-6</v>
      </c>
      <c r="E2369" s="11" t="s">
        <v>9467</v>
      </c>
      <c r="F2369" s="11" t="s">
        <v>9471</v>
      </c>
      <c r="G2369" s="12">
        <f ca="1">IFERROR(__xludf.DUMMYFUNCTION(" VLOOKUP(A2366, IMPORTRANGE(""https://docs.google.com/spreadsheets/d/1fj_Bhi2XPL3siwIh4sx4VRLAe31yD50oKdj5UlRYW0c/"", ""Сводка!A:AA""), 5, FALSE)"),320)</f>
        <v>320</v>
      </c>
      <c r="H2369" s="12" t="s">
        <v>24</v>
      </c>
      <c r="I2369" s="10">
        <f ca="1">IFERROR(__xludf.DUMMYFUNCTION(" VLOOKUP(A2366, IMPORTRANGE(""https://docs.google.com/spreadsheets/d/1QNLbnkR_AongFt22vMfNzfpjZ0CjpI8QI-w0wBnYA1w/"", ""Инфа!A:AA""), 6, FALSE)"),2024)</f>
        <v>2024</v>
      </c>
      <c r="J2369" s="5">
        <f ca="1">ROUND((5000+G2369*60),-2)</f>
        <v>24200</v>
      </c>
      <c r="K2369" s="12" t="s">
        <v>160</v>
      </c>
      <c r="L2369" s="24" t="s">
        <v>9472</v>
      </c>
    </row>
    <row r="2370" spans="1:12" ht="157.5">
      <c r="A2370" s="8" t="s">
        <v>9473</v>
      </c>
      <c r="B2370" s="9" t="s">
        <v>12</v>
      </c>
      <c r="C2370" s="10" t="s">
        <v>443</v>
      </c>
      <c r="D2370" s="10" t="str">
        <f ca="1">IFERROR(__xludf.DUMMYFUNCTION(" VLOOKUP(A2367, IMPORTRANGE(""https://docs.google.com/spreadsheets/d/1fj_Bhi2XPL3siwIh4sx4VRLAe31yD50oKdj5UlRYW0c/"", ""Сводка!A:AA""), 11, FALSE)"),"978-601-7787-07-3")</f>
        <v>978-601-7787-07-3</v>
      </c>
      <c r="E2370" s="11" t="s">
        <v>9474</v>
      </c>
      <c r="F2370" s="11" t="s">
        <v>9475</v>
      </c>
      <c r="G2370" s="12">
        <f ca="1">IFERROR(__xludf.DUMMYFUNCTION(" VLOOKUP(A2367, IMPORTRANGE(""https://docs.google.com/spreadsheets/d/1fj_Bhi2XPL3siwIh4sx4VRLAe31yD50oKdj5UlRYW0c/"", ""Сводка!A:AA""), 5, FALSE)"),220)</f>
        <v>220</v>
      </c>
      <c r="H2370" s="12" t="s">
        <v>24</v>
      </c>
      <c r="I2370" s="10">
        <f ca="1">IFERROR(__xludf.DUMMYFUNCTION(" VLOOKUP(A2367, IMPORTRANGE(""https://docs.google.com/spreadsheets/d/1QNLbnkR_AongFt22vMfNzfpjZ0CjpI8QI-w0wBnYA1w/"", ""Инфа!A:AA""), 6, FALSE)"),2024)</f>
        <v>2024</v>
      </c>
      <c r="J2370" s="5">
        <f ca="1">ROUND((5000+G2370*60),-2)</f>
        <v>18200</v>
      </c>
      <c r="K2370" s="12" t="s">
        <v>160</v>
      </c>
      <c r="L2370" s="15" t="s">
        <v>9476</v>
      </c>
    </row>
    <row r="2371" spans="1:12" ht="191.25">
      <c r="A2371" s="8" t="s">
        <v>9477</v>
      </c>
      <c r="B2371" s="9" t="s">
        <v>12</v>
      </c>
      <c r="C2371" s="10" t="s">
        <v>151</v>
      </c>
      <c r="D2371" s="10" t="str">
        <f ca="1">IFERROR(__xludf.DUMMYFUNCTION(" VLOOKUP(A2368, IMPORTRANGE(""https://docs.google.com/spreadsheets/d/1fj_Bhi2XPL3siwIh4sx4VRLAe31yD50oKdj5UlRYW0c/"", ""Сводка!A:AA""), 11, FALSE)"),"978-601-342-509-2")</f>
        <v>978-601-342-509-2</v>
      </c>
      <c r="E2371" s="11" t="s">
        <v>9474</v>
      </c>
      <c r="F2371" s="11" t="s">
        <v>9478</v>
      </c>
      <c r="G2371" s="12">
        <f ca="1">IFERROR(__xludf.DUMMYFUNCTION(" VLOOKUP(A2368, IMPORTRANGE(""https://docs.google.com/spreadsheets/d/1fj_Bhi2XPL3siwIh4sx4VRLAe31yD50oKdj5UlRYW0c/"", ""Сводка!A:AA""), 5, FALSE)"),208)</f>
        <v>208</v>
      </c>
      <c r="H2371" s="12" t="s">
        <v>24</v>
      </c>
      <c r="I2371" s="10">
        <f ca="1">IFERROR(__xludf.DUMMYFUNCTION(" VLOOKUP(A2368, IMPORTRANGE(""https://docs.google.com/spreadsheets/d/1QNLbnkR_AongFt22vMfNzfpjZ0CjpI8QI-w0wBnYA1w/"", ""Инфа!A:AA""), 6, FALSE)"),2024)</f>
        <v>2024</v>
      </c>
      <c r="J2371" s="5">
        <f ca="1">ROUND((5000+G2371*30),-2)</f>
        <v>11200</v>
      </c>
      <c r="K2371" s="12" t="s">
        <v>160</v>
      </c>
      <c r="L2371" s="15" t="s">
        <v>9479</v>
      </c>
    </row>
    <row r="2372" spans="1:12" ht="191.25">
      <c r="A2372" s="8" t="s">
        <v>9480</v>
      </c>
      <c r="B2372" s="9" t="s">
        <v>12</v>
      </c>
      <c r="C2372" s="10" t="s">
        <v>151</v>
      </c>
      <c r="D2372" s="10" t="str">
        <f ca="1">IFERROR(__xludf.DUMMYFUNCTION(" VLOOKUP(A2369, IMPORTRANGE(""https://docs.google.com/spreadsheets/d/1fj_Bhi2XPL3siwIh4sx4VRLAe31yD50oKdj5UlRYW0c/"", ""Сводка!A:AA""), 11, FALSE)"),"978-601-342-511-5")</f>
        <v>978-601-342-511-5</v>
      </c>
      <c r="E2372" s="11" t="s">
        <v>9481</v>
      </c>
      <c r="F2372" s="11" t="s">
        <v>9482</v>
      </c>
      <c r="G2372" s="12" t="e">
        <f>#REF!</f>
        <v>#REF!</v>
      </c>
      <c r="H2372" s="12" t="s">
        <v>24</v>
      </c>
      <c r="I2372" s="10">
        <f ca="1">IFERROR(__xludf.DUMMYFUNCTION(" VLOOKUP(A2369, IMPORTRANGE(""https://docs.google.com/spreadsheets/d/1QNLbnkR_AongFt22vMfNzfpjZ0CjpI8QI-w0wBnYA1w/"", ""Инфа!A:AA""), 6, FALSE)"),2024)</f>
        <v>2024</v>
      </c>
      <c r="J2372" s="5" t="e">
        <f>ROUND((5000+G2372*30),-2)</f>
        <v>#REF!</v>
      </c>
      <c r="K2372" s="12" t="s">
        <v>160</v>
      </c>
      <c r="L2372" s="15" t="s">
        <v>9483</v>
      </c>
    </row>
    <row r="2373" spans="1:12" ht="191.25">
      <c r="A2373" s="8" t="s">
        <v>9484</v>
      </c>
      <c r="B2373" s="9" t="s">
        <v>12</v>
      </c>
      <c r="C2373" s="10" t="s">
        <v>443</v>
      </c>
      <c r="D2373" s="10" t="str">
        <f ca="1">IFERROR(__xludf.DUMMYFUNCTION(" VLOOKUP(A2370, IMPORTRANGE(""https://docs.google.com/spreadsheets/d/1fj_Bhi2XPL3siwIh4sx4VRLAe31yD50oKdj5UlRYW0c/"", ""Сводка!A:AA""), 11, FALSE)"),"978-601-342-510-8")</f>
        <v>978-601-342-510-8</v>
      </c>
      <c r="E2373" s="11" t="s">
        <v>9481</v>
      </c>
      <c r="F2373" s="11" t="s">
        <v>9485</v>
      </c>
      <c r="G2373" s="12">
        <f ca="1">IFERROR(__xludf.DUMMYFUNCTION(" VLOOKUP(A2370, IMPORTRANGE(""https://docs.google.com/spreadsheets/d/1fj_Bhi2XPL3siwIh4sx4VRLAe31yD50oKdj5UlRYW0c/"", ""Сводка!A:AA""), 5, FALSE)"),148)</f>
        <v>148</v>
      </c>
      <c r="H2373" s="12" t="s">
        <v>24</v>
      </c>
      <c r="I2373" s="10">
        <f ca="1">IFERROR(__xludf.DUMMYFUNCTION(" VLOOKUP(A2370, IMPORTRANGE(""https://docs.google.com/spreadsheets/d/1QNLbnkR_AongFt22vMfNzfpjZ0CjpI8QI-w0wBnYA1w/"", ""Инфа!A:AA""), 6, FALSE)"),2024)</f>
        <v>2024</v>
      </c>
      <c r="J2373" s="5">
        <f ca="1">ROUND((5000+G2373*60),-2)</f>
        <v>13900</v>
      </c>
      <c r="K2373" s="12" t="s">
        <v>160</v>
      </c>
      <c r="L2373" s="15" t="s">
        <v>9486</v>
      </c>
    </row>
    <row r="2374" spans="1:12" ht="101.25">
      <c r="A2374" s="8" t="s">
        <v>9487</v>
      </c>
      <c r="B2374" s="9" t="s">
        <v>12</v>
      </c>
      <c r="C2374" s="10" t="s">
        <v>151</v>
      </c>
      <c r="D2374" s="10" t="str">
        <f ca="1">IFERROR(__xludf.DUMMYFUNCTION(" VLOOKUP(A2371, IMPORTRANGE(""https://docs.google.com/spreadsheets/d/1fj_Bhi2XPL3siwIh4sx4VRLAe31yD50oKdj5UlRYW0c/"", ""Сводка!A:AA""), 11, FALSE)"),"978-601-327-893-3")</f>
        <v>978-601-327-893-3</v>
      </c>
      <c r="E2374" s="11" t="s">
        <v>9488</v>
      </c>
      <c r="F2374" s="11" t="s">
        <v>9489</v>
      </c>
      <c r="G2374" s="12">
        <f ca="1">IFERROR(__xludf.DUMMYFUNCTION(" VLOOKUP(A2371, IMPORTRANGE(""https://docs.google.com/spreadsheets/d/1fj_Bhi2XPL3siwIh4sx4VRLAe31yD50oKdj5UlRYW0c/"", ""Сводка!A:AA""), 5, FALSE)"),228)</f>
        <v>228</v>
      </c>
      <c r="H2374" s="12" t="s">
        <v>24</v>
      </c>
      <c r="I2374" s="10">
        <f ca="1">IFERROR(__xludf.DUMMYFUNCTION(" VLOOKUP(A2371, IMPORTRANGE(""https://docs.google.com/spreadsheets/d/1QNLbnkR_AongFt22vMfNzfpjZ0CjpI8QI-w0wBnYA1w/"", ""Инфа!A:AA""), 6, FALSE)"),2024)</f>
        <v>2024</v>
      </c>
      <c r="J2374" s="5">
        <f t="shared" ref="J2374:J2379" ca="1" si="80">ROUND((5000+G2374*30),-2)</f>
        <v>11800</v>
      </c>
      <c r="K2374" s="12" t="s">
        <v>277</v>
      </c>
      <c r="L2374" s="15" t="s">
        <v>9490</v>
      </c>
    </row>
    <row r="2375" spans="1:12" ht="180">
      <c r="A2375" s="8" t="s">
        <v>9491</v>
      </c>
      <c r="B2375" s="9" t="s">
        <v>12</v>
      </c>
      <c r="C2375" s="10" t="s">
        <v>21</v>
      </c>
      <c r="D2375" s="10" t="str">
        <f ca="1">IFERROR(__xludf.DUMMYFUNCTION(" VLOOKUP(A2372, IMPORTRANGE(""https://docs.google.com/spreadsheets/d/1fj_Bhi2XPL3siwIh4sx4VRLAe31yD50oKdj5UlRYW0c/"", ""Сводка!A:AA""), 11, FALSE)"),"978-601-327-893-3")</f>
        <v>978-601-327-893-3</v>
      </c>
      <c r="E2375" s="11" t="s">
        <v>9492</v>
      </c>
      <c r="F2375" s="11" t="s">
        <v>9493</v>
      </c>
      <c r="G2375" s="12">
        <f ca="1">IFERROR(__xludf.DUMMYFUNCTION(" VLOOKUP(A2372, IMPORTRANGE(""https://docs.google.com/spreadsheets/d/1fj_Bhi2XPL3siwIh4sx4VRLAe31yD50oKdj5UlRYW0c/"", ""Сводка!A:AA""), 5, FALSE)"),196)</f>
        <v>196</v>
      </c>
      <c r="H2375" s="12" t="s">
        <v>24</v>
      </c>
      <c r="I2375" s="10">
        <f ca="1">IFERROR(__xludf.DUMMYFUNCTION(" VLOOKUP(A2372, IMPORTRANGE(""https://docs.google.com/spreadsheets/d/1QNLbnkR_AongFt22vMfNzfpjZ0CjpI8QI-w0wBnYA1w/"", ""Инфа!A:AA""), 6, FALSE)"),2024)</f>
        <v>2024</v>
      </c>
      <c r="J2375" s="5">
        <f t="shared" ca="1" si="80"/>
        <v>10900</v>
      </c>
      <c r="K2375" s="12" t="s">
        <v>277</v>
      </c>
      <c r="L2375" s="15" t="s">
        <v>9494</v>
      </c>
    </row>
    <row r="2376" spans="1:12" ht="56.25">
      <c r="A2376" s="8" t="s">
        <v>9495</v>
      </c>
      <c r="B2376" s="9" t="s">
        <v>12</v>
      </c>
      <c r="C2376" s="10" t="s">
        <v>443</v>
      </c>
      <c r="D2376" s="10" t="str">
        <f ca="1">IFERROR(__xludf.DUMMYFUNCTION(" VLOOKUP(A2373, IMPORTRANGE(""https://docs.google.com/spreadsheets/d/1fj_Bhi2XPL3siwIh4sx4VRLAe31yD50oKdj5UlRYW0c/"", ""Сводка!A:AA""), 11, FALSE)"),"978-601-330-041-2")</f>
        <v>978-601-330-041-2</v>
      </c>
      <c r="E2376" s="25" t="s">
        <v>9496</v>
      </c>
      <c r="F2376" s="25" t="s">
        <v>9497</v>
      </c>
      <c r="G2376" s="12">
        <f ca="1">IFERROR(__xludf.DUMMYFUNCTION(" VLOOKUP(A2373, IMPORTRANGE(""https://docs.google.com/spreadsheets/d/1fj_Bhi2XPL3siwIh4sx4VRLAe31yD50oKdj5UlRYW0c/"", ""Сводка!A:AA""), 5, FALSE)"),184)</f>
        <v>184</v>
      </c>
      <c r="H2376" s="26" t="s">
        <v>446</v>
      </c>
      <c r="I2376" s="10">
        <f ca="1">IFERROR(__xludf.DUMMYFUNCTION(" VLOOKUP(A2373, IMPORTRANGE(""https://docs.google.com/spreadsheets/d/1QNLbnkR_AongFt22vMfNzfpjZ0CjpI8QI-w0wBnYA1w/"", ""Инфа!A:AA""), 6, FALSE)"),2024)</f>
        <v>2024</v>
      </c>
      <c r="J2376" s="5">
        <f t="shared" ca="1" si="80"/>
        <v>10500</v>
      </c>
      <c r="K2376" s="12" t="s">
        <v>78</v>
      </c>
      <c r="L2376" s="15" t="s">
        <v>9498</v>
      </c>
    </row>
    <row r="2377" spans="1:12" ht="123.75">
      <c r="A2377" s="8" t="s">
        <v>9499</v>
      </c>
      <c r="B2377" s="9" t="s">
        <v>12</v>
      </c>
      <c r="C2377" s="10" t="s">
        <v>443</v>
      </c>
      <c r="D2377" s="10" t="str">
        <f ca="1">IFERROR(__xludf.DUMMYFUNCTION(" VLOOKUP(A2374, IMPORTRANGE(""https://docs.google.com/spreadsheets/d/1fj_Bhi2XPL3siwIh4sx4VRLAe31yD50oKdj5UlRYW0c/"", ""Сводка!A:AA""), 11, FALSE)"),"978-601-240-803-4")</f>
        <v>978-601-240-803-4</v>
      </c>
      <c r="E2377" s="11" t="s">
        <v>9500</v>
      </c>
      <c r="F2377" s="11" t="s">
        <v>9501</v>
      </c>
      <c r="G2377" s="12">
        <f ca="1">IFERROR(__xludf.DUMMYFUNCTION(" VLOOKUP(A2374, IMPORTRANGE(""https://docs.google.com/spreadsheets/d/1fj_Bhi2XPL3siwIh4sx4VRLAe31yD50oKdj5UlRYW0c/"", ""Сводка!A:AA""), 5, FALSE)"),164)</f>
        <v>164</v>
      </c>
      <c r="H2377" s="12" t="s">
        <v>777</v>
      </c>
      <c r="I2377" s="10">
        <f ca="1">IFERROR(__xludf.DUMMYFUNCTION(" VLOOKUP(A2374, IMPORTRANGE(""https://docs.google.com/spreadsheets/d/1QNLbnkR_AongFt22vMfNzfpjZ0CjpI8QI-w0wBnYA1w/"", ""Инфа!A:AA""), 6, FALSE)"),2024)</f>
        <v>2024</v>
      </c>
      <c r="J2377" s="5">
        <f t="shared" ca="1" si="80"/>
        <v>9900</v>
      </c>
      <c r="K2377" s="12" t="s">
        <v>570</v>
      </c>
      <c r="L2377" s="15" t="s">
        <v>9502</v>
      </c>
    </row>
    <row r="2378" spans="1:12" ht="135">
      <c r="A2378" s="8" t="s">
        <v>9503</v>
      </c>
      <c r="B2378" s="9" t="s">
        <v>12</v>
      </c>
      <c r="C2378" s="10" t="s">
        <v>151</v>
      </c>
      <c r="D2378" s="10" t="str">
        <f ca="1">IFERROR(__xludf.DUMMYFUNCTION(" VLOOKUP(A2375, IMPORTRANGE(""https://docs.google.com/spreadsheets/d/1fj_Bhi2XPL3siwIh4sx4VRLAe31yD50oKdj5UlRYW0c/"", ""Сводка!A:AA""), 11, FALSE)"),"978-601-342-219-0")</f>
        <v>978-601-342-219-0</v>
      </c>
      <c r="E2378" s="22" t="s">
        <v>9504</v>
      </c>
      <c r="F2378" s="22" t="s">
        <v>9505</v>
      </c>
      <c r="G2378" s="12">
        <f ca="1">IFERROR(__xludf.DUMMYFUNCTION(" VLOOKUP(A2375, IMPORTRANGE(""https://docs.google.com/spreadsheets/d/1fj_Bhi2XPL3siwIh4sx4VRLAe31yD50oKdj5UlRYW0c/"", ""Сводка!A:AA""), 5, FALSE)"),160)</f>
        <v>160</v>
      </c>
      <c r="H2378" s="10" t="s">
        <v>1020</v>
      </c>
      <c r="I2378" s="10">
        <f ca="1">IFERROR(__xludf.DUMMYFUNCTION(" VLOOKUP(A2375, IMPORTRANGE(""https://docs.google.com/spreadsheets/d/1QNLbnkR_AongFt22vMfNzfpjZ0CjpI8QI-w0wBnYA1w/"", ""Инфа!A:AA""), 6, FALSE)"),2024)</f>
        <v>2024</v>
      </c>
      <c r="J2378" s="5">
        <f t="shared" ca="1" si="80"/>
        <v>9800</v>
      </c>
      <c r="K2378" s="10" t="s">
        <v>139</v>
      </c>
      <c r="L2378" s="23" t="s">
        <v>9506</v>
      </c>
    </row>
    <row r="2379" spans="1:12" ht="90">
      <c r="A2379" s="8" t="s">
        <v>9507</v>
      </c>
      <c r="B2379" s="9" t="s">
        <v>12</v>
      </c>
      <c r="C2379" s="10" t="s">
        <v>443</v>
      </c>
      <c r="D2379" s="10" t="str">
        <f ca="1">IFERROR(__xludf.DUMMYFUNCTION(" VLOOKUP(A2376, IMPORTRANGE(""https://docs.google.com/spreadsheets/d/1fj_Bhi2XPL3siwIh4sx4VRLAe31yD50oKdj5UlRYW0c/"", ""Сводка!A:AA""), 11, FALSE)"),"978-601-240-526-2")</f>
        <v>978-601-240-526-2</v>
      </c>
      <c r="E2379" s="11" t="s">
        <v>9508</v>
      </c>
      <c r="F2379" s="11" t="s">
        <v>9509</v>
      </c>
      <c r="G2379" s="12">
        <f ca="1">IFERROR(__xludf.DUMMYFUNCTION(" VLOOKUP(A2376, IMPORTRANGE(""https://docs.google.com/spreadsheets/d/1fj_Bhi2XPL3siwIh4sx4VRLAe31yD50oKdj5UlRYW0c/"", ""Сводка!A:AA""), 5, FALSE)"),104)</f>
        <v>104</v>
      </c>
      <c r="H2379" s="12" t="s">
        <v>511</v>
      </c>
      <c r="I2379" s="10">
        <f ca="1">IFERROR(__xludf.DUMMYFUNCTION(" VLOOKUP(A2376, IMPORTRANGE(""https://docs.google.com/spreadsheets/d/1QNLbnkR_AongFt22vMfNzfpjZ0CjpI8QI-w0wBnYA1w/"", ""Инфа!A:AA""), 6, FALSE)"),2024)</f>
        <v>2024</v>
      </c>
      <c r="J2379" s="5">
        <f t="shared" ca="1" si="80"/>
        <v>8100</v>
      </c>
      <c r="K2379" s="9" t="s">
        <v>539</v>
      </c>
      <c r="L2379" s="15" t="s">
        <v>9510</v>
      </c>
    </row>
    <row r="2380" spans="1:12" ht="90">
      <c r="A2380" s="8" t="s">
        <v>9511</v>
      </c>
      <c r="B2380" s="9" t="s">
        <v>12</v>
      </c>
      <c r="C2380" s="10" t="s">
        <v>151</v>
      </c>
      <c r="D2380" s="10" t="str">
        <f ca="1">IFERROR(__xludf.DUMMYFUNCTION(" VLOOKUP(A2377, IMPORTRANGE(""https://docs.google.com/spreadsheets/d/1fj_Bhi2XPL3siwIh4sx4VRLAe31yD50oKdj5UlRYW0c/"", ""Сводка!A:AA""), 11, FALSE)"),"9965-65-52-0")</f>
        <v>9965-65-52-0</v>
      </c>
      <c r="E2380" s="19" t="s">
        <v>9512</v>
      </c>
      <c r="F2380" s="19" t="s">
        <v>9513</v>
      </c>
      <c r="G2380" s="12">
        <f ca="1">IFERROR(__xludf.DUMMYFUNCTION(" VLOOKUP(A2377, IMPORTRANGE(""https://docs.google.com/spreadsheets/d/1fj_Bhi2XPL3siwIh4sx4VRLAe31yD50oKdj5UlRYW0c/"", ""Сводка!A:AA""), 5, FALSE)"),132)</f>
        <v>132</v>
      </c>
      <c r="H2380" s="9" t="s">
        <v>556</v>
      </c>
      <c r="I2380" s="10">
        <f ca="1">IFERROR(__xludf.DUMMYFUNCTION(" VLOOKUP(A2377, IMPORTRANGE(""https://docs.google.com/spreadsheets/d/1QNLbnkR_AongFt22vMfNzfpjZ0CjpI8QI-w0wBnYA1w/"", ""Инфа!A:AA""), 6, FALSE)"),2024)</f>
        <v>2024</v>
      </c>
      <c r="J2380" s="5">
        <f ca="1">ROUND((5000+G2380*60),-2)</f>
        <v>12900</v>
      </c>
      <c r="K2380" s="9" t="s">
        <v>625</v>
      </c>
      <c r="L2380" s="15" t="s">
        <v>9514</v>
      </c>
    </row>
    <row r="2381" spans="1:12" ht="157.5">
      <c r="A2381" s="8" t="s">
        <v>9515</v>
      </c>
      <c r="B2381" s="9" t="s">
        <v>12</v>
      </c>
      <c r="C2381" s="10" t="s">
        <v>443</v>
      </c>
      <c r="D2381" s="10" t="str">
        <f ca="1">IFERROR(__xludf.DUMMYFUNCTION(" VLOOKUP(A2378, IMPORTRANGE(""https://docs.google.com/spreadsheets/d/1fj_Bhi2XPL3siwIh4sx4VRLAe31yD50oKdj5UlRYW0c/"", ""Сводка!A:AA""), 11, FALSE)"),"978-601-342-382-1")</f>
        <v>978-601-342-382-1</v>
      </c>
      <c r="E2381" s="11" t="s">
        <v>9516</v>
      </c>
      <c r="F2381" s="11" t="s">
        <v>9517</v>
      </c>
      <c r="G2381" s="12">
        <f ca="1">IFERROR(__xludf.DUMMYFUNCTION(" VLOOKUP(A2378, IMPORTRANGE(""https://docs.google.com/spreadsheets/d/1fj_Bhi2XPL3siwIh4sx4VRLAe31yD50oKdj5UlRYW0c/"", ""Сводка!A:AA""), 5, FALSE)"),252)</f>
        <v>252</v>
      </c>
      <c r="H2381" s="12" t="s">
        <v>24</v>
      </c>
      <c r="I2381" s="10">
        <f ca="1">IFERROR(__xludf.DUMMYFUNCTION(" VLOOKUP(A2378, IMPORTRANGE(""https://docs.google.com/spreadsheets/d/1QNLbnkR_AongFt22vMfNzfpjZ0CjpI8QI-w0wBnYA1w/"", ""Инфа!A:AA""), 6, FALSE)"),2024)</f>
        <v>2024</v>
      </c>
      <c r="J2381" s="5">
        <f ca="1">ROUND((5000+G2381*60),-2)</f>
        <v>20100</v>
      </c>
      <c r="K2381" s="12" t="s">
        <v>257</v>
      </c>
      <c r="L2381" s="15" t="s">
        <v>9518</v>
      </c>
    </row>
    <row r="2382" spans="1:12" ht="281.25">
      <c r="A2382" s="8" t="s">
        <v>9519</v>
      </c>
      <c r="B2382" s="9" t="s">
        <v>12</v>
      </c>
      <c r="C2382" s="10" t="s">
        <v>443</v>
      </c>
      <c r="D2382" s="10" t="str">
        <f ca="1">IFERROR(__xludf.DUMMYFUNCTION(" VLOOKUP(A2379, IMPORTRANGE(""https://docs.google.com/spreadsheets/d/1fj_Bhi2XPL3siwIh4sx4VRLAe31yD50oKdj5UlRYW0c/"", ""Сводка!A:AA""), 11, FALSE)"),"978-601-342-231-2")</f>
        <v>978-601-342-231-2</v>
      </c>
      <c r="E2382" s="45" t="s">
        <v>9520</v>
      </c>
      <c r="F2382" s="11" t="s">
        <v>9521</v>
      </c>
      <c r="G2382" s="12">
        <f ca="1">IFERROR(__xludf.DUMMYFUNCTION(" VLOOKUP(A2379, IMPORTRANGE(""https://docs.google.com/spreadsheets/d/1fj_Bhi2XPL3siwIh4sx4VRLAe31yD50oKdj5UlRYW0c/"", ""Сводка!A:AA""), 5, FALSE)"),304)</f>
        <v>304</v>
      </c>
      <c r="H2382" s="12" t="s">
        <v>106</v>
      </c>
      <c r="I2382" s="10">
        <f ca="1">IFERROR(__xludf.DUMMYFUNCTION(" VLOOKUP(A2379, IMPORTRANGE(""https://docs.google.com/spreadsheets/d/1QNLbnkR_AongFt22vMfNzfpjZ0CjpI8QI-w0wBnYA1w/"", ""Инфа!A:AA""), 6, FALSE)"),2024)</f>
        <v>2024</v>
      </c>
      <c r="J2382" s="5">
        <f ca="1">ROUND((5000+G2382*60),-2)</f>
        <v>23200</v>
      </c>
      <c r="K2382" s="12" t="s">
        <v>26</v>
      </c>
      <c r="L2382" s="15" t="s">
        <v>9522</v>
      </c>
    </row>
    <row r="2383" spans="1:12" ht="135">
      <c r="A2383" s="8" t="s">
        <v>9523</v>
      </c>
      <c r="B2383" s="9" t="s">
        <v>12</v>
      </c>
      <c r="C2383" s="10" t="s">
        <v>443</v>
      </c>
      <c r="D2383" s="10" t="str">
        <f ca="1">IFERROR(__xludf.DUMMYFUNCTION(" VLOOKUP(A2380, IMPORTRANGE(""https://docs.google.com/spreadsheets/d/1fj_Bhi2XPL3siwIh4sx4VRLAe31yD50oKdj5UlRYW0c/"", ""Сводка!A:AA""), 11, FALSE)"),"978-601-327-828-5")</f>
        <v>978-601-327-828-5</v>
      </c>
      <c r="E2383" s="11" t="s">
        <v>9524</v>
      </c>
      <c r="F2383" s="11" t="s">
        <v>972</v>
      </c>
      <c r="G2383" s="12">
        <f ca="1">IFERROR(__xludf.DUMMYFUNCTION(" VLOOKUP(A2380, IMPORTRANGE(""https://docs.google.com/spreadsheets/d/1fj_Bhi2XPL3siwIh4sx4VRLAe31yD50oKdj5UlRYW0c/"", ""Сводка!A:AA""), 5, FALSE)"),332)</f>
        <v>332</v>
      </c>
      <c r="H2383" s="12" t="s">
        <v>538</v>
      </c>
      <c r="I2383" s="10">
        <f ca="1">IFERROR(__xludf.DUMMYFUNCTION(" VLOOKUP(A2380, IMPORTRANGE(""https://docs.google.com/spreadsheets/d/1QNLbnkR_AongFt22vMfNzfpjZ0CjpI8QI-w0wBnYA1w/"", ""Инфа!A:AA""), 6, FALSE)"),2024)</f>
        <v>2024</v>
      </c>
      <c r="J2383" s="5">
        <f t="shared" ref="J2383:J2392" ca="1" si="81">ROUND((5000+G2383*30),-2)</f>
        <v>15000</v>
      </c>
      <c r="K2383" s="12" t="s">
        <v>160</v>
      </c>
      <c r="L2383" s="15" t="s">
        <v>9525</v>
      </c>
    </row>
    <row r="2384" spans="1:12" ht="146.25">
      <c r="A2384" s="8" t="s">
        <v>9526</v>
      </c>
      <c r="B2384" s="9" t="s">
        <v>12</v>
      </c>
      <c r="C2384" s="10" t="s">
        <v>443</v>
      </c>
      <c r="D2384" s="10" t="str">
        <f ca="1">IFERROR(__xludf.DUMMYFUNCTION(" VLOOKUP(A2381, IMPORTRANGE(""https://docs.google.com/spreadsheets/d/1fj_Bhi2XPL3siwIh4sx4VRLAe31yD50oKdj5UlRYW0c/"", ""Сводка!A:AA""), 11, FALSE)"),"978-601-301-094-6")</f>
        <v>978-601-301-094-6</v>
      </c>
      <c r="E2384" s="11" t="s">
        <v>9527</v>
      </c>
      <c r="F2384" s="11" t="s">
        <v>9528</v>
      </c>
      <c r="G2384" s="12">
        <f ca="1">IFERROR(__xludf.DUMMYFUNCTION(" VLOOKUP(A2381, IMPORTRANGE(""https://docs.google.com/spreadsheets/d/1fj_Bhi2XPL3siwIh4sx4VRLAe31yD50oKdj5UlRYW0c/"", ""Сводка!A:AA""), 5, FALSE)"),284)</f>
        <v>284</v>
      </c>
      <c r="H2384" s="12" t="s">
        <v>538</v>
      </c>
      <c r="I2384" s="10">
        <f ca="1">IFERROR(__xludf.DUMMYFUNCTION(" VLOOKUP(A2381, IMPORTRANGE(""https://docs.google.com/spreadsheets/d/1QNLbnkR_AongFt22vMfNzfpjZ0CjpI8QI-w0wBnYA1w/"", ""Инфа!A:AA""), 6, FALSE)"),2024)</f>
        <v>2024</v>
      </c>
      <c r="J2384" s="5">
        <f t="shared" ca="1" si="81"/>
        <v>13500</v>
      </c>
      <c r="K2384" s="9" t="s">
        <v>539</v>
      </c>
      <c r="L2384" s="15" t="s">
        <v>9529</v>
      </c>
    </row>
    <row r="2385" spans="1:12" ht="123.75">
      <c r="A2385" s="8" t="s">
        <v>9530</v>
      </c>
      <c r="B2385" s="9" t="s">
        <v>12</v>
      </c>
      <c r="C2385" s="10" t="s">
        <v>443</v>
      </c>
      <c r="D2385" s="10" t="str">
        <f ca="1">IFERROR(__xludf.DUMMYFUNCTION(" VLOOKUP(A2382, IMPORTRANGE(""https://docs.google.com/spreadsheets/d/1fj_Bhi2XPL3siwIh4sx4VRLAe31yD50oKdj5UlRYW0c/"", ""Сводка!A:AA""), 11, FALSE)"),"9965-580-77-4")</f>
        <v>9965-580-77-4</v>
      </c>
      <c r="E2385" s="11" t="s">
        <v>9531</v>
      </c>
      <c r="F2385" s="11" t="s">
        <v>9532</v>
      </c>
      <c r="G2385" s="12">
        <f ca="1">IFERROR(__xludf.DUMMYFUNCTION(" VLOOKUP(A2382, IMPORTRANGE(""https://docs.google.com/spreadsheets/d/1fj_Bhi2XPL3siwIh4sx4VRLAe31yD50oKdj5UlRYW0c/"", ""Сводка!A:AA""), 5, FALSE)"),100)</f>
        <v>100</v>
      </c>
      <c r="H2385" s="12" t="s">
        <v>538</v>
      </c>
      <c r="I2385" s="10">
        <f ca="1">IFERROR(__xludf.DUMMYFUNCTION(" VLOOKUP(A2382, IMPORTRANGE(""https://docs.google.com/spreadsheets/d/1QNLbnkR_AongFt22vMfNzfpjZ0CjpI8QI-w0wBnYA1w/"", ""Инфа!A:AA""), 6, FALSE)"),2024)</f>
        <v>2024</v>
      </c>
      <c r="J2385" s="5">
        <f t="shared" ca="1" si="81"/>
        <v>8000</v>
      </c>
      <c r="K2385" s="12" t="s">
        <v>213</v>
      </c>
      <c r="L2385" s="15" t="s">
        <v>9533</v>
      </c>
    </row>
    <row r="2386" spans="1:12" ht="25.5">
      <c r="A2386" s="8" t="s">
        <v>9534</v>
      </c>
      <c r="B2386" s="9" t="s">
        <v>12</v>
      </c>
      <c r="C2386" s="10" t="s">
        <v>151</v>
      </c>
      <c r="D2386" s="10" t="str">
        <f ca="1">IFERROR(__xludf.DUMMYFUNCTION(" VLOOKUP(A2383, IMPORTRANGE(""https://docs.google.com/spreadsheets/d/1fj_Bhi2XPL3siwIh4sx4VRLAe31yD50oKdj5UlRYW0c/"", ""Сводка!A:AA""), 11, FALSE)"),"978 601-7269-14-2")</f>
        <v>978 601-7269-14-2</v>
      </c>
      <c r="E2386" s="11" t="s">
        <v>9531</v>
      </c>
      <c r="F2386" s="11" t="s">
        <v>9535</v>
      </c>
      <c r="G2386" s="12">
        <f ca="1">IFERROR(__xludf.DUMMYFUNCTION(" VLOOKUP(A2383, IMPORTRANGE(""https://docs.google.com/spreadsheets/d/1fj_Bhi2XPL3siwIh4sx4VRLAe31yD50oKdj5UlRYW0c/"", ""Сводка!A:AA""), 5, FALSE)"),132)</f>
        <v>132</v>
      </c>
      <c r="H2386" s="12" t="s">
        <v>47</v>
      </c>
      <c r="I2386" s="10">
        <f ca="1">IFERROR(__xludf.DUMMYFUNCTION(" VLOOKUP(A2383, IMPORTRANGE(""https://docs.google.com/spreadsheets/d/1QNLbnkR_AongFt22vMfNzfpjZ0CjpI8QI-w0wBnYA1w/"", ""Инфа!A:AA""), 6, FALSE)"),2024)</f>
        <v>2024</v>
      </c>
      <c r="J2386" s="5">
        <f t="shared" ca="1" si="81"/>
        <v>9000</v>
      </c>
      <c r="K2386" s="12" t="s">
        <v>213</v>
      </c>
      <c r="L2386" s="15"/>
    </row>
    <row r="2387" spans="1:12" ht="180">
      <c r="A2387" s="8" t="s">
        <v>9536</v>
      </c>
      <c r="B2387" s="9" t="s">
        <v>12</v>
      </c>
      <c r="C2387" s="10" t="s">
        <v>443</v>
      </c>
      <c r="D2387" s="10" t="str">
        <f ca="1">IFERROR(__xludf.DUMMYFUNCTION(" VLOOKUP(A2384, IMPORTRANGE(""https://docs.google.com/spreadsheets/d/1fj_Bhi2XPL3siwIh4sx4VRLAe31yD50oKdj5UlRYW0c/"", ""Сводка!A:AA""), 11, FALSE)"),"978-601-240-308-4")</f>
        <v>978-601-240-308-4</v>
      </c>
      <c r="E2387" s="11" t="s">
        <v>9537</v>
      </c>
      <c r="F2387" s="11" t="s">
        <v>9538</v>
      </c>
      <c r="G2387" s="12">
        <f ca="1">IFERROR(__xludf.DUMMYFUNCTION(" VLOOKUP(A2384, IMPORTRANGE(""https://docs.google.com/spreadsheets/d/1fj_Bhi2XPL3siwIh4sx4VRLAe31yD50oKdj5UlRYW0c/"", ""Сводка!A:AA""), 5, FALSE)"),116)</f>
        <v>116</v>
      </c>
      <c r="H2387" s="12" t="s">
        <v>538</v>
      </c>
      <c r="I2387" s="10">
        <f ca="1">IFERROR(__xludf.DUMMYFUNCTION(" VLOOKUP(A2384, IMPORTRANGE(""https://docs.google.com/spreadsheets/d/1QNLbnkR_AongFt22vMfNzfpjZ0CjpI8QI-w0wBnYA1w/"", ""Инфа!A:AA""), 6, FALSE)"),2024)</f>
        <v>2024</v>
      </c>
      <c r="J2387" s="5">
        <f t="shared" ca="1" si="81"/>
        <v>8500</v>
      </c>
      <c r="K2387" s="12" t="s">
        <v>1147</v>
      </c>
      <c r="L2387" s="15" t="s">
        <v>9539</v>
      </c>
    </row>
    <row r="2388" spans="1:12" ht="168.75">
      <c r="A2388" s="8" t="s">
        <v>9540</v>
      </c>
      <c r="B2388" s="9" t="s">
        <v>12</v>
      </c>
      <c r="C2388" s="10" t="s">
        <v>443</v>
      </c>
      <c r="D2388" s="10" t="str">
        <f ca="1">IFERROR(__xludf.DUMMYFUNCTION(" VLOOKUP(A2385, IMPORTRANGE(""https://docs.google.com/spreadsheets/d/1fj_Bhi2XPL3siwIh4sx4VRLAe31yD50oKdj5UlRYW0c/"", ""Сводка!A:AA""), 11, FALSE)"),"978-601-337-069-9")</f>
        <v>978-601-337-069-9</v>
      </c>
      <c r="E2388" s="11" t="s">
        <v>9541</v>
      </c>
      <c r="F2388" s="11" t="s">
        <v>9542</v>
      </c>
      <c r="G2388" s="12">
        <f ca="1">IFERROR(__xludf.DUMMYFUNCTION(" VLOOKUP(A2385, IMPORTRANGE(""https://docs.google.com/spreadsheets/d/1fj_Bhi2XPL3siwIh4sx4VRLAe31yD50oKdj5UlRYW0c/"", ""Сводка!A:AA""), 5, FALSE)"),108)</f>
        <v>108</v>
      </c>
      <c r="H2388" s="13" t="s">
        <v>538</v>
      </c>
      <c r="I2388" s="10">
        <f ca="1">IFERROR(__xludf.DUMMYFUNCTION(" VLOOKUP(A2385, IMPORTRANGE(""https://docs.google.com/spreadsheets/d/1QNLbnkR_AongFt22vMfNzfpjZ0CjpI8QI-w0wBnYA1w/"", ""Инфа!A:AA""), 6, FALSE)"),2024)</f>
        <v>2024</v>
      </c>
      <c r="J2388" s="5">
        <f t="shared" ca="1" si="81"/>
        <v>8200</v>
      </c>
      <c r="K2388" s="12" t="s">
        <v>5309</v>
      </c>
      <c r="L2388" s="15" t="s">
        <v>9543</v>
      </c>
    </row>
    <row r="2389" spans="1:12" ht="25.5">
      <c r="A2389" s="8" t="s">
        <v>9544</v>
      </c>
      <c r="B2389" s="9" t="s">
        <v>12</v>
      </c>
      <c r="C2389" s="10" t="s">
        <v>443</v>
      </c>
      <c r="D2389" s="10" t="str">
        <f ca="1">IFERROR(__xludf.DUMMYFUNCTION(" VLOOKUP(A2386, IMPORTRANGE(""https://docs.google.com/spreadsheets/d/1fj_Bhi2XPL3siwIh4sx4VRLAe31yD50oKdj5UlRYW0c/"", ""Сводка!A:AA""), 11, FALSE)"),"9965-769-91-5")</f>
        <v>9965-769-91-5</v>
      </c>
      <c r="E2389" s="11" t="s">
        <v>9545</v>
      </c>
      <c r="F2389" s="11" t="s">
        <v>9546</v>
      </c>
      <c r="G2389" s="12">
        <f ca="1">IFERROR(__xludf.DUMMYFUNCTION(" VLOOKUP(A2386, IMPORTRANGE(""https://docs.google.com/spreadsheets/d/1fj_Bhi2XPL3siwIh4sx4VRLAe31yD50oKdj5UlRYW0c/"", ""Сводка!A:AA""), 5, FALSE)"),116)</f>
        <v>116</v>
      </c>
      <c r="H2389" s="12" t="s">
        <v>538</v>
      </c>
      <c r="I2389" s="10">
        <f ca="1">IFERROR(__xludf.DUMMYFUNCTION(" VLOOKUP(A2386, IMPORTRANGE(""https://docs.google.com/spreadsheets/d/1QNLbnkR_AongFt22vMfNzfpjZ0CjpI8QI-w0wBnYA1w/"", ""Инфа!A:AA""), 6, FALSE)"),2024)</f>
        <v>2024</v>
      </c>
      <c r="J2389" s="5">
        <f t="shared" ca="1" si="81"/>
        <v>8500</v>
      </c>
      <c r="K2389" s="12" t="s">
        <v>26</v>
      </c>
      <c r="L2389" s="15"/>
    </row>
    <row r="2390" spans="1:12" ht="25.5">
      <c r="A2390" s="8" t="s">
        <v>9547</v>
      </c>
      <c r="B2390" s="9" t="s">
        <v>12</v>
      </c>
      <c r="C2390" s="10" t="s">
        <v>443</v>
      </c>
      <c r="D2390" s="10" t="str">
        <f ca="1">IFERROR(__xludf.DUMMYFUNCTION(" VLOOKUP(A2387, IMPORTRANGE(""https://docs.google.com/spreadsheets/d/1fj_Bhi2XPL3siwIh4sx4VRLAe31yD50oKdj5UlRYW0c/"", ""Сводка!A:AA""), 11, FALSE)"),"9965-505-19-5")</f>
        <v>9965-505-19-5</v>
      </c>
      <c r="E2390" s="11" t="s">
        <v>9548</v>
      </c>
      <c r="F2390" s="11" t="s">
        <v>9549</v>
      </c>
      <c r="G2390" s="12">
        <f ca="1">IFERROR(__xludf.DUMMYFUNCTION(" VLOOKUP(A2387, IMPORTRANGE(""https://docs.google.com/spreadsheets/d/1fj_Bhi2XPL3siwIh4sx4VRLAe31yD50oKdj5UlRYW0c/"", ""Сводка!A:AA""), 5, FALSE)"),220)</f>
        <v>220</v>
      </c>
      <c r="H2390" s="12" t="s">
        <v>538</v>
      </c>
      <c r="I2390" s="10">
        <f ca="1">IFERROR(__xludf.DUMMYFUNCTION(" VLOOKUP(A2387, IMPORTRANGE(""https://docs.google.com/spreadsheets/d/1QNLbnkR_AongFt22vMfNzfpjZ0CjpI8QI-w0wBnYA1w/"", ""Инфа!A:AA""), 6, FALSE)"),2024)</f>
        <v>2024</v>
      </c>
      <c r="J2390" s="5">
        <f t="shared" ca="1" si="81"/>
        <v>11600</v>
      </c>
      <c r="K2390" s="9" t="s">
        <v>575</v>
      </c>
      <c r="L2390" s="15"/>
    </row>
    <row r="2391" spans="1:12" ht="258.75">
      <c r="A2391" s="8" t="s">
        <v>9550</v>
      </c>
      <c r="B2391" s="9" t="s">
        <v>12</v>
      </c>
      <c r="C2391" s="10" t="s">
        <v>443</v>
      </c>
      <c r="D2391" s="10" t="str">
        <f ca="1">IFERROR(__xludf.DUMMYFUNCTION(" VLOOKUP(A2388, IMPORTRANGE(""https://docs.google.com/spreadsheets/d/1fj_Bhi2XPL3siwIh4sx4VRLAe31yD50oKdj5UlRYW0c/"", ""Сводка!A:AA""), 11, FALSE)"),"978-601-7173-53-1")</f>
        <v>978-601-7173-53-1</v>
      </c>
      <c r="E2391" s="19" t="s">
        <v>9551</v>
      </c>
      <c r="F2391" s="19" t="s">
        <v>9552</v>
      </c>
      <c r="G2391" s="12">
        <f ca="1">IFERROR(__xludf.DUMMYFUNCTION(" VLOOKUP(A2388, IMPORTRANGE(""https://docs.google.com/spreadsheets/d/1fj_Bhi2XPL3siwIh4sx4VRLAe31yD50oKdj5UlRYW0c/"", ""Сводка!A:AA""), 5, FALSE)"),204)</f>
        <v>204</v>
      </c>
      <c r="H2391" s="9" t="s">
        <v>538</v>
      </c>
      <c r="I2391" s="10">
        <f ca="1">IFERROR(__xludf.DUMMYFUNCTION(" VLOOKUP(A2388, IMPORTRANGE(""https://docs.google.com/spreadsheets/d/1QNLbnkR_AongFt22vMfNzfpjZ0CjpI8QI-w0wBnYA1w/"", ""Инфа!A:AA""), 6, FALSE)"),2024)</f>
        <v>2024</v>
      </c>
      <c r="J2391" s="5">
        <f t="shared" ca="1" si="81"/>
        <v>11100</v>
      </c>
      <c r="K2391" s="9" t="s">
        <v>539</v>
      </c>
      <c r="L2391" s="15" t="s">
        <v>9553</v>
      </c>
    </row>
    <row r="2392" spans="1:12" ht="213.75">
      <c r="A2392" s="8" t="s">
        <v>9554</v>
      </c>
      <c r="B2392" s="9" t="s">
        <v>12</v>
      </c>
      <c r="C2392" s="10" t="s">
        <v>443</v>
      </c>
      <c r="D2392" s="10" t="str">
        <f ca="1">IFERROR(__xludf.DUMMYFUNCTION(" VLOOKUP(A2389, IMPORTRANGE(""https://docs.google.com/spreadsheets/d/1fj_Bhi2XPL3siwIh4sx4VRLAe31yD50oKdj5UlRYW0c/"", ""Сводка!A:AA""), 11, FALSE)"),"978-601-240-642-9")</f>
        <v>978-601-240-642-9</v>
      </c>
      <c r="E2392" s="19" t="s">
        <v>9551</v>
      </c>
      <c r="F2392" s="19" t="s">
        <v>9555</v>
      </c>
      <c r="G2392" s="12">
        <f ca="1">IFERROR(__xludf.DUMMYFUNCTION(" VLOOKUP(A2389, IMPORTRANGE(""https://docs.google.com/spreadsheets/d/1fj_Bhi2XPL3siwIh4sx4VRLAe31yD50oKdj5UlRYW0c/"", ""Сводка!A:AA""), 5, FALSE)"),212)</f>
        <v>212</v>
      </c>
      <c r="H2392" s="9" t="s">
        <v>538</v>
      </c>
      <c r="I2392" s="10">
        <f ca="1">IFERROR(__xludf.DUMMYFUNCTION(" VLOOKUP(A2389, IMPORTRANGE(""https://docs.google.com/spreadsheets/d/1QNLbnkR_AongFt22vMfNzfpjZ0CjpI8QI-w0wBnYA1w/"", ""Инфа!A:AA""), 6, FALSE)"),2024)</f>
        <v>2024</v>
      </c>
      <c r="J2392" s="5">
        <f t="shared" ca="1" si="81"/>
        <v>11400</v>
      </c>
      <c r="K2392" s="9" t="s">
        <v>539</v>
      </c>
      <c r="L2392" s="15" t="s">
        <v>9556</v>
      </c>
    </row>
    <row r="2393" spans="1:12" ht="191.25">
      <c r="A2393" s="8" t="s">
        <v>9557</v>
      </c>
      <c r="B2393" s="9" t="s">
        <v>12</v>
      </c>
      <c r="C2393" s="10" t="s">
        <v>443</v>
      </c>
      <c r="D2393" s="10" t="str">
        <f ca="1">IFERROR(__xludf.DUMMYFUNCTION(" VLOOKUP(A2390, IMPORTRANGE(""https://docs.google.com/spreadsheets/d/1fj_Bhi2XPL3siwIh4sx4VRLAe31yD50oKdj5UlRYW0c/"", ""Сводка!A:AA""), 11, FALSE)"),"978-601-342-217-6")</f>
        <v>978-601-342-217-6</v>
      </c>
      <c r="E2393" s="11" t="s">
        <v>9558</v>
      </c>
      <c r="F2393" s="11" t="s">
        <v>9559</v>
      </c>
      <c r="G2393" s="12">
        <f ca="1">IFERROR(__xludf.DUMMYFUNCTION(" VLOOKUP(A2390, IMPORTRANGE(""https://docs.google.com/spreadsheets/d/1fj_Bhi2XPL3siwIh4sx4VRLAe31yD50oKdj5UlRYW0c/"", ""Сводка!A:AA""), 5, FALSE)"),268)</f>
        <v>268</v>
      </c>
      <c r="H2393" s="12" t="s">
        <v>1568</v>
      </c>
      <c r="I2393" s="10">
        <f ca="1">IFERROR(__xludf.DUMMYFUNCTION(" VLOOKUP(A2390, IMPORTRANGE(""https://docs.google.com/spreadsheets/d/1QNLbnkR_AongFt22vMfNzfpjZ0CjpI8QI-w0wBnYA1w/"", ""Инфа!A:AA""), 6, FALSE)"),2024)</f>
        <v>2024</v>
      </c>
      <c r="J2393" s="5">
        <f ca="1">ROUND((5000+G2393*60),-2)</f>
        <v>21100</v>
      </c>
      <c r="K2393" s="12" t="s">
        <v>9560</v>
      </c>
      <c r="L2393" s="15" t="s">
        <v>9561</v>
      </c>
    </row>
    <row r="2394" spans="1:12" ht="157.5">
      <c r="A2394" s="8" t="s">
        <v>9562</v>
      </c>
      <c r="B2394" s="9" t="s">
        <v>12</v>
      </c>
      <c r="C2394" s="10" t="s">
        <v>443</v>
      </c>
      <c r="D2394" s="10" t="str">
        <f ca="1">IFERROR(__xludf.DUMMYFUNCTION(" VLOOKUP(A2391, IMPORTRANGE(""https://docs.google.com/spreadsheets/d/1fj_Bhi2XPL3siwIh4sx4VRLAe31yD50oKdj5UlRYW0c/"", ""Сводка!A:AA""), 11, FALSE)"),"978-601-327-413-3")</f>
        <v>978-601-327-413-3</v>
      </c>
      <c r="E2394" s="11" t="s">
        <v>9563</v>
      </c>
      <c r="F2394" s="11" t="s">
        <v>9564</v>
      </c>
      <c r="G2394" s="12">
        <f ca="1">IFERROR(__xludf.DUMMYFUNCTION(" VLOOKUP(A2391, IMPORTRANGE(""https://docs.google.com/spreadsheets/d/1fj_Bhi2XPL3siwIh4sx4VRLAe31yD50oKdj5UlRYW0c/"", ""Сводка!A:AA""), 5, FALSE)"),164)</f>
        <v>164</v>
      </c>
      <c r="H2394" s="12" t="s">
        <v>446</v>
      </c>
      <c r="I2394" s="10">
        <f ca="1">IFERROR(__xludf.DUMMYFUNCTION(" VLOOKUP(A2391, IMPORTRANGE(""https://docs.google.com/spreadsheets/d/1QNLbnkR_AongFt22vMfNzfpjZ0CjpI8QI-w0wBnYA1w/"", ""Инфа!A:AA""), 6, FALSE)"),2024)</f>
        <v>2024</v>
      </c>
      <c r="J2394" s="5">
        <f ca="1">ROUND((5000+G2394*60),-2)</f>
        <v>14800</v>
      </c>
      <c r="K2394" s="12" t="s">
        <v>63</v>
      </c>
      <c r="L2394" s="15" t="s">
        <v>9565</v>
      </c>
    </row>
    <row r="2395" spans="1:12" ht="180">
      <c r="A2395" s="8" t="s">
        <v>9566</v>
      </c>
      <c r="B2395" s="9" t="s">
        <v>12</v>
      </c>
      <c r="C2395" s="10" t="s">
        <v>443</v>
      </c>
      <c r="D2395" s="10" t="str">
        <f ca="1">IFERROR(__xludf.DUMMYFUNCTION(" VLOOKUP(A2392, IMPORTRANGE(""https://docs.google.com/spreadsheets/d/1fj_Bhi2XPL3siwIh4sx4VRLAe31yD50oKdj5UlRYW0c/"", ""Сводка!A:AA""), 11, FALSE)"),"978-601-352-662-1")</f>
        <v>978-601-352-662-1</v>
      </c>
      <c r="E2395" s="11" t="s">
        <v>9567</v>
      </c>
      <c r="F2395" s="11" t="s">
        <v>561</v>
      </c>
      <c r="G2395" s="12">
        <f ca="1">IFERROR(__xludf.DUMMYFUNCTION(" VLOOKUP(A2392, IMPORTRANGE(""https://docs.google.com/spreadsheets/d/1fj_Bhi2XPL3siwIh4sx4VRLAe31yD50oKdj5UlRYW0c/"", ""Сводка!A:AA""), 5, FALSE)"),240)</f>
        <v>240</v>
      </c>
      <c r="H2395" s="12" t="s">
        <v>446</v>
      </c>
      <c r="I2395" s="10">
        <f ca="1">IFERROR(__xludf.DUMMYFUNCTION(" VLOOKUP(A2392, IMPORTRANGE(""https://docs.google.com/spreadsheets/d/1QNLbnkR_AongFt22vMfNzfpjZ0CjpI8QI-w0wBnYA1w/"", ""Инфа!A:AA""), 6, FALSE)"),2024)</f>
        <v>2024</v>
      </c>
      <c r="J2395" s="5">
        <f ca="1">ROUND((5000+G2395*30),-2)</f>
        <v>12200</v>
      </c>
      <c r="K2395" s="9" t="s">
        <v>539</v>
      </c>
      <c r="L2395" s="15" t="s">
        <v>9568</v>
      </c>
    </row>
    <row r="2396" spans="1:12" ht="146.25">
      <c r="A2396" s="8" t="s">
        <v>9569</v>
      </c>
      <c r="B2396" s="9" t="s">
        <v>12</v>
      </c>
      <c r="C2396" s="10" t="s">
        <v>443</v>
      </c>
      <c r="D2396" s="10" t="str">
        <f ca="1">IFERROR(__xludf.DUMMYFUNCTION(" VLOOKUP(A2393, IMPORTRANGE(""https://docs.google.com/spreadsheets/d/1fj_Bhi2XPL3siwIh4sx4VRLAe31yD50oKdj5UlRYW0c/"", ""Сводка!A:AA""), 11, FALSE)"),"978-601-342-382-1")</f>
        <v>978-601-342-382-1</v>
      </c>
      <c r="E2396" s="11" t="s">
        <v>9567</v>
      </c>
      <c r="F2396" s="11" t="s">
        <v>3628</v>
      </c>
      <c r="G2396" s="12">
        <f ca="1">IFERROR(__xludf.DUMMYFUNCTION(" VLOOKUP(A2393, IMPORTRANGE(""https://docs.google.com/spreadsheets/d/1fj_Bhi2XPL3siwIh4sx4VRLAe31yD50oKdj5UlRYW0c/"", ""Сводка!A:AA""), 5, FALSE)"),252)</f>
        <v>252</v>
      </c>
      <c r="H2396" s="12" t="s">
        <v>446</v>
      </c>
      <c r="I2396" s="10">
        <f ca="1">IFERROR(__xludf.DUMMYFUNCTION(" VLOOKUP(A2393, IMPORTRANGE(""https://docs.google.com/spreadsheets/d/1QNLbnkR_AongFt22vMfNzfpjZ0CjpI8QI-w0wBnYA1w/"", ""Инфа!A:AA""), 6, FALSE)"),2024)</f>
        <v>2024</v>
      </c>
      <c r="J2396" s="5">
        <f ca="1">ROUND((5000+G2396*60),-2)</f>
        <v>20100</v>
      </c>
      <c r="K2396" s="9" t="s">
        <v>539</v>
      </c>
      <c r="L2396" s="15" t="s">
        <v>9570</v>
      </c>
    </row>
    <row r="2397" spans="1:12" ht="146.25">
      <c r="A2397" s="8" t="s">
        <v>9571</v>
      </c>
      <c r="B2397" s="9" t="s">
        <v>12</v>
      </c>
      <c r="C2397" s="10" t="s">
        <v>443</v>
      </c>
      <c r="D2397" s="10" t="str">
        <f ca="1">IFERROR(__xludf.DUMMYFUNCTION(" VLOOKUP(A2394, IMPORTRANGE(""https://docs.google.com/spreadsheets/d/1fj_Bhi2XPL3siwIh4sx4VRLAe31yD50oKdj5UlRYW0c/"", ""Сводка!A:AA""), 11, FALSE)"),"978-601-310-357-0")</f>
        <v>978-601-310-357-0</v>
      </c>
      <c r="E2397" s="11" t="s">
        <v>9572</v>
      </c>
      <c r="F2397" s="11" t="s">
        <v>9573</v>
      </c>
      <c r="G2397" s="12">
        <f ca="1">IFERROR(__xludf.DUMMYFUNCTION(" VLOOKUP(A2394, IMPORTRANGE(""https://docs.google.com/spreadsheets/d/1fj_Bhi2XPL3siwIh4sx4VRLAe31yD50oKdj5UlRYW0c/"", ""Сводка!A:AA""), 5, FALSE)"),128)</f>
        <v>128</v>
      </c>
      <c r="H2397" s="12" t="s">
        <v>538</v>
      </c>
      <c r="I2397" s="10">
        <f ca="1">IFERROR(__xludf.DUMMYFUNCTION(" VLOOKUP(A2394, IMPORTRANGE(""https://docs.google.com/spreadsheets/d/1QNLbnkR_AongFt22vMfNzfpjZ0CjpI8QI-w0wBnYA1w/"", ""Инфа!A:AA""), 6, FALSE)"),2024)</f>
        <v>2024</v>
      </c>
      <c r="J2397" s="5">
        <f t="shared" ref="J2397:J2403" ca="1" si="82">ROUND((5000+G2397*30),-2)</f>
        <v>8800</v>
      </c>
      <c r="K2397" s="12" t="s">
        <v>213</v>
      </c>
      <c r="L2397" s="15" t="s">
        <v>9574</v>
      </c>
    </row>
    <row r="2398" spans="1:12" ht="236.25">
      <c r="A2398" s="8" t="s">
        <v>9575</v>
      </c>
      <c r="B2398" s="9" t="s">
        <v>12</v>
      </c>
      <c r="C2398" s="10" t="s">
        <v>443</v>
      </c>
      <c r="D2398" s="10" t="str">
        <f ca="1">IFERROR(__xludf.DUMMYFUNCTION(" VLOOKUP(A2395, IMPORTRANGE(""https://docs.google.com/spreadsheets/d/1fj_Bhi2XPL3siwIh4sx4VRLAe31yD50oKdj5UlRYW0c/"", ""Сводка!A:AA""), 11, FALSE)"),"978-601-327-044-9")</f>
        <v>978-601-327-044-9</v>
      </c>
      <c r="E2398" s="11" t="s">
        <v>9576</v>
      </c>
      <c r="F2398" s="11" t="s">
        <v>9577</v>
      </c>
      <c r="G2398" s="12">
        <f ca="1">IFERROR(__xludf.DUMMYFUNCTION(" VLOOKUP(A2395, IMPORTRANGE(""https://docs.google.com/spreadsheets/d/1fj_Bhi2XPL3siwIh4sx4VRLAe31yD50oKdj5UlRYW0c/"", ""Сводка!A:AA""), 5, FALSE)"),156)</f>
        <v>156</v>
      </c>
      <c r="H2398" s="12" t="s">
        <v>165</v>
      </c>
      <c r="I2398" s="10">
        <f ca="1">IFERROR(__xludf.DUMMYFUNCTION(" VLOOKUP(A2395, IMPORTRANGE(""https://docs.google.com/spreadsheets/d/1QNLbnkR_AongFt22vMfNzfpjZ0CjpI8QI-w0wBnYA1w/"", ""Инфа!A:AA""), 6, FALSE)"),2024)</f>
        <v>2024</v>
      </c>
      <c r="J2398" s="5">
        <f t="shared" ca="1" si="82"/>
        <v>9700</v>
      </c>
      <c r="K2398" s="12" t="s">
        <v>1219</v>
      </c>
      <c r="L2398" s="15" t="s">
        <v>9578</v>
      </c>
    </row>
    <row r="2399" spans="1:12" ht="123.75">
      <c r="A2399" s="8" t="s">
        <v>9579</v>
      </c>
      <c r="B2399" s="9" t="s">
        <v>12</v>
      </c>
      <c r="C2399" s="10" t="s">
        <v>443</v>
      </c>
      <c r="D2399" s="10" t="str">
        <f ca="1">IFERROR(__xludf.DUMMYFUNCTION(" VLOOKUP(A2396, IMPORTRANGE(""https://docs.google.com/spreadsheets/d/1fj_Bhi2XPL3siwIh4sx4VRLAe31yD50oKdj5UlRYW0c/"", ""Сводка!A:AA""), 11, FALSE)"),"978-601-240-326-8")</f>
        <v>978-601-240-326-8</v>
      </c>
      <c r="E2399" s="25" t="s">
        <v>9580</v>
      </c>
      <c r="F2399" s="25" t="s">
        <v>9581</v>
      </c>
      <c r="G2399" s="12">
        <f ca="1">IFERROR(__xludf.DUMMYFUNCTION(" VLOOKUP(A2396, IMPORTRANGE(""https://docs.google.com/spreadsheets/d/1fj_Bhi2XPL3siwIh4sx4VRLAe31yD50oKdj5UlRYW0c/"", ""Сводка!A:AA""), 5, FALSE)"),188)</f>
        <v>188</v>
      </c>
      <c r="H2399" s="26" t="s">
        <v>538</v>
      </c>
      <c r="I2399" s="10">
        <f ca="1">IFERROR(__xludf.DUMMYFUNCTION(" VLOOKUP(A2396, IMPORTRANGE(""https://docs.google.com/spreadsheets/d/1QNLbnkR_AongFt22vMfNzfpjZ0CjpI8QI-w0wBnYA1w/"", ""Инфа!A:AA""), 6, FALSE)"),2024)</f>
        <v>2024</v>
      </c>
      <c r="J2399" s="5">
        <f t="shared" ca="1" si="82"/>
        <v>10600</v>
      </c>
      <c r="K2399" s="12" t="s">
        <v>1240</v>
      </c>
      <c r="L2399" s="15" t="s">
        <v>9582</v>
      </c>
    </row>
    <row r="2400" spans="1:12" ht="135">
      <c r="A2400" s="8" t="s">
        <v>9583</v>
      </c>
      <c r="B2400" s="9" t="s">
        <v>12</v>
      </c>
      <c r="C2400" s="10" t="s">
        <v>443</v>
      </c>
      <c r="D2400" s="10" t="str">
        <f ca="1">IFERROR(__xludf.DUMMYFUNCTION(" VLOOKUP(A2397, IMPORTRANGE(""https://docs.google.com/spreadsheets/d/1fj_Bhi2XPL3siwIh4sx4VRLAe31yD50oKdj5UlRYW0c/"", ""Сводка!A:AA""), 11, FALSE)"),"978-601-240-326-8")</f>
        <v>978-601-240-326-8</v>
      </c>
      <c r="E2400" s="11" t="s">
        <v>9584</v>
      </c>
      <c r="F2400" s="11" t="s">
        <v>9581</v>
      </c>
      <c r="G2400" s="12">
        <f ca="1">IFERROR(__xludf.DUMMYFUNCTION(" VLOOKUP(A2397, IMPORTRANGE(""https://docs.google.com/spreadsheets/d/1fj_Bhi2XPL3siwIh4sx4VRLAe31yD50oKdj5UlRYW0c/"", ""Сводка!A:AA""), 5, FALSE)"),188)</f>
        <v>188</v>
      </c>
      <c r="H2400" s="12" t="s">
        <v>165</v>
      </c>
      <c r="I2400" s="10">
        <f ca="1">IFERROR(__xludf.DUMMYFUNCTION(" VLOOKUP(A2397, IMPORTRANGE(""https://docs.google.com/spreadsheets/d/1QNLbnkR_AongFt22vMfNzfpjZ0CjpI8QI-w0wBnYA1w/"", ""Инфа!A:AA""), 6, FALSE)"),2024)</f>
        <v>2024</v>
      </c>
      <c r="J2400" s="5">
        <f t="shared" ca="1" si="82"/>
        <v>10600</v>
      </c>
      <c r="K2400" s="12" t="s">
        <v>1240</v>
      </c>
      <c r="L2400" s="15" t="s">
        <v>9585</v>
      </c>
    </row>
    <row r="2401" spans="1:12" ht="135">
      <c r="A2401" s="8" t="s">
        <v>9586</v>
      </c>
      <c r="B2401" s="9" t="s">
        <v>12</v>
      </c>
      <c r="C2401" s="10" t="s">
        <v>151</v>
      </c>
      <c r="D2401" s="10" t="str">
        <f ca="1">IFERROR(__xludf.DUMMYFUNCTION(" VLOOKUP(A2398, IMPORTRANGE(""https://docs.google.com/spreadsheets/d/1fj_Bhi2XPL3siwIh4sx4VRLAe31yD50oKdj5UlRYW0c/"", ""Сводка!A:AA""), 11, FALSE)"),"978-601-240-211-7")</f>
        <v>978-601-240-211-7</v>
      </c>
      <c r="E2401" s="11" t="s">
        <v>9587</v>
      </c>
      <c r="F2401" s="11" t="s">
        <v>9588</v>
      </c>
      <c r="G2401" s="12">
        <f ca="1">IFERROR(__xludf.DUMMYFUNCTION(" VLOOKUP(A2398, IMPORTRANGE(""https://docs.google.com/spreadsheets/d/1fj_Bhi2XPL3siwIh4sx4VRLAe31yD50oKdj5UlRYW0c/"", ""Сводка!A:AA""), 5, FALSE)"),116)</f>
        <v>116</v>
      </c>
      <c r="H2401" s="12" t="s">
        <v>47</v>
      </c>
      <c r="I2401" s="10">
        <f ca="1">IFERROR(__xludf.DUMMYFUNCTION(" VLOOKUP(A2398, IMPORTRANGE(""https://docs.google.com/spreadsheets/d/1QNLbnkR_AongFt22vMfNzfpjZ0CjpI8QI-w0wBnYA1w/"", ""Инфа!A:AA""), 6, FALSE)"),2024)</f>
        <v>2024</v>
      </c>
      <c r="J2401" s="5">
        <f t="shared" ca="1" si="82"/>
        <v>8500</v>
      </c>
      <c r="K2401" s="12" t="s">
        <v>1240</v>
      </c>
      <c r="L2401" s="15" t="s">
        <v>9589</v>
      </c>
    </row>
    <row r="2402" spans="1:12" ht="101.25">
      <c r="A2402" s="8" t="s">
        <v>9590</v>
      </c>
      <c r="B2402" s="9" t="s">
        <v>12</v>
      </c>
      <c r="C2402" s="10" t="s">
        <v>443</v>
      </c>
      <c r="D2402" s="10" t="str">
        <f ca="1">IFERROR(__xludf.DUMMYFUNCTION(" VLOOKUP(A2399, IMPORTRANGE(""https://docs.google.com/spreadsheets/d/1fj_Bhi2XPL3siwIh4sx4VRLAe31yD50oKdj5UlRYW0c/"", ""Сводка!A:AA""), 11, FALSE)"),"978-601-342-577-1")</f>
        <v>978-601-342-577-1</v>
      </c>
      <c r="E2402" s="11" t="s">
        <v>9591</v>
      </c>
      <c r="F2402" s="11" t="s">
        <v>9592</v>
      </c>
      <c r="G2402" s="12">
        <f ca="1">IFERROR(__xludf.DUMMYFUNCTION(" VLOOKUP(A2399, IMPORTRANGE(""https://docs.google.com/spreadsheets/d/1fj_Bhi2XPL3siwIh4sx4VRLAe31yD50oKdj5UlRYW0c/"", ""Сводка!A:AA""), 5, FALSE)"),128)</f>
        <v>128</v>
      </c>
      <c r="H2402" s="12" t="s">
        <v>538</v>
      </c>
      <c r="I2402" s="10">
        <f ca="1">IFERROR(__xludf.DUMMYFUNCTION(" VLOOKUP(A2399, IMPORTRANGE(""https://docs.google.com/spreadsheets/d/1QNLbnkR_AongFt22vMfNzfpjZ0CjpI8QI-w0wBnYA1w/"", ""Инфа!A:AA""), 6, FALSE)"),2024)</f>
        <v>2024</v>
      </c>
      <c r="J2402" s="5">
        <f t="shared" ca="1" si="82"/>
        <v>8800</v>
      </c>
      <c r="K2402" s="12" t="s">
        <v>1356</v>
      </c>
      <c r="L2402" s="15" t="s">
        <v>9593</v>
      </c>
    </row>
    <row r="2403" spans="1:12" ht="236.25">
      <c r="A2403" s="8" t="s">
        <v>9594</v>
      </c>
      <c r="B2403" s="9" t="s">
        <v>12</v>
      </c>
      <c r="C2403" s="10" t="s">
        <v>443</v>
      </c>
      <c r="D2403" s="10" t="str">
        <f ca="1">IFERROR(__xludf.DUMMYFUNCTION(" VLOOKUP(A2400, IMPORTRANGE(""https://docs.google.com/spreadsheets/d/1fj_Bhi2XPL3siwIh4sx4VRLAe31yD50oKdj5UlRYW0c/"", ""Сводка!A:AA""), 11, FALSE)"),"978-601-310-779-0")</f>
        <v>978-601-310-779-0</v>
      </c>
      <c r="E2403" s="11" t="s">
        <v>9595</v>
      </c>
      <c r="F2403" s="11" t="s">
        <v>9596</v>
      </c>
      <c r="G2403" s="12">
        <f ca="1">IFERROR(__xludf.DUMMYFUNCTION(" VLOOKUP(A2400, IMPORTRANGE(""https://docs.google.com/spreadsheets/d/1fj_Bhi2XPL3siwIh4sx4VRLAe31yD50oKdj5UlRYW0c/"", ""Сводка!A:AA""), 5, FALSE)"),100)</f>
        <v>100</v>
      </c>
      <c r="H2403" s="12" t="s">
        <v>446</v>
      </c>
      <c r="I2403" s="10">
        <f ca="1">IFERROR(__xludf.DUMMYFUNCTION(" VLOOKUP(A2400, IMPORTRANGE(""https://docs.google.com/spreadsheets/d/1QNLbnkR_AongFt22vMfNzfpjZ0CjpI8QI-w0wBnYA1w/"", ""Инфа!A:AA""), 6, FALSE)"),2024)</f>
        <v>2024</v>
      </c>
      <c r="J2403" s="5">
        <f t="shared" ca="1" si="82"/>
        <v>8000</v>
      </c>
      <c r="K2403" s="9" t="s">
        <v>592</v>
      </c>
      <c r="L2403" s="15" t="s">
        <v>9597</v>
      </c>
    </row>
    <row r="2404" spans="1:12" ht="225">
      <c r="A2404" s="8" t="s">
        <v>9598</v>
      </c>
      <c r="B2404" s="9" t="s">
        <v>12</v>
      </c>
      <c r="C2404" s="10" t="s">
        <v>443</v>
      </c>
      <c r="D2404" s="10" t="str">
        <f ca="1">IFERROR(__xludf.DUMMYFUNCTION(" VLOOKUP(A2401, IMPORTRANGE(""https://docs.google.com/spreadsheets/d/1fj_Bhi2XPL3siwIh4sx4VRLAe31yD50oKdj5UlRYW0c/"", ""Сводка!A:AA""), 11, FALSE)"),"978-601-310-748-6")</f>
        <v>978-601-310-748-6</v>
      </c>
      <c r="E2404" s="11" t="s">
        <v>9599</v>
      </c>
      <c r="F2404" s="11" t="s">
        <v>9600</v>
      </c>
      <c r="G2404" s="12" t="e">
        <f>#REF!</f>
        <v>#REF!</v>
      </c>
      <c r="H2404" s="12" t="s">
        <v>538</v>
      </c>
      <c r="I2404" s="10">
        <f ca="1">IFERROR(__xludf.DUMMYFUNCTION(" VLOOKUP(A2401, IMPORTRANGE(""https://docs.google.com/spreadsheets/d/1QNLbnkR_AongFt22vMfNzfpjZ0CjpI8QI-w0wBnYA1w/"", ""Инфа!A:AA""), 6, FALSE)"),2024)</f>
        <v>2024</v>
      </c>
      <c r="J2404" s="5" t="e">
        <f>ROUND((5000+G2404*60),-2)</f>
        <v>#REF!</v>
      </c>
      <c r="K2404" s="9" t="s">
        <v>539</v>
      </c>
      <c r="L2404" s="15" t="s">
        <v>9601</v>
      </c>
    </row>
    <row r="2405" spans="1:12" ht="135">
      <c r="A2405" s="8" t="s">
        <v>9602</v>
      </c>
      <c r="B2405" s="9" t="s">
        <v>12</v>
      </c>
      <c r="C2405" s="10" t="s">
        <v>443</v>
      </c>
      <c r="D2405" s="10" t="str">
        <f ca="1">IFERROR(__xludf.DUMMYFUNCTION(" VLOOKUP(A2402, IMPORTRANGE(""https://docs.google.com/spreadsheets/d/1fj_Bhi2XPL3siwIh4sx4VRLAe31yD50oKdj5UlRYW0c/"", ""Сводка!A:AA""), 11, FALSE)"),"978-601-327-211-5")</f>
        <v>978-601-327-211-5</v>
      </c>
      <c r="E2405" s="11" t="s">
        <v>9603</v>
      </c>
      <c r="F2405" s="11" t="s">
        <v>9604</v>
      </c>
      <c r="G2405" s="12">
        <f ca="1">IFERROR(__xludf.DUMMYFUNCTION(" VLOOKUP(A2402, IMPORTRANGE(""https://docs.google.com/spreadsheets/d/1fj_Bhi2XPL3siwIh4sx4VRLAe31yD50oKdj5UlRYW0c/"", ""Сводка!A:AA""), 5, FALSE)"),165)</f>
        <v>165</v>
      </c>
      <c r="H2405" s="12" t="s">
        <v>538</v>
      </c>
      <c r="I2405" s="10">
        <f ca="1">IFERROR(__xludf.DUMMYFUNCTION(" VLOOKUP(A2402, IMPORTRANGE(""https://docs.google.com/spreadsheets/d/1QNLbnkR_AongFt22vMfNzfpjZ0CjpI8QI-w0wBnYA1w/"", ""Инфа!A:AA""), 6, FALSE)"),2024)</f>
        <v>2024</v>
      </c>
      <c r="J2405" s="5">
        <f ca="1">ROUND((5000+G2405*30),-2)</f>
        <v>10000</v>
      </c>
      <c r="K2405" s="9" t="s">
        <v>539</v>
      </c>
      <c r="L2405" s="15" t="s">
        <v>9605</v>
      </c>
    </row>
    <row r="2406" spans="1:12" ht="180">
      <c r="A2406" s="8" t="s">
        <v>9606</v>
      </c>
      <c r="B2406" s="9" t="s">
        <v>12</v>
      </c>
      <c r="C2406" s="13" t="s">
        <v>443</v>
      </c>
      <c r="D2406" s="10" t="str">
        <f ca="1">IFERROR(__xludf.DUMMYFUNCTION(" VLOOKUP(A2403, IMPORTRANGE(""https://docs.google.com/spreadsheets/d/1fj_Bhi2XPL3siwIh4sx4VRLAe31yD50oKdj5UlRYW0c/"", ""Сводка!A:AA""), 11, FALSE)"),"978-601-240-085-4")</f>
        <v>978-601-240-085-4</v>
      </c>
      <c r="E2406" s="19" t="s">
        <v>9607</v>
      </c>
      <c r="F2406" s="19" t="s">
        <v>9608</v>
      </c>
      <c r="G2406" s="12">
        <f ca="1">IFERROR(__xludf.DUMMYFUNCTION(" VLOOKUP(A2403, IMPORTRANGE(""https://docs.google.com/spreadsheets/d/1fj_Bhi2XPL3siwIh4sx4VRLAe31yD50oKdj5UlRYW0c/"", ""Сводка!A:AA""), 5, FALSE)"),188)</f>
        <v>188</v>
      </c>
      <c r="H2406" s="9" t="s">
        <v>106</v>
      </c>
      <c r="I2406" s="10">
        <f ca="1">IFERROR(__xludf.DUMMYFUNCTION(" VLOOKUP(A2403, IMPORTRANGE(""https://docs.google.com/spreadsheets/d/1QNLbnkR_AongFt22vMfNzfpjZ0CjpI8QI-w0wBnYA1w/"", ""Инфа!A:AA""), 6, FALSE)"),2024)</f>
        <v>2024</v>
      </c>
      <c r="J2406" s="5">
        <f ca="1">ROUND((5000+G2406*60),-2)</f>
        <v>16300</v>
      </c>
      <c r="K2406" s="12" t="s">
        <v>302</v>
      </c>
      <c r="L2406" s="21" t="s">
        <v>9609</v>
      </c>
    </row>
    <row r="2407" spans="1:12" ht="168.75">
      <c r="A2407" s="8" t="s">
        <v>9610</v>
      </c>
      <c r="B2407" s="9" t="s">
        <v>12</v>
      </c>
      <c r="C2407" s="10" t="s">
        <v>151</v>
      </c>
      <c r="D2407" s="10" t="str">
        <f ca="1">IFERROR(__xludf.DUMMYFUNCTION(" VLOOKUP(A2404, IMPORTRANGE(""https://docs.google.com/spreadsheets/d/1fj_Bhi2XPL3siwIh4sx4VRLAe31yD50oKdj5UlRYW0c/"", ""Сводка!A:AA""), 11, FALSE)"),"978-601-240-085-4")</f>
        <v>978-601-240-085-4</v>
      </c>
      <c r="E2407" s="19" t="s">
        <v>9607</v>
      </c>
      <c r="F2407" s="19" t="s">
        <v>9611</v>
      </c>
      <c r="G2407" s="12">
        <f ca="1">IFERROR(__xludf.DUMMYFUNCTION(" VLOOKUP(A2404, IMPORTRANGE(""https://docs.google.com/spreadsheets/d/1fj_Bhi2XPL3siwIh4sx4VRLAe31yD50oKdj5UlRYW0c/"", ""Сводка!A:AA""), 5, FALSE)"),188)</f>
        <v>188</v>
      </c>
      <c r="H2407" s="9" t="s">
        <v>538</v>
      </c>
      <c r="I2407" s="10">
        <f ca="1">IFERROR(__xludf.DUMMYFUNCTION(" VLOOKUP(A2404, IMPORTRANGE(""https://docs.google.com/spreadsheets/d/1QNLbnkR_AongFt22vMfNzfpjZ0CjpI8QI-w0wBnYA1w/"", ""Инфа!A:AA""), 6, FALSE)"),2024)</f>
        <v>2024</v>
      </c>
      <c r="J2407" s="5">
        <f ca="1">ROUND((5000+G2407*30),-2)</f>
        <v>10600</v>
      </c>
      <c r="K2407" s="12" t="s">
        <v>160</v>
      </c>
      <c r="L2407" s="15" t="s">
        <v>9612</v>
      </c>
    </row>
    <row r="2408" spans="1:12" ht="146.25">
      <c r="A2408" s="8" t="s">
        <v>9613</v>
      </c>
      <c r="B2408" s="9" t="s">
        <v>12</v>
      </c>
      <c r="C2408" s="10" t="s">
        <v>443</v>
      </c>
      <c r="D2408" s="10" t="str">
        <f ca="1">IFERROR(__xludf.DUMMYFUNCTION(" VLOOKUP(A2405, IMPORTRANGE(""https://docs.google.com/spreadsheets/d/1fj_Bhi2XPL3siwIh4sx4VRLAe31yD50oKdj5UlRYW0c/"", ""Сводка!A:AA""), 11, FALSE)"),"978-601-240-234-8")</f>
        <v>978-601-240-234-8</v>
      </c>
      <c r="E2408" s="11" t="s">
        <v>9607</v>
      </c>
      <c r="F2408" s="11" t="s">
        <v>9614</v>
      </c>
      <c r="G2408" s="12">
        <f ca="1">IFERROR(__xludf.DUMMYFUNCTION(" VLOOKUP(A2405, IMPORTRANGE(""https://docs.google.com/spreadsheets/d/1fj_Bhi2XPL3siwIh4sx4VRLAe31yD50oKdj5UlRYW0c/"", ""Сводка!A:AA""), 5, FALSE)"),116)</f>
        <v>116</v>
      </c>
      <c r="H2408" s="12" t="s">
        <v>538</v>
      </c>
      <c r="I2408" s="10">
        <f ca="1">IFERROR(__xludf.DUMMYFUNCTION(" VLOOKUP(A2405, IMPORTRANGE(""https://docs.google.com/spreadsheets/d/1QNLbnkR_AongFt22vMfNzfpjZ0CjpI8QI-w0wBnYA1w/"", ""Инфа!A:AA""), 6, FALSE)"),2024)</f>
        <v>2024</v>
      </c>
      <c r="J2408" s="5">
        <f ca="1">ROUND((5000+G2408*30),-2)</f>
        <v>8500</v>
      </c>
      <c r="K2408" s="12" t="s">
        <v>160</v>
      </c>
      <c r="L2408" s="15" t="s">
        <v>9615</v>
      </c>
    </row>
    <row r="2409" spans="1:12" ht="180">
      <c r="A2409" s="8" t="s">
        <v>9616</v>
      </c>
      <c r="B2409" s="9" t="s">
        <v>12</v>
      </c>
      <c r="C2409" s="10" t="s">
        <v>443</v>
      </c>
      <c r="D2409" s="10" t="str">
        <f ca="1">IFERROR(__xludf.DUMMYFUNCTION(" VLOOKUP(A2406, IMPORTRANGE(""https://docs.google.com/spreadsheets/d/1fj_Bhi2XPL3siwIh4sx4VRLAe31yD50oKdj5UlRYW0c/"", ""Сводка!A:AA""), 11, FALSE)"),"978-601-327-796-7")</f>
        <v>978-601-327-796-7</v>
      </c>
      <c r="E2409" s="11" t="s">
        <v>9617</v>
      </c>
      <c r="F2409" s="11" t="s">
        <v>9618</v>
      </c>
      <c r="G2409" s="12">
        <f ca="1">IFERROR(__xludf.DUMMYFUNCTION(" VLOOKUP(A2406, IMPORTRANGE(""https://docs.google.com/spreadsheets/d/1fj_Bhi2XPL3siwIh4sx4VRLAe31yD50oKdj5UlRYW0c/"", ""Сводка!A:AA""), 5, FALSE)"),192)</f>
        <v>192</v>
      </c>
      <c r="H2409" s="12" t="s">
        <v>538</v>
      </c>
      <c r="I2409" s="10">
        <f ca="1">IFERROR(__xludf.DUMMYFUNCTION(" VLOOKUP(A2406, IMPORTRANGE(""https://docs.google.com/spreadsheets/d/1QNLbnkR_AongFt22vMfNzfpjZ0CjpI8QI-w0wBnYA1w/"", ""Инфа!A:AA""), 6, FALSE)"),2024)</f>
        <v>2024</v>
      </c>
      <c r="J2409" s="5">
        <f ca="1">ROUND((5000+G2409*30),-2)</f>
        <v>10800</v>
      </c>
      <c r="K2409" s="12" t="s">
        <v>1603</v>
      </c>
      <c r="L2409" s="15" t="s">
        <v>9619</v>
      </c>
    </row>
    <row r="2410" spans="1:12" ht="191.25">
      <c r="A2410" s="8" t="s">
        <v>9620</v>
      </c>
      <c r="B2410" s="9" t="s">
        <v>12</v>
      </c>
      <c r="C2410" s="10" t="s">
        <v>443</v>
      </c>
      <c r="D2410" s="10" t="str">
        <f ca="1">IFERROR(__xludf.DUMMYFUNCTION(" VLOOKUP(A2407, IMPORTRANGE(""https://docs.google.com/spreadsheets/d/1fj_Bhi2XPL3siwIh4sx4VRLAe31yD50oKdj5UlRYW0c/"", ""Сводка!A:AA""), 11, FALSE)"),"978-601-327-800-1")</f>
        <v>978-601-327-800-1</v>
      </c>
      <c r="E2410" s="11" t="s">
        <v>9617</v>
      </c>
      <c r="F2410" s="11" t="s">
        <v>9621</v>
      </c>
      <c r="G2410" s="12">
        <f ca="1">IFERROR(__xludf.DUMMYFUNCTION(" VLOOKUP(A2407, IMPORTRANGE(""https://docs.google.com/spreadsheets/d/1fj_Bhi2XPL3siwIh4sx4VRLAe31yD50oKdj5UlRYW0c/"", ""Сводка!A:AA""), 5, FALSE)"),152)</f>
        <v>152</v>
      </c>
      <c r="H2410" s="12" t="s">
        <v>538</v>
      </c>
      <c r="I2410" s="10">
        <f ca="1">IFERROR(__xludf.DUMMYFUNCTION(" VLOOKUP(A2407, IMPORTRANGE(""https://docs.google.com/spreadsheets/d/1QNLbnkR_AongFt22vMfNzfpjZ0CjpI8QI-w0wBnYA1w/"", ""Инфа!A:AA""), 6, FALSE)"),2024)</f>
        <v>2024</v>
      </c>
      <c r="J2410" s="5">
        <f ca="1">ROUND((5000+G2410*60),-2)</f>
        <v>14100</v>
      </c>
      <c r="K2410" s="12" t="s">
        <v>1603</v>
      </c>
      <c r="L2410" s="15" t="s">
        <v>9622</v>
      </c>
    </row>
    <row r="2411" spans="1:12" ht="258.75">
      <c r="A2411" s="8" t="s">
        <v>9623</v>
      </c>
      <c r="B2411" s="9" t="s">
        <v>12</v>
      </c>
      <c r="C2411" s="10" t="s">
        <v>443</v>
      </c>
      <c r="D2411" s="10" t="str">
        <f ca="1">IFERROR(__xludf.DUMMYFUNCTION(" VLOOKUP(A2408, IMPORTRANGE(""https://docs.google.com/spreadsheets/d/1fj_Bhi2XPL3siwIh4sx4VRLAe31yD50oKdj5UlRYW0c/"", ""Сводка!A:AA""), 11, FALSE)"),"978-601-310-021-0")</f>
        <v>978-601-310-021-0</v>
      </c>
      <c r="E2411" s="11" t="s">
        <v>9624</v>
      </c>
      <c r="F2411" s="11" t="s">
        <v>9625</v>
      </c>
      <c r="G2411" s="12">
        <f ca="1">IFERROR(__xludf.DUMMYFUNCTION(" VLOOKUP(A2408, IMPORTRANGE(""https://docs.google.com/spreadsheets/d/1fj_Bhi2XPL3siwIh4sx4VRLAe31yD50oKdj5UlRYW0c/"", ""Сводка!A:AA""), 5, FALSE)"),340)</f>
        <v>340</v>
      </c>
      <c r="H2411" s="12" t="s">
        <v>511</v>
      </c>
      <c r="I2411" s="10">
        <f ca="1">IFERROR(__xludf.DUMMYFUNCTION(" VLOOKUP(A2408, IMPORTRANGE(""https://docs.google.com/spreadsheets/d/1QNLbnkR_AongFt22vMfNzfpjZ0CjpI8QI-w0wBnYA1w/"", ""Инфа!A:AA""), 6, FALSE)"),2024)</f>
        <v>2024</v>
      </c>
      <c r="J2411" s="5">
        <f ca="1">ROUND((5000+G2411*30),-2)</f>
        <v>15200</v>
      </c>
      <c r="K2411" s="12" t="s">
        <v>139</v>
      </c>
      <c r="L2411" s="15" t="s">
        <v>9626</v>
      </c>
    </row>
    <row r="2412" spans="1:12" ht="258.75">
      <c r="A2412" s="8" t="s">
        <v>9627</v>
      </c>
      <c r="B2412" s="9" t="s">
        <v>12</v>
      </c>
      <c r="C2412" s="10" t="s">
        <v>443</v>
      </c>
      <c r="D2412" s="10" t="str">
        <f ca="1">IFERROR(__xludf.DUMMYFUNCTION(" VLOOKUP(A2409, IMPORTRANGE(""https://docs.google.com/spreadsheets/d/1fj_Bhi2XPL3siwIh4sx4VRLAe31yD50oKdj5UlRYW0c/"", ""Сводка!A:AA""), 11, FALSE)"),"978-601-310-021-0")</f>
        <v>978-601-310-021-0</v>
      </c>
      <c r="E2412" s="11" t="s">
        <v>9624</v>
      </c>
      <c r="F2412" s="11" t="s">
        <v>9628</v>
      </c>
      <c r="G2412" s="12">
        <f ca="1">IFERROR(__xludf.DUMMYFUNCTION(" VLOOKUP(A2409, IMPORTRANGE(""https://docs.google.com/spreadsheets/d/1fj_Bhi2XPL3siwIh4sx4VRLAe31yD50oKdj5UlRYW0c/"", ""Сводка!A:AA""), 5, FALSE)"),280)</f>
        <v>280</v>
      </c>
      <c r="H2412" s="12" t="s">
        <v>511</v>
      </c>
      <c r="I2412" s="10">
        <f ca="1">IFERROR(__xludf.DUMMYFUNCTION(" VLOOKUP(A2409, IMPORTRANGE(""https://docs.google.com/spreadsheets/d/1QNLbnkR_AongFt22vMfNzfpjZ0CjpI8QI-w0wBnYA1w/"", ""Инфа!A:AA""), 6, FALSE)"),2024)</f>
        <v>2024</v>
      </c>
      <c r="J2412" s="5">
        <f ca="1">ROUND((5000+G2412*30),-2)</f>
        <v>13400</v>
      </c>
      <c r="K2412" s="12" t="s">
        <v>139</v>
      </c>
      <c r="L2412" s="15" t="s">
        <v>9626</v>
      </c>
    </row>
    <row r="2413" spans="1:12" ht="315">
      <c r="A2413" s="8" t="s">
        <v>9629</v>
      </c>
      <c r="B2413" s="9" t="s">
        <v>12</v>
      </c>
      <c r="C2413" s="13" t="s">
        <v>443</v>
      </c>
      <c r="D2413" s="10" t="str">
        <f ca="1">IFERROR(__xludf.DUMMYFUNCTION(" VLOOKUP(A2410, IMPORTRANGE(""https://docs.google.com/spreadsheets/d/1fj_Bhi2XPL3siwIh4sx4VRLAe31yD50oKdj5UlRYW0c/"", ""Сводка!A:AA""), 11, FALSE)"),"")</f>
        <v/>
      </c>
      <c r="E2413" s="11" t="s">
        <v>9630</v>
      </c>
      <c r="F2413" s="19" t="s">
        <v>9631</v>
      </c>
      <c r="G2413" s="12">
        <f ca="1">IFERROR(__xludf.DUMMYFUNCTION(" VLOOKUP(A2410, IMPORTRANGE(""https://docs.google.com/spreadsheets/d/1fj_Bhi2XPL3siwIh4sx4VRLAe31yD50oKdj5UlRYW0c/"", ""Сводка!A:AA""), 5, FALSE)"),88)</f>
        <v>88</v>
      </c>
      <c r="H2413" s="12" t="s">
        <v>538</v>
      </c>
      <c r="I2413" s="10">
        <f ca="1">IFERROR(__xludf.DUMMYFUNCTION(" VLOOKUP(A2410, IMPORTRANGE(""https://docs.google.com/spreadsheets/d/1QNLbnkR_AongFt22vMfNzfpjZ0CjpI8QI-w0wBnYA1w/"", ""Инфа!A:AA""), 6, FALSE)"),2024)</f>
        <v>2024</v>
      </c>
      <c r="J2413" s="5">
        <f ca="1">ROUND((5000+G2413*30),-2)</f>
        <v>7600</v>
      </c>
      <c r="K2413" s="12" t="s">
        <v>1450</v>
      </c>
      <c r="L2413" s="21" t="s">
        <v>9632</v>
      </c>
    </row>
    <row r="2414" spans="1:12" ht="101.25">
      <c r="A2414" s="8" t="s">
        <v>9633</v>
      </c>
      <c r="B2414" s="9" t="s">
        <v>12</v>
      </c>
      <c r="C2414" s="10" t="s">
        <v>151</v>
      </c>
      <c r="D2414" s="10" t="str">
        <f ca="1">IFERROR(__xludf.DUMMYFUNCTION(" VLOOKUP(A2411, IMPORTRANGE(""https://docs.google.com/spreadsheets/d/1fj_Bhi2XPL3siwIh4sx4VRLAe31yD50oKdj5UlRYW0c/"", ""Сводка!A:AA""), 11, FALSE)"),"978-601-342-655-6")</f>
        <v>978-601-342-655-6</v>
      </c>
      <c r="E2414" s="11" t="s">
        <v>9634</v>
      </c>
      <c r="F2414" s="11" t="s">
        <v>9635</v>
      </c>
      <c r="G2414" s="12">
        <f ca="1">IFERROR(__xludf.DUMMYFUNCTION(" VLOOKUP(A2411, IMPORTRANGE(""https://docs.google.com/spreadsheets/d/1fj_Bhi2XPL3siwIh4sx4VRLAe31yD50oKdj5UlRYW0c/"", ""Сводка!A:AA""), 5, FALSE)"),204)</f>
        <v>204</v>
      </c>
      <c r="H2414" s="12" t="s">
        <v>498</v>
      </c>
      <c r="I2414" s="10">
        <f ca="1">IFERROR(__xludf.DUMMYFUNCTION(" VLOOKUP(A2411, IMPORTRANGE(""https://docs.google.com/spreadsheets/d/1QNLbnkR_AongFt22vMfNzfpjZ0CjpI8QI-w0wBnYA1w/"", ""Инфа!A:AA""), 6, FALSE)"),2024)</f>
        <v>2024</v>
      </c>
      <c r="J2414" s="5">
        <f ca="1">ROUND((5000+G2414*60),-2)</f>
        <v>17200</v>
      </c>
      <c r="K2414" s="12" t="s">
        <v>188</v>
      </c>
      <c r="L2414" s="15" t="s">
        <v>9636</v>
      </c>
    </row>
    <row r="2415" spans="1:12" ht="90">
      <c r="A2415" s="8" t="s">
        <v>9637</v>
      </c>
      <c r="B2415" s="9" t="s">
        <v>12</v>
      </c>
      <c r="C2415" s="10" t="s">
        <v>443</v>
      </c>
      <c r="D2415" s="10" t="str">
        <f ca="1">IFERROR(__xludf.DUMMYFUNCTION(" VLOOKUP(A2412, IMPORTRANGE(""https://docs.google.com/spreadsheets/d/1fj_Bhi2XPL3siwIh4sx4VRLAe31yD50oKdj5UlRYW0c/"", ""Сводка!A:AA""), 11, FALSE)"),"978-601-240-429-6")</f>
        <v>978-601-240-429-6</v>
      </c>
      <c r="E2415" s="11" t="s">
        <v>9638</v>
      </c>
      <c r="F2415" s="11" t="s">
        <v>9639</v>
      </c>
      <c r="G2415" s="12">
        <f ca="1">IFERROR(__xludf.DUMMYFUNCTION(" VLOOKUP(A2412, IMPORTRANGE(""https://docs.google.com/spreadsheets/d/1fj_Bhi2XPL3siwIh4sx4VRLAe31yD50oKdj5UlRYW0c/"", ""Сводка!A:AA""), 5, FALSE)"),164)</f>
        <v>164</v>
      </c>
      <c r="H2415" s="12" t="s">
        <v>777</v>
      </c>
      <c r="I2415" s="10">
        <f ca="1">IFERROR(__xludf.DUMMYFUNCTION(" VLOOKUP(A2412, IMPORTRANGE(""https://docs.google.com/spreadsheets/d/1QNLbnkR_AongFt22vMfNzfpjZ0CjpI8QI-w0wBnYA1w/"", ""Инфа!A:AA""), 6, FALSE)"),2024)</f>
        <v>2024</v>
      </c>
      <c r="J2415" s="5">
        <f ca="1">ROUND((5000+G2415*30),-2)</f>
        <v>9900</v>
      </c>
      <c r="K2415" s="12" t="s">
        <v>408</v>
      </c>
      <c r="L2415" s="15" t="s">
        <v>9640</v>
      </c>
    </row>
    <row r="2416" spans="1:12" ht="102">
      <c r="A2416" s="8" t="s">
        <v>9641</v>
      </c>
      <c r="B2416" s="9" t="s">
        <v>12</v>
      </c>
      <c r="C2416" s="10" t="s">
        <v>151</v>
      </c>
      <c r="D2416" s="10" t="str">
        <f ca="1">IFERROR(__xludf.DUMMYFUNCTION(" VLOOKUP(A2413, IMPORTRANGE(""https://docs.google.com/spreadsheets/d/1fj_Bhi2XPL3siwIh4sx4VRLAe31yD50oKdj5UlRYW0c/"", ""Сводка!A:AA""), 11, FALSE)"),"978-601-352-416-0")</f>
        <v>978-601-352-416-0</v>
      </c>
      <c r="E2416" s="11" t="s">
        <v>9642</v>
      </c>
      <c r="F2416" s="11" t="s">
        <v>9643</v>
      </c>
      <c r="G2416" s="12">
        <f ca="1">IFERROR(__xludf.DUMMYFUNCTION(" VLOOKUP(A2413, IMPORTRANGE(""https://docs.google.com/spreadsheets/d/1fj_Bhi2XPL3siwIh4sx4VRLAe31yD50oKdj5UlRYW0c/"", ""Сводка!A:AA""), 5, FALSE)"),56)</f>
        <v>56</v>
      </c>
      <c r="H2416" s="12" t="s">
        <v>47</v>
      </c>
      <c r="I2416" s="10">
        <f ca="1">IFERROR(__xludf.DUMMYFUNCTION(" VLOOKUP(A2413, IMPORTRANGE(""https://docs.google.com/spreadsheets/d/1QNLbnkR_AongFt22vMfNzfpjZ0CjpI8QI-w0wBnYA1w/"", ""Инфа!A:AA""), 6, FALSE)"),2024)</f>
        <v>2024</v>
      </c>
      <c r="J2416" s="5">
        <f ca="1">ROUND(((5000+G2416*30)*1.3),-2)</f>
        <v>8700</v>
      </c>
      <c r="K2416" s="9" t="s">
        <v>69</v>
      </c>
      <c r="L2416" s="15"/>
    </row>
    <row r="2417" spans="1:12" ht="76.5">
      <c r="A2417" s="8" t="s">
        <v>9644</v>
      </c>
      <c r="B2417" s="9" t="s">
        <v>12</v>
      </c>
      <c r="C2417" s="10" t="s">
        <v>443</v>
      </c>
      <c r="D2417" s="10" t="str">
        <f ca="1">IFERROR(__xludf.DUMMYFUNCTION(" VLOOKUP(A2414, IMPORTRANGE(""https://docs.google.com/spreadsheets/d/1fj_Bhi2XPL3siwIh4sx4VRLAe31yD50oKdj5UlRYW0c/"", ""Сводка!A:AA""), 11, FALSE)"),"978-601-352-417-7")</f>
        <v>978-601-352-417-7</v>
      </c>
      <c r="E2417" s="11" t="s">
        <v>9642</v>
      </c>
      <c r="F2417" s="11" t="s">
        <v>9645</v>
      </c>
      <c r="G2417" s="12">
        <f ca="1">IFERROR(__xludf.DUMMYFUNCTION(" VLOOKUP(A2414, IMPORTRANGE(""https://docs.google.com/spreadsheets/d/1fj_Bhi2XPL3siwIh4sx4VRLAe31yD50oKdj5UlRYW0c/"", ""Сводка!A:AA""), 5, FALSE)"),56)</f>
        <v>56</v>
      </c>
      <c r="H2417" s="12" t="s">
        <v>5562</v>
      </c>
      <c r="I2417" s="10">
        <f ca="1">IFERROR(__xludf.DUMMYFUNCTION(" VLOOKUP(A2414, IMPORTRANGE(""https://docs.google.com/spreadsheets/d/1QNLbnkR_AongFt22vMfNzfpjZ0CjpI8QI-w0wBnYA1w/"", ""Инфа!A:AA""), 6, FALSE)"),2024)</f>
        <v>2024</v>
      </c>
      <c r="J2417" s="5">
        <f ca="1">ROUND(((5000+G2417*60)*1.3),-2)</f>
        <v>10900</v>
      </c>
      <c r="K2417" s="9" t="s">
        <v>171</v>
      </c>
      <c r="L2417" s="15"/>
    </row>
    <row r="2418" spans="1:12" ht="38.25">
      <c r="A2418" s="8" t="s">
        <v>9646</v>
      </c>
      <c r="B2418" s="9" t="s">
        <v>12</v>
      </c>
      <c r="C2418" s="10" t="s">
        <v>443</v>
      </c>
      <c r="D2418" s="10" t="str">
        <f ca="1">IFERROR(__xludf.DUMMYFUNCTION(" VLOOKUP(A2415, IMPORTRANGE(""https://docs.google.com/spreadsheets/d/1fj_Bhi2XPL3siwIh4sx4VRLAe31yD50oKdj5UlRYW0c/"", ""Сводка!A:AA""), 11, FALSE)"),"9965-9886-1-7")</f>
        <v>9965-9886-1-7</v>
      </c>
      <c r="E2418" s="11" t="s">
        <v>9642</v>
      </c>
      <c r="F2418" s="11" t="s">
        <v>9647</v>
      </c>
      <c r="G2418" s="12">
        <f ca="1">IFERROR(__xludf.DUMMYFUNCTION(" VLOOKUP(A2415, IMPORTRANGE(""https://docs.google.com/spreadsheets/d/1fj_Bhi2XPL3siwIh4sx4VRLAe31yD50oKdj5UlRYW0c/"", ""Сводка!A:AA""), 5, FALSE)"),228)</f>
        <v>228</v>
      </c>
      <c r="H2418" s="12" t="s">
        <v>511</v>
      </c>
      <c r="I2418" s="10">
        <f ca="1">IFERROR(__xludf.DUMMYFUNCTION(" VLOOKUP(A2415, IMPORTRANGE(""https://docs.google.com/spreadsheets/d/1QNLbnkR_AongFt22vMfNzfpjZ0CjpI8QI-w0wBnYA1w/"", ""Инфа!A:AA""), 6, FALSE)"),2024)</f>
        <v>2024</v>
      </c>
      <c r="J2418" s="5">
        <f ca="1">ROUND((5000+G2418*30),-2)</f>
        <v>11800</v>
      </c>
      <c r="K2418" s="12" t="s">
        <v>548</v>
      </c>
      <c r="L2418" s="15"/>
    </row>
    <row r="2419" spans="1:12" ht="38.25">
      <c r="A2419" s="8" t="s">
        <v>9648</v>
      </c>
      <c r="B2419" s="9" t="s">
        <v>12</v>
      </c>
      <c r="C2419" s="10" t="s">
        <v>443</v>
      </c>
      <c r="D2419" s="10" t="str">
        <f ca="1">IFERROR(__xludf.DUMMYFUNCTION(" VLOOKUP(A2416, IMPORTRANGE(""https://docs.google.com/spreadsheets/d/1fj_Bhi2XPL3siwIh4sx4VRLAe31yD50oKdj5UlRYW0c/"", ""Сводка!A:AA""), 11, FALSE)"),"978-601-310-242-9")</f>
        <v>978-601-310-242-9</v>
      </c>
      <c r="E2419" s="11" t="s">
        <v>9642</v>
      </c>
      <c r="F2419" s="11" t="s">
        <v>9649</v>
      </c>
      <c r="G2419" s="12">
        <f ca="1">IFERROR(__xludf.DUMMYFUNCTION(" VLOOKUP(A2416, IMPORTRANGE(""https://docs.google.com/spreadsheets/d/1fj_Bhi2XPL3siwIh4sx4VRLAe31yD50oKdj5UlRYW0c/"", ""Сводка!A:AA""), 5, FALSE)"),72)</f>
        <v>72</v>
      </c>
      <c r="H2419" s="12" t="s">
        <v>538</v>
      </c>
      <c r="I2419" s="10">
        <f ca="1">IFERROR(__xludf.DUMMYFUNCTION(" VLOOKUP(A2416, IMPORTRANGE(""https://docs.google.com/spreadsheets/d/1QNLbnkR_AongFt22vMfNzfpjZ0CjpI8QI-w0wBnYA1w/"", ""Инфа!A:AA""), 6, FALSE)"),2024)</f>
        <v>2024</v>
      </c>
      <c r="J2419" s="5">
        <f ca="1">ROUND(((5000+G2419*60)*1.3),-2)</f>
        <v>12100</v>
      </c>
      <c r="K2419" s="9" t="s">
        <v>69</v>
      </c>
      <c r="L2419" s="15"/>
    </row>
    <row r="2420" spans="1:12" ht="63.75">
      <c r="A2420" s="8" t="s">
        <v>9650</v>
      </c>
      <c r="B2420" s="9" t="s">
        <v>12</v>
      </c>
      <c r="C2420" s="10" t="s">
        <v>443</v>
      </c>
      <c r="D2420" s="10" t="str">
        <f ca="1">IFERROR(__xludf.DUMMYFUNCTION(" VLOOKUP(A2417, IMPORTRANGE(""https://docs.google.com/spreadsheets/d/1fj_Bhi2XPL3siwIh4sx4VRLAe31yD50oKdj5UlRYW0c/"", ""Сводка!A:AA""), 11, FALSE)"),"978-601-352-415-3")</f>
        <v>978-601-352-415-3</v>
      </c>
      <c r="E2420" s="25" t="s">
        <v>9651</v>
      </c>
      <c r="F2420" s="25" t="s">
        <v>9652</v>
      </c>
      <c r="G2420" s="12">
        <f ca="1">IFERROR(__xludf.DUMMYFUNCTION(" VLOOKUP(A2417, IMPORTRANGE(""https://docs.google.com/spreadsheets/d/1fj_Bhi2XPL3siwIh4sx4VRLAe31yD50oKdj5UlRYW0c/"", ""Сводка!A:AA""), 5, FALSE)"),152)</f>
        <v>152</v>
      </c>
      <c r="H2420" s="26"/>
      <c r="I2420" s="10">
        <f ca="1">IFERROR(__xludf.DUMMYFUNCTION(" VLOOKUP(A2417, IMPORTRANGE(""https://docs.google.com/spreadsheets/d/1QNLbnkR_AongFt22vMfNzfpjZ0CjpI8QI-w0wBnYA1w/"", ""Инфа!A:AA""), 6, FALSE)"),2024)</f>
        <v>2024</v>
      </c>
      <c r="J2420" s="5">
        <f ca="1">ROUND(((5000+G2420*60)*1.3),-2)</f>
        <v>18400</v>
      </c>
      <c r="K2420" s="12" t="s">
        <v>63</v>
      </c>
      <c r="L2420" s="15"/>
    </row>
    <row r="2421" spans="1:12" ht="25.5">
      <c r="A2421" s="8" t="s">
        <v>9653</v>
      </c>
      <c r="B2421" s="9" t="s">
        <v>12</v>
      </c>
      <c r="C2421" s="10" t="s">
        <v>443</v>
      </c>
      <c r="D2421" s="10" t="str">
        <f ca="1">IFERROR(__xludf.DUMMYFUNCTION(" VLOOKUP(A2418, IMPORTRANGE(""https://docs.google.com/spreadsheets/d/1fj_Bhi2XPL3siwIh4sx4VRLAe31yD50oKdj5UlRYW0c/"", ""Сводка!A:AA""), 11, FALSE)"),"978-601-310-220-7")</f>
        <v>978-601-310-220-7</v>
      </c>
      <c r="E2421" s="11" t="s">
        <v>9654</v>
      </c>
      <c r="F2421" s="11" t="s">
        <v>9655</v>
      </c>
      <c r="G2421" s="12">
        <f ca="1">IFERROR(__xludf.DUMMYFUNCTION(" VLOOKUP(A2418, IMPORTRANGE(""https://docs.google.com/spreadsheets/d/1fj_Bhi2XPL3siwIh4sx4VRLAe31yD50oKdj5UlRYW0c/"", ""Сводка!A:AA""), 5, FALSE)"),84)</f>
        <v>84</v>
      </c>
      <c r="H2421" s="12" t="s">
        <v>538</v>
      </c>
      <c r="I2421" s="10">
        <f ca="1">IFERROR(__xludf.DUMMYFUNCTION(" VLOOKUP(A2418, IMPORTRANGE(""https://docs.google.com/spreadsheets/d/1QNLbnkR_AongFt22vMfNzfpjZ0CjpI8QI-w0wBnYA1w/"", ""Инфа!A:AA""), 6, FALSE)"),2024)</f>
        <v>2024</v>
      </c>
      <c r="J2421" s="5">
        <f ca="1">ROUND(((5000+G2421*30)*1.3),-2)</f>
        <v>9800</v>
      </c>
      <c r="K2421" s="9" t="s">
        <v>69</v>
      </c>
      <c r="L2421" s="15"/>
    </row>
    <row r="2422" spans="1:12" ht="25.5">
      <c r="A2422" s="8" t="s">
        <v>9656</v>
      </c>
      <c r="B2422" s="9" t="s">
        <v>12</v>
      </c>
      <c r="C2422" s="10" t="s">
        <v>443</v>
      </c>
      <c r="D2422" s="10" t="str">
        <f ca="1">IFERROR(__xludf.DUMMYFUNCTION(" VLOOKUP(A2419, IMPORTRANGE(""https://docs.google.com/spreadsheets/d/1fj_Bhi2XPL3siwIh4sx4VRLAe31yD50oKdj5UlRYW0c/"", ""Сводка!A:AA""), 11, FALSE)"),"978-601-310-243-6")</f>
        <v>978-601-310-243-6</v>
      </c>
      <c r="E2422" s="11" t="s">
        <v>9657</v>
      </c>
      <c r="F2422" s="11" t="s">
        <v>9658</v>
      </c>
      <c r="G2422" s="12">
        <f ca="1">IFERROR(__xludf.DUMMYFUNCTION(" VLOOKUP(A2419, IMPORTRANGE(""https://docs.google.com/spreadsheets/d/1fj_Bhi2XPL3siwIh4sx4VRLAe31yD50oKdj5UlRYW0c/"", ""Сводка!A:AA""), 5, FALSE)"),96)</f>
        <v>96</v>
      </c>
      <c r="H2422" s="12" t="s">
        <v>538</v>
      </c>
      <c r="I2422" s="10">
        <f ca="1">IFERROR(__xludf.DUMMYFUNCTION(" VLOOKUP(A2419, IMPORTRANGE(""https://docs.google.com/spreadsheets/d/1QNLbnkR_AongFt22vMfNzfpjZ0CjpI8QI-w0wBnYA1w/"", ""Инфа!A:AA""), 6, FALSE)"),2024)</f>
        <v>2024</v>
      </c>
      <c r="J2422" s="5">
        <f ca="1">ROUND(((5000+G2422*60)*1.3),-2)</f>
        <v>14000</v>
      </c>
      <c r="K2422" s="9" t="s">
        <v>69</v>
      </c>
      <c r="L2422" s="15"/>
    </row>
    <row r="2423" spans="1:12" ht="67.5">
      <c r="A2423" s="8" t="s">
        <v>9659</v>
      </c>
      <c r="B2423" s="9" t="s">
        <v>12</v>
      </c>
      <c r="C2423" s="13" t="s">
        <v>151</v>
      </c>
      <c r="D2423" s="10" t="str">
        <f ca="1">IFERROR(__xludf.DUMMYFUNCTION(" VLOOKUP(A2420, IMPORTRANGE(""https://docs.google.com/spreadsheets/d/1fj_Bhi2XPL3siwIh4sx4VRLAe31yD50oKdj5UlRYW0c/"", ""Сводка!A:AA""), 11, FALSE)"),"978-601-342-655-6")</f>
        <v>978-601-342-655-6</v>
      </c>
      <c r="E2423" s="19" t="s">
        <v>9660</v>
      </c>
      <c r="F2423" s="19" t="s">
        <v>9661</v>
      </c>
      <c r="G2423" s="12">
        <f ca="1">IFERROR(__xludf.DUMMYFUNCTION(" VLOOKUP(A2420, IMPORTRANGE(""https://docs.google.com/spreadsheets/d/1fj_Bhi2XPL3siwIh4sx4VRLAe31yD50oKdj5UlRYW0c/"", ""Сводка!A:AA""), 5, FALSE)"),212)</f>
        <v>212</v>
      </c>
      <c r="H2423" s="9" t="s">
        <v>498</v>
      </c>
      <c r="I2423" s="10">
        <f ca="1">IFERROR(__xludf.DUMMYFUNCTION(" VLOOKUP(A2420, IMPORTRANGE(""https://docs.google.com/spreadsheets/d/1QNLbnkR_AongFt22vMfNzfpjZ0CjpI8QI-w0wBnYA1w/"", ""Инфа!A:AA""), 6, FALSE)"),2024)</f>
        <v>2024</v>
      </c>
      <c r="J2423" s="5">
        <f ca="1">ROUND((5000+G2423*30),-2)</f>
        <v>11400</v>
      </c>
      <c r="K2423" s="9" t="s">
        <v>188</v>
      </c>
      <c r="L2423" s="21" t="s">
        <v>9662</v>
      </c>
    </row>
    <row r="2424" spans="1:12" ht="45">
      <c r="A2424" s="8" t="s">
        <v>9663</v>
      </c>
      <c r="B2424" s="9" t="s">
        <v>12</v>
      </c>
      <c r="C2424" s="10" t="s">
        <v>443</v>
      </c>
      <c r="D2424" s="10" t="str">
        <f ca="1">IFERROR(__xludf.DUMMYFUNCTION(" VLOOKUP(A2421, IMPORTRANGE(""https://docs.google.com/spreadsheets/d/1fj_Bhi2XPL3siwIh4sx4VRLAe31yD50oKdj5UlRYW0c/"", ""Сводка!A:AA""), 11, FALSE)"),"978-601-327-415-7")</f>
        <v>978-601-327-415-7</v>
      </c>
      <c r="E2424" s="11" t="s">
        <v>9664</v>
      </c>
      <c r="F2424" s="11" t="s">
        <v>9665</v>
      </c>
      <c r="G2424" s="12">
        <f ca="1">IFERROR(__xludf.DUMMYFUNCTION(" VLOOKUP(A2421, IMPORTRANGE(""https://docs.google.com/spreadsheets/d/1fj_Bhi2XPL3siwIh4sx4VRLAe31yD50oKdj5UlRYW0c/"", ""Сводка!A:AA""), 5, FALSE)"),112)</f>
        <v>112</v>
      </c>
      <c r="H2424" s="12" t="s">
        <v>538</v>
      </c>
      <c r="I2424" s="10">
        <f ca="1">IFERROR(__xludf.DUMMYFUNCTION(" VLOOKUP(A2421, IMPORTRANGE(""https://docs.google.com/spreadsheets/d/1QNLbnkR_AongFt22vMfNzfpjZ0CjpI8QI-w0wBnYA1w/"", ""Инфа!A:AA""), 6, FALSE)"),2024)</f>
        <v>2024</v>
      </c>
      <c r="J2424" s="5">
        <f ca="1">ROUND(((5000+G2424*60)*1.3),-2)</f>
        <v>15200</v>
      </c>
      <c r="K2424" s="9" t="s">
        <v>539</v>
      </c>
      <c r="L2424" s="15" t="s">
        <v>9666</v>
      </c>
    </row>
    <row r="2425" spans="1:12" ht="247.5">
      <c r="A2425" s="8" t="s">
        <v>9667</v>
      </c>
      <c r="B2425" s="9" t="s">
        <v>12</v>
      </c>
      <c r="C2425" s="10" t="s">
        <v>151</v>
      </c>
      <c r="D2425" s="10" t="str">
        <f ca="1">IFERROR(__xludf.DUMMYFUNCTION(" VLOOKUP(A2422, IMPORTRANGE(""https://docs.google.com/spreadsheets/d/1fj_Bhi2XPL3siwIh4sx4VRLAe31yD50oKdj5UlRYW0c/"", ""Сводка!A:AA""), 11, FALSE)"),"978-601-327-891-9")</f>
        <v>978-601-327-891-9</v>
      </c>
      <c r="E2425" s="11" t="s">
        <v>9668</v>
      </c>
      <c r="F2425" s="11" t="s">
        <v>9669</v>
      </c>
      <c r="G2425" s="12">
        <f ca="1">IFERROR(__xludf.DUMMYFUNCTION(" VLOOKUP(A2422, IMPORTRANGE(""https://docs.google.com/spreadsheets/d/1fj_Bhi2XPL3siwIh4sx4VRLAe31yD50oKdj5UlRYW0c/"", ""Сводка!A:AA""), 5, FALSE)"),284)</f>
        <v>284</v>
      </c>
      <c r="H2425" s="12" t="s">
        <v>498</v>
      </c>
      <c r="I2425" s="10">
        <f ca="1">IFERROR(__xludf.DUMMYFUNCTION(" VLOOKUP(A2422, IMPORTRANGE(""https://docs.google.com/spreadsheets/d/1QNLbnkR_AongFt22vMfNzfpjZ0CjpI8QI-w0wBnYA1w/"", ""Инфа!A:AA""), 6, FALSE)"),2024)</f>
        <v>2024</v>
      </c>
      <c r="J2425" s="5">
        <f ca="1">ROUND((5000+G2425*60),-2)</f>
        <v>22000</v>
      </c>
      <c r="K2425" s="12" t="s">
        <v>166</v>
      </c>
      <c r="L2425" s="15" t="s">
        <v>9670</v>
      </c>
    </row>
    <row r="2426" spans="1:12" ht="25.5">
      <c r="A2426" s="8" t="s">
        <v>9671</v>
      </c>
      <c r="B2426" s="9" t="s">
        <v>12</v>
      </c>
      <c r="C2426" s="10" t="s">
        <v>443</v>
      </c>
      <c r="D2426" s="10" t="str">
        <f ca="1">IFERROR(__xludf.DUMMYFUNCTION(" VLOOKUP(A2423, IMPORTRANGE(""https://docs.google.com/spreadsheets/d/1fj_Bhi2XPL3siwIh4sx4VRLAe31yD50oKdj5UlRYW0c/"", ""Сводка!A:AA""), 11, FALSE)"),"9965-673-21-7")</f>
        <v>9965-673-21-7</v>
      </c>
      <c r="E2426" s="11" t="s">
        <v>9672</v>
      </c>
      <c r="F2426" s="11" t="s">
        <v>9673</v>
      </c>
      <c r="G2426" s="12" t="e">
        <f>#REF!</f>
        <v>#REF!</v>
      </c>
      <c r="H2426" s="12" t="s">
        <v>511</v>
      </c>
      <c r="I2426" s="10">
        <f ca="1">IFERROR(__xludf.DUMMYFUNCTION(" VLOOKUP(A2423, IMPORTRANGE(""https://docs.google.com/spreadsheets/d/1QNLbnkR_AongFt22vMfNzfpjZ0CjpI8QI-w0wBnYA1w/"", ""Инфа!A:AA""), 6, FALSE)"),2024)</f>
        <v>2024</v>
      </c>
      <c r="J2426" s="5" t="e">
        <f>ROUND((5000+G2426*60),-2)</f>
        <v>#REF!</v>
      </c>
      <c r="K2426" s="12" t="s">
        <v>213</v>
      </c>
      <c r="L2426" s="15"/>
    </row>
    <row r="2427" spans="1:12" ht="25.5">
      <c r="A2427" s="8" t="s">
        <v>9674</v>
      </c>
      <c r="B2427" s="9" t="s">
        <v>12</v>
      </c>
      <c r="C2427" s="10" t="s">
        <v>151</v>
      </c>
      <c r="D2427" s="10" t="str">
        <f ca="1">IFERROR(__xludf.DUMMYFUNCTION(" VLOOKUP(A2424, IMPORTRANGE(""https://docs.google.com/spreadsheets/d/1fj_Bhi2XPL3siwIh4sx4VRLAe31yD50oKdj5UlRYW0c/"", ""Сводка!A:AA""), 11, FALSE)"),"978-601-240-354-8")</f>
        <v>978-601-240-354-8</v>
      </c>
      <c r="E2427" s="11" t="s">
        <v>9672</v>
      </c>
      <c r="F2427" s="11" t="s">
        <v>9675</v>
      </c>
      <c r="G2427" s="12">
        <f ca="1">IFERROR(__xludf.DUMMYFUNCTION(" VLOOKUP(A2424, IMPORTRANGE(""https://docs.google.com/spreadsheets/d/1fj_Bhi2XPL3siwIh4sx4VRLAe31yD50oKdj5UlRYW0c/"", ""Сводка!A:AA""), 5, FALSE)"),120)</f>
        <v>120</v>
      </c>
      <c r="H2427" s="12" t="s">
        <v>498</v>
      </c>
      <c r="I2427" s="10">
        <f ca="1">IFERROR(__xludf.DUMMYFUNCTION(" VLOOKUP(A2424, IMPORTRANGE(""https://docs.google.com/spreadsheets/d/1QNLbnkR_AongFt22vMfNzfpjZ0CjpI8QI-w0wBnYA1w/"", ""Инфа!A:AA""), 6, FALSE)"),2024)</f>
        <v>2024</v>
      </c>
      <c r="J2427" s="5">
        <f t="shared" ref="J2427:J2433" ca="1" si="83">ROUND((5000+G2427*30),-2)</f>
        <v>8600</v>
      </c>
      <c r="K2427" s="12" t="s">
        <v>213</v>
      </c>
      <c r="L2427" s="15"/>
    </row>
    <row r="2428" spans="1:12" ht="123.75">
      <c r="A2428" s="8" t="s">
        <v>9676</v>
      </c>
      <c r="B2428" s="9" t="s">
        <v>12</v>
      </c>
      <c r="C2428" s="10" t="s">
        <v>151</v>
      </c>
      <c r="D2428" s="10" t="str">
        <f ca="1">IFERROR(__xludf.DUMMYFUNCTION(" VLOOKUP(A2425, IMPORTRANGE(""https://docs.google.com/spreadsheets/d/1fj_Bhi2XPL3siwIh4sx4VRLAe31yD50oKdj5UlRYW0c/"", ""Сводка!A:AA""), 11, FALSE)"),"978-601-228-327-3")</f>
        <v>978-601-228-327-3</v>
      </c>
      <c r="E2428" s="11" t="s">
        <v>9672</v>
      </c>
      <c r="F2428" s="11" t="s">
        <v>9677</v>
      </c>
      <c r="G2428" s="12">
        <f ca="1">IFERROR(__xludf.DUMMYFUNCTION(" VLOOKUP(A2425, IMPORTRANGE(""https://docs.google.com/spreadsheets/d/1fj_Bhi2XPL3siwIh4sx4VRLAe31yD50oKdj5UlRYW0c/"", ""Сводка!A:AA""), 5, FALSE)"),300)</f>
        <v>300</v>
      </c>
      <c r="H2428" s="12" t="s">
        <v>106</v>
      </c>
      <c r="I2428" s="10">
        <f ca="1">IFERROR(__xludf.DUMMYFUNCTION(" VLOOKUP(A2425, IMPORTRANGE(""https://docs.google.com/spreadsheets/d/1QNLbnkR_AongFt22vMfNzfpjZ0CjpI8QI-w0wBnYA1w/"", ""Инфа!A:AA""), 6, FALSE)"),2024)</f>
        <v>2024</v>
      </c>
      <c r="J2428" s="5">
        <f t="shared" ca="1" si="83"/>
        <v>14000</v>
      </c>
      <c r="K2428" s="12" t="s">
        <v>213</v>
      </c>
      <c r="L2428" s="15" t="s">
        <v>9678</v>
      </c>
    </row>
    <row r="2429" spans="1:12" ht="146.25">
      <c r="A2429" s="8" t="s">
        <v>9679</v>
      </c>
      <c r="B2429" s="9" t="s">
        <v>12</v>
      </c>
      <c r="C2429" s="10" t="s">
        <v>443</v>
      </c>
      <c r="D2429" s="10" t="str">
        <f ca="1">IFERROR(__xludf.DUMMYFUNCTION(" VLOOKUP(A2426, IMPORTRANGE(""https://docs.google.com/spreadsheets/d/1fj_Bhi2XPL3siwIh4sx4VRLAe31yD50oKdj5UlRYW0c/"", ""Сводка!A:AA""), 11, FALSE)"),"978-601-240-047-6")</f>
        <v>978-601-240-047-6</v>
      </c>
      <c r="E2429" s="11" t="s">
        <v>9680</v>
      </c>
      <c r="F2429" s="11" t="s">
        <v>9681</v>
      </c>
      <c r="G2429" s="12">
        <f ca="1">IFERROR(__xludf.DUMMYFUNCTION(" VLOOKUP(A2426, IMPORTRANGE(""https://docs.google.com/spreadsheets/d/1fj_Bhi2XPL3siwIh4sx4VRLAe31yD50oKdj5UlRYW0c/"", ""Сводка!A:AA""), 5, FALSE)"),104)</f>
        <v>104</v>
      </c>
      <c r="H2429" s="12" t="s">
        <v>538</v>
      </c>
      <c r="I2429" s="10">
        <f ca="1">IFERROR(__xludf.DUMMYFUNCTION(" VLOOKUP(A2426, IMPORTRANGE(""https://docs.google.com/spreadsheets/d/1QNLbnkR_AongFt22vMfNzfpjZ0CjpI8QI-w0wBnYA1w/"", ""Инфа!A:AA""), 6, FALSE)"),2024)</f>
        <v>2024</v>
      </c>
      <c r="J2429" s="5">
        <f t="shared" ca="1" si="83"/>
        <v>8100</v>
      </c>
      <c r="K2429" s="12" t="s">
        <v>1105</v>
      </c>
      <c r="L2429" s="15" t="s">
        <v>9682</v>
      </c>
    </row>
    <row r="2430" spans="1:12" ht="76.5">
      <c r="A2430" s="8" t="s">
        <v>9683</v>
      </c>
      <c r="B2430" s="9" t="s">
        <v>12</v>
      </c>
      <c r="C2430" s="10" t="s">
        <v>151</v>
      </c>
      <c r="D2430" s="10" t="str">
        <f ca="1">IFERROR(__xludf.DUMMYFUNCTION(" VLOOKUP(A2427, IMPORTRANGE(""https://docs.google.com/spreadsheets/d/1fj_Bhi2XPL3siwIh4sx4VRLAe31yD50oKdj5UlRYW0c/"", ""Сводка!A:AA""), 11, FALSE)"),"978-601-310-188-0")</f>
        <v>978-601-310-188-0</v>
      </c>
      <c r="E2430" s="11" t="s">
        <v>9680</v>
      </c>
      <c r="F2430" s="11" t="s">
        <v>9684</v>
      </c>
      <c r="G2430" s="12">
        <f ca="1">IFERROR(__xludf.DUMMYFUNCTION(" VLOOKUP(A2427, IMPORTRANGE(""https://docs.google.com/spreadsheets/d/1fj_Bhi2XPL3siwIh4sx4VRLAe31yD50oKdj5UlRYW0c/"", ""Сводка!A:AA""), 5, FALSE)"),104)</f>
        <v>104</v>
      </c>
      <c r="H2430" s="12" t="s">
        <v>47</v>
      </c>
      <c r="I2430" s="10">
        <f ca="1">IFERROR(__xludf.DUMMYFUNCTION(" VLOOKUP(A2427, IMPORTRANGE(""https://docs.google.com/spreadsheets/d/1QNLbnkR_AongFt22vMfNzfpjZ0CjpI8QI-w0wBnYA1w/"", ""Инфа!A:AA""), 6, FALSE)"),2024)</f>
        <v>2024</v>
      </c>
      <c r="J2430" s="5">
        <f t="shared" ca="1" si="83"/>
        <v>8100</v>
      </c>
      <c r="K2430" s="12" t="s">
        <v>1240</v>
      </c>
      <c r="L2430" s="15"/>
    </row>
    <row r="2431" spans="1:12" ht="112.5">
      <c r="A2431" s="8" t="s">
        <v>9685</v>
      </c>
      <c r="B2431" s="9" t="s">
        <v>12</v>
      </c>
      <c r="C2431" s="10" t="s">
        <v>151</v>
      </c>
      <c r="D2431" s="10" t="str">
        <f ca="1">IFERROR(__xludf.DUMMYFUNCTION(" VLOOKUP(A2428, IMPORTRANGE(""https://docs.google.com/spreadsheets/d/1fj_Bhi2XPL3siwIh4sx4VRLAe31yD50oKdj5UlRYW0c/"", ""Сводка!A:AA""), 11, FALSE)"),"978-601-342-624-2")</f>
        <v>978-601-342-624-2</v>
      </c>
      <c r="E2431" s="11" t="s">
        <v>2391</v>
      </c>
      <c r="F2431" s="11" t="s">
        <v>9686</v>
      </c>
      <c r="G2431" s="12">
        <f ca="1">IFERROR(__xludf.DUMMYFUNCTION(" VLOOKUP(A2428, IMPORTRANGE(""https://docs.google.com/spreadsheets/d/1fj_Bhi2XPL3siwIh4sx4VRLAe31yD50oKdj5UlRYW0c/"", ""Сводка!A:AA""), 5, FALSE)"),205)</f>
        <v>205</v>
      </c>
      <c r="H2431" s="12" t="s">
        <v>47</v>
      </c>
      <c r="I2431" s="10">
        <f ca="1">IFERROR(__xludf.DUMMYFUNCTION(" VLOOKUP(A2428, IMPORTRANGE(""https://docs.google.com/spreadsheets/d/1QNLbnkR_AongFt22vMfNzfpjZ0CjpI8QI-w0wBnYA1w/"", ""Инфа!A:AA""), 6, FALSE)"),2024)</f>
        <v>2024</v>
      </c>
      <c r="J2431" s="5">
        <f t="shared" ca="1" si="83"/>
        <v>11200</v>
      </c>
      <c r="K2431" s="12" t="s">
        <v>1105</v>
      </c>
      <c r="L2431" s="15" t="s">
        <v>9687</v>
      </c>
    </row>
    <row r="2432" spans="1:12" ht="146.25">
      <c r="A2432" s="8" t="s">
        <v>9688</v>
      </c>
      <c r="B2432" s="9" t="s">
        <v>12</v>
      </c>
      <c r="C2432" s="10" t="s">
        <v>151</v>
      </c>
      <c r="D2432" s="10" t="str">
        <f ca="1">IFERROR(__xludf.DUMMYFUNCTION(" VLOOKUP(A2429, IMPORTRANGE(""https://docs.google.com/spreadsheets/d/1fj_Bhi2XPL3siwIh4sx4VRLAe31yD50oKdj5UlRYW0c/"", ""Сводка!A:AA""), 11, FALSE)"),"978-601-327-058-6")</f>
        <v>978-601-327-058-6</v>
      </c>
      <c r="E2432" s="11" t="s">
        <v>9689</v>
      </c>
      <c r="F2432" s="11" t="s">
        <v>9690</v>
      </c>
      <c r="G2432" s="12">
        <f ca="1">IFERROR(__xludf.DUMMYFUNCTION(" VLOOKUP(A2429, IMPORTRANGE(""https://docs.google.com/spreadsheets/d/1fj_Bhi2XPL3siwIh4sx4VRLAe31yD50oKdj5UlRYW0c/"", ""Сводка!A:AA""), 5, FALSE)"),234)</f>
        <v>234</v>
      </c>
      <c r="H2432" s="12" t="s">
        <v>56</v>
      </c>
      <c r="I2432" s="10">
        <f ca="1">IFERROR(__xludf.DUMMYFUNCTION(" VLOOKUP(A2429, IMPORTRANGE(""https://docs.google.com/spreadsheets/d/1QNLbnkR_AongFt22vMfNzfpjZ0CjpI8QI-w0wBnYA1w/"", ""Инфа!A:AA""), 6, FALSE)"),2024)</f>
        <v>2024</v>
      </c>
      <c r="J2432" s="5">
        <f t="shared" ca="1" si="83"/>
        <v>12000</v>
      </c>
      <c r="K2432" s="12" t="s">
        <v>302</v>
      </c>
      <c r="L2432" s="15" t="s">
        <v>9691</v>
      </c>
    </row>
    <row r="2433" spans="1:12" ht="112.5">
      <c r="A2433" s="8" t="s">
        <v>9692</v>
      </c>
      <c r="B2433" s="9" t="s">
        <v>12</v>
      </c>
      <c r="C2433" s="10" t="s">
        <v>443</v>
      </c>
      <c r="D2433" s="10" t="str">
        <f ca="1">IFERROR(__xludf.DUMMYFUNCTION(" VLOOKUP(A2430, IMPORTRANGE(""https://docs.google.com/spreadsheets/d/1fj_Bhi2XPL3siwIh4sx4VRLAe31yD50oKdj5UlRYW0c/"", ""Сводка!A:AA""), 11, FALSE)"),"978-601-240-191-2")</f>
        <v>978-601-240-191-2</v>
      </c>
      <c r="E2433" s="11" t="s">
        <v>9693</v>
      </c>
      <c r="F2433" s="11" t="s">
        <v>9694</v>
      </c>
      <c r="G2433" s="12">
        <f ca="1">IFERROR(__xludf.DUMMYFUNCTION(" VLOOKUP(A2430, IMPORTRANGE(""https://docs.google.com/spreadsheets/d/1fj_Bhi2XPL3siwIh4sx4VRLAe31yD50oKdj5UlRYW0c/"", ""Сводка!A:AA""), 5, FALSE)"),104)</f>
        <v>104</v>
      </c>
      <c r="H2433" s="12" t="s">
        <v>446</v>
      </c>
      <c r="I2433" s="10">
        <f ca="1">IFERROR(__xludf.DUMMYFUNCTION(" VLOOKUP(A2430, IMPORTRANGE(""https://docs.google.com/spreadsheets/d/1QNLbnkR_AongFt22vMfNzfpjZ0CjpI8QI-w0wBnYA1w/"", ""Инфа!A:AA""), 6, FALSE)"),2024)</f>
        <v>2024</v>
      </c>
      <c r="J2433" s="5">
        <f t="shared" ca="1" si="83"/>
        <v>8100</v>
      </c>
      <c r="K2433" s="12" t="s">
        <v>570</v>
      </c>
      <c r="L2433" s="15" t="s">
        <v>9695</v>
      </c>
    </row>
    <row r="2434" spans="1:12" ht="168.75">
      <c r="A2434" s="8" t="s">
        <v>9696</v>
      </c>
      <c r="B2434" s="9" t="s">
        <v>12</v>
      </c>
      <c r="C2434" s="10" t="s">
        <v>151</v>
      </c>
      <c r="D2434" s="10" t="str">
        <f ca="1">IFERROR(__xludf.DUMMYFUNCTION(" VLOOKUP(A2431, IMPORTRANGE(""https://docs.google.com/spreadsheets/d/1fj_Bhi2XPL3siwIh4sx4VRLAe31yD50oKdj5UlRYW0c/"", ""Сводка!A:AA""), 11, FALSE)"),"978-601-342-138-4")</f>
        <v>978-601-342-138-4</v>
      </c>
      <c r="E2434" s="11" t="s">
        <v>9697</v>
      </c>
      <c r="F2434" s="11" t="s">
        <v>9698</v>
      </c>
      <c r="G2434" s="12">
        <f ca="1">IFERROR(__xludf.DUMMYFUNCTION(" VLOOKUP(A2431, IMPORTRANGE(""https://docs.google.com/spreadsheets/d/1fj_Bhi2XPL3siwIh4sx4VRLAe31yD50oKdj5UlRYW0c/"", ""Сводка!A:AA""), 5, FALSE)"),256)</f>
        <v>256</v>
      </c>
      <c r="H2434" s="12" t="s">
        <v>106</v>
      </c>
      <c r="I2434" s="10">
        <f ca="1">IFERROR(__xludf.DUMMYFUNCTION(" VLOOKUP(A2431, IMPORTRANGE(""https://docs.google.com/spreadsheets/d/1QNLbnkR_AongFt22vMfNzfpjZ0CjpI8QI-w0wBnYA1w/"", ""Инфа!A:AA""), 6, FALSE)"),2024)</f>
        <v>2024</v>
      </c>
      <c r="J2434" s="5">
        <f ca="1">ROUND((5000+G2434*60),-2)</f>
        <v>20400</v>
      </c>
      <c r="K2434" s="12" t="s">
        <v>3629</v>
      </c>
      <c r="L2434" s="15" t="s">
        <v>9699</v>
      </c>
    </row>
    <row r="2435" spans="1:12" ht="112.5">
      <c r="A2435" s="8" t="s">
        <v>9700</v>
      </c>
      <c r="B2435" s="9" t="s">
        <v>12</v>
      </c>
      <c r="C2435" s="10" t="s">
        <v>443</v>
      </c>
      <c r="D2435" s="10" t="str">
        <f ca="1">IFERROR(__xludf.DUMMYFUNCTION(" VLOOKUP(A2432, IMPORTRANGE(""https://docs.google.com/spreadsheets/d/1fj_Bhi2XPL3siwIh4sx4VRLAe31yD50oKdj5UlRYW0c/"", ""Сводка!A:AA""), 11, FALSE)"),"978-601-327-894-0")</f>
        <v>978-601-327-894-0</v>
      </c>
      <c r="E2435" s="11" t="s">
        <v>9701</v>
      </c>
      <c r="F2435" s="11" t="s">
        <v>9702</v>
      </c>
      <c r="G2435" s="12">
        <f ca="1">IFERROR(__xludf.DUMMYFUNCTION(" VLOOKUP(A2432, IMPORTRANGE(""https://docs.google.com/spreadsheets/d/1fj_Bhi2XPL3siwIh4sx4VRLAe31yD50oKdj5UlRYW0c/"", ""Сводка!A:AA""), 5, FALSE)"),156)</f>
        <v>156</v>
      </c>
      <c r="H2435" s="12" t="s">
        <v>446</v>
      </c>
      <c r="I2435" s="10">
        <f ca="1">IFERROR(__xludf.DUMMYFUNCTION(" VLOOKUP(A2432, IMPORTRANGE(""https://docs.google.com/spreadsheets/d/1QNLbnkR_AongFt22vMfNzfpjZ0CjpI8QI-w0wBnYA1w/"", ""Инфа!A:AA""), 6, FALSE)"),2024)</f>
        <v>2024</v>
      </c>
      <c r="J2435" s="5">
        <f ca="1">ROUND(((5000+G2435*30)*1.3),-2)</f>
        <v>12600</v>
      </c>
      <c r="K2435" s="12" t="s">
        <v>166</v>
      </c>
      <c r="L2435" s="15" t="s">
        <v>9703</v>
      </c>
    </row>
    <row r="2436" spans="1:12" ht="135">
      <c r="A2436" s="8" t="s">
        <v>9704</v>
      </c>
      <c r="B2436" s="9" t="s">
        <v>12</v>
      </c>
      <c r="C2436" s="10" t="s">
        <v>151</v>
      </c>
      <c r="D2436" s="10" t="str">
        <f ca="1">IFERROR(__xludf.DUMMYFUNCTION(" VLOOKUP(A2433, IMPORTRANGE(""https://docs.google.com/spreadsheets/d/1fj_Bhi2XPL3siwIh4sx4VRLAe31yD50oKdj5UlRYW0c/"", ""Сводка!A:AA""), 11, FALSE)"),"978-601-310-543-7")</f>
        <v>978-601-310-543-7</v>
      </c>
      <c r="E2436" s="11" t="s">
        <v>9705</v>
      </c>
      <c r="F2436" s="11" t="s">
        <v>9706</v>
      </c>
      <c r="G2436" s="12">
        <f ca="1">IFERROR(__xludf.DUMMYFUNCTION(" VLOOKUP(A2433, IMPORTRANGE(""https://docs.google.com/spreadsheets/d/1fj_Bhi2XPL3siwIh4sx4VRLAe31yD50oKdj5UlRYW0c/"", ""Сводка!A:AA""), 5, FALSE)"),340)</f>
        <v>340</v>
      </c>
      <c r="H2436" s="12" t="s">
        <v>538</v>
      </c>
      <c r="I2436" s="10">
        <f ca="1">IFERROR(__xludf.DUMMYFUNCTION(" VLOOKUP(A2433, IMPORTRANGE(""https://docs.google.com/spreadsheets/d/1QNLbnkR_AongFt22vMfNzfpjZ0CjpI8QI-w0wBnYA1w/"", ""Инфа!A:AA""), 6, FALSE)"),2024)</f>
        <v>2024</v>
      </c>
      <c r="J2436" s="5">
        <f ca="1">ROUND((5000+G2436*60),-2)</f>
        <v>25400</v>
      </c>
      <c r="K2436" s="12" t="s">
        <v>1387</v>
      </c>
      <c r="L2436" s="15" t="s">
        <v>9707</v>
      </c>
    </row>
    <row r="2437" spans="1:12" ht="112.5">
      <c r="A2437" s="8" t="s">
        <v>9708</v>
      </c>
      <c r="B2437" s="9" t="s">
        <v>12</v>
      </c>
      <c r="C2437" s="10" t="s">
        <v>443</v>
      </c>
      <c r="D2437" s="10" t="str">
        <f ca="1">IFERROR(__xludf.DUMMYFUNCTION(" VLOOKUP(A2434, IMPORTRANGE(""https://docs.google.com/spreadsheets/d/1fj_Bhi2XPL3siwIh4sx4VRLAe31yD50oKdj5UlRYW0c/"", ""Сводка!A:AA""), 11, FALSE)"),"978-601-310-543-7")</f>
        <v>978-601-310-543-7</v>
      </c>
      <c r="E2437" s="11" t="s">
        <v>9705</v>
      </c>
      <c r="F2437" s="11" t="s">
        <v>9709</v>
      </c>
      <c r="G2437" s="12">
        <f ca="1">IFERROR(__xludf.DUMMYFUNCTION(" VLOOKUP(A2434, IMPORTRANGE(""https://docs.google.com/spreadsheets/d/1fj_Bhi2XPL3siwIh4sx4VRLAe31yD50oKdj5UlRYW0c/"", ""Сводка!A:AA""), 5, FALSE)"),340)</f>
        <v>340</v>
      </c>
      <c r="H2437" s="12" t="s">
        <v>538</v>
      </c>
      <c r="I2437" s="10">
        <f ca="1">IFERROR(__xludf.DUMMYFUNCTION(" VLOOKUP(A2434, IMPORTRANGE(""https://docs.google.com/spreadsheets/d/1QNLbnkR_AongFt22vMfNzfpjZ0CjpI8QI-w0wBnYA1w/"", ""Инфа!A:AA""), 6, FALSE)"),2024)</f>
        <v>2024</v>
      </c>
      <c r="J2437" s="5">
        <f ca="1">ROUND((5000+G2437*60),-2)</f>
        <v>25400</v>
      </c>
      <c r="K2437" s="12" t="s">
        <v>1387</v>
      </c>
      <c r="L2437" s="15" t="s">
        <v>9710</v>
      </c>
    </row>
    <row r="2438" spans="1:12" ht="25.5">
      <c r="A2438" s="8" t="s">
        <v>9711</v>
      </c>
      <c r="B2438" s="9" t="s">
        <v>12</v>
      </c>
      <c r="C2438" s="10" t="s">
        <v>443</v>
      </c>
      <c r="D2438" s="10" t="s">
        <v>9712</v>
      </c>
      <c r="E2438" s="25" t="s">
        <v>9705</v>
      </c>
      <c r="F2438" s="25" t="s">
        <v>9713</v>
      </c>
      <c r="G2438" s="12">
        <f ca="1">IFERROR(__xludf.DUMMYFUNCTION(" VLOOKUP(A2435, IMPORTRANGE(""https://docs.google.com/spreadsheets/d/1fj_Bhi2XPL3siwIh4sx4VRLAe31yD50oKdj5UlRYW0c/"", ""Сводка!A:AA""), 5, FALSE)"),220)</f>
        <v>220</v>
      </c>
      <c r="H2438" s="26" t="s">
        <v>538</v>
      </c>
      <c r="I2438" s="10">
        <f ca="1">IFERROR(__xludf.DUMMYFUNCTION(" VLOOKUP(A2435, IMPORTRANGE(""https://docs.google.com/spreadsheets/d/1QNLbnkR_AongFt22vMfNzfpjZ0CjpI8QI-w0wBnYA1w/"", ""Инфа!A:AA""), 6, FALSE)"),2024)</f>
        <v>2024</v>
      </c>
      <c r="J2438" s="5">
        <f ca="1">ROUND((5000+G2438*60),-2)</f>
        <v>18200</v>
      </c>
      <c r="K2438" s="12" t="s">
        <v>1387</v>
      </c>
      <c r="L2438" s="15"/>
    </row>
    <row r="2439" spans="1:12" ht="38.25">
      <c r="A2439" s="8" t="s">
        <v>9714</v>
      </c>
      <c r="B2439" s="9" t="s">
        <v>12</v>
      </c>
      <c r="C2439" s="10" t="s">
        <v>443</v>
      </c>
      <c r="D2439" s="10" t="str">
        <f ca="1">IFERROR(__xludf.DUMMYFUNCTION(" VLOOKUP(A2436, IMPORTRANGE(""https://docs.google.com/spreadsheets/d/1fj_Bhi2XPL3siwIh4sx4VRLAe31yD50oKdj5UlRYW0c/"", ""Сводка!A:AA""), 11, FALSE)"),"9965-37-109-1")</f>
        <v>9965-37-109-1</v>
      </c>
      <c r="E2439" s="11" t="s">
        <v>9715</v>
      </c>
      <c r="F2439" s="11" t="s">
        <v>9716</v>
      </c>
      <c r="G2439" s="12" t="e">
        <f>#REF!</f>
        <v>#REF!</v>
      </c>
      <c r="H2439" s="12" t="s">
        <v>538</v>
      </c>
      <c r="I2439" s="10">
        <f ca="1">IFERROR(__xludf.DUMMYFUNCTION(" VLOOKUP(A2436, IMPORTRANGE(""https://docs.google.com/spreadsheets/d/1QNLbnkR_AongFt22vMfNzfpjZ0CjpI8QI-w0wBnYA1w/"", ""Инфа!A:AA""), 6, FALSE)"),2024)</f>
        <v>2024</v>
      </c>
      <c r="J2439" s="5" t="e">
        <f>ROUND((5000+G2439*30),-2)</f>
        <v>#REF!</v>
      </c>
      <c r="K2439" s="12" t="s">
        <v>160</v>
      </c>
      <c r="L2439" s="15"/>
    </row>
    <row r="2440" spans="1:12" ht="303.75">
      <c r="A2440" s="8" t="s">
        <v>9717</v>
      </c>
      <c r="B2440" s="9" t="s">
        <v>12</v>
      </c>
      <c r="C2440" s="10" t="s">
        <v>443</v>
      </c>
      <c r="D2440" s="10" t="str">
        <f ca="1">IFERROR(__xludf.DUMMYFUNCTION(" VLOOKUP(A2437, IMPORTRANGE(""https://docs.google.com/spreadsheets/d/1fj_Bhi2XPL3siwIh4sx4VRLAe31yD50oKdj5UlRYW0c/"", ""Сводка!A:AA""), 11, FALSE)"),"978-601-7816-13-1")</f>
        <v>978-601-7816-13-1</v>
      </c>
      <c r="E2440" s="11" t="s">
        <v>9718</v>
      </c>
      <c r="F2440" s="11" t="s">
        <v>587</v>
      </c>
      <c r="G2440" s="12">
        <f ca="1">IFERROR(__xludf.DUMMYFUNCTION(" VLOOKUP(A2437, IMPORTRANGE(""https://docs.google.com/spreadsheets/d/1fj_Bhi2XPL3siwIh4sx4VRLAe31yD50oKdj5UlRYW0c/"", ""Сводка!A:AA""), 5, FALSE)"),272)</f>
        <v>272</v>
      </c>
      <c r="H2440" s="12" t="s">
        <v>511</v>
      </c>
      <c r="I2440" s="10">
        <f ca="1">IFERROR(__xludf.DUMMYFUNCTION(" VLOOKUP(A2437, IMPORTRANGE(""https://docs.google.com/spreadsheets/d/1QNLbnkR_AongFt22vMfNzfpjZ0CjpI8QI-w0wBnYA1w/"", ""Инфа!A:AA""), 6, FALSE)"),2024)</f>
        <v>2024</v>
      </c>
      <c r="J2440" s="5">
        <f ca="1">ROUND((5000+G2440*30),-2)</f>
        <v>13200</v>
      </c>
      <c r="K2440" s="9" t="s">
        <v>539</v>
      </c>
      <c r="L2440" s="15" t="s">
        <v>9719</v>
      </c>
    </row>
    <row r="2441" spans="1:12" ht="180">
      <c r="A2441" s="8" t="s">
        <v>9720</v>
      </c>
      <c r="B2441" s="9" t="s">
        <v>12</v>
      </c>
      <c r="C2441" s="10" t="s">
        <v>443</v>
      </c>
      <c r="D2441" s="10" t="str">
        <f ca="1">IFERROR(__xludf.DUMMYFUNCTION(" VLOOKUP(A2438, IMPORTRANGE(""https://docs.google.com/spreadsheets/d/1fj_Bhi2XPL3siwIh4sx4VRLAe31yD50oKdj5UlRYW0c/"", ""Сводка!A:AA""), 11, FALSE)"),"978-601-310-417-2")</f>
        <v>978-601-310-417-2</v>
      </c>
      <c r="E2441" s="11" t="s">
        <v>9721</v>
      </c>
      <c r="F2441" s="11" t="s">
        <v>9722</v>
      </c>
      <c r="G2441" s="12">
        <f ca="1">IFERROR(__xludf.DUMMYFUNCTION(" VLOOKUP(A2438, IMPORTRANGE(""https://docs.google.com/spreadsheets/d/1fj_Bhi2XPL3siwIh4sx4VRLAe31yD50oKdj5UlRYW0c/"", ""Сводка!A:AA""), 5, FALSE)"),252)</f>
        <v>252</v>
      </c>
      <c r="H2441" s="12" t="s">
        <v>511</v>
      </c>
      <c r="I2441" s="10">
        <f ca="1">IFERROR(__xludf.DUMMYFUNCTION(" VLOOKUP(A2438, IMPORTRANGE(""https://docs.google.com/spreadsheets/d/1QNLbnkR_AongFt22vMfNzfpjZ0CjpI8QI-w0wBnYA1w/"", ""Инфа!A:AA""), 6, FALSE)"),2024)</f>
        <v>2024</v>
      </c>
      <c r="J2441" s="5">
        <f ca="1">ROUND((5000+G2441*60),-2)</f>
        <v>20100</v>
      </c>
      <c r="K2441" s="12" t="s">
        <v>1387</v>
      </c>
      <c r="L2441" s="15" t="s">
        <v>9723</v>
      </c>
    </row>
    <row r="2442" spans="1:12" ht="180">
      <c r="A2442" s="8" t="s">
        <v>9724</v>
      </c>
      <c r="B2442" s="9" t="s">
        <v>12</v>
      </c>
      <c r="C2442" s="10" t="s">
        <v>443</v>
      </c>
      <c r="D2442" s="10" t="str">
        <f ca="1">IFERROR(__xludf.DUMMYFUNCTION(" VLOOKUP(A2439, IMPORTRANGE(""https://docs.google.com/spreadsheets/d/1fj_Bhi2XPL3siwIh4sx4VRLAe31yD50oKdj5UlRYW0c/"", ""Сводка!A:AA""), 11, FALSE)"),"978-601-327-962-6")</f>
        <v>978-601-327-962-6</v>
      </c>
      <c r="E2442" s="11" t="s">
        <v>9721</v>
      </c>
      <c r="F2442" s="11" t="s">
        <v>9725</v>
      </c>
      <c r="G2442" s="12">
        <f ca="1">IFERROR(__xludf.DUMMYFUNCTION(" VLOOKUP(A2439, IMPORTRANGE(""https://docs.google.com/spreadsheets/d/1fj_Bhi2XPL3siwIh4sx4VRLAe31yD50oKdj5UlRYW0c/"", ""Сводка!A:AA""), 5, FALSE)"),264)</f>
        <v>264</v>
      </c>
      <c r="H2442" s="12" t="s">
        <v>511</v>
      </c>
      <c r="I2442" s="10">
        <f ca="1">IFERROR(__xludf.DUMMYFUNCTION(" VLOOKUP(A2439, IMPORTRANGE(""https://docs.google.com/spreadsheets/d/1QNLbnkR_AongFt22vMfNzfpjZ0CjpI8QI-w0wBnYA1w/"", ""Инфа!A:AA""), 6, FALSE)"),2024)</f>
        <v>2024</v>
      </c>
      <c r="J2442" s="5">
        <f ca="1">ROUND((5000+G2442*60),-2)</f>
        <v>20800</v>
      </c>
      <c r="K2442" s="12" t="s">
        <v>1387</v>
      </c>
      <c r="L2442" s="15" t="s">
        <v>9723</v>
      </c>
    </row>
    <row r="2443" spans="1:12" ht="270">
      <c r="A2443" s="8" t="s">
        <v>9726</v>
      </c>
      <c r="B2443" s="9" t="s">
        <v>12</v>
      </c>
      <c r="C2443" s="10" t="s">
        <v>443</v>
      </c>
      <c r="D2443" s="10" t="str">
        <f ca="1">IFERROR(__xludf.DUMMYFUNCTION(" VLOOKUP(A2440, IMPORTRANGE(""https://docs.google.com/spreadsheets/d/1fj_Bhi2XPL3siwIh4sx4VRLAe31yD50oKdj5UlRYW0c/"", ""Сводка!A:AA""), 11, FALSE)"),"978-601-327-919-0")</f>
        <v>978-601-327-919-0</v>
      </c>
      <c r="E2443" s="11" t="s">
        <v>9727</v>
      </c>
      <c r="F2443" s="11" t="s">
        <v>9728</v>
      </c>
      <c r="G2443" s="12">
        <f ca="1">IFERROR(__xludf.DUMMYFUNCTION(" VLOOKUP(A2440, IMPORTRANGE(""https://docs.google.com/spreadsheets/d/1fj_Bhi2XPL3siwIh4sx4VRLAe31yD50oKdj5UlRYW0c/"", ""Сводка!A:AA""), 5, FALSE)"),128)</f>
        <v>128</v>
      </c>
      <c r="H2443" s="12" t="s">
        <v>538</v>
      </c>
      <c r="I2443" s="10">
        <f ca="1">IFERROR(__xludf.DUMMYFUNCTION(" VLOOKUP(A2440, IMPORTRANGE(""https://docs.google.com/spreadsheets/d/1QNLbnkR_AongFt22vMfNzfpjZ0CjpI8QI-w0wBnYA1w/"", ""Инфа!A:AA""), 6, FALSE)"),2024)</f>
        <v>2024</v>
      </c>
      <c r="J2443" s="5">
        <f ca="1">ROUND((5000+G2443*60),-2)</f>
        <v>12700</v>
      </c>
      <c r="K2443" s="9" t="s">
        <v>408</v>
      </c>
      <c r="L2443" s="15" t="s">
        <v>9729</v>
      </c>
    </row>
    <row r="2444" spans="1:12" ht="135">
      <c r="A2444" s="8" t="s">
        <v>9730</v>
      </c>
      <c r="B2444" s="9" t="s">
        <v>12</v>
      </c>
      <c r="C2444" s="10" t="s">
        <v>443</v>
      </c>
      <c r="D2444" s="10" t="str">
        <f ca="1">IFERROR(__xludf.DUMMYFUNCTION(" VLOOKUP(A2441, IMPORTRANGE(""https://docs.google.com/spreadsheets/d/1fj_Bhi2XPL3siwIh4sx4VRLAe31yD50oKdj5UlRYW0c/"", ""Сводка!A:AA""), 11, FALSE)"),"978-601-327-920-6")</f>
        <v>978-601-327-920-6</v>
      </c>
      <c r="E2444" s="11" t="s">
        <v>9727</v>
      </c>
      <c r="F2444" s="11" t="s">
        <v>9731</v>
      </c>
      <c r="G2444" s="12">
        <f ca="1">IFERROR(__xludf.DUMMYFUNCTION(" VLOOKUP(A2441, IMPORTRANGE(""https://docs.google.com/spreadsheets/d/1fj_Bhi2XPL3siwIh4sx4VRLAe31yD50oKdj5UlRYW0c/"", ""Сводка!A:AA""), 5, FALSE)"),244)</f>
        <v>244</v>
      </c>
      <c r="H2444" s="12" t="s">
        <v>538</v>
      </c>
      <c r="I2444" s="10">
        <f ca="1">IFERROR(__xludf.DUMMYFUNCTION(" VLOOKUP(A2441, IMPORTRANGE(""https://docs.google.com/spreadsheets/d/1QNLbnkR_AongFt22vMfNzfpjZ0CjpI8QI-w0wBnYA1w/"", ""Инфа!A:AA""), 6, FALSE)"),2024)</f>
        <v>2024</v>
      </c>
      <c r="J2444" s="5">
        <f t="shared" ref="J2444:J2450" ca="1" si="84">ROUND((5000+G2444*30),-2)</f>
        <v>12300</v>
      </c>
      <c r="K2444" s="9" t="s">
        <v>408</v>
      </c>
      <c r="L2444" s="15" t="s">
        <v>9732</v>
      </c>
    </row>
    <row r="2445" spans="1:12" ht="112.5">
      <c r="A2445" s="8" t="s">
        <v>9733</v>
      </c>
      <c r="B2445" s="9" t="s">
        <v>12</v>
      </c>
      <c r="C2445" s="10" t="s">
        <v>443</v>
      </c>
      <c r="D2445" s="10" t="str">
        <f ca="1">IFERROR(__xludf.DUMMYFUNCTION(" VLOOKUP(A2442, IMPORTRANGE(""https://docs.google.com/spreadsheets/d/1fj_Bhi2XPL3siwIh4sx4VRLAe31yD50oKdj5UlRYW0c/"", ""Сводка!A:AA""), 11, FALSE)"),"978-601-327-921-3")</f>
        <v>978-601-327-921-3</v>
      </c>
      <c r="E2445" s="11" t="s">
        <v>9727</v>
      </c>
      <c r="F2445" s="11" t="s">
        <v>9734</v>
      </c>
      <c r="G2445" s="12">
        <f ca="1">IFERROR(__xludf.DUMMYFUNCTION(" VLOOKUP(A2442, IMPORTRANGE(""https://docs.google.com/spreadsheets/d/1fj_Bhi2XPL3siwIh4sx4VRLAe31yD50oKdj5UlRYW0c/"", ""Сводка!A:AA""), 5, FALSE)"),100)</f>
        <v>100</v>
      </c>
      <c r="H2445" s="12" t="s">
        <v>538</v>
      </c>
      <c r="I2445" s="10">
        <f ca="1">IFERROR(__xludf.DUMMYFUNCTION(" VLOOKUP(A2442, IMPORTRANGE(""https://docs.google.com/spreadsheets/d/1QNLbnkR_AongFt22vMfNzfpjZ0CjpI8QI-w0wBnYA1w/"", ""Инфа!A:AA""), 6, FALSE)"),2024)</f>
        <v>2024</v>
      </c>
      <c r="J2445" s="5">
        <f t="shared" ca="1" si="84"/>
        <v>8000</v>
      </c>
      <c r="K2445" s="9" t="s">
        <v>408</v>
      </c>
      <c r="L2445" s="15" t="s">
        <v>9735</v>
      </c>
    </row>
    <row r="2446" spans="1:12" ht="101.25">
      <c r="A2446" s="8" t="s">
        <v>9736</v>
      </c>
      <c r="B2446" s="9" t="s">
        <v>12</v>
      </c>
      <c r="C2446" s="10" t="s">
        <v>443</v>
      </c>
      <c r="D2446" s="10" t="str">
        <f ca="1">IFERROR(__xludf.DUMMYFUNCTION(" VLOOKUP(A2443, IMPORTRANGE(""https://docs.google.com/spreadsheets/d/1fj_Bhi2XPL3siwIh4sx4VRLAe31yD50oKdj5UlRYW0c/"", ""Сводка!A:AA""), 11, FALSE)"),"978-601-327-918-3")</f>
        <v>978-601-327-918-3</v>
      </c>
      <c r="E2446" s="11" t="s">
        <v>9727</v>
      </c>
      <c r="F2446" s="11" t="s">
        <v>9737</v>
      </c>
      <c r="G2446" s="12">
        <f ca="1">IFERROR(__xludf.DUMMYFUNCTION(" VLOOKUP(A2443, IMPORTRANGE(""https://docs.google.com/spreadsheets/d/1fj_Bhi2XPL3siwIh4sx4VRLAe31yD50oKdj5UlRYW0c/"", ""Сводка!A:AA""), 5, FALSE)"),148)</f>
        <v>148</v>
      </c>
      <c r="H2446" s="12" t="s">
        <v>538</v>
      </c>
      <c r="I2446" s="10">
        <f ca="1">IFERROR(__xludf.DUMMYFUNCTION(" VLOOKUP(A2443, IMPORTRANGE(""https://docs.google.com/spreadsheets/d/1QNLbnkR_AongFt22vMfNzfpjZ0CjpI8QI-w0wBnYA1w/"", ""Инфа!A:AA""), 6, FALSE)"),2024)</f>
        <v>2024</v>
      </c>
      <c r="J2446" s="5">
        <f t="shared" ca="1" si="84"/>
        <v>9400</v>
      </c>
      <c r="K2446" s="9" t="s">
        <v>408</v>
      </c>
      <c r="L2446" s="15" t="s">
        <v>9738</v>
      </c>
    </row>
    <row r="2447" spans="1:12" ht="38.25">
      <c r="A2447" s="8" t="s">
        <v>9739</v>
      </c>
      <c r="B2447" s="9" t="s">
        <v>12</v>
      </c>
      <c r="C2447" s="10" t="s">
        <v>443</v>
      </c>
      <c r="D2447" s="10" t="str">
        <f ca="1">IFERROR(__xludf.DUMMYFUNCTION(" VLOOKUP(A2444, IMPORTRANGE(""https://docs.google.com/spreadsheets/d/1fj_Bhi2XPL3siwIh4sx4VRLAe31yD50oKdj5UlRYW0c/"", ""Сводка!A:AA""), 11, FALSE)"),"978-601-240-006-9")</f>
        <v>978-601-240-006-9</v>
      </c>
      <c r="E2447" s="11" t="s">
        <v>9740</v>
      </c>
      <c r="F2447" s="11" t="s">
        <v>9741</v>
      </c>
      <c r="G2447" s="12">
        <f ca="1">IFERROR(__xludf.DUMMYFUNCTION(" VLOOKUP(A2444, IMPORTRANGE(""https://docs.google.com/spreadsheets/d/1fj_Bhi2XPL3siwIh4sx4VRLAe31yD50oKdj5UlRYW0c/"", ""Сводка!A:AA""), 5, FALSE)"),128)</f>
        <v>128</v>
      </c>
      <c r="H2447" s="12" t="s">
        <v>511</v>
      </c>
      <c r="I2447" s="10">
        <f ca="1">IFERROR(__xludf.DUMMYFUNCTION(" VLOOKUP(A2444, IMPORTRANGE(""https://docs.google.com/spreadsheets/d/1QNLbnkR_AongFt22vMfNzfpjZ0CjpI8QI-w0wBnYA1w/"", ""Инфа!A:AA""), 6, FALSE)"),2024)</f>
        <v>2024</v>
      </c>
      <c r="J2447" s="5">
        <f t="shared" ca="1" si="84"/>
        <v>8800</v>
      </c>
      <c r="K2447" s="9" t="s">
        <v>1219</v>
      </c>
      <c r="L2447" s="15"/>
    </row>
    <row r="2448" spans="1:12" ht="38.25">
      <c r="A2448" s="8" t="s">
        <v>9742</v>
      </c>
      <c r="B2448" s="9" t="s">
        <v>12</v>
      </c>
      <c r="C2448" s="10" t="s">
        <v>443</v>
      </c>
      <c r="D2448" s="10" t="str">
        <f ca="1">IFERROR(__xludf.DUMMYFUNCTION(" VLOOKUP(A2445, IMPORTRANGE(""https://docs.google.com/spreadsheets/d/1fj_Bhi2XPL3siwIh4sx4VRLAe31yD50oKdj5UlRYW0c/"", ""Сводка!A:AA""), 11, FALSE)"),"978-601-240-006-9")</f>
        <v>978-601-240-006-9</v>
      </c>
      <c r="E2448" s="11" t="s">
        <v>9743</v>
      </c>
      <c r="F2448" s="11" t="s">
        <v>9744</v>
      </c>
      <c r="G2448" s="12">
        <v>196</v>
      </c>
      <c r="H2448" s="12"/>
      <c r="I2448" s="10">
        <f ca="1">IFERROR(__xludf.DUMMYFUNCTION(" VLOOKUP(A2445, IMPORTRANGE(""https://docs.google.com/spreadsheets/d/1QNLbnkR_AongFt22vMfNzfpjZ0CjpI8QI-w0wBnYA1w/"", ""Инфа!A:AA""), 6, FALSE)"),2024)</f>
        <v>2024</v>
      </c>
      <c r="J2448" s="5">
        <f t="shared" si="84"/>
        <v>10900</v>
      </c>
      <c r="K2448" s="9" t="s">
        <v>539</v>
      </c>
      <c r="L2448" s="15"/>
    </row>
    <row r="2449" spans="1:12" ht="38.25">
      <c r="A2449" s="8" t="s">
        <v>9745</v>
      </c>
      <c r="B2449" s="9" t="s">
        <v>12</v>
      </c>
      <c r="C2449" s="10" t="s">
        <v>151</v>
      </c>
      <c r="D2449" s="10" t="str">
        <f ca="1">IFERROR(__xludf.DUMMYFUNCTION(" VLOOKUP(A2446, IMPORTRANGE(""https://docs.google.com/spreadsheets/d/1fj_Bhi2XPL3siwIh4sx4VRLAe31yD50oKdj5UlRYW0c/"", ""Сводка!A:AA""), 11, FALSE)"),"978-601-310-348-8")</f>
        <v>978-601-310-348-8</v>
      </c>
      <c r="E2449" s="11" t="s">
        <v>9746</v>
      </c>
      <c r="F2449" s="11" t="s">
        <v>9747</v>
      </c>
      <c r="G2449" s="12">
        <f ca="1">IFERROR(__xludf.DUMMYFUNCTION(" VLOOKUP(A2446, IMPORTRANGE(""https://docs.google.com/spreadsheets/d/1fj_Bhi2XPL3siwIh4sx4VRLAe31yD50oKdj5UlRYW0c/"", ""Сводка!A:AA""), 5, FALSE)"),108)</f>
        <v>108</v>
      </c>
      <c r="H2449" s="12" t="s">
        <v>1577</v>
      </c>
      <c r="I2449" s="10">
        <f ca="1">IFERROR(__xludf.DUMMYFUNCTION(" VLOOKUP(A2446, IMPORTRANGE(""https://docs.google.com/spreadsheets/d/1QNLbnkR_AongFt22vMfNzfpjZ0CjpI8QI-w0wBnYA1w/"", ""Инфа!A:AA""), 6, FALSE)"),2024)</f>
        <v>2024</v>
      </c>
      <c r="J2449" s="5">
        <f t="shared" ca="1" si="84"/>
        <v>8200</v>
      </c>
      <c r="K2449" s="12" t="s">
        <v>26</v>
      </c>
      <c r="L2449" s="15"/>
    </row>
    <row r="2450" spans="1:12" ht="76.5">
      <c r="A2450" s="8" t="s">
        <v>9748</v>
      </c>
      <c r="B2450" s="9" t="s">
        <v>12</v>
      </c>
      <c r="C2450" s="10" t="s">
        <v>443</v>
      </c>
      <c r="D2450" s="10" t="str">
        <f ca="1">IFERROR(__xludf.DUMMYFUNCTION(" VLOOKUP(A2447, IMPORTRANGE(""https://docs.google.com/spreadsheets/d/1fj_Bhi2XPL3siwIh4sx4VRLAe31yD50oKdj5UlRYW0c/"", ""Сводка!A:AA""), 11, FALSE)"),"978-601-310-462-1")</f>
        <v>978-601-310-462-1</v>
      </c>
      <c r="E2450" s="11" t="s">
        <v>9746</v>
      </c>
      <c r="F2450" s="11" t="s">
        <v>9749</v>
      </c>
      <c r="G2450" s="12">
        <f ca="1">IFERROR(__xludf.DUMMYFUNCTION(" VLOOKUP(A2447, IMPORTRANGE(""https://docs.google.com/spreadsheets/d/1fj_Bhi2XPL3siwIh4sx4VRLAe31yD50oKdj5UlRYW0c/"", ""Сводка!A:AA""), 5, FALSE)"),72)</f>
        <v>72</v>
      </c>
      <c r="H2450" s="12" t="s">
        <v>2664</v>
      </c>
      <c r="I2450" s="10">
        <f ca="1">IFERROR(__xludf.DUMMYFUNCTION(" VLOOKUP(A2447, IMPORTRANGE(""https://docs.google.com/spreadsheets/d/1QNLbnkR_AongFt22vMfNzfpjZ0CjpI8QI-w0wBnYA1w/"", ""Инфа!A:AA""), 6, FALSE)"),2024)</f>
        <v>2024</v>
      </c>
      <c r="J2450" s="5">
        <f t="shared" ca="1" si="84"/>
        <v>7200</v>
      </c>
      <c r="K2450" s="12" t="s">
        <v>961</v>
      </c>
      <c r="L2450" s="15"/>
    </row>
    <row r="2451" spans="1:12" ht="51">
      <c r="A2451" s="8" t="s">
        <v>9750</v>
      </c>
      <c r="B2451" s="9" t="s">
        <v>12</v>
      </c>
      <c r="C2451" s="10" t="s">
        <v>151</v>
      </c>
      <c r="D2451" s="10" t="str">
        <f ca="1">IFERROR(__xludf.DUMMYFUNCTION(" VLOOKUP(A2448, IMPORTRANGE(""https://docs.google.com/spreadsheets/d/1fj_Bhi2XPL3siwIh4sx4VRLAe31yD50oKdj5UlRYW0c/"", ""Сводка!A:AA""), 11, FALSE)"),"978-601-238-411-6")</f>
        <v>978-601-238-411-6</v>
      </c>
      <c r="E2451" s="11" t="s">
        <v>9751</v>
      </c>
      <c r="F2451" s="11" t="s">
        <v>9752</v>
      </c>
      <c r="G2451" s="12" t="e">
        <f>#REF!</f>
        <v>#REF!</v>
      </c>
      <c r="H2451" s="12" t="s">
        <v>282</v>
      </c>
      <c r="I2451" s="10">
        <f ca="1">IFERROR(__xludf.DUMMYFUNCTION(" VLOOKUP(A2448, IMPORTRANGE(""https://docs.google.com/spreadsheets/d/1QNLbnkR_AongFt22vMfNzfpjZ0CjpI8QI-w0wBnYA1w/"", ""Инфа!A:AA""), 6, FALSE)"),2024)</f>
        <v>2024</v>
      </c>
      <c r="J2451" s="5" t="e">
        <f>ROUND((5000+G2451*60),-2)</f>
        <v>#REF!</v>
      </c>
      <c r="K2451" s="12" t="s">
        <v>5272</v>
      </c>
      <c r="L2451" s="15"/>
    </row>
    <row r="2452" spans="1:12" ht="180">
      <c r="A2452" s="8" t="s">
        <v>9753</v>
      </c>
      <c r="B2452" s="9" t="s">
        <v>12</v>
      </c>
      <c r="C2452" s="10" t="s">
        <v>151</v>
      </c>
      <c r="D2452" s="10" t="str">
        <f ca="1">IFERROR(__xludf.DUMMYFUNCTION(" VLOOKUP(A2449, IMPORTRANGE(""https://docs.google.com/spreadsheets/d/1fj_Bhi2XPL3siwIh4sx4VRLAe31yD50oKdj5UlRYW0c/"", ""Сводка!A:AA""), 11, FALSE)"),"978-601-310-709-7")</f>
        <v>978-601-310-709-7</v>
      </c>
      <c r="E2452" s="11" t="s">
        <v>9754</v>
      </c>
      <c r="F2452" s="11" t="s">
        <v>9755</v>
      </c>
      <c r="G2452" s="12">
        <f ca="1">IFERROR(__xludf.DUMMYFUNCTION(" VLOOKUP(A2449, IMPORTRANGE(""https://docs.google.com/spreadsheets/d/1fj_Bhi2XPL3siwIh4sx4VRLAe31yD50oKdj5UlRYW0c/"", ""Сводка!A:AA""), 5, FALSE)"),72)</f>
        <v>72</v>
      </c>
      <c r="H2452" s="12" t="s">
        <v>1577</v>
      </c>
      <c r="I2452" s="10">
        <f ca="1">IFERROR(__xludf.DUMMYFUNCTION(" VLOOKUP(A2449, IMPORTRANGE(""https://docs.google.com/spreadsheets/d/1QNLbnkR_AongFt22vMfNzfpjZ0CjpI8QI-w0wBnYA1w/"", ""Инфа!A:AA""), 6, FALSE)"),2024)</f>
        <v>2024</v>
      </c>
      <c r="J2452" s="5">
        <f ca="1">ROUND((5000+G2452*60),-2)</f>
        <v>9300</v>
      </c>
      <c r="K2452" s="12" t="s">
        <v>3961</v>
      </c>
      <c r="L2452" s="15" t="s">
        <v>9756</v>
      </c>
    </row>
    <row r="2453" spans="1:12" ht="180">
      <c r="A2453" s="8" t="s">
        <v>9757</v>
      </c>
      <c r="B2453" s="9" t="s">
        <v>12</v>
      </c>
      <c r="C2453" s="10" t="s">
        <v>443</v>
      </c>
      <c r="D2453" s="10" t="str">
        <f ca="1">IFERROR(__xludf.DUMMYFUNCTION(" VLOOKUP(A2450, IMPORTRANGE(""https://docs.google.com/spreadsheets/d/1fj_Bhi2XPL3siwIh4sx4VRLAe31yD50oKdj5UlRYW0c/"", ""Сводка!A:AA""), 11, FALSE)"),"978-601-310-228-3")</f>
        <v>978-601-310-228-3</v>
      </c>
      <c r="E2453" s="11" t="s">
        <v>9758</v>
      </c>
      <c r="F2453" s="11" t="s">
        <v>9759</v>
      </c>
      <c r="G2453" s="12" t="e">
        <f>#REF!</f>
        <v>#REF!</v>
      </c>
      <c r="H2453" s="12" t="s">
        <v>2664</v>
      </c>
      <c r="I2453" s="10">
        <f ca="1">IFERROR(__xludf.DUMMYFUNCTION(" VLOOKUP(A2450, IMPORTRANGE(""https://docs.google.com/spreadsheets/d/1QNLbnkR_AongFt22vMfNzfpjZ0CjpI8QI-w0wBnYA1w/"", ""Инфа!A:AA""), 6, FALSE)"),2024)</f>
        <v>2024</v>
      </c>
      <c r="J2453" s="5" t="e">
        <f>ROUND((5000+G2453*60),-2)</f>
        <v>#REF!</v>
      </c>
      <c r="K2453" s="12" t="s">
        <v>3961</v>
      </c>
      <c r="L2453" s="15" t="s">
        <v>9760</v>
      </c>
    </row>
    <row r="2454" spans="1:12" ht="112.5">
      <c r="A2454" s="8" t="s">
        <v>9761</v>
      </c>
      <c r="B2454" s="9" t="s">
        <v>12</v>
      </c>
      <c r="C2454" s="10" t="s">
        <v>443</v>
      </c>
      <c r="D2454" s="10" t="str">
        <f ca="1">IFERROR(__xludf.DUMMYFUNCTION(" VLOOKUP(A2451, IMPORTRANGE(""https://docs.google.com/spreadsheets/d/1fj_Bhi2XPL3siwIh4sx4VRLAe31yD50oKdj5UlRYW0c/"", ""Сводка!A:AA""), 11, FALSE)"),"978-601-310-411-9")</f>
        <v>978-601-310-411-9</v>
      </c>
      <c r="E2454" s="11" t="s">
        <v>9762</v>
      </c>
      <c r="F2454" s="11" t="s">
        <v>561</v>
      </c>
      <c r="G2454" s="12">
        <f ca="1">IFERROR(__xludf.DUMMYFUNCTION(" VLOOKUP(A2451, IMPORTRANGE(""https://docs.google.com/spreadsheets/d/1fj_Bhi2XPL3siwIh4sx4VRLAe31yD50oKdj5UlRYW0c/"", ""Сводка!A:AA""), 5, FALSE)"),128)</f>
        <v>128</v>
      </c>
      <c r="H2454" s="12" t="s">
        <v>9763</v>
      </c>
      <c r="I2454" s="10">
        <f ca="1">IFERROR(__xludf.DUMMYFUNCTION(" VLOOKUP(A2451, IMPORTRANGE(""https://docs.google.com/spreadsheets/d/1QNLbnkR_AongFt22vMfNzfpjZ0CjpI8QI-w0wBnYA1w/"", ""Инфа!A:AA""), 6, FALSE)"),2024)</f>
        <v>2024</v>
      </c>
      <c r="J2454" s="5">
        <f ca="1">ROUND((5000+G2454*30),-2)</f>
        <v>8800</v>
      </c>
      <c r="K2454" s="9" t="s">
        <v>539</v>
      </c>
      <c r="L2454" s="15" t="s">
        <v>9764</v>
      </c>
    </row>
    <row r="2455" spans="1:12" ht="202.5">
      <c r="A2455" s="8" t="s">
        <v>9765</v>
      </c>
      <c r="B2455" s="9" t="s">
        <v>12</v>
      </c>
      <c r="C2455" s="10" t="s">
        <v>151</v>
      </c>
      <c r="D2455" s="10" t="str">
        <f ca="1">IFERROR(__xludf.DUMMYFUNCTION(" VLOOKUP(A2452, IMPORTRANGE(""https://docs.google.com/spreadsheets/d/1fj_Bhi2XPL3siwIh4sx4VRLAe31yD50oKdj5UlRYW0c/"", ""Сводка!A:AA""), 11, FALSE)"),"978-601-342-195-7")</f>
        <v>978-601-342-195-7</v>
      </c>
      <c r="E2455" s="11" t="s">
        <v>9766</v>
      </c>
      <c r="F2455" s="11" t="s">
        <v>9767</v>
      </c>
      <c r="G2455" s="12">
        <f ca="1">IFERROR(__xludf.DUMMYFUNCTION(" VLOOKUP(A2452, IMPORTRANGE(""https://docs.google.com/spreadsheets/d/1fj_Bhi2XPL3siwIh4sx4VRLAe31yD50oKdj5UlRYW0c/"", ""Сводка!A:AA""), 5, FALSE)"),176)</f>
        <v>176</v>
      </c>
      <c r="H2455" s="12" t="s">
        <v>24</v>
      </c>
      <c r="I2455" s="10">
        <f ca="1">IFERROR(__xludf.DUMMYFUNCTION(" VLOOKUP(A2452, IMPORTRANGE(""https://docs.google.com/spreadsheets/d/1QNLbnkR_AongFt22vMfNzfpjZ0CjpI8QI-w0wBnYA1w/"", ""Инфа!A:AA""), 6, FALSE)"),2024)</f>
        <v>2024</v>
      </c>
      <c r="J2455" s="5">
        <f ca="1">ROUND((5000+G2455*30),-2)</f>
        <v>10300</v>
      </c>
      <c r="K2455" s="12" t="s">
        <v>2600</v>
      </c>
      <c r="L2455" s="15" t="s">
        <v>9768</v>
      </c>
    </row>
    <row r="2456" spans="1:12" ht="247.5">
      <c r="A2456" s="8" t="s">
        <v>9769</v>
      </c>
      <c r="B2456" s="9" t="s">
        <v>12</v>
      </c>
      <c r="C2456" s="10" t="s">
        <v>151</v>
      </c>
      <c r="D2456" s="10" t="str">
        <f ca="1">IFERROR(__xludf.DUMMYFUNCTION(" VLOOKUP(A2453, IMPORTRANGE(""https://docs.google.com/spreadsheets/d/1fj_Bhi2XPL3siwIh4sx4VRLAe31yD50oKdj5UlRYW0c/"", ""Сводка!A:AA""), 11, FALSE)"),"978-601-240-775-4")</f>
        <v>978-601-240-775-4</v>
      </c>
      <c r="E2456" s="11" t="s">
        <v>9770</v>
      </c>
      <c r="F2456" s="11" t="s">
        <v>9771</v>
      </c>
      <c r="G2456" s="12">
        <f ca="1">IFERROR(__xludf.DUMMYFUNCTION(" VLOOKUP(A2453, IMPORTRANGE(""https://docs.google.com/spreadsheets/d/1fj_Bhi2XPL3siwIh4sx4VRLAe31yD50oKdj5UlRYW0c/"", ""Сводка!A:AA""), 5, FALSE)"),232)</f>
        <v>232</v>
      </c>
      <c r="H2456" s="12" t="s">
        <v>47</v>
      </c>
      <c r="I2456" s="10">
        <f ca="1">IFERROR(__xludf.DUMMYFUNCTION(" VLOOKUP(A2453, IMPORTRANGE(""https://docs.google.com/spreadsheets/d/1QNLbnkR_AongFt22vMfNzfpjZ0CjpI8QI-w0wBnYA1w/"", ""Инфа!A:AA""), 6, FALSE)"),2024)</f>
        <v>2024</v>
      </c>
      <c r="J2456" s="5">
        <f ca="1">ROUND((5000+G2456*60),-2)</f>
        <v>18900</v>
      </c>
      <c r="K2456" s="9" t="s">
        <v>69</v>
      </c>
      <c r="L2456" s="15" t="s">
        <v>9772</v>
      </c>
    </row>
    <row r="2457" spans="1:12" ht="123.75">
      <c r="A2457" s="8" t="s">
        <v>9773</v>
      </c>
      <c r="B2457" s="9" t="s">
        <v>12</v>
      </c>
      <c r="C2457" s="10" t="s">
        <v>443</v>
      </c>
      <c r="D2457" s="10" t="str">
        <f ca="1">IFERROR(__xludf.DUMMYFUNCTION(" VLOOKUP(A2454, IMPORTRANGE(""https://docs.google.com/spreadsheets/d/1fj_Bhi2XPL3siwIh4sx4VRLAe31yD50oKdj5UlRYW0c/"", ""Сводка!A:AA""), 11, FALSE)"),"978-601-342-110-0")</f>
        <v>978-601-342-110-0</v>
      </c>
      <c r="E2457" s="11" t="s">
        <v>9774</v>
      </c>
      <c r="F2457" s="11" t="s">
        <v>9775</v>
      </c>
      <c r="G2457" s="12">
        <f ca="1">IFERROR(__xludf.DUMMYFUNCTION(" VLOOKUP(A2454, IMPORTRANGE(""https://docs.google.com/spreadsheets/d/1fj_Bhi2XPL3siwIh4sx4VRLAe31yD50oKdj5UlRYW0c/"", ""Сводка!A:AA""), 5, FALSE)"),248)</f>
        <v>248</v>
      </c>
      <c r="H2457" s="12" t="s">
        <v>538</v>
      </c>
      <c r="I2457" s="10">
        <f ca="1">IFERROR(__xludf.DUMMYFUNCTION(" VLOOKUP(A2454, IMPORTRANGE(""https://docs.google.com/spreadsheets/d/1QNLbnkR_AongFt22vMfNzfpjZ0CjpI8QI-w0wBnYA1w/"", ""Инфа!A:AA""), 6, FALSE)"),2024)</f>
        <v>2024</v>
      </c>
      <c r="J2457" s="5">
        <f ca="1">ROUND((5000+G2457*60),-2)</f>
        <v>19900</v>
      </c>
      <c r="K2457" s="12" t="s">
        <v>26</v>
      </c>
      <c r="L2457" s="15" t="s">
        <v>9776</v>
      </c>
    </row>
    <row r="2458" spans="1:12" ht="56.25">
      <c r="A2458" s="8" t="s">
        <v>9777</v>
      </c>
      <c r="B2458" s="9" t="s">
        <v>12</v>
      </c>
      <c r="C2458" s="10" t="s">
        <v>443</v>
      </c>
      <c r="D2458" s="10" t="str">
        <f ca="1">IFERROR(__xludf.DUMMYFUNCTION(" VLOOKUP(A2455, IMPORTRANGE(""https://docs.google.com/spreadsheets/d/1fj_Bhi2XPL3siwIh4sx4VRLAe31yD50oKdj5UlRYW0c/"", ""Сводка!A:AA""), 11, FALSE)"),"978-601-240-710-5")</f>
        <v>978-601-240-710-5</v>
      </c>
      <c r="E2458" s="11" t="s">
        <v>9778</v>
      </c>
      <c r="F2458" s="11" t="s">
        <v>9779</v>
      </c>
      <c r="G2458" s="12">
        <f ca="1">IFERROR(__xludf.DUMMYFUNCTION(" VLOOKUP(A2455, IMPORTRANGE(""https://docs.google.com/spreadsheets/d/1fj_Bhi2XPL3siwIh4sx4VRLAe31yD50oKdj5UlRYW0c/"", ""Сводка!A:AA""), 5, FALSE)"),164)</f>
        <v>164</v>
      </c>
      <c r="H2458" s="12" t="s">
        <v>538</v>
      </c>
      <c r="I2458" s="10">
        <f ca="1">IFERROR(__xludf.DUMMYFUNCTION(" VLOOKUP(A2455, IMPORTRANGE(""https://docs.google.com/spreadsheets/d/1QNLbnkR_AongFt22vMfNzfpjZ0CjpI8QI-w0wBnYA1w/"", ""Инфа!A:AA""), 6, FALSE)"),2024)</f>
        <v>2024</v>
      </c>
      <c r="J2458" s="5">
        <f ca="1">ROUND(((5000+G2458*60)*1.3),-2)</f>
        <v>19300</v>
      </c>
      <c r="K2458" s="12" t="s">
        <v>302</v>
      </c>
      <c r="L2458" s="15" t="s">
        <v>9780</v>
      </c>
    </row>
    <row r="2459" spans="1:12" ht="101.25">
      <c r="A2459" s="8" t="s">
        <v>9781</v>
      </c>
      <c r="B2459" s="9" t="s">
        <v>12</v>
      </c>
      <c r="C2459" s="10" t="s">
        <v>443</v>
      </c>
      <c r="D2459" s="10" t="str">
        <f ca="1">IFERROR(__xludf.DUMMYFUNCTION(" VLOOKUP(A2456, IMPORTRANGE(""https://docs.google.com/spreadsheets/d/1fj_Bhi2XPL3siwIh4sx4VRLAe31yD50oKdj5UlRYW0c/"", ""Сводка!A:AA""), 11, FALSE)"),"978-601-342-062-2")</f>
        <v>978-601-342-062-2</v>
      </c>
      <c r="E2459" s="11" t="s">
        <v>9782</v>
      </c>
      <c r="F2459" s="11" t="s">
        <v>9783</v>
      </c>
      <c r="G2459" s="12">
        <f ca="1">IFERROR(__xludf.DUMMYFUNCTION(" VLOOKUP(A2456, IMPORTRANGE(""https://docs.google.com/spreadsheets/d/1fj_Bhi2XPL3siwIh4sx4VRLAe31yD50oKdj5UlRYW0c/"", ""Сводка!A:AA""), 5, FALSE)"),344)</f>
        <v>344</v>
      </c>
      <c r="H2459" s="12" t="s">
        <v>538</v>
      </c>
      <c r="I2459" s="10">
        <f ca="1">IFERROR(__xludf.DUMMYFUNCTION(" VLOOKUP(A2456, IMPORTRANGE(""https://docs.google.com/spreadsheets/d/1QNLbnkR_AongFt22vMfNzfpjZ0CjpI8QI-w0wBnYA1w/"", ""Инфа!A:AA""), 6, FALSE)"),2024)</f>
        <v>2024</v>
      </c>
      <c r="J2459" s="5">
        <f ca="1">ROUND((5000+G2459*60),-2)</f>
        <v>25600</v>
      </c>
      <c r="K2459" s="12" t="s">
        <v>9784</v>
      </c>
      <c r="L2459" s="15" t="s">
        <v>9785</v>
      </c>
    </row>
    <row r="2460" spans="1:12" ht="114.75">
      <c r="A2460" s="8" t="s">
        <v>9786</v>
      </c>
      <c r="B2460" s="9" t="s">
        <v>12</v>
      </c>
      <c r="C2460" s="10" t="s">
        <v>151</v>
      </c>
      <c r="D2460" s="10" t="str">
        <f ca="1">IFERROR(__xludf.DUMMYFUNCTION(" VLOOKUP(A2457, IMPORTRANGE(""https://docs.google.com/spreadsheets/d/1fj_Bhi2XPL3siwIh4sx4VRLAe31yD50oKdj5UlRYW0c/"", ""Сводка!A:AA""), 11, FALSE)"),"978-601-240-711-2")</f>
        <v>978-601-240-711-2</v>
      </c>
      <c r="E2460" s="11" t="s">
        <v>9787</v>
      </c>
      <c r="F2460" s="11" t="s">
        <v>9788</v>
      </c>
      <c r="G2460" s="12">
        <f ca="1">IFERROR(__xludf.DUMMYFUNCTION(" VLOOKUP(A2457, IMPORTRANGE(""https://docs.google.com/spreadsheets/d/1fj_Bhi2XPL3siwIh4sx4VRLAe31yD50oKdj5UlRYW0c/"", ""Сводка!A:AA""), 5, FALSE)"),100)</f>
        <v>100</v>
      </c>
      <c r="H2460" s="12" t="s">
        <v>47</v>
      </c>
      <c r="I2460" s="10">
        <f ca="1">IFERROR(__xludf.DUMMYFUNCTION(" VLOOKUP(A2457, IMPORTRANGE(""https://docs.google.com/spreadsheets/d/1QNLbnkR_AongFt22vMfNzfpjZ0CjpI8QI-w0wBnYA1w/"", ""Инфа!A:AA""), 6, FALSE)"),2024)</f>
        <v>2024</v>
      </c>
      <c r="J2460" s="5">
        <f ca="1">ROUND((5000+G2460*60),-2)</f>
        <v>11000</v>
      </c>
      <c r="K2460" s="9" t="s">
        <v>619</v>
      </c>
      <c r="L2460" s="15"/>
    </row>
    <row r="2461" spans="1:12" ht="146.25">
      <c r="A2461" s="8" t="s">
        <v>9789</v>
      </c>
      <c r="B2461" s="9" t="s">
        <v>12</v>
      </c>
      <c r="C2461" s="10" t="s">
        <v>151</v>
      </c>
      <c r="D2461" s="10" t="str">
        <f ca="1">IFERROR(__xludf.DUMMYFUNCTION(" VLOOKUP(A2458, IMPORTRANGE(""https://docs.google.com/spreadsheets/d/1fj_Bhi2XPL3siwIh4sx4VRLAe31yD50oKdj5UlRYW0c/"", ""Сводка!A:AA""), 11, FALSE)"),"978-601-240-716-7")</f>
        <v>978-601-240-716-7</v>
      </c>
      <c r="E2461" s="11" t="s">
        <v>9787</v>
      </c>
      <c r="F2461" s="11" t="s">
        <v>9790</v>
      </c>
      <c r="G2461" s="12">
        <f ca="1">IFERROR(__xludf.DUMMYFUNCTION(" VLOOKUP(A2458, IMPORTRANGE(""https://docs.google.com/spreadsheets/d/1fj_Bhi2XPL3siwIh4sx4VRLAe31yD50oKdj5UlRYW0c/"", ""Сводка!A:AA""), 5, FALSE)"),140)</f>
        <v>140</v>
      </c>
      <c r="H2461" s="12" t="s">
        <v>47</v>
      </c>
      <c r="I2461" s="10">
        <f ca="1">IFERROR(__xludf.DUMMYFUNCTION(" VLOOKUP(A2458, IMPORTRANGE(""https://docs.google.com/spreadsheets/d/1QNLbnkR_AongFt22vMfNzfpjZ0CjpI8QI-w0wBnYA1w/"", ""Инфа!A:AA""), 6, FALSE)"),2024)</f>
        <v>2024</v>
      </c>
      <c r="J2461" s="5">
        <f ca="1">ROUND(((5000+G2461*60)*1.3),-2)</f>
        <v>17400</v>
      </c>
      <c r="K2461" s="9" t="s">
        <v>619</v>
      </c>
      <c r="L2461" s="15" t="s">
        <v>9791</v>
      </c>
    </row>
    <row r="2462" spans="1:12" ht="63.75">
      <c r="A2462" s="8" t="s">
        <v>9792</v>
      </c>
      <c r="B2462" s="9" t="s">
        <v>12</v>
      </c>
      <c r="C2462" s="10" t="s">
        <v>443</v>
      </c>
      <c r="D2462" s="10" t="str">
        <f ca="1">IFERROR(__xludf.DUMMYFUNCTION(" VLOOKUP(A2459, IMPORTRANGE(""https://docs.google.com/spreadsheets/d/1fj_Bhi2XPL3siwIh4sx4VRLAe31yD50oKdj5UlRYW0c/"", ""Сводка!A:AA""), 11, FALSE)"),"978-601-240-709-9")</f>
        <v>978-601-240-709-9</v>
      </c>
      <c r="E2462" s="11" t="s">
        <v>9793</v>
      </c>
      <c r="F2462" s="11" t="s">
        <v>9794</v>
      </c>
      <c r="G2462" s="12">
        <f ca="1">IFERROR(__xludf.DUMMYFUNCTION(" VLOOKUP(A2459, IMPORTRANGE(""https://docs.google.com/spreadsheets/d/1fj_Bhi2XPL3siwIh4sx4VRLAe31yD50oKdj5UlRYW0c/"", ""Сводка!A:AA""), 5, FALSE)"),144)</f>
        <v>144</v>
      </c>
      <c r="H2462" s="12" t="s">
        <v>538</v>
      </c>
      <c r="I2462" s="10">
        <f ca="1">IFERROR(__xludf.DUMMYFUNCTION(" VLOOKUP(A2459, IMPORTRANGE(""https://docs.google.com/spreadsheets/d/1QNLbnkR_AongFt22vMfNzfpjZ0CjpI8QI-w0wBnYA1w/"", ""Инфа!A:AA""), 6, FALSE)"),2024)</f>
        <v>2024</v>
      </c>
      <c r="J2462" s="5">
        <f ca="1">ROUND(((5000+G2462*60)*1.3),-2)</f>
        <v>17700</v>
      </c>
      <c r="K2462" s="9" t="s">
        <v>619</v>
      </c>
      <c r="L2462" s="15" t="s">
        <v>9795</v>
      </c>
    </row>
    <row r="2463" spans="1:12" ht="101.25">
      <c r="A2463" s="8" t="s">
        <v>9796</v>
      </c>
      <c r="B2463" s="9" t="s">
        <v>12</v>
      </c>
      <c r="C2463" s="10" t="s">
        <v>151</v>
      </c>
      <c r="D2463" s="10" t="str">
        <f ca="1">IFERROR(__xludf.DUMMYFUNCTION(" VLOOKUP(A2460, IMPORTRANGE(""https://docs.google.com/spreadsheets/d/1fj_Bhi2XPL3siwIh4sx4VRLAe31yD50oKdj5UlRYW0c/"", ""Сводка!A:AA""), 11, FALSE)"),"987-601-202-147-9")</f>
        <v>987-601-202-147-9</v>
      </c>
      <c r="E2463" s="11" t="s">
        <v>9797</v>
      </c>
      <c r="F2463" s="11" t="s">
        <v>9798</v>
      </c>
      <c r="G2463" s="12">
        <f ca="1">IFERROR(__xludf.DUMMYFUNCTION(" VLOOKUP(A2460, IMPORTRANGE(""https://docs.google.com/spreadsheets/d/1fj_Bhi2XPL3siwIh4sx4VRLAe31yD50oKdj5UlRYW0c/"", ""Сводка!A:AA""), 5, FALSE)"),184)</f>
        <v>184</v>
      </c>
      <c r="H2463" s="12" t="s">
        <v>47</v>
      </c>
      <c r="I2463" s="10">
        <f ca="1">IFERROR(__xludf.DUMMYFUNCTION(" VLOOKUP(A2460, IMPORTRANGE(""https://docs.google.com/spreadsheets/d/1QNLbnkR_AongFt22vMfNzfpjZ0CjpI8QI-w0wBnYA1w/"", ""Инфа!A:AA""), 6, FALSE)"),2024)</f>
        <v>2024</v>
      </c>
      <c r="J2463" s="5">
        <f ca="1">ROUND((5000+G2463*30),-2)</f>
        <v>10500</v>
      </c>
      <c r="K2463" s="12" t="s">
        <v>961</v>
      </c>
      <c r="L2463" s="15" t="s">
        <v>9799</v>
      </c>
    </row>
    <row r="2464" spans="1:12" ht="213.75">
      <c r="A2464" s="8" t="s">
        <v>9800</v>
      </c>
      <c r="B2464" s="9" t="s">
        <v>12</v>
      </c>
      <c r="C2464" s="10" t="s">
        <v>151</v>
      </c>
      <c r="D2464" s="10" t="str">
        <f ca="1">IFERROR(__xludf.DUMMYFUNCTION(" VLOOKUP(A2461, IMPORTRANGE(""https://docs.google.com/spreadsheets/d/1fj_Bhi2XPL3siwIh4sx4VRLAe31yD50oKdj5UlRYW0c/"", ""Сводка!A:AA""), 11, FALSE)"),"978-601-202-156-1")</f>
        <v>978-601-202-156-1</v>
      </c>
      <c r="E2464" s="11" t="s">
        <v>9801</v>
      </c>
      <c r="F2464" s="11" t="s">
        <v>9802</v>
      </c>
      <c r="G2464" s="12">
        <f ca="1">IFERROR(__xludf.DUMMYFUNCTION(" VLOOKUP(A2461, IMPORTRANGE(""https://docs.google.com/spreadsheets/d/1fj_Bhi2XPL3siwIh4sx4VRLAe31yD50oKdj5UlRYW0c/"", ""Сводка!A:AA""), 5, FALSE)"),248)</f>
        <v>248</v>
      </c>
      <c r="H2464" s="12" t="s">
        <v>498</v>
      </c>
      <c r="I2464" s="10">
        <f ca="1">IFERROR(__xludf.DUMMYFUNCTION(" VLOOKUP(A2461, IMPORTRANGE(""https://docs.google.com/spreadsheets/d/1QNLbnkR_AongFt22vMfNzfpjZ0CjpI8QI-w0wBnYA1w/"", ""Инфа!A:AA""), 6, FALSE)"),2024)</f>
        <v>2024</v>
      </c>
      <c r="J2464" s="5">
        <f ca="1">ROUND((5000+G2464*60),-2)</f>
        <v>19900</v>
      </c>
      <c r="K2464" s="12" t="s">
        <v>9784</v>
      </c>
      <c r="L2464" s="15" t="s">
        <v>9803</v>
      </c>
    </row>
    <row r="2465" spans="1:12" ht="213.75">
      <c r="A2465" s="8" t="s">
        <v>9804</v>
      </c>
      <c r="B2465" s="9" t="s">
        <v>12</v>
      </c>
      <c r="C2465" s="10" t="s">
        <v>151</v>
      </c>
      <c r="D2465" s="10" t="str">
        <f ca="1">IFERROR(__xludf.DUMMYFUNCTION(" VLOOKUP(A2462, IMPORTRANGE(""https://docs.google.com/spreadsheets/d/1fj_Bhi2XPL3siwIh4sx4VRLAe31yD50oKdj5UlRYW0c/"", ""Сводка!A:AA""), 11, FALSE)"),"978-601-202-156-1")</f>
        <v>978-601-202-156-1</v>
      </c>
      <c r="E2465" s="11" t="s">
        <v>9801</v>
      </c>
      <c r="F2465" s="11" t="s">
        <v>9805</v>
      </c>
      <c r="G2465" s="12">
        <f ca="1">IFERROR(__xludf.DUMMYFUNCTION(" VLOOKUP(A2462, IMPORTRANGE(""https://docs.google.com/spreadsheets/d/1fj_Bhi2XPL3siwIh4sx4VRLAe31yD50oKdj5UlRYW0c/"", ""Сводка!A:AA""), 5, FALSE)"),232)</f>
        <v>232</v>
      </c>
      <c r="H2465" s="12" t="s">
        <v>498</v>
      </c>
      <c r="I2465" s="10">
        <f ca="1">IFERROR(__xludf.DUMMYFUNCTION(" VLOOKUP(A2462, IMPORTRANGE(""https://docs.google.com/spreadsheets/d/1QNLbnkR_AongFt22vMfNzfpjZ0CjpI8QI-w0wBnYA1w/"", ""Инфа!A:AA""), 6, FALSE)"),2024)</f>
        <v>2024</v>
      </c>
      <c r="J2465" s="5">
        <f ca="1">ROUND((5000+G2465*60),-2)</f>
        <v>18900</v>
      </c>
      <c r="K2465" s="12" t="s">
        <v>9784</v>
      </c>
      <c r="L2465" s="15" t="s">
        <v>9803</v>
      </c>
    </row>
    <row r="2466" spans="1:12" ht="38.25">
      <c r="A2466" s="8" t="s">
        <v>9806</v>
      </c>
      <c r="B2466" s="9" t="s">
        <v>12</v>
      </c>
      <c r="C2466" s="10" t="s">
        <v>443</v>
      </c>
      <c r="D2466" s="10" t="str">
        <f ca="1">IFERROR(__xludf.DUMMYFUNCTION(" VLOOKUP(A2463, IMPORTRANGE(""https://docs.google.com/spreadsheets/d/1fj_Bhi2XPL3siwIh4sx4VRLAe31yD50oKdj5UlRYW0c/"", ""Сводка!A:AA""), 11, FALSE)"),"978-601-240-721-1")</f>
        <v>978-601-240-721-1</v>
      </c>
      <c r="E2466" s="11" t="s">
        <v>9807</v>
      </c>
      <c r="F2466" s="11" t="s">
        <v>9808</v>
      </c>
      <c r="G2466" s="12">
        <f ca="1">IFERROR(__xludf.DUMMYFUNCTION(" VLOOKUP(A2463, IMPORTRANGE(""https://docs.google.com/spreadsheets/d/1fj_Bhi2XPL3siwIh4sx4VRLAe31yD50oKdj5UlRYW0c/"", ""Сводка!A:AA""), 5, FALSE)"),176)</f>
        <v>176</v>
      </c>
      <c r="H2466" s="12" t="s">
        <v>538</v>
      </c>
      <c r="I2466" s="10">
        <f ca="1">IFERROR(__xludf.DUMMYFUNCTION(" VLOOKUP(A2463, IMPORTRANGE(""https://docs.google.com/spreadsheets/d/1QNLbnkR_AongFt22vMfNzfpjZ0CjpI8QI-w0wBnYA1w/"", ""Инфа!A:AA""), 6, FALSE)"),2024)</f>
        <v>2024</v>
      </c>
      <c r="J2466" s="5">
        <f ca="1">ROUND((5000+G2466*30),-2)</f>
        <v>10300</v>
      </c>
      <c r="K2466" s="12" t="s">
        <v>961</v>
      </c>
      <c r="L2466" s="15"/>
    </row>
    <row r="2467" spans="1:12" ht="33.75">
      <c r="A2467" s="8" t="s">
        <v>9809</v>
      </c>
      <c r="B2467" s="9" t="s">
        <v>12</v>
      </c>
      <c r="C2467" s="10" t="s">
        <v>443</v>
      </c>
      <c r="D2467" s="10" t="str">
        <f ca="1">IFERROR(__xludf.DUMMYFUNCTION(" VLOOKUP(A2464, IMPORTRANGE(""https://docs.google.com/spreadsheets/d/1fj_Bhi2XPL3siwIh4sx4VRLAe31yD50oKdj5UlRYW0c/"", ""Сводка!A:AA""), 11, FALSE)"),"987-601-202-147-8")</f>
        <v>987-601-202-147-8</v>
      </c>
      <c r="E2467" s="11" t="s">
        <v>9810</v>
      </c>
      <c r="F2467" s="11" t="s">
        <v>9811</v>
      </c>
      <c r="G2467" s="12">
        <f ca="1">IFERROR(__xludf.DUMMYFUNCTION(" VLOOKUP(A2464, IMPORTRANGE(""https://docs.google.com/spreadsheets/d/1fj_Bhi2XPL3siwIh4sx4VRLAe31yD50oKdj5UlRYW0c/"", ""Сводка!A:AA""), 5, FALSE)"),212)</f>
        <v>212</v>
      </c>
      <c r="H2467" s="12" t="s">
        <v>538</v>
      </c>
      <c r="I2467" s="10">
        <f ca="1">IFERROR(__xludf.DUMMYFUNCTION(" VLOOKUP(A2464, IMPORTRANGE(""https://docs.google.com/spreadsheets/d/1QNLbnkR_AongFt22vMfNzfpjZ0CjpI8QI-w0wBnYA1w/"", ""Инфа!A:AA""), 6, FALSE)"),2024)</f>
        <v>2024</v>
      </c>
      <c r="J2467" s="5">
        <f ca="1">ROUND((5000+G2467*60),-2)</f>
        <v>17700</v>
      </c>
      <c r="K2467" s="12" t="s">
        <v>961</v>
      </c>
      <c r="L2467" s="15" t="s">
        <v>9812</v>
      </c>
    </row>
    <row r="2468" spans="1:12" ht="90">
      <c r="A2468" s="8" t="s">
        <v>9813</v>
      </c>
      <c r="B2468" s="9" t="s">
        <v>12</v>
      </c>
      <c r="C2468" s="10" t="s">
        <v>443</v>
      </c>
      <c r="D2468" s="10" t="str">
        <f ca="1">IFERROR(__xludf.DUMMYFUNCTION(" VLOOKUP(A2465, IMPORTRANGE(""https://docs.google.com/spreadsheets/d/1fj_Bhi2XPL3siwIh4sx4VRLAe31yD50oKdj5UlRYW0c/"", ""Сводка!A:AA""), 11, FALSE)"),"978-601-342-061-5")</f>
        <v>978-601-342-061-5</v>
      </c>
      <c r="E2468" s="11" t="s">
        <v>9814</v>
      </c>
      <c r="F2468" s="11" t="s">
        <v>9815</v>
      </c>
      <c r="G2468" s="12">
        <f ca="1">IFERROR(__xludf.DUMMYFUNCTION(" VLOOKUP(A2465, IMPORTRANGE(""https://docs.google.com/spreadsheets/d/1fj_Bhi2XPL3siwIh4sx4VRLAe31yD50oKdj5UlRYW0c/"", ""Сводка!A:AA""), 5, FALSE)"),328)</f>
        <v>328</v>
      </c>
      <c r="H2468" s="12" t="s">
        <v>538</v>
      </c>
      <c r="I2468" s="10">
        <f ca="1">IFERROR(__xludf.DUMMYFUNCTION(" VLOOKUP(A2465, IMPORTRANGE(""https://docs.google.com/spreadsheets/d/1QNLbnkR_AongFt22vMfNzfpjZ0CjpI8QI-w0wBnYA1w/"", ""Инфа!A:AA""), 6, FALSE)"),2024)</f>
        <v>2024</v>
      </c>
      <c r="J2468" s="5">
        <f ca="1">ROUND((5000+G2468*60),-2)</f>
        <v>24700</v>
      </c>
      <c r="K2468" s="12" t="s">
        <v>9784</v>
      </c>
      <c r="L2468" s="15" t="s">
        <v>9816</v>
      </c>
    </row>
    <row r="2469" spans="1:12" ht="76.5">
      <c r="A2469" s="8" t="s">
        <v>9817</v>
      </c>
      <c r="B2469" s="9" t="s">
        <v>12</v>
      </c>
      <c r="C2469" s="10" t="s">
        <v>443</v>
      </c>
      <c r="D2469" s="10" t="str">
        <f ca="1">IFERROR(__xludf.DUMMYFUNCTION(" VLOOKUP(A2466, IMPORTRANGE(""https://docs.google.com/spreadsheets/d/1fj_Bhi2XPL3siwIh4sx4VRLAe31yD50oKdj5UlRYW0c/"", ""Сводка!A:AA""), 11, FALSE)"),"978-601-240-708-2")</f>
        <v>978-601-240-708-2</v>
      </c>
      <c r="E2469" s="11" t="s">
        <v>9818</v>
      </c>
      <c r="F2469" s="11" t="s">
        <v>9819</v>
      </c>
      <c r="G2469" s="12">
        <f ca="1">IFERROR(__xludf.DUMMYFUNCTION(" VLOOKUP(A2466, IMPORTRANGE(""https://docs.google.com/spreadsheets/d/1fj_Bhi2XPL3siwIh4sx4VRLAe31yD50oKdj5UlRYW0c/"", ""Сводка!A:AA""), 5, FALSE)"),92)</f>
        <v>92</v>
      </c>
      <c r="H2469" s="12" t="s">
        <v>538</v>
      </c>
      <c r="I2469" s="10">
        <f ca="1">IFERROR(__xludf.DUMMYFUNCTION(" VLOOKUP(A2466, IMPORTRANGE(""https://docs.google.com/spreadsheets/d/1QNLbnkR_AongFt22vMfNzfpjZ0CjpI8QI-w0wBnYA1w/"", ""Инфа!A:AA""), 6, FALSE)"),2024)</f>
        <v>2024</v>
      </c>
      <c r="J2469" s="5">
        <f ca="1">ROUND((5000+G2469*30),-2)</f>
        <v>7800</v>
      </c>
      <c r="K2469" s="12" t="s">
        <v>961</v>
      </c>
      <c r="L2469" s="15" t="s">
        <v>9820</v>
      </c>
    </row>
    <row r="2470" spans="1:12" ht="25.5">
      <c r="A2470" s="8" t="s">
        <v>9821</v>
      </c>
      <c r="B2470" s="9" t="s">
        <v>12</v>
      </c>
      <c r="C2470" s="10" t="s">
        <v>443</v>
      </c>
      <c r="D2470" s="10" t="str">
        <f ca="1">IFERROR(__xludf.DUMMYFUNCTION(" VLOOKUP(A2467, IMPORTRANGE(""https://docs.google.com/spreadsheets/d/1fj_Bhi2XPL3siwIh4sx4VRLAe31yD50oKdj5UlRYW0c/"", ""Сводка!A:AA""), 11, FALSE)"),"978-601-240-723-5")</f>
        <v>978-601-240-723-5</v>
      </c>
      <c r="E2470" s="11" t="s">
        <v>9818</v>
      </c>
      <c r="F2470" s="11" t="s">
        <v>9822</v>
      </c>
      <c r="G2470" s="12">
        <f ca="1">IFERROR(__xludf.DUMMYFUNCTION(" VLOOKUP(A2467, IMPORTRANGE(""https://docs.google.com/spreadsheets/d/1fj_Bhi2XPL3siwIh4sx4VRLAe31yD50oKdj5UlRYW0c/"", ""Сводка!A:AA""), 5, FALSE)"),88)</f>
        <v>88</v>
      </c>
      <c r="H2470" s="12" t="s">
        <v>538</v>
      </c>
      <c r="I2470" s="10">
        <f ca="1">IFERROR(__xludf.DUMMYFUNCTION(" VLOOKUP(A2467, IMPORTRANGE(""https://docs.google.com/spreadsheets/d/1QNLbnkR_AongFt22vMfNzfpjZ0CjpI8QI-w0wBnYA1w/"", ""Инфа!A:AA""), 6, FALSE)"),2024)</f>
        <v>2024</v>
      </c>
      <c r="J2470" s="5">
        <f ca="1">ROUND((5000+G2470*60),-2)</f>
        <v>10300</v>
      </c>
      <c r="K2470" s="12" t="s">
        <v>961</v>
      </c>
      <c r="L2470" s="15"/>
    </row>
    <row r="2471" spans="1:12" ht="38.25">
      <c r="A2471" s="8" t="s">
        <v>9823</v>
      </c>
      <c r="B2471" s="9" t="s">
        <v>12</v>
      </c>
      <c r="C2471" s="10" t="s">
        <v>443</v>
      </c>
      <c r="D2471" s="10" t="str">
        <f ca="1">IFERROR(__xludf.DUMMYFUNCTION(" VLOOKUP(A2468, IMPORTRANGE(""https://docs.google.com/spreadsheets/d/1fj_Bhi2XPL3siwIh4sx4VRLAe31yD50oKdj5UlRYW0c/"", ""Сводка!A:AA""), 11, FALSE)"),"978-601-240-721-1")</f>
        <v>978-601-240-721-1</v>
      </c>
      <c r="E2471" s="11" t="s">
        <v>9818</v>
      </c>
      <c r="F2471" s="11" t="s">
        <v>9824</v>
      </c>
      <c r="G2471" s="12">
        <f ca="1">IFERROR(__xludf.DUMMYFUNCTION(" VLOOKUP(A2468, IMPORTRANGE(""https://docs.google.com/spreadsheets/d/1fj_Bhi2XPL3siwIh4sx4VRLAe31yD50oKdj5UlRYW0c/"", ""Сводка!A:AA""), 5, FALSE)"),112)</f>
        <v>112</v>
      </c>
      <c r="H2471" s="12" t="s">
        <v>538</v>
      </c>
      <c r="I2471" s="10">
        <f ca="1">IFERROR(__xludf.DUMMYFUNCTION(" VLOOKUP(A2468, IMPORTRANGE(""https://docs.google.com/spreadsheets/d/1QNLbnkR_AongFt22vMfNzfpjZ0CjpI8QI-w0wBnYA1w/"", ""Инфа!A:AA""), 6, FALSE)"),2024)</f>
        <v>2024</v>
      </c>
      <c r="J2471" s="5">
        <f ca="1">ROUND((5000+G2471*30),-2)</f>
        <v>8400</v>
      </c>
      <c r="K2471" s="12" t="s">
        <v>17</v>
      </c>
      <c r="L2471" s="15"/>
    </row>
    <row r="2472" spans="1:12" ht="63.75">
      <c r="A2472" s="8" t="s">
        <v>9825</v>
      </c>
      <c r="B2472" s="9" t="s">
        <v>12</v>
      </c>
      <c r="C2472" s="13" t="s">
        <v>151</v>
      </c>
      <c r="D2472" s="10" t="str">
        <f ca="1">IFERROR(__xludf.DUMMYFUNCTION(" VLOOKUP(A2469, IMPORTRANGE(""https://docs.google.com/spreadsheets/d/1fj_Bhi2XPL3siwIh4sx4VRLAe31yD50oKdj5UlRYW0c/"", ""Сводка!A:AA""), 11, FALSE)"),"987-601-202-147-6")</f>
        <v>987-601-202-147-6</v>
      </c>
      <c r="E2472" s="19" t="s">
        <v>9826</v>
      </c>
      <c r="F2472" s="19" t="s">
        <v>9827</v>
      </c>
      <c r="G2472" s="12">
        <f ca="1">IFERROR(__xludf.DUMMYFUNCTION(" VLOOKUP(A2469, IMPORTRANGE(""https://docs.google.com/spreadsheets/d/1fj_Bhi2XPL3siwIh4sx4VRLAe31yD50oKdj5UlRYW0c/"", ""Сводка!A:AA""), 5, FALSE)"),328)</f>
        <v>328</v>
      </c>
      <c r="H2472" s="9" t="s">
        <v>47</v>
      </c>
      <c r="I2472" s="10">
        <f ca="1">IFERROR(__xludf.DUMMYFUNCTION(" VLOOKUP(A2469, IMPORTRANGE(""https://docs.google.com/spreadsheets/d/1QNLbnkR_AongFt22vMfNzfpjZ0CjpI8QI-w0wBnYA1w/"", ""Инфа!A:AA""), 6, FALSE)"),2024)</f>
        <v>2024</v>
      </c>
      <c r="J2472" s="5">
        <f ca="1">ROUND((5000+G2472*30),-2)</f>
        <v>14800</v>
      </c>
      <c r="K2472" s="12" t="s">
        <v>302</v>
      </c>
      <c r="L2472" s="21"/>
    </row>
    <row r="2473" spans="1:12" ht="213.75">
      <c r="A2473" s="8" t="s">
        <v>9828</v>
      </c>
      <c r="B2473" s="9" t="s">
        <v>12</v>
      </c>
      <c r="C2473" s="10" t="s">
        <v>151</v>
      </c>
      <c r="D2473" s="10" t="str">
        <f ca="1">IFERROR(__xludf.DUMMYFUNCTION(" VLOOKUP(A2470, IMPORTRANGE(""https://docs.google.com/spreadsheets/d/1fj_Bhi2XPL3siwIh4sx4VRLAe31yD50oKdj5UlRYW0c/"", ""Сводка!A:AA""), 11, FALSE)"),"978-601-342-022-6")</f>
        <v>978-601-342-022-6</v>
      </c>
      <c r="E2473" s="11" t="s">
        <v>9829</v>
      </c>
      <c r="F2473" s="11" t="s">
        <v>9830</v>
      </c>
      <c r="G2473" s="12">
        <f ca="1">IFERROR(__xludf.DUMMYFUNCTION(" VLOOKUP(A2470, IMPORTRANGE(""https://docs.google.com/spreadsheets/d/1fj_Bhi2XPL3siwIh4sx4VRLAe31yD50oKdj5UlRYW0c/"", ""Сводка!A:AA""), 5, FALSE)"),292)</f>
        <v>292</v>
      </c>
      <c r="H2473" s="12" t="s">
        <v>498</v>
      </c>
      <c r="I2473" s="10">
        <f ca="1">IFERROR(__xludf.DUMMYFUNCTION(" VLOOKUP(A2470, IMPORTRANGE(""https://docs.google.com/spreadsheets/d/1QNLbnkR_AongFt22vMfNzfpjZ0CjpI8QI-w0wBnYA1w/"", ""Инфа!A:AA""), 6, FALSE)"),2024)</f>
        <v>2024</v>
      </c>
      <c r="J2473" s="5">
        <f ca="1">ROUND((5000+G2473*60),-2)</f>
        <v>22500</v>
      </c>
      <c r="K2473" s="12" t="s">
        <v>9784</v>
      </c>
      <c r="L2473" s="15" t="s">
        <v>9831</v>
      </c>
    </row>
    <row r="2474" spans="1:12" ht="180">
      <c r="A2474" s="8" t="s">
        <v>9832</v>
      </c>
      <c r="B2474" s="9" t="s">
        <v>12</v>
      </c>
      <c r="C2474" s="10" t="s">
        <v>443</v>
      </c>
      <c r="D2474" s="10" t="str">
        <f ca="1">IFERROR(__xludf.DUMMYFUNCTION(" VLOOKUP(A2471, IMPORTRANGE(""https://docs.google.com/spreadsheets/d/1fj_Bhi2XPL3siwIh4sx4VRLAe31yD50oKdj5UlRYW0c/"", ""Сводка!A:AA""), 11, FALSE)"),"978-601-342-061-5")</f>
        <v>978-601-342-061-5</v>
      </c>
      <c r="E2474" s="11" t="s">
        <v>9829</v>
      </c>
      <c r="F2474" s="11" t="s">
        <v>9833</v>
      </c>
      <c r="G2474" s="12">
        <f ca="1">IFERROR(__xludf.DUMMYFUNCTION(" VLOOKUP(A2471, IMPORTRANGE(""https://docs.google.com/spreadsheets/d/1fj_Bhi2XPL3siwIh4sx4VRLAe31yD50oKdj5UlRYW0c/"", ""Сводка!A:AA""), 5, FALSE)"),276)</f>
        <v>276</v>
      </c>
      <c r="H2474" s="12" t="s">
        <v>511</v>
      </c>
      <c r="I2474" s="10">
        <f ca="1">IFERROR(__xludf.DUMMYFUNCTION(" VLOOKUP(A2471, IMPORTRANGE(""https://docs.google.com/spreadsheets/d/1QNLbnkR_AongFt22vMfNzfpjZ0CjpI8QI-w0wBnYA1w/"", ""Инфа!A:AA""), 6, FALSE)"),2024)</f>
        <v>2024</v>
      </c>
      <c r="J2474" s="5">
        <f ca="1">ROUND((5000+G2474*60),-2)</f>
        <v>21600</v>
      </c>
      <c r="K2474" s="12" t="s">
        <v>9784</v>
      </c>
      <c r="L2474" s="15" t="s">
        <v>9834</v>
      </c>
    </row>
    <row r="2475" spans="1:12" ht="51">
      <c r="A2475" s="8" t="s">
        <v>9835</v>
      </c>
      <c r="B2475" s="9" t="s">
        <v>12</v>
      </c>
      <c r="C2475" s="13" t="s">
        <v>151</v>
      </c>
      <c r="D2475" s="10" t="str">
        <f ca="1">IFERROR(__xludf.DUMMYFUNCTION(" VLOOKUP(A2472, IMPORTRANGE(""https://docs.google.com/spreadsheets/d/1fj_Bhi2XPL3siwIh4sx4VRLAe31yD50oKdj5UlRYW0c/"", ""Сводка!A:AA""), 11, FALSE)"),"987-601-202-147-8")</f>
        <v>987-601-202-147-8</v>
      </c>
      <c r="E2475" s="19" t="s">
        <v>9836</v>
      </c>
      <c r="F2475" s="19" t="s">
        <v>9837</v>
      </c>
      <c r="G2475" s="12">
        <f ca="1">IFERROR(__xludf.DUMMYFUNCTION(" VLOOKUP(A2472, IMPORTRANGE(""https://docs.google.com/spreadsheets/d/1fj_Bhi2XPL3siwIh4sx4VRLAe31yD50oKdj5UlRYW0c/"", ""Сводка!A:AA""), 5, FALSE)"),344)</f>
        <v>344</v>
      </c>
      <c r="H2475" s="9" t="s">
        <v>47</v>
      </c>
      <c r="I2475" s="10">
        <f ca="1">IFERROR(__xludf.DUMMYFUNCTION(" VLOOKUP(A2472, IMPORTRANGE(""https://docs.google.com/spreadsheets/d/1QNLbnkR_AongFt22vMfNzfpjZ0CjpI8QI-w0wBnYA1w/"", ""Инфа!A:AA""), 6, FALSE)"),2024)</f>
        <v>2024</v>
      </c>
      <c r="J2475" s="5">
        <f ca="1">ROUND((5000+G2475*60),-2)</f>
        <v>25600</v>
      </c>
      <c r="K2475" s="12" t="s">
        <v>302</v>
      </c>
      <c r="L2475" s="21"/>
    </row>
    <row r="2476" spans="1:12" ht="45">
      <c r="A2476" s="8" t="s">
        <v>9838</v>
      </c>
      <c r="B2476" s="9" t="s">
        <v>12</v>
      </c>
      <c r="C2476" s="13" t="s">
        <v>443</v>
      </c>
      <c r="D2476" s="10" t="str">
        <f ca="1">IFERROR(__xludf.DUMMYFUNCTION(" VLOOKUP(A2473, IMPORTRANGE(""https://docs.google.com/spreadsheets/d/1fj_Bhi2XPL3siwIh4sx4VRLAe31yD50oKdj5UlRYW0c/"", ""Сводка!A:AA""), 11, FALSE)"),"978-601-240-714-3")</f>
        <v>978-601-240-714-3</v>
      </c>
      <c r="E2476" s="19" t="s">
        <v>9839</v>
      </c>
      <c r="F2476" s="19" t="s">
        <v>9840</v>
      </c>
      <c r="G2476" s="12">
        <f ca="1">IFERROR(__xludf.DUMMYFUNCTION(" VLOOKUP(A2473, IMPORTRANGE(""https://docs.google.com/spreadsheets/d/1fj_Bhi2XPL3siwIh4sx4VRLAe31yD50oKdj5UlRYW0c/"", ""Сводка!A:AA""), 5, FALSE)"),144)</f>
        <v>144</v>
      </c>
      <c r="H2476" s="12" t="s">
        <v>538</v>
      </c>
      <c r="I2476" s="10">
        <f ca="1">IFERROR(__xludf.DUMMYFUNCTION(" VLOOKUP(A2473, IMPORTRANGE(""https://docs.google.com/spreadsheets/d/1QNLbnkR_AongFt22vMfNzfpjZ0CjpI8QI-w0wBnYA1w/"", ""Инфа!A:AA""), 6, FALSE)"),2024)</f>
        <v>2024</v>
      </c>
      <c r="J2476" s="5">
        <f ca="1">ROUND(((5000+G2476*60)*1.3),-2)</f>
        <v>17700</v>
      </c>
      <c r="K2476" s="9" t="s">
        <v>616</v>
      </c>
      <c r="L2476" s="21" t="s">
        <v>9795</v>
      </c>
    </row>
    <row r="2477" spans="1:12" ht="67.5">
      <c r="A2477" s="8" t="s">
        <v>9841</v>
      </c>
      <c r="B2477" s="9" t="s">
        <v>12</v>
      </c>
      <c r="C2477" s="13" t="s">
        <v>443</v>
      </c>
      <c r="D2477" s="10" t="str">
        <f ca="1">IFERROR(__xludf.DUMMYFUNCTION(" VLOOKUP(A2474, IMPORTRANGE(""https://docs.google.com/spreadsheets/d/1fj_Bhi2XPL3siwIh4sx4VRLAe31yD50oKdj5UlRYW0c/"", ""Сводка!A:AA""), 11, FALSE)"),"978-601-240-715-0")</f>
        <v>978-601-240-715-0</v>
      </c>
      <c r="E2477" s="19" t="s">
        <v>9839</v>
      </c>
      <c r="F2477" s="19" t="s">
        <v>9842</v>
      </c>
      <c r="G2477" s="12">
        <f ca="1">IFERROR(__xludf.DUMMYFUNCTION(" VLOOKUP(A2474, IMPORTRANGE(""https://docs.google.com/spreadsheets/d/1fj_Bhi2XPL3siwIh4sx4VRLAe31yD50oKdj5UlRYW0c/"", ""Сводка!A:AA""), 5, FALSE)"),104)</f>
        <v>104</v>
      </c>
      <c r="H2477" s="12" t="s">
        <v>538</v>
      </c>
      <c r="I2477" s="10">
        <f ca="1">IFERROR(__xludf.DUMMYFUNCTION(" VLOOKUP(A2474, IMPORTRANGE(""https://docs.google.com/spreadsheets/d/1QNLbnkR_AongFt22vMfNzfpjZ0CjpI8QI-w0wBnYA1w/"", ""Инфа!A:AA""), 6, FALSE)"),2024)</f>
        <v>2024</v>
      </c>
      <c r="J2477" s="5">
        <f ca="1">ROUND((5000+G2477*60),-2)</f>
        <v>11200</v>
      </c>
      <c r="K2477" s="9" t="s">
        <v>616</v>
      </c>
      <c r="L2477" s="21" t="s">
        <v>9843</v>
      </c>
    </row>
    <row r="2478" spans="1:12" ht="303.75">
      <c r="A2478" s="8" t="s">
        <v>9844</v>
      </c>
      <c r="B2478" s="9" t="s">
        <v>12</v>
      </c>
      <c r="C2478" s="10" t="s">
        <v>151</v>
      </c>
      <c r="D2478" s="10" t="str">
        <f ca="1">IFERROR(__xludf.DUMMYFUNCTION(" VLOOKUP(A2475, IMPORTRANGE(""https://docs.google.com/spreadsheets/d/1fj_Bhi2XPL3siwIh4sx4VRLAe31yD50oKdj5UlRYW0c/"", ""Сводка!A:AA""), 11, FALSE)"),"978-601-342-196-4")</f>
        <v>978-601-342-196-4</v>
      </c>
      <c r="E2478" s="11" t="s">
        <v>9845</v>
      </c>
      <c r="F2478" s="11" t="s">
        <v>9846</v>
      </c>
      <c r="G2478" s="12">
        <f ca="1">IFERROR(__xludf.DUMMYFUNCTION(" VLOOKUP(A2475, IMPORTRANGE(""https://docs.google.com/spreadsheets/d/1fj_Bhi2XPL3siwIh4sx4VRLAe31yD50oKdj5UlRYW0c/"", ""Сводка!A:AA""), 5, FALSE)"),244)</f>
        <v>244</v>
      </c>
      <c r="H2478" s="12" t="s">
        <v>165</v>
      </c>
      <c r="I2478" s="10">
        <f ca="1">IFERROR(__xludf.DUMMYFUNCTION(" VLOOKUP(A2475, IMPORTRANGE(""https://docs.google.com/spreadsheets/d/1QNLbnkR_AongFt22vMfNzfpjZ0CjpI8QI-w0wBnYA1w/"", ""Инфа!A:AA""), 6, FALSE)"),2024)</f>
        <v>2024</v>
      </c>
      <c r="J2478" s="5">
        <f ca="1">ROUND((5000+G2478*30),-2)</f>
        <v>12300</v>
      </c>
      <c r="K2478" s="12" t="s">
        <v>127</v>
      </c>
      <c r="L2478" s="15" t="s">
        <v>9847</v>
      </c>
    </row>
    <row r="2479" spans="1:12" ht="38.25">
      <c r="A2479" s="8" t="s">
        <v>9848</v>
      </c>
      <c r="B2479" s="9" t="s">
        <v>12</v>
      </c>
      <c r="C2479" s="10" t="s">
        <v>151</v>
      </c>
      <c r="D2479" s="10" t="str">
        <f ca="1">IFERROR(__xludf.DUMMYFUNCTION(" VLOOKUP(A2476, IMPORTRANGE(""https://docs.google.com/spreadsheets/d/1fj_Bhi2XPL3siwIh4sx4VRLAe31yD50oKdj5UlRYW0c/"", ""Сводка!A:AA""), 11, FALSE)"),"978-601-310-509-3")</f>
        <v>978-601-310-509-3</v>
      </c>
      <c r="E2479" s="11" t="s">
        <v>9849</v>
      </c>
      <c r="F2479" s="11" t="s">
        <v>9850</v>
      </c>
      <c r="G2479" s="12">
        <f ca="1">IFERROR(__xludf.DUMMYFUNCTION(" VLOOKUP(A2476, IMPORTRANGE(""https://docs.google.com/spreadsheets/d/1fj_Bhi2XPL3siwIh4sx4VRLAe31yD50oKdj5UlRYW0c/"", ""Сводка!A:AA""), 5, FALSE)"),236)</f>
        <v>236</v>
      </c>
      <c r="H2479" s="12" t="s">
        <v>47</v>
      </c>
      <c r="I2479" s="10">
        <f ca="1">IFERROR(__xludf.DUMMYFUNCTION(" VLOOKUP(A2476, IMPORTRANGE(""https://docs.google.com/spreadsheets/d/1QNLbnkR_AongFt22vMfNzfpjZ0CjpI8QI-w0wBnYA1w/"", ""Инфа!A:AA""), 6, FALSE)"),2024)</f>
        <v>2024</v>
      </c>
      <c r="J2479" s="5">
        <f ca="1">ROUND((5000+G2479*30),-2)</f>
        <v>12100</v>
      </c>
      <c r="K2479" s="9" t="s">
        <v>758</v>
      </c>
      <c r="L2479" s="15"/>
    </row>
    <row r="2480" spans="1:12" ht="38.25">
      <c r="A2480" s="8" t="s">
        <v>9851</v>
      </c>
      <c r="B2480" s="9" t="s">
        <v>12</v>
      </c>
      <c r="C2480" s="10" t="s">
        <v>151</v>
      </c>
      <c r="D2480" s="10" t="str">
        <f ca="1">IFERROR(__xludf.DUMMYFUNCTION(" VLOOKUP(A2477, IMPORTRANGE(""https://docs.google.com/spreadsheets/d/1fj_Bhi2XPL3siwIh4sx4VRLAe31yD50oKdj5UlRYW0c/"", ""Сводка!A:AA""), 11, FALSE)"),"978-601-310-508-6")</f>
        <v>978-601-310-508-6</v>
      </c>
      <c r="E2480" s="11" t="s">
        <v>9849</v>
      </c>
      <c r="F2480" s="11" t="s">
        <v>9852</v>
      </c>
      <c r="G2480" s="12">
        <f ca="1">IFERROR(__xludf.DUMMYFUNCTION(" VLOOKUP(A2477, IMPORTRANGE(""https://docs.google.com/spreadsheets/d/1fj_Bhi2XPL3siwIh4sx4VRLAe31yD50oKdj5UlRYW0c/"", ""Сводка!A:AA""), 5, FALSE)"),212)</f>
        <v>212</v>
      </c>
      <c r="H2480" s="12" t="s">
        <v>47</v>
      </c>
      <c r="I2480" s="10">
        <f ca="1">IFERROR(__xludf.DUMMYFUNCTION(" VLOOKUP(A2477, IMPORTRANGE(""https://docs.google.com/spreadsheets/d/1QNLbnkR_AongFt22vMfNzfpjZ0CjpI8QI-w0wBnYA1w/"", ""Инфа!A:AA""), 6, FALSE)"),2024)</f>
        <v>2024</v>
      </c>
      <c r="J2480" s="5">
        <f ca="1">ROUND((5000+G2480*30),-2)</f>
        <v>11400</v>
      </c>
      <c r="K2480" s="9" t="s">
        <v>758</v>
      </c>
      <c r="L2480" s="15"/>
    </row>
    <row r="2481" spans="1:12" ht="123.75">
      <c r="A2481" s="8" t="s">
        <v>9853</v>
      </c>
      <c r="B2481" s="9" t="s">
        <v>12</v>
      </c>
      <c r="C2481" s="10" t="s">
        <v>151</v>
      </c>
      <c r="D2481" s="10" t="str">
        <f ca="1">IFERROR(__xludf.DUMMYFUNCTION(" VLOOKUP(A2478, IMPORTRANGE(""https://docs.google.com/spreadsheets/d/1fj_Bhi2XPL3siwIh4sx4VRLAe31yD50oKdj5UlRYW0c/"", ""Сводка!A:AA""), 11, FALSE)"),"9965-741-91-3")</f>
        <v>9965-741-91-3</v>
      </c>
      <c r="E2481" s="11" t="s">
        <v>9849</v>
      </c>
      <c r="F2481" s="11" t="s">
        <v>9854</v>
      </c>
      <c r="G2481" s="12">
        <f ca="1">IFERROR(__xludf.DUMMYFUNCTION(" VLOOKUP(A2478, IMPORTRANGE(""https://docs.google.com/spreadsheets/d/1fj_Bhi2XPL3siwIh4sx4VRLAe31yD50oKdj5UlRYW0c/"", ""Сводка!A:AA""), 5, FALSE)"),148)</f>
        <v>148</v>
      </c>
      <c r="H2481" s="12" t="s">
        <v>47</v>
      </c>
      <c r="I2481" s="10">
        <f ca="1">IFERROR(__xludf.DUMMYFUNCTION(" VLOOKUP(A2478, IMPORTRANGE(""https://docs.google.com/spreadsheets/d/1QNLbnkR_AongFt22vMfNzfpjZ0CjpI8QI-w0wBnYA1w/"", ""Инфа!A:AA""), 6, FALSE)"),2024)</f>
        <v>2024</v>
      </c>
      <c r="J2481" s="5">
        <f ca="1">ROUND((5000+G2481*60),-2)</f>
        <v>13900</v>
      </c>
      <c r="K2481" s="12" t="s">
        <v>26</v>
      </c>
      <c r="L2481" s="15" t="s">
        <v>9855</v>
      </c>
    </row>
    <row r="2482" spans="1:12" ht="38.25">
      <c r="A2482" s="8" t="s">
        <v>9856</v>
      </c>
      <c r="B2482" s="9" t="s">
        <v>12</v>
      </c>
      <c r="C2482" s="10" t="s">
        <v>151</v>
      </c>
      <c r="D2482" s="10" t="str">
        <f ca="1">IFERROR(__xludf.DUMMYFUNCTION(" VLOOKUP(A2479, IMPORTRANGE(""https://docs.google.com/spreadsheets/d/1fj_Bhi2XPL3siwIh4sx4VRLAe31yD50oKdj5UlRYW0c/"", ""Сводка!A:AA""), 11, FALSE)"),"978-601-310-510-9")</f>
        <v>978-601-310-510-9</v>
      </c>
      <c r="E2482" s="11" t="s">
        <v>9849</v>
      </c>
      <c r="F2482" s="11" t="s">
        <v>9857</v>
      </c>
      <c r="G2482" s="12">
        <f ca="1">IFERROR(__xludf.DUMMYFUNCTION(" VLOOKUP(A2479, IMPORTRANGE(""https://docs.google.com/spreadsheets/d/1fj_Bhi2XPL3siwIh4sx4VRLAe31yD50oKdj5UlRYW0c/"", ""Сводка!A:AA""), 5, FALSE)"),228)</f>
        <v>228</v>
      </c>
      <c r="H2482" s="12" t="s">
        <v>47</v>
      </c>
      <c r="I2482" s="10">
        <f ca="1">IFERROR(__xludf.DUMMYFUNCTION(" VLOOKUP(A2479, IMPORTRANGE(""https://docs.google.com/spreadsheets/d/1QNLbnkR_AongFt22vMfNzfpjZ0CjpI8QI-w0wBnYA1w/"", ""Инфа!A:AA""), 6, FALSE)"),2024)</f>
        <v>2024</v>
      </c>
      <c r="J2482" s="5">
        <f ca="1">ROUND((5000+G2482*30),-2)</f>
        <v>11800</v>
      </c>
      <c r="K2482" s="9" t="s">
        <v>758</v>
      </c>
      <c r="L2482" s="15"/>
    </row>
    <row r="2483" spans="1:12" ht="157.5">
      <c r="A2483" s="8" t="s">
        <v>9858</v>
      </c>
      <c r="B2483" s="9" t="s">
        <v>12</v>
      </c>
      <c r="C2483" s="10" t="s">
        <v>151</v>
      </c>
      <c r="D2483" s="10" t="str">
        <f ca="1">IFERROR(__xludf.DUMMYFUNCTION(" VLOOKUP(A2480, IMPORTRANGE(""https://docs.google.com/spreadsheets/d/1fj_Bhi2XPL3siwIh4sx4VRLAe31yD50oKdj5UlRYW0c/"", ""Сводка!A:AA""), 11, FALSE)"),"9965-756-21-X")</f>
        <v>9965-756-21-X</v>
      </c>
      <c r="E2483" s="11" t="s">
        <v>9859</v>
      </c>
      <c r="F2483" s="11" t="s">
        <v>9860</v>
      </c>
      <c r="G2483" s="12">
        <f ca="1">IFERROR(__xludf.DUMMYFUNCTION(" VLOOKUP(A2480, IMPORTRANGE(""https://docs.google.com/spreadsheets/d/1fj_Bhi2XPL3siwIh4sx4VRLAe31yD50oKdj5UlRYW0c/"", ""Сводка!A:AA""), 5, FALSE)"),112)</f>
        <v>112</v>
      </c>
      <c r="H2483" s="12" t="s">
        <v>556</v>
      </c>
      <c r="I2483" s="10">
        <f ca="1">IFERROR(__xludf.DUMMYFUNCTION(" VLOOKUP(A2480, IMPORTRANGE(""https://docs.google.com/spreadsheets/d/1QNLbnkR_AongFt22vMfNzfpjZ0CjpI8QI-w0wBnYA1w/"", ""Инфа!A:AA""), 6, FALSE)"),2024)</f>
        <v>2024</v>
      </c>
      <c r="J2483" s="5">
        <f ca="1">ROUND((5000+G2483*60),-2)</f>
        <v>11700</v>
      </c>
      <c r="K2483" s="9" t="s">
        <v>408</v>
      </c>
      <c r="L2483" s="15" t="s">
        <v>9861</v>
      </c>
    </row>
    <row r="2484" spans="1:12" ht="112.5">
      <c r="A2484" s="8" t="s">
        <v>9862</v>
      </c>
      <c r="B2484" s="9" t="s">
        <v>12</v>
      </c>
      <c r="C2484" s="10" t="s">
        <v>443</v>
      </c>
      <c r="D2484" s="10" t="str">
        <f ca="1">IFERROR(__xludf.DUMMYFUNCTION(" VLOOKUP(A2481, IMPORTRANGE(""https://docs.google.com/spreadsheets/d/1fj_Bhi2XPL3siwIh4sx4VRLAe31yD50oKdj5UlRYW0c/"", ""Сводка!A:AA""), 11, FALSE)"),"978-601-240-805-8")</f>
        <v>978-601-240-805-8</v>
      </c>
      <c r="E2484" s="11" t="s">
        <v>9863</v>
      </c>
      <c r="F2484" s="11" t="s">
        <v>9864</v>
      </c>
      <c r="G2484" s="12">
        <f ca="1">IFERROR(__xludf.DUMMYFUNCTION(" VLOOKUP(A2481, IMPORTRANGE(""https://docs.google.com/spreadsheets/d/1fj_Bhi2XPL3siwIh4sx4VRLAe31yD50oKdj5UlRYW0c/"", ""Сводка!A:AA""), 5, FALSE)"),88)</f>
        <v>88</v>
      </c>
      <c r="H2484" s="12" t="s">
        <v>538</v>
      </c>
      <c r="I2484" s="10">
        <f ca="1">IFERROR(__xludf.DUMMYFUNCTION(" VLOOKUP(A2481, IMPORTRANGE(""https://docs.google.com/spreadsheets/d/1QNLbnkR_AongFt22vMfNzfpjZ0CjpI8QI-w0wBnYA1w/"", ""Инфа!A:AA""), 6, FALSE)"),2024)</f>
        <v>2024</v>
      </c>
      <c r="J2484" s="5">
        <f ca="1">ROUND((5000+G2484*30),-2)</f>
        <v>7600</v>
      </c>
      <c r="K2484" s="9" t="s">
        <v>447</v>
      </c>
      <c r="L2484" s="15" t="s">
        <v>9865</v>
      </c>
    </row>
    <row r="2485" spans="1:12" ht="292.5">
      <c r="A2485" s="8" t="s">
        <v>9866</v>
      </c>
      <c r="B2485" s="9" t="s">
        <v>12</v>
      </c>
      <c r="C2485" s="10" t="s">
        <v>443</v>
      </c>
      <c r="D2485" s="10" t="str">
        <f ca="1">IFERROR(__xludf.DUMMYFUNCTION(" VLOOKUP(A2482, IMPORTRANGE(""https://docs.google.com/spreadsheets/d/1fj_Bhi2XPL3siwIh4sx4VRLAe31yD50oKdj5UlRYW0c/"", ""Сводка!A:AA""), 11, FALSE)"),"978-601-342-610-5")</f>
        <v>978-601-342-610-5</v>
      </c>
      <c r="E2485" s="11" t="s">
        <v>9867</v>
      </c>
      <c r="F2485" s="11" t="s">
        <v>9868</v>
      </c>
      <c r="G2485" s="12">
        <f ca="1">IFERROR(__xludf.DUMMYFUNCTION(" VLOOKUP(A2482, IMPORTRANGE(""https://docs.google.com/spreadsheets/d/1fj_Bhi2XPL3siwIh4sx4VRLAe31yD50oKdj5UlRYW0c/"", ""Сводка!A:AA""), 5, FALSE)"),348)</f>
        <v>348</v>
      </c>
      <c r="H2485" s="12" t="s">
        <v>511</v>
      </c>
      <c r="I2485" s="10">
        <f ca="1">IFERROR(__xludf.DUMMYFUNCTION(" VLOOKUP(A2482, IMPORTRANGE(""https://docs.google.com/spreadsheets/d/1QNLbnkR_AongFt22vMfNzfpjZ0CjpI8QI-w0wBnYA1w/"", ""Инфа!A:AA""), 6, FALSE)"),2024)</f>
        <v>2024</v>
      </c>
      <c r="J2485" s="5">
        <f ca="1">ROUND((5000+G2485*30),-2)</f>
        <v>15400</v>
      </c>
      <c r="K2485" s="12" t="s">
        <v>548</v>
      </c>
      <c r="L2485" s="15" t="s">
        <v>9869</v>
      </c>
    </row>
    <row r="2486" spans="1:12" ht="292.5">
      <c r="A2486" s="8" t="s">
        <v>9870</v>
      </c>
      <c r="B2486" s="9" t="s">
        <v>12</v>
      </c>
      <c r="C2486" s="10" t="s">
        <v>443</v>
      </c>
      <c r="D2486" s="10" t="str">
        <f ca="1">IFERROR(__xludf.DUMMYFUNCTION(" VLOOKUP(A2483, IMPORTRANGE(""https://docs.google.com/spreadsheets/d/1fj_Bhi2XPL3siwIh4sx4VRLAe31yD50oKdj5UlRYW0c/"", ""Сводка!A:AA""), 11, FALSE)"),"978-601-342-610-5")</f>
        <v>978-601-342-610-5</v>
      </c>
      <c r="E2486" s="11" t="s">
        <v>9867</v>
      </c>
      <c r="F2486" s="11" t="s">
        <v>9871</v>
      </c>
      <c r="G2486" s="12">
        <f ca="1">IFERROR(__xludf.DUMMYFUNCTION(" VLOOKUP(A2483, IMPORTRANGE(""https://docs.google.com/spreadsheets/d/1fj_Bhi2XPL3siwIh4sx4VRLAe31yD50oKdj5UlRYW0c/"", ""Сводка!A:AA""), 5, FALSE)"),264)</f>
        <v>264</v>
      </c>
      <c r="H2486" s="12" t="s">
        <v>511</v>
      </c>
      <c r="I2486" s="10">
        <f ca="1">IFERROR(__xludf.DUMMYFUNCTION(" VLOOKUP(A2483, IMPORTRANGE(""https://docs.google.com/spreadsheets/d/1QNLbnkR_AongFt22vMfNzfpjZ0CjpI8QI-w0wBnYA1w/"", ""Инфа!A:AA""), 6, FALSE)"),2024)</f>
        <v>2024</v>
      </c>
      <c r="J2486" s="5">
        <f ca="1">ROUND((5000+G2486*60),-2)</f>
        <v>20800</v>
      </c>
      <c r="K2486" s="12" t="s">
        <v>548</v>
      </c>
      <c r="L2486" s="15" t="s">
        <v>9869</v>
      </c>
    </row>
    <row r="2487" spans="1:12" ht="38.25">
      <c r="A2487" s="8" t="s">
        <v>9872</v>
      </c>
      <c r="B2487" s="9" t="s">
        <v>12</v>
      </c>
      <c r="C2487" s="10" t="s">
        <v>443</v>
      </c>
      <c r="D2487" s="10" t="str">
        <f ca="1">IFERROR(__xludf.DUMMYFUNCTION(" VLOOKUP(A2484, IMPORTRANGE(""https://docs.google.com/spreadsheets/d/1fj_Bhi2XPL3siwIh4sx4VRLAe31yD50oKdj5UlRYW0c/"", ""Сводка!A:AA""), 11, FALSE)"),"978-601-7816-45-2")</f>
        <v>978-601-7816-45-2</v>
      </c>
      <c r="E2487" s="11" t="s">
        <v>9873</v>
      </c>
      <c r="F2487" s="11" t="s">
        <v>9874</v>
      </c>
      <c r="G2487" s="12">
        <f ca="1">IFERROR(__xludf.DUMMYFUNCTION(" VLOOKUP(A2484, IMPORTRANGE(""https://docs.google.com/spreadsheets/d/1fj_Bhi2XPL3siwIh4sx4VRLAe31yD50oKdj5UlRYW0c/"", ""Сводка!A:AA""), 5, FALSE)"),100)</f>
        <v>100</v>
      </c>
      <c r="H2487" s="12" t="s">
        <v>538</v>
      </c>
      <c r="I2487" s="10">
        <f ca="1">IFERROR(__xludf.DUMMYFUNCTION(" VLOOKUP(A2484, IMPORTRANGE(""https://docs.google.com/spreadsheets/d/1QNLbnkR_AongFt22vMfNzfpjZ0CjpI8QI-w0wBnYA1w/"", ""Инфа!A:AA""), 6, FALSE)"),2024)</f>
        <v>2024</v>
      </c>
      <c r="J2487" s="5">
        <f ca="1">ROUND((5000+G2487*30),-2)</f>
        <v>8000</v>
      </c>
      <c r="K2487" s="9" t="s">
        <v>7967</v>
      </c>
      <c r="L2487" s="15"/>
    </row>
    <row r="2488" spans="1:12" ht="180">
      <c r="A2488" s="8" t="s">
        <v>9875</v>
      </c>
      <c r="B2488" s="9" t="s">
        <v>12</v>
      </c>
      <c r="C2488" s="10" t="s">
        <v>443</v>
      </c>
      <c r="D2488" s="10" t="str">
        <f ca="1">IFERROR(__xludf.DUMMYFUNCTION(" VLOOKUP(A2485, IMPORTRANGE(""https://docs.google.com/spreadsheets/d/1fj_Bhi2XPL3siwIh4sx4VRLAe31yD50oKdj5UlRYW0c/"", ""Сводка!A:AA""), 11, FALSE)"),"978-601-310-840-7")</f>
        <v>978-601-310-840-7</v>
      </c>
      <c r="E2488" s="11" t="s">
        <v>9876</v>
      </c>
      <c r="F2488" s="11" t="s">
        <v>9877</v>
      </c>
      <c r="G2488" s="12">
        <f ca="1">IFERROR(__xludf.DUMMYFUNCTION(" VLOOKUP(A2485, IMPORTRANGE(""https://docs.google.com/spreadsheets/d/1fj_Bhi2XPL3siwIh4sx4VRLAe31yD50oKdj5UlRYW0c/"", ""Сводка!A:AA""), 5, FALSE)"),296)</f>
        <v>296</v>
      </c>
      <c r="H2488" s="12" t="s">
        <v>538</v>
      </c>
      <c r="I2488" s="10">
        <f ca="1">IFERROR(__xludf.DUMMYFUNCTION(" VLOOKUP(A2485, IMPORTRANGE(""https://docs.google.com/spreadsheets/d/1QNLbnkR_AongFt22vMfNzfpjZ0CjpI8QI-w0wBnYA1w/"", ""Инфа!A:AA""), 6, FALSE)"),2024)</f>
        <v>2024</v>
      </c>
      <c r="J2488" s="5">
        <f ca="1">ROUND((5000+G2488*30),-2)</f>
        <v>13900</v>
      </c>
      <c r="K2488" s="9" t="s">
        <v>7967</v>
      </c>
      <c r="L2488" s="15" t="s">
        <v>9878</v>
      </c>
    </row>
    <row r="2489" spans="1:12" ht="303.75">
      <c r="A2489" s="8" t="s">
        <v>9879</v>
      </c>
      <c r="B2489" s="9" t="s">
        <v>12</v>
      </c>
      <c r="C2489" s="10" t="s">
        <v>151</v>
      </c>
      <c r="D2489" s="10" t="str">
        <f ca="1">IFERROR(__xludf.DUMMYFUNCTION(" VLOOKUP(A2486, IMPORTRANGE(""https://docs.google.com/spreadsheets/d/1fj_Bhi2XPL3siwIh4sx4VRLAe31yD50oKdj5UlRYW0c/"", ""Сводка!A:AA""), 11, FALSE)"),"978-601-342-197-1")</f>
        <v>978-601-342-197-1</v>
      </c>
      <c r="E2489" s="11" t="s">
        <v>9880</v>
      </c>
      <c r="F2489" s="11" t="s">
        <v>9881</v>
      </c>
      <c r="G2489" s="12">
        <f ca="1">IFERROR(__xludf.DUMMYFUNCTION(" VLOOKUP(A2486, IMPORTRANGE(""https://docs.google.com/spreadsheets/d/1fj_Bhi2XPL3siwIh4sx4VRLAe31yD50oKdj5UlRYW0c/"", ""Сводка!A:AA""), 5, FALSE)"),208)</f>
        <v>208</v>
      </c>
      <c r="H2489" s="12" t="s">
        <v>47</v>
      </c>
      <c r="I2489" s="10">
        <f ca="1">IFERROR(__xludf.DUMMYFUNCTION(" VLOOKUP(A2486, IMPORTRANGE(""https://docs.google.com/spreadsheets/d/1QNLbnkR_AongFt22vMfNzfpjZ0CjpI8QI-w0wBnYA1w/"", ""Инфа!A:AA""), 6, FALSE)"),2024)</f>
        <v>2024</v>
      </c>
      <c r="J2489" s="5">
        <f ca="1">ROUND((5000+G2489*30),-2)</f>
        <v>11200</v>
      </c>
      <c r="K2489" s="12" t="s">
        <v>287</v>
      </c>
      <c r="L2489" s="15" t="s">
        <v>9882</v>
      </c>
    </row>
    <row r="2490" spans="1:12" ht="213.75">
      <c r="A2490" s="8" t="s">
        <v>9883</v>
      </c>
      <c r="B2490" s="9" t="s">
        <v>12</v>
      </c>
      <c r="C2490" s="10" t="s">
        <v>443</v>
      </c>
      <c r="D2490" s="10" t="str">
        <f ca="1">IFERROR(__xludf.DUMMYFUNCTION(" VLOOKUP(A2487, IMPORTRANGE(""https://docs.google.com/spreadsheets/d/1fj_Bhi2XPL3siwIh4sx4VRLAe31yD50oKdj5UlRYW0c/"", ""Сводка!A:AA""), 11, FALSE)"),"978-601-310-573-4")</f>
        <v>978-601-310-573-4</v>
      </c>
      <c r="E2490" s="25" t="s">
        <v>9884</v>
      </c>
      <c r="F2490" s="25" t="s">
        <v>9885</v>
      </c>
      <c r="G2490" s="12">
        <f ca="1">IFERROR(__xludf.DUMMYFUNCTION(" VLOOKUP(A2487, IMPORTRANGE(""https://docs.google.com/spreadsheets/d/1fj_Bhi2XPL3siwIh4sx4VRLAe31yD50oKdj5UlRYW0c/"", ""Сводка!A:AA""), 5, FALSE)"),248)</f>
        <v>248</v>
      </c>
      <c r="H2490" s="26" t="s">
        <v>538</v>
      </c>
      <c r="I2490" s="10">
        <f ca="1">IFERROR(__xludf.DUMMYFUNCTION(" VLOOKUP(A2487, IMPORTRANGE(""https://docs.google.com/spreadsheets/d/1QNLbnkR_AongFt22vMfNzfpjZ0CjpI8QI-w0wBnYA1w/"", ""Инфа!A:AA""), 6, FALSE)"),2024)</f>
        <v>2024</v>
      </c>
      <c r="J2490" s="5">
        <f ca="1">ROUND((5000+G2490*30),-2)</f>
        <v>12400</v>
      </c>
      <c r="K2490" s="9" t="s">
        <v>271</v>
      </c>
      <c r="L2490" s="15" t="s">
        <v>9886</v>
      </c>
    </row>
    <row r="2491" spans="1:12" ht="281.25">
      <c r="A2491" s="8" t="s">
        <v>9887</v>
      </c>
      <c r="B2491" s="9" t="s">
        <v>12</v>
      </c>
      <c r="C2491" s="10" t="s">
        <v>443</v>
      </c>
      <c r="D2491" s="10" t="str">
        <f ca="1">IFERROR(__xludf.DUMMYFUNCTION(" VLOOKUP(A2488, IMPORTRANGE(""https://docs.google.com/spreadsheets/d/1fj_Bhi2XPL3siwIh4sx4VRLAe31yD50oKdj5UlRYW0c/"", ""Сводка!A:AA""), 11, FALSE)"),"9965-19-790-3")</f>
        <v>9965-19-790-3</v>
      </c>
      <c r="E2491" s="11" t="s">
        <v>9888</v>
      </c>
      <c r="F2491" s="11" t="s">
        <v>9889</v>
      </c>
      <c r="G2491" s="12">
        <f ca="1">IFERROR(__xludf.DUMMYFUNCTION(" VLOOKUP(A2488, IMPORTRANGE(""https://docs.google.com/spreadsheets/d/1fj_Bhi2XPL3siwIh4sx4VRLAe31yD50oKdj5UlRYW0c/"", ""Сводка!A:AA""), 5, FALSE)"),328)</f>
        <v>328</v>
      </c>
      <c r="H2491" s="12" t="s">
        <v>538</v>
      </c>
      <c r="I2491" s="10">
        <f ca="1">IFERROR(__xludf.DUMMYFUNCTION(" VLOOKUP(A2488, IMPORTRANGE(""https://docs.google.com/spreadsheets/d/1QNLbnkR_AongFt22vMfNzfpjZ0CjpI8QI-w0wBnYA1w/"", ""Инфа!A:AA""), 6, FALSE)"),2024)</f>
        <v>2024</v>
      </c>
      <c r="J2491" s="5">
        <f ca="1">ROUND((5000+G2491*60),-2)</f>
        <v>24700</v>
      </c>
      <c r="K2491" s="12" t="s">
        <v>213</v>
      </c>
      <c r="L2491" s="15" t="s">
        <v>9890</v>
      </c>
    </row>
    <row r="2492" spans="1:12" ht="303.75">
      <c r="A2492" s="8" t="s">
        <v>9891</v>
      </c>
      <c r="B2492" s="9" t="s">
        <v>12</v>
      </c>
      <c r="C2492" s="13" t="s">
        <v>443</v>
      </c>
      <c r="D2492" s="10" t="str">
        <f ca="1">IFERROR(__xludf.DUMMYFUNCTION(" VLOOKUP(A2489, IMPORTRANGE(""https://docs.google.com/spreadsheets/d/1fj_Bhi2XPL3siwIh4sx4VRLAe31yD50oKdj5UlRYW0c/"", ""Сводка!A:AA""), 11, FALSE)"),"978-9965-872-60-2")</f>
        <v>978-9965-872-60-2</v>
      </c>
      <c r="E2492" s="11" t="s">
        <v>9892</v>
      </c>
      <c r="F2492" s="11" t="s">
        <v>9893</v>
      </c>
      <c r="G2492" s="12">
        <f ca="1">IFERROR(__xludf.DUMMYFUNCTION(" VLOOKUP(A2489, IMPORTRANGE(""https://docs.google.com/spreadsheets/d/1fj_Bhi2XPL3siwIh4sx4VRLAe31yD50oKdj5UlRYW0c/"", ""Сводка!A:AA""), 5, FALSE)"),216)</f>
        <v>216</v>
      </c>
      <c r="H2492" s="12" t="s">
        <v>538</v>
      </c>
      <c r="I2492" s="10">
        <f ca="1">IFERROR(__xludf.DUMMYFUNCTION(" VLOOKUP(A2489, IMPORTRANGE(""https://docs.google.com/spreadsheets/d/1QNLbnkR_AongFt22vMfNzfpjZ0CjpI8QI-w0wBnYA1w/"", ""Инфа!A:AA""), 6, FALSE)"),2024)</f>
        <v>2024</v>
      </c>
      <c r="J2492" s="5">
        <f ca="1">ROUND((5000+G2492*30),-2)</f>
        <v>11500</v>
      </c>
      <c r="K2492" s="12" t="s">
        <v>213</v>
      </c>
      <c r="L2492" s="15" t="s">
        <v>9894</v>
      </c>
    </row>
    <row r="2493" spans="1:12" ht="191.25">
      <c r="A2493" s="8" t="s">
        <v>9895</v>
      </c>
      <c r="B2493" s="9" t="s">
        <v>12</v>
      </c>
      <c r="C2493" s="13" t="s">
        <v>443</v>
      </c>
      <c r="D2493" s="10" t="str">
        <f ca="1">IFERROR(__xludf.DUMMYFUNCTION(" VLOOKUP(A2490, IMPORTRANGE(""https://docs.google.com/spreadsheets/d/1fj_Bhi2XPL3siwIh4sx4VRLAe31yD50oKdj5UlRYW0c/"", ""Сводка!A:AA""), 11, FALSE)"),"978-601-327-646-5")</f>
        <v>978-601-327-646-5</v>
      </c>
      <c r="E2493" s="11" t="s">
        <v>9896</v>
      </c>
      <c r="F2493" s="11" t="s">
        <v>9897</v>
      </c>
      <c r="G2493" s="12">
        <f ca="1">IFERROR(__xludf.DUMMYFUNCTION(" VLOOKUP(A2490, IMPORTRANGE(""https://docs.google.com/spreadsheets/d/1fj_Bhi2XPL3siwIh4sx4VRLAe31yD50oKdj5UlRYW0c/"", ""Сводка!A:AA""), 5, FALSE)"),176)</f>
        <v>176</v>
      </c>
      <c r="H2493" s="12" t="s">
        <v>511</v>
      </c>
      <c r="I2493" s="10">
        <f ca="1">IFERROR(__xludf.DUMMYFUNCTION(" VLOOKUP(A2490, IMPORTRANGE(""https://docs.google.com/spreadsheets/d/1QNLbnkR_AongFt22vMfNzfpjZ0CjpI8QI-w0wBnYA1w/"", ""Инфа!A:AA""), 6, FALSE)"),2024)</f>
        <v>2024</v>
      </c>
      <c r="J2493" s="5">
        <f ca="1">ROUND((5000+G2493*60),-2)</f>
        <v>15600</v>
      </c>
      <c r="K2493" s="12" t="s">
        <v>213</v>
      </c>
      <c r="L2493" s="15" t="s">
        <v>9898</v>
      </c>
    </row>
    <row r="2494" spans="1:12" ht="326.25">
      <c r="A2494" s="8" t="s">
        <v>9899</v>
      </c>
      <c r="B2494" s="9" t="s">
        <v>12</v>
      </c>
      <c r="C2494" s="10" t="s">
        <v>443</v>
      </c>
      <c r="D2494" s="10" t="str">
        <f ca="1">IFERROR(__xludf.DUMMYFUNCTION(" VLOOKUP(A2491, IMPORTRANGE(""https://docs.google.com/spreadsheets/d/1fj_Bhi2XPL3siwIh4sx4VRLAe31yD50oKdj5UlRYW0c/"", ""Сводка!A:AA""), 11, FALSE)"),"978-601-327-645-8")</f>
        <v>978-601-327-645-8</v>
      </c>
      <c r="E2494" s="11" t="s">
        <v>9900</v>
      </c>
      <c r="F2494" s="11" t="s">
        <v>9901</v>
      </c>
      <c r="G2494" s="12">
        <f ca="1">IFERROR(__xludf.DUMMYFUNCTION(" VLOOKUP(A2491, IMPORTRANGE(""https://docs.google.com/spreadsheets/d/1fj_Bhi2XPL3siwIh4sx4VRLAe31yD50oKdj5UlRYW0c/"", ""Сводка!A:AA""), 5, FALSE)"),168)</f>
        <v>168</v>
      </c>
      <c r="H2494" s="12" t="s">
        <v>511</v>
      </c>
      <c r="I2494" s="10">
        <f ca="1">IFERROR(__xludf.DUMMYFUNCTION(" VLOOKUP(A2491, IMPORTRANGE(""https://docs.google.com/spreadsheets/d/1QNLbnkR_AongFt22vMfNzfpjZ0CjpI8QI-w0wBnYA1w/"", ""Инфа!A:AA""), 6, FALSE)"),2024)</f>
        <v>2024</v>
      </c>
      <c r="J2494" s="5">
        <f ca="1">ROUND((5000+G2494*30),-2)</f>
        <v>10000</v>
      </c>
      <c r="K2494" s="12" t="s">
        <v>213</v>
      </c>
      <c r="L2494" s="15" t="s">
        <v>9902</v>
      </c>
    </row>
    <row r="2495" spans="1:12" ht="247.5">
      <c r="A2495" s="8" t="s">
        <v>9903</v>
      </c>
      <c r="B2495" s="9" t="s">
        <v>12</v>
      </c>
      <c r="C2495" s="13" t="s">
        <v>443</v>
      </c>
      <c r="D2495" s="10" t="str">
        <f ca="1">IFERROR(__xludf.DUMMYFUNCTION(" VLOOKUP(A2492, IMPORTRANGE(""https://docs.google.com/spreadsheets/d/1fj_Bhi2XPL3siwIh4sx4VRLAe31yD50oKdj5UlRYW0c/"", ""Сводка!A:AA""), 11, FALSE)"),"978-601-7816-02-5")</f>
        <v>978-601-7816-02-5</v>
      </c>
      <c r="E2495" s="19" t="s">
        <v>9904</v>
      </c>
      <c r="F2495" s="19" t="s">
        <v>9905</v>
      </c>
      <c r="G2495" s="12">
        <f ca="1">IFERROR(__xludf.DUMMYFUNCTION(" VLOOKUP(A2492, IMPORTRANGE(""https://docs.google.com/spreadsheets/d/1fj_Bhi2XPL3siwIh4sx4VRLAe31yD50oKdj5UlRYW0c/"", ""Сводка!A:AA""), 5, FALSE)"),144)</f>
        <v>144</v>
      </c>
      <c r="H2495" s="12" t="s">
        <v>106</v>
      </c>
      <c r="I2495" s="10">
        <f ca="1">IFERROR(__xludf.DUMMYFUNCTION(" VLOOKUP(A2492, IMPORTRANGE(""https://docs.google.com/spreadsheets/d/1QNLbnkR_AongFt22vMfNzfpjZ0CjpI8QI-w0wBnYA1w/"", ""Инфа!A:AA""), 6, FALSE)"),2024)</f>
        <v>2024</v>
      </c>
      <c r="J2495" s="5">
        <f ca="1">ROUND((5000+G2495*60),-2)</f>
        <v>13600</v>
      </c>
      <c r="K2495" s="12" t="s">
        <v>257</v>
      </c>
      <c r="L2495" s="21" t="s">
        <v>9906</v>
      </c>
    </row>
    <row r="2496" spans="1:12" ht="157.5">
      <c r="A2496" s="8" t="s">
        <v>9907</v>
      </c>
      <c r="B2496" s="9" t="s">
        <v>12</v>
      </c>
      <c r="C2496" s="10" t="s">
        <v>443</v>
      </c>
      <c r="D2496" s="10" t="str">
        <f ca="1">IFERROR(__xludf.DUMMYFUNCTION(" VLOOKUP(A2493, IMPORTRANGE(""https://docs.google.com/spreadsheets/d/1fj_Bhi2XPL3siwIh4sx4VRLAe31yD50oKdj5UlRYW0c/"", ""Сводка!A:AA""), 11, FALSE)"),"978-601-278-414-15")</f>
        <v>978-601-278-414-15</v>
      </c>
      <c r="E2496" s="11" t="s">
        <v>9908</v>
      </c>
      <c r="F2496" s="11" t="s">
        <v>9909</v>
      </c>
      <c r="G2496" s="12">
        <f ca="1">IFERROR(__xludf.DUMMYFUNCTION(" VLOOKUP(A2493, IMPORTRANGE(""https://docs.google.com/spreadsheets/d/1fj_Bhi2XPL3siwIh4sx4VRLAe31yD50oKdj5UlRYW0c/"", ""Сводка!A:AA""), 5, FALSE)"),136)</f>
        <v>136</v>
      </c>
      <c r="H2496" s="12" t="s">
        <v>538</v>
      </c>
      <c r="I2496" s="10">
        <f ca="1">IFERROR(__xludf.DUMMYFUNCTION(" VLOOKUP(A2493, IMPORTRANGE(""https://docs.google.com/spreadsheets/d/1QNLbnkR_AongFt22vMfNzfpjZ0CjpI8QI-w0wBnYA1w/"", ""Инфа!A:AA""), 6, FALSE)"),2024)</f>
        <v>2024</v>
      </c>
      <c r="J2496" s="5">
        <f ca="1">ROUND((5000+G2496*60),-2)</f>
        <v>13200</v>
      </c>
      <c r="K2496" s="12" t="s">
        <v>548</v>
      </c>
      <c r="L2496" s="15" t="s">
        <v>9910</v>
      </c>
    </row>
    <row r="2497" spans="1:12" ht="25.5">
      <c r="A2497" s="8" t="s">
        <v>9911</v>
      </c>
      <c r="B2497" s="9" t="s">
        <v>12</v>
      </c>
      <c r="C2497" s="10" t="s">
        <v>443</v>
      </c>
      <c r="D2497" s="10" t="str">
        <f ca="1">IFERROR(__xludf.DUMMYFUNCTION(" VLOOKUP(A2494, IMPORTRANGE(""https://docs.google.com/spreadsheets/d/1fj_Bhi2XPL3siwIh4sx4VRLAe31yD50oKdj5UlRYW0c/"", ""Сводка!A:AA""), 11, FALSE)"),"5766-761-75-5")</f>
        <v>5766-761-75-5</v>
      </c>
      <c r="E2497" s="11" t="s">
        <v>9912</v>
      </c>
      <c r="F2497" s="11" t="s">
        <v>9913</v>
      </c>
      <c r="G2497" s="12">
        <f ca="1">IFERROR(__xludf.DUMMYFUNCTION(" VLOOKUP(A2494, IMPORTRANGE(""https://docs.google.com/spreadsheets/d/1fj_Bhi2XPL3siwIh4sx4VRLAe31yD50oKdj5UlRYW0c/"", ""Сводка!A:AA""), 5, FALSE)"),288)</f>
        <v>288</v>
      </c>
      <c r="H2497" s="12" t="s">
        <v>538</v>
      </c>
      <c r="I2497" s="10">
        <f ca="1">IFERROR(__xludf.DUMMYFUNCTION(" VLOOKUP(A2494, IMPORTRANGE(""https://docs.google.com/spreadsheets/d/1QNLbnkR_AongFt22vMfNzfpjZ0CjpI8QI-w0wBnYA1w/"", ""Инфа!A:AA""), 6, FALSE)"),2024)</f>
        <v>2024</v>
      </c>
      <c r="J2497" s="5">
        <f ca="1">ROUND((5000+G2497*30),-2)</f>
        <v>13600</v>
      </c>
      <c r="K2497" s="12" t="s">
        <v>8250</v>
      </c>
      <c r="L2497" s="15"/>
    </row>
    <row r="2498" spans="1:12" ht="90">
      <c r="A2498" s="8" t="s">
        <v>9914</v>
      </c>
      <c r="B2498" s="9" t="s">
        <v>12</v>
      </c>
      <c r="C2498" s="10" t="s">
        <v>443</v>
      </c>
      <c r="D2498" s="10" t="str">
        <f ca="1">IFERROR(__xludf.DUMMYFUNCTION(" VLOOKUP(A2495, IMPORTRANGE(""https://docs.google.com/spreadsheets/d/1fj_Bhi2XPL3siwIh4sx4VRLAe31yD50oKdj5UlRYW0c/"", ""Сводка!A:AA""), 11, FALSE)"),"978-601-342-021-9")</f>
        <v>978-601-342-021-9</v>
      </c>
      <c r="E2498" s="11" t="s">
        <v>9915</v>
      </c>
      <c r="F2498" s="11" t="s">
        <v>9916</v>
      </c>
      <c r="G2498" s="12">
        <f ca="1">IFERROR(__xludf.DUMMYFUNCTION(" VLOOKUP(A2495, IMPORTRANGE(""https://docs.google.com/spreadsheets/d/1fj_Bhi2XPL3siwIh4sx4VRLAe31yD50oKdj5UlRYW0c/"", ""Сводка!A:AA""), 5, FALSE)"),340)</f>
        <v>340</v>
      </c>
      <c r="H2498" s="12" t="s">
        <v>538</v>
      </c>
      <c r="I2498" s="10">
        <f ca="1">IFERROR(__xludf.DUMMYFUNCTION(" VLOOKUP(A2495, IMPORTRANGE(""https://docs.google.com/spreadsheets/d/1QNLbnkR_AongFt22vMfNzfpjZ0CjpI8QI-w0wBnYA1w/"", ""Инфа!A:AA""), 6, FALSE)"),2024)</f>
        <v>2024</v>
      </c>
      <c r="J2498" s="5">
        <f ca="1">ROUND((5000+G2498*60),-2)</f>
        <v>25400</v>
      </c>
      <c r="K2498" s="12" t="s">
        <v>9917</v>
      </c>
      <c r="L2498" s="15" t="s">
        <v>9816</v>
      </c>
    </row>
    <row r="2499" spans="1:12" ht="146.25">
      <c r="A2499" s="8" t="s">
        <v>9918</v>
      </c>
      <c r="B2499" s="9" t="s">
        <v>12</v>
      </c>
      <c r="C2499" s="13" t="s">
        <v>443</v>
      </c>
      <c r="D2499" s="10" t="str">
        <f ca="1">IFERROR(__xludf.DUMMYFUNCTION(" VLOOKUP(A2496, IMPORTRANGE(""https://docs.google.com/spreadsheets/d/1fj_Bhi2XPL3siwIh4sx4VRLAe31yD50oKdj5UlRYW0c/"", ""Сводка!A:AA""), 11, FALSE)"),"978-601-310-131-6")</f>
        <v>978-601-310-131-6</v>
      </c>
      <c r="E2499" s="34" t="s">
        <v>9919</v>
      </c>
      <c r="F2499" s="11" t="s">
        <v>9920</v>
      </c>
      <c r="G2499" s="12">
        <f ca="1">IFERROR(__xludf.DUMMYFUNCTION(" VLOOKUP(A2496, IMPORTRANGE(""https://docs.google.com/spreadsheets/d/1fj_Bhi2XPL3siwIh4sx4VRLAe31yD50oKdj5UlRYW0c/"", ""Сводка!A:AA""), 5, FALSE)"),244)</f>
        <v>244</v>
      </c>
      <c r="H2499" s="12" t="s">
        <v>106</v>
      </c>
      <c r="I2499" s="10">
        <f ca="1">IFERROR(__xludf.DUMMYFUNCTION(" VLOOKUP(A2496, IMPORTRANGE(""https://docs.google.com/spreadsheets/d/1QNLbnkR_AongFt22vMfNzfpjZ0CjpI8QI-w0wBnYA1w/"", ""Инфа!A:AA""), 6, FALSE)"),2024)</f>
        <v>2024</v>
      </c>
      <c r="J2499" s="5">
        <f t="shared" ref="J2499:J2512" ca="1" si="85">ROUND((5000+G2499*30),-2)</f>
        <v>12300</v>
      </c>
      <c r="K2499" s="9" t="s">
        <v>539</v>
      </c>
      <c r="L2499" s="21" t="s">
        <v>9921</v>
      </c>
    </row>
    <row r="2500" spans="1:12" ht="213.75">
      <c r="A2500" s="8" t="s">
        <v>9922</v>
      </c>
      <c r="B2500" s="9" t="s">
        <v>12</v>
      </c>
      <c r="C2500" s="13" t="s">
        <v>443</v>
      </c>
      <c r="D2500" s="10" t="s">
        <v>9923</v>
      </c>
      <c r="E2500" s="34" t="s">
        <v>9919</v>
      </c>
      <c r="F2500" s="34" t="s">
        <v>9924</v>
      </c>
      <c r="G2500" s="12">
        <f ca="1">IFERROR(__xludf.DUMMYFUNCTION(" VLOOKUP(A2497, IMPORTRANGE(""https://docs.google.com/spreadsheets/d/1fj_Bhi2XPL3siwIh4sx4VRLAe31yD50oKdj5UlRYW0c/"", ""Сводка!A:AA""), 5, FALSE)"),252)</f>
        <v>252</v>
      </c>
      <c r="H2500" s="12" t="s">
        <v>106</v>
      </c>
      <c r="I2500" s="10">
        <f ca="1">IFERROR(__xludf.DUMMYFUNCTION(" VLOOKUP(A2497, IMPORTRANGE(""https://docs.google.com/spreadsheets/d/1QNLbnkR_AongFt22vMfNzfpjZ0CjpI8QI-w0wBnYA1w/"", ""Инфа!A:AA""), 6, FALSE)"),2024)</f>
        <v>2024</v>
      </c>
      <c r="J2500" s="5">
        <f t="shared" ca="1" si="85"/>
        <v>12600</v>
      </c>
      <c r="K2500" s="9" t="s">
        <v>539</v>
      </c>
      <c r="L2500" s="21" t="s">
        <v>9925</v>
      </c>
    </row>
    <row r="2501" spans="1:12" ht="90">
      <c r="A2501" s="8" t="s">
        <v>9926</v>
      </c>
      <c r="B2501" s="9" t="s">
        <v>12</v>
      </c>
      <c r="C2501" s="13" t="s">
        <v>443</v>
      </c>
      <c r="D2501" s="10" t="s">
        <v>9927</v>
      </c>
      <c r="E2501" s="34" t="s">
        <v>9919</v>
      </c>
      <c r="F2501" s="34" t="s">
        <v>9928</v>
      </c>
      <c r="G2501" s="12">
        <f ca="1">IFERROR(__xludf.DUMMYFUNCTION(" VLOOKUP(A2498, IMPORTRANGE(""https://docs.google.com/spreadsheets/d/1fj_Bhi2XPL3siwIh4sx4VRLAe31yD50oKdj5UlRYW0c/"", ""Сводка!A:AA""), 5, FALSE)"),192)</f>
        <v>192</v>
      </c>
      <c r="H2501" s="12" t="s">
        <v>538</v>
      </c>
      <c r="I2501" s="10">
        <f ca="1">IFERROR(__xludf.DUMMYFUNCTION(" VLOOKUP(A2498, IMPORTRANGE(""https://docs.google.com/spreadsheets/d/1QNLbnkR_AongFt22vMfNzfpjZ0CjpI8QI-w0wBnYA1w/"", ""Инфа!A:AA""), 6, FALSE)"),2024)</f>
        <v>2024</v>
      </c>
      <c r="J2501" s="5">
        <f t="shared" ca="1" si="85"/>
        <v>10800</v>
      </c>
      <c r="K2501" s="9" t="s">
        <v>539</v>
      </c>
      <c r="L2501" s="21" t="s">
        <v>9929</v>
      </c>
    </row>
    <row r="2502" spans="1:12" ht="168.75">
      <c r="A2502" s="8" t="s">
        <v>9930</v>
      </c>
      <c r="B2502" s="9" t="s">
        <v>12</v>
      </c>
      <c r="C2502" s="13" t="s">
        <v>443</v>
      </c>
      <c r="D2502" s="10" t="s">
        <v>9931</v>
      </c>
      <c r="E2502" s="34" t="s">
        <v>9919</v>
      </c>
      <c r="F2502" s="34" t="s">
        <v>9932</v>
      </c>
      <c r="G2502" s="12">
        <f ca="1">IFERROR(__xludf.DUMMYFUNCTION(" VLOOKUP(A2499, IMPORTRANGE(""https://docs.google.com/spreadsheets/d/1fj_Bhi2XPL3siwIh4sx4VRLAe31yD50oKdj5UlRYW0c/"", ""Сводка!A:AA""), 5, FALSE)"),314)</f>
        <v>314</v>
      </c>
      <c r="H2502" s="12" t="s">
        <v>106</v>
      </c>
      <c r="I2502" s="10">
        <f ca="1">IFERROR(__xludf.DUMMYFUNCTION(" VLOOKUP(A2499, IMPORTRANGE(""https://docs.google.com/spreadsheets/d/1QNLbnkR_AongFt22vMfNzfpjZ0CjpI8QI-w0wBnYA1w/"", ""Инфа!A:AA""), 6, FALSE)"),2024)</f>
        <v>2024</v>
      </c>
      <c r="J2502" s="5">
        <f t="shared" ca="1" si="85"/>
        <v>14400</v>
      </c>
      <c r="K2502" s="9" t="s">
        <v>539</v>
      </c>
      <c r="L2502" s="21" t="s">
        <v>9933</v>
      </c>
    </row>
    <row r="2503" spans="1:12" ht="90">
      <c r="A2503" s="8" t="s">
        <v>9934</v>
      </c>
      <c r="B2503" s="9" t="s">
        <v>12</v>
      </c>
      <c r="C2503" s="13" t="s">
        <v>443</v>
      </c>
      <c r="D2503" s="10" t="s">
        <v>9935</v>
      </c>
      <c r="E2503" s="34" t="s">
        <v>9919</v>
      </c>
      <c r="F2503" s="34" t="s">
        <v>9936</v>
      </c>
      <c r="G2503" s="12">
        <f ca="1">IFERROR(__xludf.DUMMYFUNCTION(" VLOOKUP(A2500, IMPORTRANGE(""https://docs.google.com/spreadsheets/d/1fj_Bhi2XPL3siwIh4sx4VRLAe31yD50oKdj5UlRYW0c/"", ""Сводка!A:AA""), 5, FALSE)"),220)</f>
        <v>220</v>
      </c>
      <c r="H2503" s="12" t="s">
        <v>538</v>
      </c>
      <c r="I2503" s="10">
        <f ca="1">IFERROR(__xludf.DUMMYFUNCTION(" VLOOKUP(A2500, IMPORTRANGE(""https://docs.google.com/spreadsheets/d/1QNLbnkR_AongFt22vMfNzfpjZ0CjpI8QI-w0wBnYA1w/"", ""Инфа!A:AA""), 6, FALSE)"),2024)</f>
        <v>2024</v>
      </c>
      <c r="J2503" s="5">
        <f t="shared" ca="1" si="85"/>
        <v>11600</v>
      </c>
      <c r="K2503" s="9" t="s">
        <v>539</v>
      </c>
      <c r="L2503" s="21" t="s">
        <v>9937</v>
      </c>
    </row>
    <row r="2504" spans="1:12" ht="146.25">
      <c r="A2504" s="8" t="s">
        <v>9938</v>
      </c>
      <c r="B2504" s="9" t="s">
        <v>12</v>
      </c>
      <c r="C2504" s="13" t="s">
        <v>443</v>
      </c>
      <c r="D2504" s="10" t="s">
        <v>9939</v>
      </c>
      <c r="E2504" s="34" t="s">
        <v>9919</v>
      </c>
      <c r="F2504" s="34" t="s">
        <v>9940</v>
      </c>
      <c r="G2504" s="12">
        <f ca="1">IFERROR(__xludf.DUMMYFUNCTION(" VLOOKUP(A2501, IMPORTRANGE(""https://docs.google.com/spreadsheets/d/1fj_Bhi2XPL3siwIh4sx4VRLAe31yD50oKdj5UlRYW0c/"", ""Сводка!A:AA""), 5, FALSE)"),345)</f>
        <v>345</v>
      </c>
      <c r="H2504" s="12" t="s">
        <v>538</v>
      </c>
      <c r="I2504" s="10">
        <f ca="1">IFERROR(__xludf.DUMMYFUNCTION(" VLOOKUP(A2501, IMPORTRANGE(""https://docs.google.com/spreadsheets/d/1QNLbnkR_AongFt22vMfNzfpjZ0CjpI8QI-w0wBnYA1w/"", ""Инфа!A:AA""), 6, FALSE)"),2024)</f>
        <v>2024</v>
      </c>
      <c r="J2504" s="5">
        <f t="shared" ca="1" si="85"/>
        <v>15400</v>
      </c>
      <c r="K2504" s="9" t="s">
        <v>539</v>
      </c>
      <c r="L2504" s="21" t="s">
        <v>9941</v>
      </c>
    </row>
    <row r="2505" spans="1:12" ht="146.25">
      <c r="A2505" s="8" t="s">
        <v>9942</v>
      </c>
      <c r="B2505" s="9" t="s">
        <v>12</v>
      </c>
      <c r="C2505" s="13" t="s">
        <v>443</v>
      </c>
      <c r="D2505" s="10" t="s">
        <v>9943</v>
      </c>
      <c r="E2505" s="34" t="s">
        <v>9919</v>
      </c>
      <c r="F2505" s="34" t="s">
        <v>9944</v>
      </c>
      <c r="G2505" s="12">
        <f ca="1">IFERROR(__xludf.DUMMYFUNCTION(" VLOOKUP(A2502, IMPORTRANGE(""https://docs.google.com/spreadsheets/d/1fj_Bhi2XPL3siwIh4sx4VRLAe31yD50oKdj5UlRYW0c/"", ""Сводка!A:AA""), 5, FALSE)"),325)</f>
        <v>325</v>
      </c>
      <c r="H2505" s="12" t="s">
        <v>538</v>
      </c>
      <c r="I2505" s="10">
        <f ca="1">IFERROR(__xludf.DUMMYFUNCTION(" VLOOKUP(A2502, IMPORTRANGE(""https://docs.google.com/spreadsheets/d/1QNLbnkR_AongFt22vMfNzfpjZ0CjpI8QI-w0wBnYA1w/"", ""Инфа!A:AA""), 6, FALSE)"),2024)</f>
        <v>2024</v>
      </c>
      <c r="J2505" s="5">
        <f t="shared" ca="1" si="85"/>
        <v>14800</v>
      </c>
      <c r="K2505" s="9" t="s">
        <v>539</v>
      </c>
      <c r="L2505" s="21" t="s">
        <v>9945</v>
      </c>
    </row>
    <row r="2506" spans="1:12" ht="112.5">
      <c r="A2506" s="8" t="s">
        <v>9946</v>
      </c>
      <c r="B2506" s="9" t="s">
        <v>12</v>
      </c>
      <c r="C2506" s="13" t="s">
        <v>443</v>
      </c>
      <c r="D2506" s="10" t="s">
        <v>9947</v>
      </c>
      <c r="E2506" s="34" t="s">
        <v>9919</v>
      </c>
      <c r="F2506" s="34" t="s">
        <v>9948</v>
      </c>
      <c r="G2506" s="12">
        <f ca="1">IFERROR(__xludf.DUMMYFUNCTION(" VLOOKUP(A2503, IMPORTRANGE(""https://docs.google.com/spreadsheets/d/1fj_Bhi2XPL3siwIh4sx4VRLAe31yD50oKdj5UlRYW0c/"", ""Сводка!A:AA""), 5, FALSE)"),264)</f>
        <v>264</v>
      </c>
      <c r="H2506" s="12" t="s">
        <v>106</v>
      </c>
      <c r="I2506" s="10">
        <f ca="1">IFERROR(__xludf.DUMMYFUNCTION(" VLOOKUP(A2503, IMPORTRANGE(""https://docs.google.com/spreadsheets/d/1QNLbnkR_AongFt22vMfNzfpjZ0CjpI8QI-w0wBnYA1w/"", ""Инфа!A:AA""), 6, FALSE)"),2024)</f>
        <v>2024</v>
      </c>
      <c r="J2506" s="5">
        <f t="shared" ca="1" si="85"/>
        <v>12900</v>
      </c>
      <c r="K2506" s="9" t="s">
        <v>539</v>
      </c>
      <c r="L2506" s="21" t="s">
        <v>9949</v>
      </c>
    </row>
    <row r="2507" spans="1:12" ht="135">
      <c r="A2507" s="8" t="s">
        <v>9950</v>
      </c>
      <c r="B2507" s="9" t="s">
        <v>12</v>
      </c>
      <c r="C2507" s="13" t="s">
        <v>443</v>
      </c>
      <c r="D2507" s="10" t="s">
        <v>9951</v>
      </c>
      <c r="E2507" s="34" t="s">
        <v>9919</v>
      </c>
      <c r="F2507" s="34" t="s">
        <v>9952</v>
      </c>
      <c r="G2507" s="12">
        <f ca="1">IFERROR(__xludf.DUMMYFUNCTION(" VLOOKUP(A2504, IMPORTRANGE(""https://docs.google.com/spreadsheets/d/1fj_Bhi2XPL3siwIh4sx4VRLAe31yD50oKdj5UlRYW0c/"", ""Сводка!A:AA""), 5, FALSE)"),200)</f>
        <v>200</v>
      </c>
      <c r="H2507" s="12" t="s">
        <v>106</v>
      </c>
      <c r="I2507" s="10">
        <f ca="1">IFERROR(__xludf.DUMMYFUNCTION(" VLOOKUP(A2504, IMPORTRANGE(""https://docs.google.com/spreadsheets/d/1QNLbnkR_AongFt22vMfNzfpjZ0CjpI8QI-w0wBnYA1w/"", ""Инфа!A:AA""), 6, FALSE)"),2024)</f>
        <v>2024</v>
      </c>
      <c r="J2507" s="5">
        <f t="shared" ca="1" si="85"/>
        <v>11000</v>
      </c>
      <c r="K2507" s="9" t="s">
        <v>539</v>
      </c>
      <c r="L2507" s="21" t="s">
        <v>9953</v>
      </c>
    </row>
    <row r="2508" spans="1:12" ht="135">
      <c r="A2508" s="8" t="s">
        <v>9954</v>
      </c>
      <c r="B2508" s="9" t="s">
        <v>12</v>
      </c>
      <c r="C2508" s="13" t="s">
        <v>443</v>
      </c>
      <c r="D2508" s="10" t="s">
        <v>9955</v>
      </c>
      <c r="E2508" s="34" t="s">
        <v>9919</v>
      </c>
      <c r="F2508" s="34" t="s">
        <v>9956</v>
      </c>
      <c r="G2508" s="12">
        <f ca="1">IFERROR(__xludf.DUMMYFUNCTION(" VLOOKUP(A2505, IMPORTRANGE(""https://docs.google.com/spreadsheets/d/1fj_Bhi2XPL3siwIh4sx4VRLAe31yD50oKdj5UlRYW0c/"", ""Сводка!A:AA""), 5, FALSE)"),212)</f>
        <v>212</v>
      </c>
      <c r="H2508" s="12" t="s">
        <v>106</v>
      </c>
      <c r="I2508" s="10">
        <f ca="1">IFERROR(__xludf.DUMMYFUNCTION(" VLOOKUP(A2505, IMPORTRANGE(""https://docs.google.com/spreadsheets/d/1QNLbnkR_AongFt22vMfNzfpjZ0CjpI8QI-w0wBnYA1w/"", ""Инфа!A:AA""), 6, FALSE)"),2024)</f>
        <v>2024</v>
      </c>
      <c r="J2508" s="5">
        <f t="shared" ca="1" si="85"/>
        <v>11400</v>
      </c>
      <c r="K2508" s="9" t="s">
        <v>539</v>
      </c>
      <c r="L2508" s="21" t="s">
        <v>9957</v>
      </c>
    </row>
    <row r="2509" spans="1:12" ht="25.5">
      <c r="A2509" s="8" t="s">
        <v>9958</v>
      </c>
      <c r="B2509" s="9" t="s">
        <v>12</v>
      </c>
      <c r="C2509" s="10" t="s">
        <v>443</v>
      </c>
      <c r="D2509" s="10" t="str">
        <f ca="1">IFERROR(__xludf.DUMMYFUNCTION(" VLOOKUP(A2506, IMPORTRANGE(""https://docs.google.com/spreadsheets/d/1fj_Bhi2XPL3siwIh4sx4VRLAe31yD50oKdj5UlRYW0c/"", ""Сводка!A:AA""), 11, FALSE)"),"978-601-327-006-7")</f>
        <v>978-601-327-006-7</v>
      </c>
      <c r="E2509" s="11" t="s">
        <v>9959</v>
      </c>
      <c r="F2509" s="19" t="s">
        <v>9960</v>
      </c>
      <c r="G2509" s="12">
        <f ca="1">IFERROR(__xludf.DUMMYFUNCTION(" VLOOKUP(A2506, IMPORTRANGE(""https://docs.google.com/spreadsheets/d/1fj_Bhi2XPL3siwIh4sx4VRLAe31yD50oKdj5UlRYW0c/"", ""Сводка!A:AA""), 5, FALSE)"),308)</f>
        <v>308</v>
      </c>
      <c r="H2509" s="9" t="s">
        <v>511</v>
      </c>
      <c r="I2509" s="10">
        <f ca="1">IFERROR(__xludf.DUMMYFUNCTION(" VLOOKUP(A2506, IMPORTRANGE(""https://docs.google.com/spreadsheets/d/1QNLbnkR_AongFt22vMfNzfpjZ0CjpI8QI-w0wBnYA1w/"", ""Инфа!A:AA""), 6, FALSE)"),2024)</f>
        <v>2024</v>
      </c>
      <c r="J2509" s="5">
        <f t="shared" ca="1" si="85"/>
        <v>14200</v>
      </c>
      <c r="K2509" s="9" t="s">
        <v>575</v>
      </c>
      <c r="L2509" s="15"/>
    </row>
    <row r="2510" spans="1:12" ht="51">
      <c r="A2510" s="8" t="s">
        <v>9961</v>
      </c>
      <c r="B2510" s="9" t="s">
        <v>12</v>
      </c>
      <c r="C2510" s="10" t="s">
        <v>443</v>
      </c>
      <c r="D2510" s="10" t="str">
        <f ca="1">IFERROR(__xludf.DUMMYFUNCTION(" VLOOKUP(A2507, IMPORTRANGE(""https://docs.google.com/spreadsheets/d/1fj_Bhi2XPL3siwIh4sx4VRLAe31yD50oKdj5UlRYW0c/"", ""Сводка!A:AA""), 11, FALSE)"),"9965-680-23-Х")</f>
        <v>9965-680-23-Х</v>
      </c>
      <c r="E2510" s="11" t="s">
        <v>9959</v>
      </c>
      <c r="F2510" s="11" t="s">
        <v>9962</v>
      </c>
      <c r="G2510" s="12">
        <f ca="1">IFERROR(__xludf.DUMMYFUNCTION(" VLOOKUP(A2507, IMPORTRANGE(""https://docs.google.com/spreadsheets/d/1fj_Bhi2XPL3siwIh4sx4VRLAe31yD50oKdj5UlRYW0c/"", ""Сводка!A:AA""), 5, FALSE)"),324)</f>
        <v>324</v>
      </c>
      <c r="H2510" s="12" t="s">
        <v>511</v>
      </c>
      <c r="I2510" s="10">
        <f ca="1">IFERROR(__xludf.DUMMYFUNCTION(" VLOOKUP(A2507, IMPORTRANGE(""https://docs.google.com/spreadsheets/d/1QNLbnkR_AongFt22vMfNzfpjZ0CjpI8QI-w0wBnYA1w/"", ""Инфа!A:AA""), 6, FALSE)"),2024)</f>
        <v>2024</v>
      </c>
      <c r="J2510" s="5">
        <f t="shared" ca="1" si="85"/>
        <v>14700</v>
      </c>
      <c r="K2510" s="12" t="s">
        <v>575</v>
      </c>
      <c r="L2510" s="15"/>
    </row>
    <row r="2511" spans="1:12" ht="135">
      <c r="A2511" s="8" t="s">
        <v>9963</v>
      </c>
      <c r="B2511" s="9" t="s">
        <v>12</v>
      </c>
      <c r="C2511" s="10" t="s">
        <v>443</v>
      </c>
      <c r="D2511" s="10" t="s">
        <v>9964</v>
      </c>
      <c r="E2511" s="11" t="s">
        <v>9959</v>
      </c>
      <c r="F2511" s="11" t="s">
        <v>9965</v>
      </c>
      <c r="G2511" s="12" t="e">
        <f>#REF!</f>
        <v>#REF!</v>
      </c>
      <c r="H2511" s="12" t="s">
        <v>511</v>
      </c>
      <c r="I2511" s="10">
        <f ca="1">IFERROR(__xludf.DUMMYFUNCTION(" VLOOKUP(A2508, IMPORTRANGE(""https://docs.google.com/spreadsheets/d/1QNLbnkR_AongFt22vMfNzfpjZ0CjpI8QI-w0wBnYA1w/"", ""Инфа!A:AA""), 6, FALSE)"),2024)</f>
        <v>2024</v>
      </c>
      <c r="J2511" s="5" t="e">
        <f t="shared" si="85"/>
        <v>#REF!</v>
      </c>
      <c r="K2511" s="9" t="s">
        <v>575</v>
      </c>
      <c r="L2511" s="15" t="s">
        <v>9966</v>
      </c>
    </row>
    <row r="2512" spans="1:12" ht="123.75">
      <c r="A2512" s="8" t="s">
        <v>9967</v>
      </c>
      <c r="B2512" s="9" t="s">
        <v>12</v>
      </c>
      <c r="C2512" s="10" t="s">
        <v>443</v>
      </c>
      <c r="D2512" s="10" t="str">
        <f ca="1">IFERROR(__xludf.DUMMYFUNCTION(" VLOOKUP(A2509, IMPORTRANGE(""https://docs.google.com/spreadsheets/d/1fj_Bhi2XPL3siwIh4sx4VRLAe31yD50oKdj5UlRYW0c/"", ""Сводка!A:AA""), 11, FALSE)"),"978-601-327-048-7 978-601-327-047-0")</f>
        <v>978-601-327-048-7 978-601-327-047-0</v>
      </c>
      <c r="E2512" s="11" t="s">
        <v>9959</v>
      </c>
      <c r="F2512" s="11" t="s">
        <v>9968</v>
      </c>
      <c r="G2512" s="12">
        <f ca="1">IFERROR(__xludf.DUMMYFUNCTION(" VLOOKUP(A2509, IMPORTRANGE(""https://docs.google.com/spreadsheets/d/1fj_Bhi2XPL3siwIh4sx4VRLAe31yD50oKdj5UlRYW0c/"", ""Сводка!A:AA""), 5, FALSE)"),308)</f>
        <v>308</v>
      </c>
      <c r="H2512" s="12" t="s">
        <v>511</v>
      </c>
      <c r="I2512" s="10">
        <f ca="1">IFERROR(__xludf.DUMMYFUNCTION(" VLOOKUP(A2509, IMPORTRANGE(""https://docs.google.com/spreadsheets/d/1QNLbnkR_AongFt22vMfNzfpjZ0CjpI8QI-w0wBnYA1w/"", ""Инфа!A:AA""), 6, FALSE)"),2024)</f>
        <v>2024</v>
      </c>
      <c r="J2512" s="5">
        <f t="shared" ca="1" si="85"/>
        <v>14200</v>
      </c>
      <c r="K2512" s="9" t="s">
        <v>575</v>
      </c>
      <c r="L2512" s="15" t="s">
        <v>9969</v>
      </c>
    </row>
    <row r="2513" spans="1:12" ht="112.5">
      <c r="A2513" s="8" t="s">
        <v>9970</v>
      </c>
      <c r="B2513" s="9" t="s">
        <v>12</v>
      </c>
      <c r="C2513" s="10" t="s">
        <v>151</v>
      </c>
      <c r="D2513" s="10" t="str">
        <f ca="1">IFERROR(__xludf.DUMMYFUNCTION(" VLOOKUP(A2510, IMPORTRANGE(""https://docs.google.com/spreadsheets/d/1fj_Bhi2XPL3siwIh4sx4VRLAe31yD50oKdj5UlRYW0c/"", ""Сводка!A:AA""), 11, FALSE)"),"978-601-327-334-1")</f>
        <v>978-601-327-334-1</v>
      </c>
      <c r="E2513" s="11" t="s">
        <v>9971</v>
      </c>
      <c r="F2513" s="11" t="s">
        <v>9972</v>
      </c>
      <c r="G2513" s="12">
        <f ca="1">IFERROR(__xludf.DUMMYFUNCTION(" VLOOKUP(A2510, IMPORTRANGE(""https://docs.google.com/spreadsheets/d/1fj_Bhi2XPL3siwIh4sx4VRLAe31yD50oKdj5UlRYW0c/"", ""Сводка!A:AA""), 5, FALSE)"),128)</f>
        <v>128</v>
      </c>
      <c r="H2513" s="12" t="s">
        <v>47</v>
      </c>
      <c r="I2513" s="10">
        <f ca="1">IFERROR(__xludf.DUMMYFUNCTION(" VLOOKUP(A2510, IMPORTRANGE(""https://docs.google.com/spreadsheets/d/1QNLbnkR_AongFt22vMfNzfpjZ0CjpI8QI-w0wBnYA1w/"", ""Инфа!A:AA""), 6, FALSE)"),2024)</f>
        <v>2024</v>
      </c>
      <c r="J2513" s="5">
        <f ca="1">ROUND((5000+G2513*60),-2)</f>
        <v>12700</v>
      </c>
      <c r="K2513" s="12" t="s">
        <v>17</v>
      </c>
      <c r="L2513" s="15" t="s">
        <v>9973</v>
      </c>
    </row>
    <row r="2514" spans="1:12" ht="146.25">
      <c r="A2514" s="8" t="s">
        <v>9974</v>
      </c>
      <c r="B2514" s="9" t="s">
        <v>12</v>
      </c>
      <c r="C2514" s="10" t="s">
        <v>151</v>
      </c>
      <c r="D2514" s="10" t="str">
        <f ca="1">IFERROR(__xludf.DUMMYFUNCTION(" VLOOKUP(A2511, IMPORTRANGE(""https://docs.google.com/spreadsheets/d/1fj_Bhi2XPL3siwIh4sx4VRLAe31yD50oKdj5UlRYW0c/"", ""Сводка!A:AA""), 11, FALSE)"),"")</f>
        <v/>
      </c>
      <c r="E2514" s="11" t="s">
        <v>9971</v>
      </c>
      <c r="F2514" s="11" t="s">
        <v>9975</v>
      </c>
      <c r="G2514" s="12">
        <f ca="1">IFERROR(__xludf.DUMMYFUNCTION(" VLOOKUP(A2511, IMPORTRANGE(""https://docs.google.com/spreadsheets/d/1fj_Bhi2XPL3siwIh4sx4VRLAe31yD50oKdj5UlRYW0c/"", ""Сводка!A:AA""), 5, FALSE)"),136)</f>
        <v>136</v>
      </c>
      <c r="H2514" s="12" t="s">
        <v>47</v>
      </c>
      <c r="I2514" s="10">
        <f ca="1">IFERROR(__xludf.DUMMYFUNCTION(" VLOOKUP(A2511, IMPORTRANGE(""https://docs.google.com/spreadsheets/d/1QNLbnkR_AongFt22vMfNzfpjZ0CjpI8QI-w0wBnYA1w/"", ""Инфа!A:AA""), 6, FALSE)"),2024)</f>
        <v>2024</v>
      </c>
      <c r="J2514" s="5">
        <f ca="1">ROUND((5000+G2514*30),-2)</f>
        <v>9100</v>
      </c>
      <c r="K2514" s="12" t="s">
        <v>2520</v>
      </c>
      <c r="L2514" s="15" t="s">
        <v>9976</v>
      </c>
    </row>
    <row r="2515" spans="1:12" ht="225">
      <c r="A2515" s="8" t="s">
        <v>9977</v>
      </c>
      <c r="B2515" s="9" t="s">
        <v>12</v>
      </c>
      <c r="C2515" s="10" t="s">
        <v>443</v>
      </c>
      <c r="D2515" s="10" t="str">
        <f ca="1">IFERROR(__xludf.DUMMYFUNCTION(" VLOOKUP(A2512, IMPORTRANGE(""https://docs.google.com/spreadsheets/d/1fj_Bhi2XPL3siwIh4sx4VRLAe31yD50oKdj5UlRYW0c/"", ""Сводка!A:AA""), 11, FALSE)"),"978-601-327-352-5")</f>
        <v>978-601-327-352-5</v>
      </c>
      <c r="E2515" s="11" t="s">
        <v>9978</v>
      </c>
      <c r="F2515" s="11" t="s">
        <v>9979</v>
      </c>
      <c r="G2515" s="12">
        <f ca="1">IFERROR(__xludf.DUMMYFUNCTION(" VLOOKUP(A2512, IMPORTRANGE(""https://docs.google.com/spreadsheets/d/1fj_Bhi2XPL3siwIh4sx4VRLAe31yD50oKdj5UlRYW0c/"", ""Сводка!A:AA""), 5, FALSE)"),180)</f>
        <v>180</v>
      </c>
      <c r="H2515" s="12" t="s">
        <v>1908</v>
      </c>
      <c r="I2515" s="10">
        <f ca="1">IFERROR(__xludf.DUMMYFUNCTION(" VLOOKUP(A2512, IMPORTRANGE(""https://docs.google.com/spreadsheets/d/1QNLbnkR_AongFt22vMfNzfpjZ0CjpI8QI-w0wBnYA1w/"", ""Инфа!A:AA""), 6, FALSE)"),2024)</f>
        <v>2024</v>
      </c>
      <c r="J2515" s="5">
        <f ca="1">ROUND((5000+G2515*30),-2)</f>
        <v>10400</v>
      </c>
      <c r="K2515" s="9" t="s">
        <v>408</v>
      </c>
      <c r="L2515" s="15" t="s">
        <v>9980</v>
      </c>
    </row>
    <row r="2516" spans="1:12" ht="292.5">
      <c r="A2516" s="8" t="s">
        <v>9981</v>
      </c>
      <c r="B2516" s="9" t="s">
        <v>12</v>
      </c>
      <c r="C2516" s="10" t="s">
        <v>443</v>
      </c>
      <c r="D2516" s="10" t="str">
        <f ca="1">IFERROR(__xludf.DUMMYFUNCTION(" VLOOKUP(A2513, IMPORTRANGE(""https://docs.google.com/spreadsheets/d/1fj_Bhi2XPL3siwIh4sx4VRLAe31yD50oKdj5UlRYW0c/"", ""Сводка!A:AA""), 11, FALSE)"),"978-601-327-353-2")</f>
        <v>978-601-327-353-2</v>
      </c>
      <c r="E2516" s="11" t="s">
        <v>9978</v>
      </c>
      <c r="F2516" s="11" t="s">
        <v>9982</v>
      </c>
      <c r="G2516" s="12">
        <f ca="1">IFERROR(__xludf.DUMMYFUNCTION(" VLOOKUP(A2513, IMPORTRANGE(""https://docs.google.com/spreadsheets/d/1fj_Bhi2XPL3siwIh4sx4VRLAe31yD50oKdj5UlRYW0c/"", ""Сводка!A:AA""), 5, FALSE)"),192)</f>
        <v>192</v>
      </c>
      <c r="H2516" s="12" t="s">
        <v>1908</v>
      </c>
      <c r="I2516" s="10">
        <f ca="1">IFERROR(__xludf.DUMMYFUNCTION(" VLOOKUP(A2513, IMPORTRANGE(""https://docs.google.com/spreadsheets/d/1QNLbnkR_AongFt22vMfNzfpjZ0CjpI8QI-w0wBnYA1w/"", ""Инфа!A:AA""), 6, FALSE)"),2024)</f>
        <v>2024</v>
      </c>
      <c r="J2516" s="5">
        <f ca="1">ROUND((5000+G2516*60),-2)</f>
        <v>16500</v>
      </c>
      <c r="K2516" s="9" t="s">
        <v>408</v>
      </c>
      <c r="L2516" s="15" t="s">
        <v>9983</v>
      </c>
    </row>
    <row r="2517" spans="1:12" ht="292.5">
      <c r="A2517" s="8" t="s">
        <v>9984</v>
      </c>
      <c r="B2517" s="9" t="s">
        <v>12</v>
      </c>
      <c r="C2517" s="10" t="s">
        <v>151</v>
      </c>
      <c r="D2517" s="10" t="str">
        <f ca="1">IFERROR(__xludf.DUMMYFUNCTION(" VLOOKUP(A2514, IMPORTRANGE(""https://docs.google.com/spreadsheets/d/1fj_Bhi2XPL3siwIh4sx4VRLAe31yD50oKdj5UlRYW0c/"", ""Сводка!A:AA""), 11, FALSE)"),"987-601-310-519-1")</f>
        <v>987-601-310-519-1</v>
      </c>
      <c r="E2517" s="11" t="s">
        <v>9978</v>
      </c>
      <c r="F2517" s="11" t="s">
        <v>9985</v>
      </c>
      <c r="G2517" s="12">
        <f ca="1">IFERROR(__xludf.DUMMYFUNCTION(" VLOOKUP(A2514, IMPORTRANGE(""https://docs.google.com/spreadsheets/d/1fj_Bhi2XPL3siwIh4sx4VRLAe31yD50oKdj5UlRYW0c/"", ""Сводка!A:AA""), 5, FALSE)"),256)</f>
        <v>256</v>
      </c>
      <c r="H2517" s="12" t="s">
        <v>165</v>
      </c>
      <c r="I2517" s="10">
        <f ca="1">IFERROR(__xludf.DUMMYFUNCTION(" VLOOKUP(A2514, IMPORTRANGE(""https://docs.google.com/spreadsheets/d/1QNLbnkR_AongFt22vMfNzfpjZ0CjpI8QI-w0wBnYA1w/"", ""Инфа!A:AA""), 6, FALSE)"),2024)</f>
        <v>2024</v>
      </c>
      <c r="J2517" s="5">
        <f t="shared" ref="J2517:J2524" ca="1" si="86">ROUND((5000+G2517*30),-2)</f>
        <v>12700</v>
      </c>
      <c r="K2517" s="12" t="s">
        <v>488</v>
      </c>
      <c r="L2517" s="15" t="s">
        <v>9986</v>
      </c>
    </row>
    <row r="2518" spans="1:12" ht="303.75">
      <c r="A2518" s="8" t="s">
        <v>9987</v>
      </c>
      <c r="B2518" s="9" t="s">
        <v>12</v>
      </c>
      <c r="C2518" s="10" t="s">
        <v>443</v>
      </c>
      <c r="D2518" s="10" t="str">
        <f ca="1">IFERROR(__xludf.DUMMYFUNCTION(" VLOOKUP(A2515, IMPORTRANGE(""https://docs.google.com/spreadsheets/d/1fj_Bhi2XPL3siwIh4sx4VRLAe31yD50oKdj5UlRYW0c/"", ""Сводка!A:AA""), 11, FALSE)"),"978-601-342-424-9")</f>
        <v>978-601-342-424-9</v>
      </c>
      <c r="E2518" s="11" t="s">
        <v>9978</v>
      </c>
      <c r="F2518" s="11" t="s">
        <v>9988</v>
      </c>
      <c r="G2518" s="12">
        <f ca="1">IFERROR(__xludf.DUMMYFUNCTION(" VLOOKUP(A2515, IMPORTRANGE(""https://docs.google.com/spreadsheets/d/1fj_Bhi2XPL3siwIh4sx4VRLAe31yD50oKdj5UlRYW0c/"", ""Сводка!A:AA""), 5, FALSE)"),248)</f>
        <v>248</v>
      </c>
      <c r="H2518" s="12" t="s">
        <v>446</v>
      </c>
      <c r="I2518" s="10">
        <f ca="1">IFERROR(__xludf.DUMMYFUNCTION(" VLOOKUP(A2515, IMPORTRANGE(""https://docs.google.com/spreadsheets/d/1QNLbnkR_AongFt22vMfNzfpjZ0CjpI8QI-w0wBnYA1w/"", ""Инфа!A:AA""), 6, FALSE)"),2024)</f>
        <v>2024</v>
      </c>
      <c r="J2518" s="5">
        <f t="shared" ca="1" si="86"/>
        <v>12400</v>
      </c>
      <c r="K2518" s="12" t="s">
        <v>488</v>
      </c>
      <c r="L2518" s="16" t="s">
        <v>9989</v>
      </c>
    </row>
    <row r="2519" spans="1:12" ht="25.5">
      <c r="A2519" s="8" t="s">
        <v>9990</v>
      </c>
      <c r="B2519" s="9" t="s">
        <v>12</v>
      </c>
      <c r="C2519" s="10" t="s">
        <v>443</v>
      </c>
      <c r="D2519" s="10" t="str">
        <f ca="1">IFERROR(__xludf.DUMMYFUNCTION(" VLOOKUP(A2516, IMPORTRANGE(""https://docs.google.com/spreadsheets/d/1fj_Bhi2XPL3siwIh4sx4VRLAe31yD50oKdj5UlRYW0c/"", ""Сводка!A:AA""), 11, FALSE)"),"978-601-240-472-2")</f>
        <v>978-601-240-472-2</v>
      </c>
      <c r="E2519" s="11" t="s">
        <v>9991</v>
      </c>
      <c r="F2519" s="11" t="s">
        <v>9992</v>
      </c>
      <c r="G2519" s="12" t="e">
        <f>#REF!</f>
        <v>#REF!</v>
      </c>
      <c r="H2519" s="12" t="s">
        <v>538</v>
      </c>
      <c r="I2519" s="10">
        <f ca="1">IFERROR(__xludf.DUMMYFUNCTION(" VLOOKUP(A2516, IMPORTRANGE(""https://docs.google.com/spreadsheets/d/1QNLbnkR_AongFt22vMfNzfpjZ0CjpI8QI-w0wBnYA1w/"", ""Инфа!A:AA""), 6, FALSE)"),2024)</f>
        <v>2024</v>
      </c>
      <c r="J2519" s="5" t="e">
        <f t="shared" si="86"/>
        <v>#REF!</v>
      </c>
      <c r="K2519" s="12" t="s">
        <v>447</v>
      </c>
      <c r="L2519" s="15"/>
    </row>
    <row r="2520" spans="1:12" ht="38.25">
      <c r="A2520" s="8" t="s">
        <v>9993</v>
      </c>
      <c r="B2520" s="9" t="s">
        <v>12</v>
      </c>
      <c r="C2520" s="10" t="s">
        <v>443</v>
      </c>
      <c r="D2520" s="10" t="str">
        <f ca="1">IFERROR(__xludf.DUMMYFUNCTION(" VLOOKUP(A2517, IMPORTRANGE(""https://docs.google.com/spreadsheets/d/1fj_Bhi2XPL3siwIh4sx4VRLAe31yD50oKdj5UlRYW0c/"", ""Сводка!A:AA""), 11, FALSE)"),"978-601-240-250-6")</f>
        <v>978-601-240-250-6</v>
      </c>
      <c r="E2520" s="11" t="s">
        <v>9994</v>
      </c>
      <c r="F2520" s="11" t="s">
        <v>9995</v>
      </c>
      <c r="G2520" s="12">
        <f ca="1">IFERROR(__xludf.DUMMYFUNCTION(" VLOOKUP(A2517, IMPORTRANGE(""https://docs.google.com/spreadsheets/d/1fj_Bhi2XPL3siwIh4sx4VRLAe31yD50oKdj5UlRYW0c/"", ""Сводка!A:AA""), 5, FALSE)"),168)</f>
        <v>168</v>
      </c>
      <c r="H2520" s="12" t="s">
        <v>538</v>
      </c>
      <c r="I2520" s="10">
        <f ca="1">IFERROR(__xludf.DUMMYFUNCTION(" VLOOKUP(A2517, IMPORTRANGE(""https://docs.google.com/spreadsheets/d/1QNLbnkR_AongFt22vMfNzfpjZ0CjpI8QI-w0wBnYA1w/"", ""Инфа!A:AA""), 6, FALSE)"),2024)</f>
        <v>2024</v>
      </c>
      <c r="J2520" s="5">
        <f t="shared" ca="1" si="86"/>
        <v>10000</v>
      </c>
      <c r="K2520" s="9" t="s">
        <v>539</v>
      </c>
      <c r="L2520" s="15"/>
    </row>
    <row r="2521" spans="1:12" ht="63.75">
      <c r="A2521" s="8" t="s">
        <v>9996</v>
      </c>
      <c r="B2521" s="9" t="s">
        <v>12</v>
      </c>
      <c r="C2521" s="13" t="s">
        <v>151</v>
      </c>
      <c r="D2521" s="10" t="str">
        <f ca="1">IFERROR(__xludf.DUMMYFUNCTION(" VLOOKUP(A2518, IMPORTRANGE(""https://docs.google.com/spreadsheets/d/1fj_Bhi2XPL3siwIh4sx4VRLAe31yD50oKdj5UlRYW0c/"", ""Сводка!A:AA""), 11, FALSE)"),"978-601-310-176-7")</f>
        <v>978-601-310-176-7</v>
      </c>
      <c r="E2521" s="19" t="s">
        <v>9997</v>
      </c>
      <c r="F2521" s="19" t="s">
        <v>9998</v>
      </c>
      <c r="G2521" s="12">
        <f ca="1">IFERROR(__xludf.DUMMYFUNCTION(" VLOOKUP(A2518, IMPORTRANGE(""https://docs.google.com/spreadsheets/d/1fj_Bhi2XPL3siwIh4sx4VRLAe31yD50oKdj5UlRYW0c/"", ""Сводка!A:AA""), 5, FALSE)"),252)</f>
        <v>252</v>
      </c>
      <c r="H2521" s="9" t="s">
        <v>106</v>
      </c>
      <c r="I2521" s="10">
        <f ca="1">IFERROR(__xludf.DUMMYFUNCTION(" VLOOKUP(A2518, IMPORTRANGE(""https://docs.google.com/spreadsheets/d/1QNLbnkR_AongFt22vMfNzfpjZ0CjpI8QI-w0wBnYA1w/"", ""Инфа!A:AA""), 6, FALSE)"),2024)</f>
        <v>2024</v>
      </c>
      <c r="J2521" s="5">
        <f t="shared" ca="1" si="86"/>
        <v>12600</v>
      </c>
      <c r="K2521" s="12" t="s">
        <v>271</v>
      </c>
      <c r="L2521" s="21"/>
    </row>
    <row r="2522" spans="1:12" ht="191.25">
      <c r="A2522" s="8" t="s">
        <v>9999</v>
      </c>
      <c r="B2522" s="9" t="s">
        <v>12</v>
      </c>
      <c r="C2522" s="10" t="s">
        <v>13</v>
      </c>
      <c r="D2522" s="10" t="str">
        <f ca="1">IFERROR(__xludf.DUMMYFUNCTION(" VLOOKUP(A2519, IMPORTRANGE(""https://docs.google.com/spreadsheets/d/1fj_Bhi2XPL3siwIh4sx4VRLAe31yD50oKdj5UlRYW0c/"", ""Сводка!A:AA""), 11, FALSE)"),"978-601-245-210-8")</f>
        <v>978-601-245-210-8</v>
      </c>
      <c r="E2522" s="11" t="s">
        <v>10000</v>
      </c>
      <c r="F2522" s="11" t="s">
        <v>10001</v>
      </c>
      <c r="G2522" s="12">
        <f ca="1">IFERROR(__xludf.DUMMYFUNCTION(" VLOOKUP(A2519, IMPORTRANGE(""https://docs.google.com/spreadsheets/d/1fj_Bhi2XPL3siwIh4sx4VRLAe31yD50oKdj5UlRYW0c/"", ""Сводка!A:AA""), 5, FALSE)"),208)</f>
        <v>208</v>
      </c>
      <c r="H2522" s="12" t="s">
        <v>47</v>
      </c>
      <c r="I2522" s="10">
        <f ca="1">IFERROR(__xludf.DUMMYFUNCTION(" VLOOKUP(A2519, IMPORTRANGE(""https://docs.google.com/spreadsheets/d/1QNLbnkR_AongFt22vMfNzfpjZ0CjpI8QI-w0wBnYA1w/"", ""Инфа!A:AA""), 6, FALSE)"),2024)</f>
        <v>2024</v>
      </c>
      <c r="J2522" s="5">
        <f t="shared" ca="1" si="86"/>
        <v>11200</v>
      </c>
      <c r="K2522" s="12" t="s">
        <v>25</v>
      </c>
      <c r="L2522" s="15" t="s">
        <v>10002</v>
      </c>
    </row>
    <row r="2523" spans="1:12" ht="326.25">
      <c r="A2523" s="8" t="s">
        <v>10003</v>
      </c>
      <c r="B2523" s="9" t="s">
        <v>12</v>
      </c>
      <c r="C2523" s="10" t="s">
        <v>151</v>
      </c>
      <c r="D2523" s="10" t="str">
        <f ca="1">IFERROR(__xludf.DUMMYFUNCTION(" VLOOKUP(A2520, IMPORTRANGE(""https://docs.google.com/spreadsheets/d/1fj_Bhi2XPL3siwIh4sx4VRLAe31yD50oKdj5UlRYW0c/"", ""Сводка!A:AA""), 11, FALSE)"),"978-601-310-093-7")</f>
        <v>978-601-310-093-7</v>
      </c>
      <c r="E2523" s="11" t="s">
        <v>10004</v>
      </c>
      <c r="F2523" s="11" t="s">
        <v>10005</v>
      </c>
      <c r="G2523" s="12">
        <f ca="1">IFERROR(__xludf.DUMMYFUNCTION(" VLOOKUP(A2520, IMPORTRANGE(""https://docs.google.com/spreadsheets/d/1fj_Bhi2XPL3siwIh4sx4VRLAe31yD50oKdj5UlRYW0c/"", ""Сводка!A:AA""), 5, FALSE)"),204)</f>
        <v>204</v>
      </c>
      <c r="H2523" s="12" t="s">
        <v>10006</v>
      </c>
      <c r="I2523" s="10">
        <f ca="1">IFERROR(__xludf.DUMMYFUNCTION(" VLOOKUP(A2520, IMPORTRANGE(""https://docs.google.com/spreadsheets/d/1QNLbnkR_AongFt22vMfNzfpjZ0CjpI8QI-w0wBnYA1w/"", ""Инфа!A:AA""), 6, FALSE)"),2024)</f>
        <v>2024</v>
      </c>
      <c r="J2523" s="5">
        <f t="shared" ca="1" si="86"/>
        <v>11100</v>
      </c>
      <c r="K2523" s="12" t="s">
        <v>1870</v>
      </c>
      <c r="L2523" s="15" t="s">
        <v>10007</v>
      </c>
    </row>
    <row r="2524" spans="1:12" ht="191.25">
      <c r="A2524" s="8" t="s">
        <v>10008</v>
      </c>
      <c r="B2524" s="9" t="s">
        <v>12</v>
      </c>
      <c r="C2524" s="10" t="s">
        <v>1343</v>
      </c>
      <c r="D2524" s="10" t="str">
        <f ca="1">IFERROR(__xludf.DUMMYFUNCTION(" VLOOKUP(A2521, IMPORTRANGE(""https://docs.google.com/spreadsheets/d/1fj_Bhi2XPL3siwIh4sx4VRLAe31yD50oKdj5UlRYW0c/"", ""Сводка!A:AA""), 11, FALSE)"),"978-601-310-694-6")</f>
        <v>978-601-310-694-6</v>
      </c>
      <c r="E2524" s="11" t="s">
        <v>10009</v>
      </c>
      <c r="F2524" s="11" t="s">
        <v>10010</v>
      </c>
      <c r="G2524" s="12">
        <f ca="1">IFERROR(__xludf.DUMMYFUNCTION(" VLOOKUP(A2521, IMPORTRANGE(""https://docs.google.com/spreadsheets/d/1fj_Bhi2XPL3siwIh4sx4VRLAe31yD50oKdj5UlRYW0c/"", ""Сводка!A:AA""), 5, FALSE)"),178)</f>
        <v>178</v>
      </c>
      <c r="H2524" s="12" t="s">
        <v>203</v>
      </c>
      <c r="I2524" s="10">
        <f ca="1">IFERROR(__xludf.DUMMYFUNCTION(" VLOOKUP(A2521, IMPORTRANGE(""https://docs.google.com/spreadsheets/d/1QNLbnkR_AongFt22vMfNzfpjZ0CjpI8QI-w0wBnYA1w/"", ""Инфа!A:AA""), 6, FALSE)"),2024)</f>
        <v>2024</v>
      </c>
      <c r="J2524" s="5">
        <f t="shared" ca="1" si="86"/>
        <v>10300</v>
      </c>
      <c r="K2524" s="12" t="s">
        <v>213</v>
      </c>
      <c r="L2524" s="15" t="s">
        <v>10011</v>
      </c>
    </row>
    <row r="2525" spans="1:12" ht="135">
      <c r="A2525" s="8" t="s">
        <v>10012</v>
      </c>
      <c r="B2525" s="9" t="s">
        <v>12</v>
      </c>
      <c r="C2525" s="10" t="s">
        <v>13</v>
      </c>
      <c r="D2525" s="10" t="str">
        <f ca="1">IFERROR(__xludf.DUMMYFUNCTION(" VLOOKUP(A2522, IMPORTRANGE(""https://docs.google.com/spreadsheets/d/1fj_Bhi2XPL3siwIh4sx4VRLAe31yD50oKdj5UlRYW0c/"", ""Сводка!A:AA""), 11, FALSE)"),"978-601-246-131-3")</f>
        <v>978-601-246-131-3</v>
      </c>
      <c r="E2525" s="11" t="s">
        <v>10013</v>
      </c>
      <c r="F2525" s="11" t="s">
        <v>10014</v>
      </c>
      <c r="G2525" s="12">
        <f ca="1">IFERROR(__xludf.DUMMYFUNCTION(" VLOOKUP(A2522, IMPORTRANGE(""https://docs.google.com/spreadsheets/d/1fj_Bhi2XPL3siwIh4sx4VRLAe31yD50oKdj5UlRYW0c/"", ""Сводка!A:AA""), 5, FALSE)"),136)</f>
        <v>136</v>
      </c>
      <c r="H2525" s="12" t="s">
        <v>3419</v>
      </c>
      <c r="I2525" s="10">
        <f ca="1">IFERROR(__xludf.DUMMYFUNCTION(" VLOOKUP(A2522, IMPORTRANGE(""https://docs.google.com/spreadsheets/d/1QNLbnkR_AongFt22vMfNzfpjZ0CjpI8QI-w0wBnYA1w/"", ""Инфа!A:AA""), 6, FALSE)"),2024)</f>
        <v>2024</v>
      </c>
      <c r="J2525" s="5">
        <f ca="1">ROUND((5000+G2525*60),-2)</f>
        <v>13200</v>
      </c>
      <c r="K2525" s="12" t="s">
        <v>25</v>
      </c>
      <c r="L2525" s="15" t="s">
        <v>10015</v>
      </c>
    </row>
    <row r="2526" spans="1:12" ht="292.5">
      <c r="A2526" s="8" t="s">
        <v>10016</v>
      </c>
      <c r="B2526" s="9" t="s">
        <v>12</v>
      </c>
      <c r="C2526" s="10" t="s">
        <v>151</v>
      </c>
      <c r="D2526" s="10" t="str">
        <f ca="1">IFERROR(__xludf.DUMMYFUNCTION(" VLOOKUP(A2523, IMPORTRANGE(""https://docs.google.com/spreadsheets/d/1fj_Bhi2XPL3siwIh4sx4VRLAe31yD50oKdj5UlRYW0c/"", ""Сводка!A:AA""), 11, FALSE)"),"9965-09-640-6")</f>
        <v>9965-09-640-6</v>
      </c>
      <c r="E2526" s="11" t="s">
        <v>10017</v>
      </c>
      <c r="F2526" s="11" t="s">
        <v>10018</v>
      </c>
      <c r="G2526" s="12">
        <f ca="1">IFERROR(__xludf.DUMMYFUNCTION(" VLOOKUP(A2523, IMPORTRANGE(""https://docs.google.com/spreadsheets/d/1fj_Bhi2XPL3siwIh4sx4VRLAe31yD50oKdj5UlRYW0c/"", ""Сводка!A:AA""), 5, FALSE)"),186)</f>
        <v>186</v>
      </c>
      <c r="H2526" s="12" t="s">
        <v>106</v>
      </c>
      <c r="I2526" s="10">
        <f ca="1">IFERROR(__xludf.DUMMYFUNCTION(" VLOOKUP(A2523, IMPORTRANGE(""https://docs.google.com/spreadsheets/d/1QNLbnkR_AongFt22vMfNzfpjZ0CjpI8QI-w0wBnYA1w/"", ""Инфа!A:AA""), 6, FALSE)"),2024)</f>
        <v>2024</v>
      </c>
      <c r="J2526" s="5">
        <f ca="1">ROUND(((5000+G2526*30)*1.3),-2)</f>
        <v>13800</v>
      </c>
      <c r="K2526" s="12" t="s">
        <v>277</v>
      </c>
      <c r="L2526" s="15" t="s">
        <v>10019</v>
      </c>
    </row>
    <row r="2527" spans="1:12" ht="180">
      <c r="A2527" s="8" t="s">
        <v>10020</v>
      </c>
      <c r="B2527" s="9" t="s">
        <v>12</v>
      </c>
      <c r="C2527" s="10" t="s">
        <v>443</v>
      </c>
      <c r="D2527" s="10" t="str">
        <f ca="1">IFERROR(__xludf.DUMMYFUNCTION(" VLOOKUP(A2524, IMPORTRANGE(""https://docs.google.com/spreadsheets/d/1fj_Bhi2XPL3siwIh4sx4VRLAe31yD50oKdj5UlRYW0c/"", ""Сводка!A:AA""), 11, FALSE)"),"978-601-310-723-3")</f>
        <v>978-601-310-723-3</v>
      </c>
      <c r="E2527" s="11" t="s">
        <v>10021</v>
      </c>
      <c r="F2527" s="11" t="s">
        <v>10022</v>
      </c>
      <c r="G2527" s="12" t="e">
        <f>#REF!</f>
        <v>#REF!</v>
      </c>
      <c r="H2527" s="12" t="s">
        <v>10023</v>
      </c>
      <c r="I2527" s="10">
        <f ca="1">IFERROR(__xludf.DUMMYFUNCTION(" VLOOKUP(A2524, IMPORTRANGE(""https://docs.google.com/spreadsheets/d/1QNLbnkR_AongFt22vMfNzfpjZ0CjpI8QI-w0wBnYA1w/"", ""Инфа!A:AA""), 6, FALSE)"),2024)</f>
        <v>2024</v>
      </c>
      <c r="J2527" s="5" t="e">
        <f>ROUND((5000+G2527*30),-2)</f>
        <v>#REF!</v>
      </c>
      <c r="K2527" s="12" t="s">
        <v>3371</v>
      </c>
      <c r="L2527" s="15" t="s">
        <v>10024</v>
      </c>
    </row>
    <row r="2528" spans="1:12" ht="25.5">
      <c r="A2528" s="8" t="s">
        <v>10025</v>
      </c>
      <c r="B2528" s="9" t="s">
        <v>12</v>
      </c>
      <c r="C2528" s="10" t="s">
        <v>151</v>
      </c>
      <c r="D2528" s="10" t="str">
        <f ca="1">IFERROR(__xludf.DUMMYFUNCTION(" VLOOKUP(A2525, IMPORTRANGE(""https://docs.google.com/spreadsheets/d/1fj_Bhi2XPL3siwIh4sx4VRLAe31yD50oKdj5UlRYW0c/"", ""Сводка!A:AA""), 11, FALSE)"),"978-601-310-723-3")</f>
        <v>978-601-310-723-3</v>
      </c>
      <c r="E2528" s="11" t="s">
        <v>10026</v>
      </c>
      <c r="F2528" s="11" t="s">
        <v>10027</v>
      </c>
      <c r="G2528" s="12">
        <f ca="1">IFERROR(__xludf.DUMMYFUNCTION(" VLOOKUP(A2525, IMPORTRANGE(""https://docs.google.com/spreadsheets/d/1fj_Bhi2XPL3siwIh4sx4VRLAe31yD50oKdj5UlRYW0c/"", ""Сводка!A:AA""), 5, FALSE)"),140)</f>
        <v>140</v>
      </c>
      <c r="H2528" s="12" t="s">
        <v>47</v>
      </c>
      <c r="I2528" s="10">
        <f ca="1">IFERROR(__xludf.DUMMYFUNCTION(" VLOOKUP(A2525, IMPORTRANGE(""https://docs.google.com/spreadsheets/d/1QNLbnkR_AongFt22vMfNzfpjZ0CjpI8QI-w0wBnYA1w/"", ""Инфа!A:AA""), 6, FALSE)"),2024)</f>
        <v>2024</v>
      </c>
      <c r="J2528" s="5">
        <f ca="1">ROUND((5000+G2528*30),-2)</f>
        <v>9200</v>
      </c>
      <c r="K2528" s="12" t="s">
        <v>3371</v>
      </c>
      <c r="L2528" s="15"/>
    </row>
    <row r="2529" spans="1:12" ht="76.5">
      <c r="A2529" s="8" t="s">
        <v>10028</v>
      </c>
      <c r="B2529" s="9" t="s">
        <v>12</v>
      </c>
      <c r="C2529" s="10" t="s">
        <v>443</v>
      </c>
      <c r="D2529" s="10" t="str">
        <f ca="1">IFERROR(__xludf.DUMMYFUNCTION(" VLOOKUP(A2526, IMPORTRANGE(""https://docs.google.com/spreadsheets/d/1fj_Bhi2XPL3siwIh4sx4VRLAe31yD50oKdj5UlRYW0c/"", ""Сводка!A:AA""), 11, FALSE)"),"978-601-327-546-8")</f>
        <v>978-601-327-546-8</v>
      </c>
      <c r="E2529" s="11" t="s">
        <v>10029</v>
      </c>
      <c r="F2529" s="11" t="s">
        <v>10030</v>
      </c>
      <c r="G2529" s="12">
        <f ca="1">IFERROR(__xludf.DUMMYFUNCTION(" VLOOKUP(A2526, IMPORTRANGE(""https://docs.google.com/spreadsheets/d/1fj_Bhi2XPL3siwIh4sx4VRLAe31yD50oKdj5UlRYW0c/"", ""Сводка!A:AA""), 5, FALSE)"),188)</f>
        <v>188</v>
      </c>
      <c r="H2529" s="12" t="s">
        <v>511</v>
      </c>
      <c r="I2529" s="10">
        <f ca="1">IFERROR(__xludf.DUMMYFUNCTION(" VLOOKUP(A2526, IMPORTRANGE(""https://docs.google.com/spreadsheets/d/1QNLbnkR_AongFt22vMfNzfpjZ0CjpI8QI-w0wBnYA1w/"", ""Инфа!A:AA""), 6, FALSE)"),2024)</f>
        <v>2024</v>
      </c>
      <c r="J2529" s="5">
        <f ca="1">ROUND((5000+G2529*30),-2)</f>
        <v>10600</v>
      </c>
      <c r="K2529" s="12" t="s">
        <v>37</v>
      </c>
      <c r="L2529" s="15" t="s">
        <v>10031</v>
      </c>
    </row>
    <row r="2530" spans="1:12" ht="180">
      <c r="A2530" s="8" t="s">
        <v>10032</v>
      </c>
      <c r="B2530" s="9" t="s">
        <v>12</v>
      </c>
      <c r="C2530" s="10" t="s">
        <v>443</v>
      </c>
      <c r="D2530" s="10" t="str">
        <f ca="1">IFERROR(__xludf.DUMMYFUNCTION(" VLOOKUP(A2527, IMPORTRANGE(""https://docs.google.com/spreadsheets/d/1fj_Bhi2XPL3siwIh4sx4VRLAe31yD50oKdj5UlRYW0c/"", ""Сводка!A:AA""), 11, FALSE)"),"978-601-327-860-5")</f>
        <v>978-601-327-860-5</v>
      </c>
      <c r="E2530" s="11" t="s">
        <v>10033</v>
      </c>
      <c r="F2530" s="11" t="s">
        <v>10034</v>
      </c>
      <c r="G2530" s="12">
        <f ca="1">IFERROR(__xludf.DUMMYFUNCTION(" VLOOKUP(A2527, IMPORTRANGE(""https://docs.google.com/spreadsheets/d/1fj_Bhi2XPL3siwIh4sx4VRLAe31yD50oKdj5UlRYW0c/"", ""Сводка!A:AA""), 5, FALSE)"),208)</f>
        <v>208</v>
      </c>
      <c r="H2530" s="12" t="s">
        <v>538</v>
      </c>
      <c r="I2530" s="10">
        <f ca="1">IFERROR(__xludf.DUMMYFUNCTION(" VLOOKUP(A2527, IMPORTRANGE(""https://docs.google.com/spreadsheets/d/1QNLbnkR_AongFt22vMfNzfpjZ0CjpI8QI-w0wBnYA1w/"", ""Инфа!A:AA""), 6, FALSE)"),2024)</f>
        <v>2024</v>
      </c>
      <c r="J2530" s="5">
        <f ca="1">ROUND((5000+G2530*30),-2)</f>
        <v>11200</v>
      </c>
      <c r="K2530" s="12" t="s">
        <v>10035</v>
      </c>
      <c r="L2530" s="15" t="s">
        <v>10036</v>
      </c>
    </row>
    <row r="2531" spans="1:12" ht="157.5">
      <c r="A2531" s="8" t="s">
        <v>10037</v>
      </c>
      <c r="B2531" s="9" t="s">
        <v>12</v>
      </c>
      <c r="C2531" s="10" t="s">
        <v>443</v>
      </c>
      <c r="D2531" s="10" t="str">
        <f ca="1">IFERROR(__xludf.DUMMYFUNCTION(" VLOOKUP(A2528, IMPORTRANGE(""https://docs.google.com/spreadsheets/d/1fj_Bhi2XPL3siwIh4sx4VRLAe31yD50oKdj5UlRYW0c/"", ""Сводка!A:AA""), 11, FALSE)"),"978-9965-37-290-3")</f>
        <v>978-9965-37-290-3</v>
      </c>
      <c r="E2531" s="11" t="s">
        <v>10038</v>
      </c>
      <c r="F2531" s="11" t="s">
        <v>10039</v>
      </c>
      <c r="G2531" s="12" t="e">
        <f>#REF!</f>
        <v>#REF!</v>
      </c>
      <c r="H2531" s="12" t="s">
        <v>538</v>
      </c>
      <c r="I2531" s="10">
        <f ca="1">IFERROR(__xludf.DUMMYFUNCTION(" VLOOKUP(A2528, IMPORTRANGE(""https://docs.google.com/spreadsheets/d/1QNLbnkR_AongFt22vMfNzfpjZ0CjpI8QI-w0wBnYA1w/"", ""Инфа!A:AA""), 6, FALSE)"),2024)</f>
        <v>2024</v>
      </c>
      <c r="J2531" s="5" t="e">
        <f>ROUND((5000+G2531*60),-2)</f>
        <v>#REF!</v>
      </c>
      <c r="K2531" s="9" t="s">
        <v>408</v>
      </c>
      <c r="L2531" s="15" t="s">
        <v>10040</v>
      </c>
    </row>
    <row r="2532" spans="1:12" ht="157.5">
      <c r="A2532" s="8" t="s">
        <v>10041</v>
      </c>
      <c r="B2532" s="9" t="s">
        <v>12</v>
      </c>
      <c r="C2532" s="10" t="s">
        <v>443</v>
      </c>
      <c r="D2532" s="10" t="str">
        <f ca="1">IFERROR(__xludf.DUMMYFUNCTION(" VLOOKUP(A2529, IMPORTRANGE(""https://docs.google.com/spreadsheets/d/1fj_Bhi2XPL3siwIh4sx4VRLAe31yD50oKdj5UlRYW0c/"", ""Сводка!A:AA""), 11, FALSE)"),"978-9965-37-290-3")</f>
        <v>978-9965-37-290-3</v>
      </c>
      <c r="E2532" s="11" t="s">
        <v>10038</v>
      </c>
      <c r="F2532" s="11" t="s">
        <v>10042</v>
      </c>
      <c r="G2532" s="12" t="e">
        <f>#REF!</f>
        <v>#REF!</v>
      </c>
      <c r="H2532" s="12" t="s">
        <v>538</v>
      </c>
      <c r="I2532" s="10">
        <f ca="1">IFERROR(__xludf.DUMMYFUNCTION(" VLOOKUP(A2529, IMPORTRANGE(""https://docs.google.com/spreadsheets/d/1QNLbnkR_AongFt22vMfNzfpjZ0CjpI8QI-w0wBnYA1w/"", ""Инфа!A:AA""), 6, FALSE)"),2024)</f>
        <v>2024</v>
      </c>
      <c r="J2532" s="5" t="e">
        <f>ROUND((5000+G2532*60),-2)</f>
        <v>#REF!</v>
      </c>
      <c r="K2532" s="9" t="s">
        <v>408</v>
      </c>
      <c r="L2532" s="15" t="s">
        <v>10040</v>
      </c>
    </row>
    <row r="2533" spans="1:12" ht="168.75">
      <c r="A2533" s="8" t="s">
        <v>10043</v>
      </c>
      <c r="B2533" s="9" t="s">
        <v>12</v>
      </c>
      <c r="C2533" s="10" t="s">
        <v>443</v>
      </c>
      <c r="D2533" s="10" t="str">
        <f ca="1">IFERROR(__xludf.DUMMYFUNCTION(" VLOOKUP(A2530, IMPORTRANGE(""https://docs.google.com/spreadsheets/d/1fj_Bhi2XPL3siwIh4sx4VRLAe31yD50oKdj5UlRYW0c/"", ""Сводка!A:AA""), 11, FALSE)"),"978-601-240-806-5")</f>
        <v>978-601-240-806-5</v>
      </c>
      <c r="E2533" s="11" t="s">
        <v>10044</v>
      </c>
      <c r="F2533" s="11" t="s">
        <v>10045</v>
      </c>
      <c r="G2533" s="12">
        <f ca="1">IFERROR(__xludf.DUMMYFUNCTION(" VLOOKUP(A2530, IMPORTRANGE(""https://docs.google.com/spreadsheets/d/1fj_Bhi2XPL3siwIh4sx4VRLAe31yD50oKdj5UlRYW0c/"", ""Сводка!A:AA""), 5, FALSE)"),268)</f>
        <v>268</v>
      </c>
      <c r="H2533" s="12" t="s">
        <v>538</v>
      </c>
      <c r="I2533" s="10">
        <f ca="1">IFERROR(__xludf.DUMMYFUNCTION(" VLOOKUP(A2530, IMPORTRANGE(""https://docs.google.com/spreadsheets/d/1QNLbnkR_AongFt22vMfNzfpjZ0CjpI8QI-w0wBnYA1w/"", ""Инфа!A:AA""), 6, FALSE)"),2024)</f>
        <v>2024</v>
      </c>
      <c r="J2533" s="5">
        <f ca="1">ROUND((5000+G2533*60),-2)</f>
        <v>21100</v>
      </c>
      <c r="K2533" s="12" t="s">
        <v>447</v>
      </c>
      <c r="L2533" s="15" t="s">
        <v>10046</v>
      </c>
    </row>
    <row r="2534" spans="1:12" ht="202.5">
      <c r="A2534" s="8" t="s">
        <v>10047</v>
      </c>
      <c r="B2534" s="9" t="s">
        <v>12</v>
      </c>
      <c r="C2534" s="10" t="s">
        <v>443</v>
      </c>
      <c r="D2534" s="10" t="str">
        <f ca="1">IFERROR(__xludf.DUMMYFUNCTION(" VLOOKUP(A2531, IMPORTRANGE(""https://docs.google.com/spreadsheets/d/1fj_Bhi2XPL3siwIh4sx4VRLAe31yD50oKdj5UlRYW0c/"", ""Сводка!A:AA""), 11, FALSE)"),"9965-19-393-2")</f>
        <v>9965-19-393-2</v>
      </c>
      <c r="E2534" s="11" t="s">
        <v>10048</v>
      </c>
      <c r="F2534" s="11" t="s">
        <v>10049</v>
      </c>
      <c r="G2534" s="12">
        <f ca="1">IFERROR(__xludf.DUMMYFUNCTION(" VLOOKUP(A2531, IMPORTRANGE(""https://docs.google.com/spreadsheets/d/1fj_Bhi2XPL3siwIh4sx4VRLAe31yD50oKdj5UlRYW0c/"", ""Сводка!A:AA""), 5, FALSE)"),132)</f>
        <v>132</v>
      </c>
      <c r="H2534" s="12" t="s">
        <v>538</v>
      </c>
      <c r="I2534" s="10">
        <f ca="1">IFERROR(__xludf.DUMMYFUNCTION(" VLOOKUP(A2531, IMPORTRANGE(""https://docs.google.com/spreadsheets/d/1QNLbnkR_AongFt22vMfNzfpjZ0CjpI8QI-w0wBnYA1w/"", ""Инфа!A:AA""), 6, FALSE)"),2024)</f>
        <v>2024</v>
      </c>
      <c r="J2534" s="5">
        <f ca="1">ROUND((5000+G2534*30),-2)</f>
        <v>9000</v>
      </c>
      <c r="K2534" s="9" t="s">
        <v>5309</v>
      </c>
      <c r="L2534" s="15" t="s">
        <v>10050</v>
      </c>
    </row>
    <row r="2535" spans="1:12" ht="90">
      <c r="A2535" s="8" t="s">
        <v>10051</v>
      </c>
      <c r="B2535" s="9" t="s">
        <v>12</v>
      </c>
      <c r="C2535" s="10" t="s">
        <v>443</v>
      </c>
      <c r="D2535" s="10" t="str">
        <f ca="1">IFERROR(__xludf.DUMMYFUNCTION(" VLOOKUP(A2532, IMPORTRANGE(""https://docs.google.com/spreadsheets/d/1fj_Bhi2XPL3siwIh4sx4VRLAe31yD50oKdj5UlRYW0c/"", ""Сводка!A:AA""), 11, FALSE)"),"978-601-240-904-8")</f>
        <v>978-601-240-904-8</v>
      </c>
      <c r="E2535" s="11" t="s">
        <v>10052</v>
      </c>
      <c r="F2535" s="11" t="s">
        <v>10053</v>
      </c>
      <c r="G2535" s="12">
        <f ca="1">IFERROR(__xludf.DUMMYFUNCTION(" VLOOKUP(A2532, IMPORTRANGE(""https://docs.google.com/spreadsheets/d/1fj_Bhi2XPL3siwIh4sx4VRLAe31yD50oKdj5UlRYW0c/"", ""Сводка!A:AA""), 5, FALSE)"),300)</f>
        <v>300</v>
      </c>
      <c r="H2535" s="12" t="s">
        <v>511</v>
      </c>
      <c r="I2535" s="10">
        <f ca="1">IFERROR(__xludf.DUMMYFUNCTION(" VLOOKUP(A2532, IMPORTRANGE(""https://docs.google.com/spreadsheets/d/1QNLbnkR_AongFt22vMfNzfpjZ0CjpI8QI-w0wBnYA1w/"", ""Инфа!A:AA""), 6, FALSE)"),2024)</f>
        <v>2024</v>
      </c>
      <c r="J2535" s="5">
        <f ca="1">ROUND((5000+G2535*60),-2)</f>
        <v>23000</v>
      </c>
      <c r="K2535" s="9" t="s">
        <v>5309</v>
      </c>
      <c r="L2535" s="15" t="s">
        <v>10054</v>
      </c>
    </row>
    <row r="2536" spans="1:12" ht="135">
      <c r="A2536" s="8" t="s">
        <v>10055</v>
      </c>
      <c r="B2536" s="9" t="s">
        <v>12</v>
      </c>
      <c r="C2536" s="10" t="s">
        <v>443</v>
      </c>
      <c r="D2536" s="10" t="str">
        <f ca="1">IFERROR(__xludf.DUMMYFUNCTION(" VLOOKUP(A2533, IMPORTRANGE(""https://docs.google.com/spreadsheets/d/1fj_Bhi2XPL3siwIh4sx4VRLAe31yD50oKdj5UlRYW0c/"", ""Сводка!A:AA""), 11, FALSE)"),"978-601-240-961-1")</f>
        <v>978-601-240-961-1</v>
      </c>
      <c r="E2536" s="11" t="s">
        <v>10056</v>
      </c>
      <c r="F2536" s="11" t="s">
        <v>10057</v>
      </c>
      <c r="G2536" s="12">
        <f ca="1">IFERROR(__xludf.DUMMYFUNCTION(" VLOOKUP(A2533, IMPORTRANGE(""https://docs.google.com/spreadsheets/d/1fj_Bhi2XPL3siwIh4sx4VRLAe31yD50oKdj5UlRYW0c/"", ""Сводка!A:AA""), 5, FALSE)"),128)</f>
        <v>128</v>
      </c>
      <c r="H2536" s="12" t="s">
        <v>538</v>
      </c>
      <c r="I2536" s="10">
        <f ca="1">IFERROR(__xludf.DUMMYFUNCTION(" VLOOKUP(A2533, IMPORTRANGE(""https://docs.google.com/spreadsheets/d/1QNLbnkR_AongFt22vMfNzfpjZ0CjpI8QI-w0wBnYA1w/"", ""Инфа!A:AA""), 6, FALSE)"),2024)</f>
        <v>2024</v>
      </c>
      <c r="J2536" s="5">
        <f ca="1">ROUND((5000+G2536*60),-2)</f>
        <v>12700</v>
      </c>
      <c r="K2536" s="30" t="s">
        <v>667</v>
      </c>
      <c r="L2536" s="15" t="s">
        <v>10058</v>
      </c>
    </row>
    <row r="2537" spans="1:12" ht="33.75">
      <c r="A2537" s="8" t="s">
        <v>10059</v>
      </c>
      <c r="B2537" s="9" t="s">
        <v>12</v>
      </c>
      <c r="C2537" s="10" t="s">
        <v>443</v>
      </c>
      <c r="D2537" s="10" t="str">
        <f ca="1">IFERROR(__xludf.DUMMYFUNCTION(" VLOOKUP(A2534, IMPORTRANGE(""https://docs.google.com/spreadsheets/d/1fj_Bhi2XPL3siwIh4sx4VRLAe31yD50oKdj5UlRYW0c/"", ""Сводка!A:AA""), 11, FALSE)"),"978-601-310-264-1")</f>
        <v>978-601-310-264-1</v>
      </c>
      <c r="E2537" s="11" t="s">
        <v>10060</v>
      </c>
      <c r="F2537" s="11" t="s">
        <v>10061</v>
      </c>
      <c r="G2537" s="12">
        <f ca="1">IFERROR(__xludf.DUMMYFUNCTION(" VLOOKUP(A2534, IMPORTRANGE(""https://docs.google.com/spreadsheets/d/1fj_Bhi2XPL3siwIh4sx4VRLAe31yD50oKdj5UlRYW0c/"", ""Сводка!A:AA""), 5, FALSE)"),328)</f>
        <v>328</v>
      </c>
      <c r="H2537" s="12" t="s">
        <v>511</v>
      </c>
      <c r="I2537" s="10">
        <f ca="1">IFERROR(__xludf.DUMMYFUNCTION(" VLOOKUP(A2534, IMPORTRANGE(""https://docs.google.com/spreadsheets/d/1QNLbnkR_AongFt22vMfNzfpjZ0CjpI8QI-w0wBnYA1w/"", ""Инфа!A:AA""), 6, FALSE)"),2024)</f>
        <v>2024</v>
      </c>
      <c r="J2537" s="5">
        <f ca="1">ROUND((5000+G2537*30),-2)</f>
        <v>14800</v>
      </c>
      <c r="K2537" s="12" t="s">
        <v>277</v>
      </c>
      <c r="L2537" s="15" t="s">
        <v>10062</v>
      </c>
    </row>
    <row r="2538" spans="1:12" ht="168.75">
      <c r="A2538" s="8" t="s">
        <v>10063</v>
      </c>
      <c r="B2538" s="9" t="s">
        <v>12</v>
      </c>
      <c r="C2538" s="10" t="s">
        <v>443</v>
      </c>
      <c r="D2538" s="10" t="str">
        <f ca="1">IFERROR(__xludf.DUMMYFUNCTION(" VLOOKUP(A2535, IMPORTRANGE(""https://docs.google.com/spreadsheets/d/1fj_Bhi2XPL3siwIh4sx4VRLAe31yD50oKdj5UlRYW0c/"", ""Сводка!A:AA""), 11, FALSE)"),"978-601-310-280-1")</f>
        <v>978-601-310-280-1</v>
      </c>
      <c r="E2538" s="11" t="s">
        <v>10064</v>
      </c>
      <c r="F2538" s="11" t="s">
        <v>10065</v>
      </c>
      <c r="G2538" s="12">
        <f ca="1">IFERROR(__xludf.DUMMYFUNCTION(" VLOOKUP(A2535, IMPORTRANGE(""https://docs.google.com/spreadsheets/d/1fj_Bhi2XPL3siwIh4sx4VRLAe31yD50oKdj5UlRYW0c/"", ""Сводка!A:AA""), 5, FALSE)"),288)</f>
        <v>288</v>
      </c>
      <c r="H2538" s="12" t="s">
        <v>538</v>
      </c>
      <c r="I2538" s="10">
        <f ca="1">IFERROR(__xludf.DUMMYFUNCTION(" VLOOKUP(A2535, IMPORTRANGE(""https://docs.google.com/spreadsheets/d/1QNLbnkR_AongFt22vMfNzfpjZ0CjpI8QI-w0wBnYA1w/"", ""Инфа!A:AA""), 6, FALSE)"),2024)</f>
        <v>2024</v>
      </c>
      <c r="J2538" s="5">
        <f ca="1">ROUND((5000+G2538*30),-2)</f>
        <v>13600</v>
      </c>
      <c r="K2538" s="9" t="s">
        <v>575</v>
      </c>
      <c r="L2538" s="15" t="s">
        <v>10066</v>
      </c>
    </row>
    <row r="2539" spans="1:12" ht="191.25">
      <c r="A2539" s="8" t="s">
        <v>10067</v>
      </c>
      <c r="B2539" s="9" t="s">
        <v>12</v>
      </c>
      <c r="C2539" s="10" t="s">
        <v>443</v>
      </c>
      <c r="D2539" s="10" t="str">
        <f ca="1">IFERROR(__xludf.DUMMYFUNCTION(" VLOOKUP(A2536, IMPORTRANGE(""https://docs.google.com/spreadsheets/d/1fj_Bhi2XPL3siwIh4sx4VRLAe31yD50oKdj5UlRYW0c/"", ""Сводка!A:AA""), 11, FALSE)"),"978-601-240-308-4")</f>
        <v>978-601-240-308-4</v>
      </c>
      <c r="E2539" s="11" t="s">
        <v>10068</v>
      </c>
      <c r="F2539" s="11" t="s">
        <v>10069</v>
      </c>
      <c r="G2539" s="12">
        <f ca="1">IFERROR(__xludf.DUMMYFUNCTION(" VLOOKUP(A2536, IMPORTRANGE(""https://docs.google.com/spreadsheets/d/1fj_Bhi2XPL3siwIh4sx4VRLAe31yD50oKdj5UlRYW0c/"", ""Сводка!A:AA""), 5, FALSE)"),192)</f>
        <v>192</v>
      </c>
      <c r="H2539" s="12" t="s">
        <v>538</v>
      </c>
      <c r="I2539" s="10">
        <f ca="1">IFERROR(__xludf.DUMMYFUNCTION(" VLOOKUP(A2536, IMPORTRANGE(""https://docs.google.com/spreadsheets/d/1QNLbnkR_AongFt22vMfNzfpjZ0CjpI8QI-w0wBnYA1w/"", ""Инфа!A:AA""), 6, FALSE)"),2024)</f>
        <v>2024</v>
      </c>
      <c r="J2539" s="5">
        <f ca="1">ROUND((5000+G2539*30),-2)</f>
        <v>10800</v>
      </c>
      <c r="K2539" s="12" t="s">
        <v>1147</v>
      </c>
      <c r="L2539" s="15" t="s">
        <v>10070</v>
      </c>
    </row>
    <row r="2540" spans="1:12" ht="315">
      <c r="A2540" s="8" t="s">
        <v>10071</v>
      </c>
      <c r="B2540" s="9" t="s">
        <v>12</v>
      </c>
      <c r="C2540" s="10" t="s">
        <v>443</v>
      </c>
      <c r="D2540" s="10" t="str">
        <f ca="1">IFERROR(__xludf.DUMMYFUNCTION(" VLOOKUP(A2537, IMPORTRANGE(""https://docs.google.com/spreadsheets/d/1fj_Bhi2XPL3siwIh4sx4VRLAe31yD50oKdj5UlRYW0c/"", ""Сводка!A:AA""), 11, FALSE)"),"978-601-327-250-4")</f>
        <v>978-601-327-250-4</v>
      </c>
      <c r="E2540" s="11" t="s">
        <v>10072</v>
      </c>
      <c r="F2540" s="11" t="s">
        <v>10073</v>
      </c>
      <c r="G2540" s="12">
        <f ca="1">IFERROR(__xludf.DUMMYFUNCTION(" VLOOKUP(A2537, IMPORTRANGE(""https://docs.google.com/spreadsheets/d/1fj_Bhi2XPL3siwIh4sx4VRLAe31yD50oKdj5UlRYW0c/"", ""Сводка!A:AA""), 5, FALSE)"),156)</f>
        <v>156</v>
      </c>
      <c r="H2540" s="12" t="s">
        <v>24</v>
      </c>
      <c r="I2540" s="10">
        <f ca="1">IFERROR(__xludf.DUMMYFUNCTION(" VLOOKUP(A2537, IMPORTRANGE(""https://docs.google.com/spreadsheets/d/1QNLbnkR_AongFt22vMfNzfpjZ0CjpI8QI-w0wBnYA1w/"", ""Инфа!A:AA""), 6, FALSE)"),2024)</f>
        <v>2024</v>
      </c>
      <c r="J2540" s="5">
        <f ca="1">ROUND((5000+G2540*30),-2)</f>
        <v>9700</v>
      </c>
      <c r="K2540" s="12" t="s">
        <v>1147</v>
      </c>
      <c r="L2540" s="15" t="s">
        <v>10074</v>
      </c>
    </row>
    <row r="2541" spans="1:12" ht="303.75">
      <c r="A2541" s="8" t="s">
        <v>10075</v>
      </c>
      <c r="B2541" s="9" t="s">
        <v>12</v>
      </c>
      <c r="C2541" s="10" t="s">
        <v>5722</v>
      </c>
      <c r="D2541" s="10" t="str">
        <f ca="1">IFERROR(__xludf.DUMMYFUNCTION(" VLOOKUP(A2538, IMPORTRANGE(""https://docs.google.com/spreadsheets/d/1fj_Bhi2XPL3siwIh4sx4VRLAe31yD50oKdj5UlRYW0c/"", ""Сводка!A:AA""), 11, FALSE)"),"978-601-327-251-1")</f>
        <v>978-601-327-251-1</v>
      </c>
      <c r="E2541" s="11" t="s">
        <v>10072</v>
      </c>
      <c r="F2541" s="11" t="s">
        <v>10076</v>
      </c>
      <c r="G2541" s="12">
        <f ca="1">IFERROR(__xludf.DUMMYFUNCTION(" VLOOKUP(A2538, IMPORTRANGE(""https://docs.google.com/spreadsheets/d/1fj_Bhi2XPL3siwIh4sx4VRLAe31yD50oKdj5UlRYW0c/"", ""Сводка!A:AA""), 5, FALSE)"),172)</f>
        <v>172</v>
      </c>
      <c r="H2541" s="12" t="s">
        <v>24</v>
      </c>
      <c r="I2541" s="10">
        <f ca="1">IFERROR(__xludf.DUMMYFUNCTION(" VLOOKUP(A2538, IMPORTRANGE(""https://docs.google.com/spreadsheets/d/1QNLbnkR_AongFt22vMfNzfpjZ0CjpI8QI-w0wBnYA1w/"", ""Инфа!A:AA""), 6, FALSE)"),2024)</f>
        <v>2024</v>
      </c>
      <c r="J2541" s="5">
        <f ca="1">ROUND((5000+G2541*60),-2)</f>
        <v>15300</v>
      </c>
      <c r="K2541" s="12" t="s">
        <v>1147</v>
      </c>
      <c r="L2541" s="15" t="s">
        <v>10077</v>
      </c>
    </row>
    <row r="2542" spans="1:12" ht="135">
      <c r="A2542" s="8" t="s">
        <v>10078</v>
      </c>
      <c r="B2542" s="9" t="s">
        <v>12</v>
      </c>
      <c r="C2542" s="10" t="s">
        <v>443</v>
      </c>
      <c r="D2542" s="10" t="str">
        <f ca="1">IFERROR(__xludf.DUMMYFUNCTION(" VLOOKUP(A2539, IMPORTRANGE(""https://docs.google.com/spreadsheets/d/1fj_Bhi2XPL3siwIh4sx4VRLAe31yD50oKdj5UlRYW0c/"", ""Сводка!A:AA""), 11, FALSE)"),"978-601-240-308-4")</f>
        <v>978-601-240-308-4</v>
      </c>
      <c r="E2542" s="11" t="s">
        <v>10079</v>
      </c>
      <c r="F2542" s="11" t="s">
        <v>10080</v>
      </c>
      <c r="G2542" s="12">
        <f ca="1">IFERROR(__xludf.DUMMYFUNCTION(" VLOOKUP(A2539, IMPORTRANGE(""https://docs.google.com/spreadsheets/d/1fj_Bhi2XPL3siwIh4sx4VRLAe31yD50oKdj5UlRYW0c/"", ""Сводка!A:AA""), 5, FALSE)"),116)</f>
        <v>116</v>
      </c>
      <c r="H2542" s="12" t="s">
        <v>4928</v>
      </c>
      <c r="I2542" s="10">
        <f ca="1">IFERROR(__xludf.DUMMYFUNCTION(" VLOOKUP(A2539, IMPORTRANGE(""https://docs.google.com/spreadsheets/d/1QNLbnkR_AongFt22vMfNzfpjZ0CjpI8QI-w0wBnYA1w/"", ""Инфа!A:AA""), 6, FALSE)"),2024)</f>
        <v>2024</v>
      </c>
      <c r="J2542" s="5">
        <f ca="1">ROUND((5000+G2542*30),-2)</f>
        <v>8500</v>
      </c>
      <c r="K2542" s="12" t="s">
        <v>1147</v>
      </c>
      <c r="L2542" s="15" t="s">
        <v>10081</v>
      </c>
    </row>
    <row r="2543" spans="1:12" ht="191.25">
      <c r="A2543" s="8" t="s">
        <v>10082</v>
      </c>
      <c r="B2543" s="9" t="s">
        <v>12</v>
      </c>
      <c r="C2543" s="13" t="s">
        <v>443</v>
      </c>
      <c r="D2543" s="10" t="str">
        <f ca="1">IFERROR(__xludf.DUMMYFUNCTION(" VLOOKUP(A2540, IMPORTRANGE(""https://docs.google.com/spreadsheets/d/1fj_Bhi2XPL3siwIh4sx4VRLAe31yD50oKdj5UlRYW0c/"", ""Сводка!A:AA""), 11, FALSE)"),"978-601-240-472-2")</f>
        <v>978-601-240-472-2</v>
      </c>
      <c r="E2543" s="19" t="s">
        <v>10083</v>
      </c>
      <c r="F2543" s="19" t="s">
        <v>10084</v>
      </c>
      <c r="G2543" s="12">
        <f ca="1">IFERROR(__xludf.DUMMYFUNCTION(" VLOOKUP(A2540, IMPORTRANGE(""https://docs.google.com/spreadsheets/d/1fj_Bhi2XPL3siwIh4sx4VRLAe31yD50oKdj5UlRYW0c/"", ""Сводка!A:AA""), 5, FALSE)"),188)</f>
        <v>188</v>
      </c>
      <c r="H2543" s="9" t="s">
        <v>538</v>
      </c>
      <c r="I2543" s="10">
        <f ca="1">IFERROR(__xludf.DUMMYFUNCTION(" VLOOKUP(A2540, IMPORTRANGE(""https://docs.google.com/spreadsheets/d/1QNLbnkR_AongFt22vMfNzfpjZ0CjpI8QI-w0wBnYA1w/"", ""Инфа!A:AA""), 6, FALSE)"),2024)</f>
        <v>2024</v>
      </c>
      <c r="J2543" s="5">
        <f ca="1">ROUND((5000+G2543*30),-2)</f>
        <v>10600</v>
      </c>
      <c r="K2543" s="9" t="s">
        <v>1147</v>
      </c>
      <c r="L2543" s="21" t="s">
        <v>10085</v>
      </c>
    </row>
    <row r="2544" spans="1:12" ht="101.25">
      <c r="A2544" s="8" t="s">
        <v>10086</v>
      </c>
      <c r="B2544" s="9" t="s">
        <v>12</v>
      </c>
      <c r="C2544" s="10" t="s">
        <v>443</v>
      </c>
      <c r="D2544" s="10" t="str">
        <f ca="1">IFERROR(__xludf.DUMMYFUNCTION(" VLOOKUP(A2541, IMPORTRANGE(""https://docs.google.com/spreadsheets/d/1fj_Bhi2XPL3siwIh4sx4VRLAe31yD50oKdj5UlRYW0c/"", ""Сводка!A:AA""), 11, FALSE)"),"9965-852-09-X")</f>
        <v>9965-852-09-X</v>
      </c>
      <c r="E2544" s="11" t="s">
        <v>10087</v>
      </c>
      <c r="F2544" s="11" t="s">
        <v>5606</v>
      </c>
      <c r="G2544" s="12">
        <f ca="1">IFERROR(__xludf.DUMMYFUNCTION(" VLOOKUP(A2541, IMPORTRANGE(""https://docs.google.com/spreadsheets/d/1fj_Bhi2XPL3siwIh4sx4VRLAe31yD50oKdj5UlRYW0c/"", ""Сводка!A:AA""), 5, FALSE)"),208)</f>
        <v>208</v>
      </c>
      <c r="H2544" s="12" t="s">
        <v>538</v>
      </c>
      <c r="I2544" s="10">
        <f ca="1">IFERROR(__xludf.DUMMYFUNCTION(" VLOOKUP(A2541, IMPORTRANGE(""https://docs.google.com/spreadsheets/d/1QNLbnkR_AongFt22vMfNzfpjZ0CjpI8QI-w0wBnYA1w/"", ""Инфа!A:AA""), 6, FALSE)"),2024)</f>
        <v>2024</v>
      </c>
      <c r="J2544" s="5">
        <f ca="1">ROUND(((5000+G2544*30)*1.3),-2)</f>
        <v>14600</v>
      </c>
      <c r="K2544" s="12" t="s">
        <v>8216</v>
      </c>
      <c r="L2544" s="15" t="s">
        <v>10088</v>
      </c>
    </row>
    <row r="2545" spans="1:12" ht="168.75">
      <c r="A2545" s="8" t="s">
        <v>10089</v>
      </c>
      <c r="B2545" s="9" t="s">
        <v>12</v>
      </c>
      <c r="C2545" s="10" t="s">
        <v>443</v>
      </c>
      <c r="D2545" s="10" t="str">
        <f ca="1">IFERROR(__xludf.DUMMYFUNCTION(" VLOOKUP(A2542, IMPORTRANGE(""https://docs.google.com/spreadsheets/d/1fj_Bhi2XPL3siwIh4sx4VRLAe31yD50oKdj5UlRYW0c/"", ""Сводка!A:AA""), 11, FALSE)"),"978-601-240-807-2")</f>
        <v>978-601-240-807-2</v>
      </c>
      <c r="E2545" s="11" t="s">
        <v>10090</v>
      </c>
      <c r="F2545" s="11" t="s">
        <v>10091</v>
      </c>
      <c r="G2545" s="12">
        <f ca="1">IFERROR(__xludf.DUMMYFUNCTION(" VLOOKUP(A2542, IMPORTRANGE(""https://docs.google.com/spreadsheets/d/1fj_Bhi2XPL3siwIh4sx4VRLAe31yD50oKdj5UlRYW0c/"", ""Сводка!A:AA""), 5, FALSE)"),238)</f>
        <v>238</v>
      </c>
      <c r="H2545" s="12" t="s">
        <v>538</v>
      </c>
      <c r="I2545" s="10">
        <f ca="1">IFERROR(__xludf.DUMMYFUNCTION(" VLOOKUP(A2542, IMPORTRANGE(""https://docs.google.com/spreadsheets/d/1QNLbnkR_AongFt22vMfNzfpjZ0CjpI8QI-w0wBnYA1w/"", ""Инфа!A:AA""), 6, FALSE)"),2024)</f>
        <v>2024</v>
      </c>
      <c r="J2545" s="5">
        <f ca="1">ROUND(((5000+G2545*30)*1.3),-2)</f>
        <v>15800</v>
      </c>
      <c r="K2545" s="9" t="s">
        <v>758</v>
      </c>
      <c r="L2545" s="15" t="s">
        <v>10092</v>
      </c>
    </row>
    <row r="2546" spans="1:12" ht="168.75">
      <c r="A2546" s="8" t="s">
        <v>10093</v>
      </c>
      <c r="B2546" s="9" t="s">
        <v>12</v>
      </c>
      <c r="C2546" s="10" t="s">
        <v>443</v>
      </c>
      <c r="D2546" s="10" t="str">
        <f ca="1">IFERROR(__xludf.DUMMYFUNCTION(" VLOOKUP(A2543, IMPORTRANGE(""https://docs.google.com/spreadsheets/d/1fj_Bhi2XPL3siwIh4sx4VRLAe31yD50oKdj5UlRYW0c/"", ""Сводка!A:AA""), 11, FALSE)"),"978-601-7816-28-5")</f>
        <v>978-601-7816-28-5</v>
      </c>
      <c r="E2546" s="11" t="s">
        <v>10094</v>
      </c>
      <c r="F2546" s="11" t="s">
        <v>10095</v>
      </c>
      <c r="G2546" s="12">
        <f ca="1">IFERROR(__xludf.DUMMYFUNCTION(" VLOOKUP(A2543, IMPORTRANGE(""https://docs.google.com/spreadsheets/d/1fj_Bhi2XPL3siwIh4sx4VRLAe31yD50oKdj5UlRYW0c/"", ""Сводка!A:AA""), 5, FALSE)"),304)</f>
        <v>304</v>
      </c>
      <c r="H2546" s="12" t="s">
        <v>56</v>
      </c>
      <c r="I2546" s="10">
        <f ca="1">IFERROR(__xludf.DUMMYFUNCTION(" VLOOKUP(A2543, IMPORTRANGE(""https://docs.google.com/spreadsheets/d/1QNLbnkR_AongFt22vMfNzfpjZ0CjpI8QI-w0wBnYA1w/"", ""Инфа!A:AA""), 6, FALSE)"),2024)</f>
        <v>2024</v>
      </c>
      <c r="J2546" s="5">
        <f ca="1">ROUND((5000+G2546*60),-2)</f>
        <v>23200</v>
      </c>
      <c r="K2546" s="12" t="s">
        <v>8250</v>
      </c>
      <c r="L2546" s="15" t="s">
        <v>10096</v>
      </c>
    </row>
    <row r="2547" spans="1:12" ht="168.75">
      <c r="A2547" s="8" t="s">
        <v>10097</v>
      </c>
      <c r="B2547" s="9" t="s">
        <v>12</v>
      </c>
      <c r="C2547" s="10" t="s">
        <v>443</v>
      </c>
      <c r="D2547" s="10" t="str">
        <f ca="1">IFERROR(__xludf.DUMMYFUNCTION(" VLOOKUP(A2544, IMPORTRANGE(""https://docs.google.com/spreadsheets/d/1fj_Bhi2XPL3siwIh4sx4VRLAe31yD50oKdj5UlRYW0c/"", ""Сводка!A:AA""), 11, FALSE)"),"978-601-240-733-4")</f>
        <v>978-601-240-733-4</v>
      </c>
      <c r="E2547" s="11" t="s">
        <v>10098</v>
      </c>
      <c r="F2547" s="80" t="s">
        <v>10099</v>
      </c>
      <c r="G2547" s="12">
        <f ca="1">IFERROR(__xludf.DUMMYFUNCTION(" VLOOKUP(A2544, IMPORTRANGE(""https://docs.google.com/spreadsheets/d/1fj_Bhi2XPL3siwIh4sx4VRLAe31yD50oKdj5UlRYW0c/"", ""Сводка!A:AA""), 5, FALSE)"),208)</f>
        <v>208</v>
      </c>
      <c r="H2547" s="12" t="s">
        <v>47</v>
      </c>
      <c r="I2547" s="10">
        <f ca="1">IFERROR(__xludf.DUMMYFUNCTION(" VLOOKUP(A2544, IMPORTRANGE(""https://docs.google.com/spreadsheets/d/1QNLbnkR_AongFt22vMfNzfpjZ0CjpI8QI-w0wBnYA1w/"", ""Инфа!A:AA""), 6, FALSE)"),2024)</f>
        <v>2024</v>
      </c>
      <c r="J2547" s="5">
        <f ca="1">ROUND((5000+G2547*30),-2)</f>
        <v>11200</v>
      </c>
      <c r="K2547" s="12" t="s">
        <v>8250</v>
      </c>
      <c r="L2547" s="15" t="s">
        <v>10100</v>
      </c>
    </row>
    <row r="2548" spans="1:12" ht="146.25">
      <c r="A2548" s="8" t="s">
        <v>10101</v>
      </c>
      <c r="B2548" s="9" t="s">
        <v>12</v>
      </c>
      <c r="C2548" s="10" t="s">
        <v>443</v>
      </c>
      <c r="D2548" s="10" t="str">
        <f ca="1">IFERROR(__xludf.DUMMYFUNCTION(" VLOOKUP(A2545, IMPORTRANGE(""https://docs.google.com/spreadsheets/d/1fj_Bhi2XPL3siwIh4sx4VRLAe31yD50oKdj5UlRYW0c/"", ""Сводка!A:AA""), 11, FALSE)"),"978-601-342-213-8")</f>
        <v>978-601-342-213-8</v>
      </c>
      <c r="E2548" s="11" t="s">
        <v>10102</v>
      </c>
      <c r="F2548" s="11" t="s">
        <v>10103</v>
      </c>
      <c r="G2548" s="12">
        <f ca="1">IFERROR(__xludf.DUMMYFUNCTION(" VLOOKUP(A2545, IMPORTRANGE(""https://docs.google.com/spreadsheets/d/1fj_Bhi2XPL3siwIh4sx4VRLAe31yD50oKdj5UlRYW0c/"", ""Сводка!A:AA""), 5, FALSE)"),304)</f>
        <v>304</v>
      </c>
      <c r="H2548" s="12" t="s">
        <v>511</v>
      </c>
      <c r="I2548" s="10">
        <f ca="1">IFERROR(__xludf.DUMMYFUNCTION(" VLOOKUP(A2545, IMPORTRANGE(""https://docs.google.com/spreadsheets/d/1QNLbnkR_AongFt22vMfNzfpjZ0CjpI8QI-w0wBnYA1w/"", ""Инфа!A:AA""), 6, FALSE)"),2024)</f>
        <v>2024</v>
      </c>
      <c r="J2548" s="5">
        <f ca="1">ROUND((5000+G2548*30),-2)</f>
        <v>14100</v>
      </c>
      <c r="K2548" s="12" t="s">
        <v>37</v>
      </c>
      <c r="L2548" s="15" t="s">
        <v>10104</v>
      </c>
    </row>
    <row r="2549" spans="1:12" ht="123.75">
      <c r="A2549" s="8" t="s">
        <v>10105</v>
      </c>
      <c r="B2549" s="9" t="s">
        <v>12</v>
      </c>
      <c r="C2549" s="10" t="s">
        <v>443</v>
      </c>
      <c r="D2549" s="10" t="str">
        <f ca="1">IFERROR(__xludf.DUMMYFUNCTION(" VLOOKUP(A2546, IMPORTRANGE(""https://docs.google.com/spreadsheets/d/1fj_Bhi2XPL3siwIh4sx4VRLAe31yD50oKdj5UlRYW0c/"", ""Сводка!A:AA""), 11, FALSE)"),"99 65-680-52-3")</f>
        <v>99 65-680-52-3</v>
      </c>
      <c r="E2549" s="11" t="s">
        <v>10106</v>
      </c>
      <c r="F2549" s="11" t="s">
        <v>10107</v>
      </c>
      <c r="G2549" s="12">
        <f ca="1">IFERROR(__xludf.DUMMYFUNCTION(" VLOOKUP(A2546, IMPORTRANGE(""https://docs.google.com/spreadsheets/d/1fj_Bhi2XPL3siwIh4sx4VRLAe31yD50oKdj5UlRYW0c/"", ""Сводка!A:AA""), 5, FALSE)"),284)</f>
        <v>284</v>
      </c>
      <c r="H2549" s="12" t="s">
        <v>671</v>
      </c>
      <c r="I2549" s="10">
        <f ca="1">IFERROR(__xludf.DUMMYFUNCTION(" VLOOKUP(A2546, IMPORTRANGE(""https://docs.google.com/spreadsheets/d/1QNLbnkR_AongFt22vMfNzfpjZ0CjpI8QI-w0wBnYA1w/"", ""Инфа!A:AA""), 6, FALSE)"),2024)</f>
        <v>2024</v>
      </c>
      <c r="J2549" s="5">
        <f ca="1">ROUND((5000+G2549*30),-2)</f>
        <v>13500</v>
      </c>
      <c r="K2549" s="12" t="s">
        <v>37</v>
      </c>
      <c r="L2549" s="15" t="s">
        <v>10108</v>
      </c>
    </row>
    <row r="2550" spans="1:12" ht="157.5">
      <c r="A2550" s="8" t="s">
        <v>10109</v>
      </c>
      <c r="B2550" s="9" t="s">
        <v>12</v>
      </c>
      <c r="C2550" s="10" t="s">
        <v>443</v>
      </c>
      <c r="D2550" s="10" t="str">
        <f ca="1">IFERROR(__xludf.DUMMYFUNCTION(" VLOOKUP(A2547, IMPORTRANGE(""https://docs.google.com/spreadsheets/d/1fj_Bhi2XPL3siwIh4sx4VRLAe31yD50oKdj5UlRYW0c/"", ""Сводка!A:AA""), 11, FALSE)"),"978-601-327-596-3")</f>
        <v>978-601-327-596-3</v>
      </c>
      <c r="E2550" s="11" t="s">
        <v>10110</v>
      </c>
      <c r="F2550" s="11" t="s">
        <v>10111</v>
      </c>
      <c r="G2550" s="12">
        <f ca="1">IFERROR(__xludf.DUMMYFUNCTION(" VLOOKUP(A2547, IMPORTRANGE(""https://docs.google.com/spreadsheets/d/1fj_Bhi2XPL3siwIh4sx4VRLAe31yD50oKdj5UlRYW0c/"", ""Сводка!A:AA""), 5, FALSE)"),112)</f>
        <v>112</v>
      </c>
      <c r="H2550" s="12" t="s">
        <v>538</v>
      </c>
      <c r="I2550" s="10">
        <f ca="1">IFERROR(__xludf.DUMMYFUNCTION(" VLOOKUP(A2547, IMPORTRANGE(""https://docs.google.com/spreadsheets/d/1QNLbnkR_AongFt22vMfNzfpjZ0CjpI8QI-w0wBnYA1w/"", ""Инфа!A:AA""), 6, FALSE)"),2024)</f>
        <v>2024</v>
      </c>
      <c r="J2550" s="5">
        <f ca="1">ROUND((5000+G2550*30),-2)</f>
        <v>8400</v>
      </c>
      <c r="K2550" s="12" t="s">
        <v>447</v>
      </c>
      <c r="L2550" s="15" t="s">
        <v>10112</v>
      </c>
    </row>
    <row r="2551" spans="1:12" ht="38.25">
      <c r="A2551" s="8" t="s">
        <v>10113</v>
      </c>
      <c r="B2551" s="9" t="s">
        <v>12</v>
      </c>
      <c r="C2551" s="10" t="s">
        <v>443</v>
      </c>
      <c r="D2551" s="10" t="str">
        <f ca="1">IFERROR(__xludf.DUMMYFUNCTION(" VLOOKUP(A2548, IMPORTRANGE(""https://docs.google.com/spreadsheets/d/1fj_Bhi2XPL3siwIh4sx4VRLAe31yD50oKdj5UlRYW0c/"", ""Сводка!A:AA""), 11, FALSE)"),"978-601-310-542-0")</f>
        <v>978-601-310-542-0</v>
      </c>
      <c r="E2551" s="11" t="s">
        <v>10114</v>
      </c>
      <c r="F2551" s="11" t="s">
        <v>10115</v>
      </c>
      <c r="G2551" s="12">
        <f ca="1">IFERROR(__xludf.DUMMYFUNCTION(" VLOOKUP(A2548, IMPORTRANGE(""https://docs.google.com/spreadsheets/d/1fj_Bhi2XPL3siwIh4sx4VRLAe31yD50oKdj5UlRYW0c/"", ""Сводка!A:AA""), 5, FALSE)"),296)</f>
        <v>296</v>
      </c>
      <c r="H2551" s="12" t="s">
        <v>538</v>
      </c>
      <c r="I2551" s="10">
        <f ca="1">IFERROR(__xludf.DUMMYFUNCTION(" VLOOKUP(A2548, IMPORTRANGE(""https://docs.google.com/spreadsheets/d/1QNLbnkR_AongFt22vMfNzfpjZ0CjpI8QI-w0wBnYA1w/"", ""Инфа!A:AA""), 6, FALSE)"),2024)</f>
        <v>2024</v>
      </c>
      <c r="J2551" s="5">
        <f ca="1">ROUND((5000+G2551*60),-2)</f>
        <v>22800</v>
      </c>
      <c r="K2551" s="9" t="s">
        <v>539</v>
      </c>
      <c r="L2551" s="15"/>
    </row>
    <row r="2552" spans="1:12" ht="67.5">
      <c r="A2552" s="8" t="s">
        <v>10116</v>
      </c>
      <c r="B2552" s="9" t="s">
        <v>12</v>
      </c>
      <c r="C2552" s="10" t="s">
        <v>443</v>
      </c>
      <c r="D2552" s="10" t="str">
        <f ca="1">IFERROR(__xludf.DUMMYFUNCTION(" VLOOKUP(A2549, IMPORTRANGE(""https://docs.google.com/spreadsheets/d/1fj_Bhi2XPL3siwIh4sx4VRLAe31yD50oKdj5UlRYW0c/"", ""Сводка!A:AA""), 11, FALSE)"),"978-601-310-747-9")</f>
        <v>978-601-310-747-9</v>
      </c>
      <c r="E2552" s="11" t="s">
        <v>10117</v>
      </c>
      <c r="F2552" s="11" t="s">
        <v>587</v>
      </c>
      <c r="G2552" s="12">
        <f ca="1">IFERROR(__xludf.DUMMYFUNCTION(" VLOOKUP(A2549, IMPORTRANGE(""https://docs.google.com/spreadsheets/d/1fj_Bhi2XPL3siwIh4sx4VRLAe31yD50oKdj5UlRYW0c/"", ""Сводка!A:AA""), 5, FALSE)"),208)</f>
        <v>208</v>
      </c>
      <c r="H2552" s="12" t="s">
        <v>538</v>
      </c>
      <c r="I2552" s="10">
        <f ca="1">IFERROR(__xludf.DUMMYFUNCTION(" VLOOKUP(A2549, IMPORTRANGE(""https://docs.google.com/spreadsheets/d/1QNLbnkR_AongFt22vMfNzfpjZ0CjpI8QI-w0wBnYA1w/"", ""Инфа!A:AA""), 6, FALSE)"),2024)</f>
        <v>2024</v>
      </c>
      <c r="J2552" s="5">
        <f t="shared" ref="J2552:J2559" ca="1" si="87">ROUND((5000+G2552*30),-2)</f>
        <v>11200</v>
      </c>
      <c r="K2552" s="9" t="s">
        <v>539</v>
      </c>
      <c r="L2552" s="15" t="s">
        <v>10118</v>
      </c>
    </row>
    <row r="2553" spans="1:12" ht="67.5">
      <c r="A2553" s="8" t="s">
        <v>10119</v>
      </c>
      <c r="B2553" s="9" t="s">
        <v>12</v>
      </c>
      <c r="C2553" s="10" t="s">
        <v>443</v>
      </c>
      <c r="D2553" s="10" t="str">
        <f ca="1">IFERROR(__xludf.DUMMYFUNCTION(" VLOOKUP(A2550, IMPORTRANGE(""https://docs.google.com/spreadsheets/d/1fj_Bhi2XPL3siwIh4sx4VRLAe31yD50oKdj5UlRYW0c/"", ""Сводка!A:AA""), 11, FALSE)"),"978-601-310-806-3")</f>
        <v>978-601-310-806-3</v>
      </c>
      <c r="E2553" s="11" t="s">
        <v>10117</v>
      </c>
      <c r="F2553" s="11" t="s">
        <v>10120</v>
      </c>
      <c r="G2553" s="12">
        <f ca="1">IFERROR(__xludf.DUMMYFUNCTION(" VLOOKUP(A2550, IMPORTRANGE(""https://docs.google.com/spreadsheets/d/1fj_Bhi2XPL3siwIh4sx4VRLAe31yD50oKdj5UlRYW0c/"", ""Сводка!A:AA""), 5, FALSE)"),140)</f>
        <v>140</v>
      </c>
      <c r="H2553" s="12" t="s">
        <v>24</v>
      </c>
      <c r="I2553" s="10">
        <f ca="1">IFERROR(__xludf.DUMMYFUNCTION(" VLOOKUP(A2550, IMPORTRANGE(""https://docs.google.com/spreadsheets/d/1QNLbnkR_AongFt22vMfNzfpjZ0CjpI8QI-w0wBnYA1w/"", ""Инфа!A:AA""), 6, FALSE)"),2024)</f>
        <v>2024</v>
      </c>
      <c r="J2553" s="5">
        <f t="shared" ca="1" si="87"/>
        <v>9200</v>
      </c>
      <c r="K2553" s="9" t="s">
        <v>539</v>
      </c>
      <c r="L2553" s="15" t="s">
        <v>10121</v>
      </c>
    </row>
    <row r="2554" spans="1:12" ht="78.75">
      <c r="A2554" s="8" t="s">
        <v>10122</v>
      </c>
      <c r="B2554" s="9" t="s">
        <v>12</v>
      </c>
      <c r="C2554" s="10" t="s">
        <v>151</v>
      </c>
      <c r="D2554" s="10" t="s">
        <v>10123</v>
      </c>
      <c r="E2554" s="11" t="s">
        <v>10124</v>
      </c>
      <c r="F2554" s="11" t="s">
        <v>10125</v>
      </c>
      <c r="G2554" s="12">
        <f ca="1">IFERROR(__xludf.DUMMYFUNCTION(" VLOOKUP(A2551, IMPORTRANGE(""https://docs.google.com/spreadsheets/d/1fj_Bhi2XPL3siwIh4sx4VRLAe31yD50oKdj5UlRYW0c/"", ""Сводка!A:AA""), 5, FALSE)"),160)</f>
        <v>160</v>
      </c>
      <c r="H2554" s="12" t="s">
        <v>47</v>
      </c>
      <c r="I2554" s="10">
        <f ca="1">IFERROR(__xludf.DUMMYFUNCTION(" VLOOKUP(A2551, IMPORTRANGE(""https://docs.google.com/spreadsheets/d/1QNLbnkR_AongFt22vMfNzfpjZ0CjpI8QI-w0wBnYA1w/"", ""Инфа!A:AA""), 6, FALSE)"),2024)</f>
        <v>2024</v>
      </c>
      <c r="J2554" s="5">
        <f t="shared" ca="1" si="87"/>
        <v>9800</v>
      </c>
      <c r="K2554" s="12" t="s">
        <v>26</v>
      </c>
      <c r="L2554" s="15" t="s">
        <v>10126</v>
      </c>
    </row>
    <row r="2555" spans="1:12" ht="157.5">
      <c r="A2555" s="8" t="s">
        <v>10127</v>
      </c>
      <c r="B2555" s="9" t="s">
        <v>12</v>
      </c>
      <c r="C2555" s="10" t="s">
        <v>151</v>
      </c>
      <c r="D2555" s="10" t="str">
        <f ca="1">IFERROR(__xludf.DUMMYFUNCTION(" VLOOKUP(A2552, IMPORTRANGE(""https://docs.google.com/spreadsheets/d/1fj_Bhi2XPL3siwIh4sx4VRLAe31yD50oKdj5UlRYW0c/"", ""Сводка!A:AA""), 11, FALSE)"),"978-601-310-641-0")</f>
        <v>978-601-310-641-0</v>
      </c>
      <c r="E2555" s="11" t="s">
        <v>10124</v>
      </c>
      <c r="F2555" s="11" t="s">
        <v>10128</v>
      </c>
      <c r="G2555" s="12">
        <f ca="1">IFERROR(__xludf.DUMMYFUNCTION(" VLOOKUP(A2552, IMPORTRANGE(""https://docs.google.com/spreadsheets/d/1fj_Bhi2XPL3siwIh4sx4VRLAe31yD50oKdj5UlRYW0c/"", ""Сводка!A:AA""), 5, FALSE)"),148)</f>
        <v>148</v>
      </c>
      <c r="H2555" s="12" t="s">
        <v>47</v>
      </c>
      <c r="I2555" s="10">
        <f ca="1">IFERROR(__xludf.DUMMYFUNCTION(" VLOOKUP(A2552, IMPORTRANGE(""https://docs.google.com/spreadsheets/d/1QNLbnkR_AongFt22vMfNzfpjZ0CjpI8QI-w0wBnYA1w/"", ""Инфа!A:AA""), 6, FALSE)"),2024)</f>
        <v>2024</v>
      </c>
      <c r="J2555" s="5">
        <f t="shared" ca="1" si="87"/>
        <v>9400</v>
      </c>
      <c r="K2555" s="12" t="s">
        <v>26</v>
      </c>
      <c r="L2555" s="15" t="s">
        <v>10129</v>
      </c>
    </row>
    <row r="2556" spans="1:12" ht="146.25">
      <c r="A2556" s="8" t="s">
        <v>10130</v>
      </c>
      <c r="B2556" s="9" t="s">
        <v>12</v>
      </c>
      <c r="C2556" s="10" t="s">
        <v>151</v>
      </c>
      <c r="D2556" s="10" t="str">
        <f ca="1">IFERROR(__xludf.DUMMYFUNCTION(" VLOOKUP(A2553, IMPORTRANGE(""https://docs.google.com/spreadsheets/d/1fj_Bhi2XPL3siwIh4sx4VRLAe31yD50oKdj5UlRYW0c/"", ""Сводка!A:AA""), 11, FALSE)"),"978-601-310-958-9")</f>
        <v>978-601-310-958-9</v>
      </c>
      <c r="E2556" s="25" t="s">
        <v>10131</v>
      </c>
      <c r="F2556" s="25" t="s">
        <v>10132</v>
      </c>
      <c r="G2556" s="12">
        <f ca="1">IFERROR(__xludf.DUMMYFUNCTION(" VLOOKUP(A2553, IMPORTRANGE(""https://docs.google.com/spreadsheets/d/1fj_Bhi2XPL3siwIh4sx4VRLAe31yD50oKdj5UlRYW0c/"", ""Сводка!A:AA""), 5, FALSE)"),100)</f>
        <v>100</v>
      </c>
      <c r="H2556" s="26" t="s">
        <v>282</v>
      </c>
      <c r="I2556" s="10">
        <f ca="1">IFERROR(__xludf.DUMMYFUNCTION(" VLOOKUP(A2553, IMPORTRANGE(""https://docs.google.com/spreadsheets/d/1QNLbnkR_AongFt22vMfNzfpjZ0CjpI8QI-w0wBnYA1w/"", ""Инфа!A:AA""), 6, FALSE)"),2024)</f>
        <v>2024</v>
      </c>
      <c r="J2556" s="5">
        <f t="shared" ca="1" si="87"/>
        <v>8000</v>
      </c>
      <c r="K2556" s="12" t="s">
        <v>26</v>
      </c>
      <c r="L2556" s="15" t="s">
        <v>10133</v>
      </c>
    </row>
    <row r="2557" spans="1:12" ht="180">
      <c r="A2557" s="8" t="s">
        <v>10134</v>
      </c>
      <c r="B2557" s="9" t="s">
        <v>12</v>
      </c>
      <c r="C2557" s="10" t="s">
        <v>151</v>
      </c>
      <c r="D2557" s="10" t="str">
        <f ca="1">IFERROR(__xludf.DUMMYFUNCTION(" VLOOKUP(A2554, IMPORTRANGE(""https://docs.google.com/spreadsheets/d/1fj_Bhi2XPL3siwIh4sx4VRLAe31yD50oKdj5UlRYW0c/"", ""Сводка!A:AA""), 11, FALSE)"),"978-601-327-438-6")</f>
        <v>978-601-327-438-6</v>
      </c>
      <c r="E2557" s="22" t="s">
        <v>10135</v>
      </c>
      <c r="F2557" s="22" t="s">
        <v>10136</v>
      </c>
      <c r="G2557" s="12">
        <f ca="1">IFERROR(__xludf.DUMMYFUNCTION(" VLOOKUP(A2554, IMPORTRANGE(""https://docs.google.com/spreadsheets/d/1fj_Bhi2XPL3siwIh4sx4VRLAe31yD50oKdj5UlRYW0c/"", ""Сводка!A:AA""), 5, FALSE)"),196)</f>
        <v>196</v>
      </c>
      <c r="H2557" s="10" t="s">
        <v>282</v>
      </c>
      <c r="I2557" s="10">
        <f ca="1">IFERROR(__xludf.DUMMYFUNCTION(" VLOOKUP(A2554, IMPORTRANGE(""https://docs.google.com/spreadsheets/d/1QNLbnkR_AongFt22vMfNzfpjZ0CjpI8QI-w0wBnYA1w/"", ""Инфа!A:AA""), 6, FALSE)"),2024)</f>
        <v>2024</v>
      </c>
      <c r="J2557" s="5">
        <f t="shared" ca="1" si="87"/>
        <v>10900</v>
      </c>
      <c r="K2557" s="12" t="s">
        <v>26</v>
      </c>
      <c r="L2557" s="23" t="s">
        <v>10137</v>
      </c>
    </row>
    <row r="2558" spans="1:12" ht="180">
      <c r="A2558" s="8" t="s">
        <v>10138</v>
      </c>
      <c r="B2558" s="9" t="s">
        <v>12</v>
      </c>
      <c r="C2558" s="10" t="s">
        <v>151</v>
      </c>
      <c r="D2558" s="10" t="str">
        <f ca="1">IFERROR(__xludf.DUMMYFUNCTION(" VLOOKUP(A2555, IMPORTRANGE(""https://docs.google.com/spreadsheets/d/1fj_Bhi2XPL3siwIh4sx4VRLAe31yD50oKdj5UlRYW0c/"", ""Сводка!A:AA""), 11, FALSE)"),"978-601-327-439-3")</f>
        <v>978-601-327-439-3</v>
      </c>
      <c r="E2558" s="22" t="s">
        <v>10135</v>
      </c>
      <c r="F2558" s="11" t="s">
        <v>10139</v>
      </c>
      <c r="G2558" s="12">
        <f ca="1">IFERROR(__xludf.DUMMYFUNCTION(" VLOOKUP(A2555, IMPORTRANGE(""https://docs.google.com/spreadsheets/d/1fj_Bhi2XPL3siwIh4sx4VRLAe31yD50oKdj5UlRYW0c/"", ""Сводка!A:AA""), 5, FALSE)"),280)</f>
        <v>280</v>
      </c>
      <c r="H2558" s="10" t="s">
        <v>4470</v>
      </c>
      <c r="I2558" s="10">
        <f ca="1">IFERROR(__xludf.DUMMYFUNCTION(" VLOOKUP(A2555, IMPORTRANGE(""https://docs.google.com/spreadsheets/d/1QNLbnkR_AongFt22vMfNzfpjZ0CjpI8QI-w0wBnYA1w/"", ""Инфа!A:AA""), 6, FALSE)"),2024)</f>
        <v>2024</v>
      </c>
      <c r="J2558" s="5">
        <f t="shared" ca="1" si="87"/>
        <v>13400</v>
      </c>
      <c r="K2558" s="12" t="s">
        <v>26</v>
      </c>
      <c r="L2558" s="15" t="s">
        <v>10140</v>
      </c>
    </row>
    <row r="2559" spans="1:12" ht="157.5">
      <c r="A2559" s="8" t="s">
        <v>10141</v>
      </c>
      <c r="B2559" s="9" t="s">
        <v>12</v>
      </c>
      <c r="C2559" s="10" t="s">
        <v>443</v>
      </c>
      <c r="D2559" s="10" t="str">
        <f ca="1">IFERROR(__xludf.DUMMYFUNCTION(" VLOOKUP(A2556, IMPORTRANGE(""https://docs.google.com/spreadsheets/d/1fj_Bhi2XPL3siwIh4sx4VRLAe31yD50oKdj5UlRYW0c/"", ""Сводка!A:AA""), 11, FALSE)"),"978-601-342-152-0")</f>
        <v>978-601-342-152-0</v>
      </c>
      <c r="E2559" s="11" t="s">
        <v>10142</v>
      </c>
      <c r="F2559" s="11" t="s">
        <v>10143</v>
      </c>
      <c r="G2559" s="12">
        <f ca="1">IFERROR(__xludf.DUMMYFUNCTION(" VLOOKUP(A2556, IMPORTRANGE(""https://docs.google.com/spreadsheets/d/1fj_Bhi2XPL3siwIh4sx4VRLAe31yD50oKdj5UlRYW0c/"", ""Сводка!A:AA""), 5, FALSE)"),112)</f>
        <v>112</v>
      </c>
      <c r="H2559" s="12" t="s">
        <v>511</v>
      </c>
      <c r="I2559" s="10">
        <f ca="1">IFERROR(__xludf.DUMMYFUNCTION(" VLOOKUP(A2556, IMPORTRANGE(""https://docs.google.com/spreadsheets/d/1QNLbnkR_AongFt22vMfNzfpjZ0CjpI8QI-w0wBnYA1w/"", ""Инфа!A:AA""), 6, FALSE)"),2024)</f>
        <v>2024</v>
      </c>
      <c r="J2559" s="5">
        <f t="shared" ca="1" si="87"/>
        <v>8400</v>
      </c>
      <c r="K2559" s="12" t="s">
        <v>10144</v>
      </c>
      <c r="L2559" s="15" t="s">
        <v>10145</v>
      </c>
    </row>
    <row r="2560" spans="1:12" ht="225">
      <c r="A2560" s="8" t="s">
        <v>10146</v>
      </c>
      <c r="B2560" s="9" t="s">
        <v>12</v>
      </c>
      <c r="C2560" s="10" t="s">
        <v>151</v>
      </c>
      <c r="D2560" s="10" t="str">
        <f ca="1">IFERROR(__xludf.DUMMYFUNCTION(" VLOOKUP(A2557, IMPORTRANGE(""https://docs.google.com/spreadsheets/d/1fj_Bhi2XPL3siwIh4sx4VRLAe31yD50oKdj5UlRYW0c/"", ""Сводка!A:AA""), 11, FALSE)"),"978-601-342-295-4")</f>
        <v>978-601-342-295-4</v>
      </c>
      <c r="E2560" s="22" t="s">
        <v>10147</v>
      </c>
      <c r="F2560" s="22" t="s">
        <v>10148</v>
      </c>
      <c r="G2560" s="12">
        <f ca="1">IFERROR(__xludf.DUMMYFUNCTION(" VLOOKUP(A2557, IMPORTRANGE(""https://docs.google.com/spreadsheets/d/1fj_Bhi2XPL3siwIh4sx4VRLAe31yD50oKdj5UlRYW0c/"", ""Сводка!A:AA""), 5, FALSE)"),148)</f>
        <v>148</v>
      </c>
      <c r="H2560" s="10" t="s">
        <v>165</v>
      </c>
      <c r="I2560" s="10">
        <f ca="1">IFERROR(__xludf.DUMMYFUNCTION(" VLOOKUP(A2557, IMPORTRANGE(""https://docs.google.com/spreadsheets/d/1QNLbnkR_AongFt22vMfNzfpjZ0CjpI8QI-w0wBnYA1w/"", ""Инфа!A:AA""), 6, FALSE)"),2024)</f>
        <v>2024</v>
      </c>
      <c r="J2560" s="5">
        <f ca="1">ROUND((5000+G2560*60),-2)</f>
        <v>13900</v>
      </c>
      <c r="K2560" s="10" t="s">
        <v>26</v>
      </c>
      <c r="L2560" s="23" t="s">
        <v>10149</v>
      </c>
    </row>
    <row r="2561" spans="1:12" ht="168.75">
      <c r="A2561" s="8" t="s">
        <v>10150</v>
      </c>
      <c r="B2561" s="9" t="s">
        <v>12</v>
      </c>
      <c r="C2561" s="10" t="s">
        <v>443</v>
      </c>
      <c r="D2561" s="10" t="str">
        <f ca="1">IFERROR(__xludf.DUMMYFUNCTION(" VLOOKUP(A2558, IMPORTRANGE(""https://docs.google.com/spreadsheets/d/1fj_Bhi2XPL3siwIh4sx4VRLAe31yD50oKdj5UlRYW0c/"", ""Сводка!A:AA""), 11, FALSE)"),"978-601-327-837-7")</f>
        <v>978-601-327-837-7</v>
      </c>
      <c r="E2561" s="11" t="s">
        <v>10151</v>
      </c>
      <c r="F2561" s="11" t="s">
        <v>10152</v>
      </c>
      <c r="G2561" s="12">
        <f ca="1">IFERROR(__xludf.DUMMYFUNCTION(" VLOOKUP(A2558, IMPORTRANGE(""https://docs.google.com/spreadsheets/d/1fj_Bhi2XPL3siwIh4sx4VRLAe31yD50oKdj5UlRYW0c/"", ""Сводка!A:AA""), 5, FALSE)"),120)</f>
        <v>120</v>
      </c>
      <c r="H2561" s="12" t="s">
        <v>1016</v>
      </c>
      <c r="I2561" s="10">
        <f ca="1">IFERROR(__xludf.DUMMYFUNCTION(" VLOOKUP(A2558, IMPORTRANGE(""https://docs.google.com/spreadsheets/d/1QNLbnkR_AongFt22vMfNzfpjZ0CjpI8QI-w0wBnYA1w/"", ""Инфа!A:AA""), 6, FALSE)"),2024)</f>
        <v>2024</v>
      </c>
      <c r="J2561" s="5">
        <f ca="1">ROUND((5000+G2561*60),-2)</f>
        <v>12200</v>
      </c>
      <c r="K2561" s="12" t="s">
        <v>740</v>
      </c>
      <c r="L2561" s="15" t="s">
        <v>10153</v>
      </c>
    </row>
    <row r="2562" spans="1:12" ht="146.25">
      <c r="A2562" s="8" t="s">
        <v>10154</v>
      </c>
      <c r="B2562" s="9" t="s">
        <v>12</v>
      </c>
      <c r="C2562" s="10" t="s">
        <v>443</v>
      </c>
      <c r="D2562" s="10" t="str">
        <f ca="1">IFERROR(__xludf.DUMMYFUNCTION(" VLOOKUP(A2559, IMPORTRANGE(""https://docs.google.com/spreadsheets/d/1fj_Bhi2XPL3siwIh4sx4VRLAe31yD50oKdj5UlRYW0c/"", ""Сводка!A:AA""), 11, FALSE)"),"978-601-342-566-5")</f>
        <v>978-601-342-566-5</v>
      </c>
      <c r="E2562" s="11" t="s">
        <v>10155</v>
      </c>
      <c r="F2562" s="11" t="s">
        <v>10156</v>
      </c>
      <c r="G2562" s="12">
        <f ca="1">IFERROR(__xludf.DUMMYFUNCTION(" VLOOKUP(A2559, IMPORTRANGE(""https://docs.google.com/spreadsheets/d/1fj_Bhi2XPL3siwIh4sx4VRLAe31yD50oKdj5UlRYW0c/"", ""Сводка!A:AA""), 5, FALSE)"),200)</f>
        <v>200</v>
      </c>
      <c r="H2562" s="12" t="s">
        <v>538</v>
      </c>
      <c r="I2562" s="10">
        <f ca="1">IFERROR(__xludf.DUMMYFUNCTION(" VLOOKUP(A2559, IMPORTRANGE(""https://docs.google.com/spreadsheets/d/1QNLbnkR_AongFt22vMfNzfpjZ0CjpI8QI-w0wBnYA1w/"", ""Инфа!A:AA""), 6, FALSE)"),2024)</f>
        <v>2024</v>
      </c>
      <c r="J2562" s="5">
        <f ca="1">ROUND((5000+G2562*60),-2)</f>
        <v>17000</v>
      </c>
      <c r="K2562" s="12" t="s">
        <v>127</v>
      </c>
      <c r="L2562" s="15" t="s">
        <v>10157</v>
      </c>
    </row>
    <row r="2563" spans="1:12" ht="25.5">
      <c r="A2563" s="8" t="s">
        <v>10158</v>
      </c>
      <c r="B2563" s="9" t="s">
        <v>12</v>
      </c>
      <c r="C2563" s="10" t="s">
        <v>443</v>
      </c>
      <c r="D2563" s="10" t="str">
        <f ca="1">IFERROR(__xludf.DUMMYFUNCTION(" VLOOKUP(A2560, IMPORTRANGE(""https://docs.google.com/spreadsheets/d/1fj_Bhi2XPL3siwIh4sx4VRLAe31yD50oKdj5UlRYW0c/"", ""Сводка!A:AA""), 11, FALSE)"),"978-601-238-296-9")</f>
        <v>978-601-238-296-9</v>
      </c>
      <c r="E2563" s="11" t="s">
        <v>10159</v>
      </c>
      <c r="F2563" s="11" t="s">
        <v>10160</v>
      </c>
      <c r="G2563" s="12">
        <f ca="1">IFERROR(__xludf.DUMMYFUNCTION(" VLOOKUP(A2560, IMPORTRANGE(""https://docs.google.com/spreadsheets/d/1fj_Bhi2XPL3siwIh4sx4VRLAe31yD50oKdj5UlRYW0c/"", ""Сводка!A:AA""), 5, FALSE)"),116)</f>
        <v>116</v>
      </c>
      <c r="H2563" s="12" t="s">
        <v>538</v>
      </c>
      <c r="I2563" s="10">
        <f ca="1">IFERROR(__xludf.DUMMYFUNCTION(" VLOOKUP(A2560, IMPORTRANGE(""https://docs.google.com/spreadsheets/d/1QNLbnkR_AongFt22vMfNzfpjZ0CjpI8QI-w0wBnYA1w/"", ""Инфа!A:AA""), 6, FALSE)"),2024)</f>
        <v>2024</v>
      </c>
      <c r="J2563" s="5">
        <f ca="1">ROUND((5000+G2563*30),-2)</f>
        <v>8500</v>
      </c>
      <c r="K2563" s="12" t="s">
        <v>4015</v>
      </c>
      <c r="L2563" s="15"/>
    </row>
    <row r="2564" spans="1:12" ht="76.5">
      <c r="A2564" s="8" t="s">
        <v>10161</v>
      </c>
      <c r="B2564" s="9" t="s">
        <v>12</v>
      </c>
      <c r="C2564" s="10" t="s">
        <v>151</v>
      </c>
      <c r="D2564" s="10" t="str">
        <f ca="1">IFERROR(__xludf.DUMMYFUNCTION(" VLOOKUP(A2561, IMPORTRANGE(""https://docs.google.com/spreadsheets/d/1fj_Bhi2XPL3siwIh4sx4VRLAe31yD50oKdj5UlRYW0c/"", ""Сводка!A:AA""), 11, FALSE)"),"978-601-238-446-8")</f>
        <v>978-601-238-446-8</v>
      </c>
      <c r="E2564" s="11" t="s">
        <v>10159</v>
      </c>
      <c r="F2564" s="11" t="s">
        <v>10162</v>
      </c>
      <c r="G2564" s="12">
        <f ca="1">IFERROR(__xludf.DUMMYFUNCTION(" VLOOKUP(A2561, IMPORTRANGE(""https://docs.google.com/spreadsheets/d/1fj_Bhi2XPL3siwIh4sx4VRLAe31yD50oKdj5UlRYW0c/"", ""Сводка!A:AA""), 5, FALSE)"),200)</f>
        <v>200</v>
      </c>
      <c r="H2564" s="12" t="s">
        <v>106</v>
      </c>
      <c r="I2564" s="10">
        <f ca="1">IFERROR(__xludf.DUMMYFUNCTION(" VLOOKUP(A2561, IMPORTRANGE(""https://docs.google.com/spreadsheets/d/1QNLbnkR_AongFt22vMfNzfpjZ0CjpI8QI-w0wBnYA1w/"", ""Инфа!A:AA""), 6, FALSE)"),2024)</f>
        <v>2024</v>
      </c>
      <c r="J2564" s="5">
        <f ca="1">ROUND((5000+G2564*30),-2)</f>
        <v>11000</v>
      </c>
      <c r="K2564" s="12" t="s">
        <v>1491</v>
      </c>
      <c r="L2564" s="15"/>
    </row>
    <row r="2565" spans="1:12" ht="38.25">
      <c r="A2565" s="8" t="s">
        <v>10163</v>
      </c>
      <c r="B2565" s="9" t="s">
        <v>12</v>
      </c>
      <c r="C2565" s="10" t="s">
        <v>151</v>
      </c>
      <c r="D2565" s="10" t="str">
        <f ca="1">IFERROR(__xludf.DUMMYFUNCTION(" VLOOKUP(A2562, IMPORTRANGE(""https://docs.google.com/spreadsheets/d/1fj_Bhi2XPL3siwIh4sx4VRLAe31yD50oKdj5UlRYW0c/"", ""Сводка!A:AA""), 11, FALSE)"),"")</f>
        <v/>
      </c>
      <c r="E2565" s="11" t="s">
        <v>10164</v>
      </c>
      <c r="F2565" s="11" t="s">
        <v>10165</v>
      </c>
      <c r="G2565" s="12">
        <f ca="1">IFERROR(__xludf.DUMMYFUNCTION(" VLOOKUP(A2562, IMPORTRANGE(""https://docs.google.com/spreadsheets/d/1fj_Bhi2XPL3siwIh4sx4VRLAe31yD50oKdj5UlRYW0c/"", ""Сводка!A:AA""), 5, FALSE)"),140)</f>
        <v>140</v>
      </c>
      <c r="H2565" s="12" t="s">
        <v>47</v>
      </c>
      <c r="I2565" s="10">
        <f ca="1">IFERROR(__xludf.DUMMYFUNCTION(" VLOOKUP(A2562, IMPORTRANGE(""https://docs.google.com/spreadsheets/d/1QNLbnkR_AongFt22vMfNzfpjZ0CjpI8QI-w0wBnYA1w/"", ""Инфа!A:AA""), 6, FALSE)"),2024)</f>
        <v>2024</v>
      </c>
      <c r="J2565" s="5">
        <f ca="1">ROUND((5000+G2565*30),-2)</f>
        <v>9200</v>
      </c>
      <c r="K2565" s="12" t="s">
        <v>4015</v>
      </c>
      <c r="L2565" s="15"/>
    </row>
    <row r="2566" spans="1:12" ht="63.75">
      <c r="A2566" s="8" t="s">
        <v>10166</v>
      </c>
      <c r="B2566" s="9" t="s">
        <v>12</v>
      </c>
      <c r="C2566" s="10" t="s">
        <v>443</v>
      </c>
      <c r="D2566" s="10" t="str">
        <f ca="1">IFERROR(__xludf.DUMMYFUNCTION(" VLOOKUP(A2563, IMPORTRANGE(""https://docs.google.com/spreadsheets/d/1fj_Bhi2XPL3siwIh4sx4VRLAe31yD50oKdj5UlRYW0c/"", ""Сводка!A:AA""), 11, FALSE)"),"978-601-240-494-4")</f>
        <v>978-601-240-494-4</v>
      </c>
      <c r="E2566" s="11" t="s">
        <v>10167</v>
      </c>
      <c r="F2566" s="11" t="s">
        <v>10168</v>
      </c>
      <c r="G2566" s="12">
        <f ca="1">IFERROR(__xludf.DUMMYFUNCTION(" VLOOKUP(A2563, IMPORTRANGE(""https://docs.google.com/spreadsheets/d/1fj_Bhi2XPL3siwIh4sx4VRLAe31yD50oKdj5UlRYW0c/"", ""Сводка!A:AA""), 5, FALSE)"),332)</f>
        <v>332</v>
      </c>
      <c r="H2566" s="12" t="s">
        <v>511</v>
      </c>
      <c r="I2566" s="10">
        <f ca="1">IFERROR(__xludf.DUMMYFUNCTION(" VLOOKUP(A2563, IMPORTRANGE(""https://docs.google.com/spreadsheets/d/1QNLbnkR_AongFt22vMfNzfpjZ0CjpI8QI-w0wBnYA1w/"", ""Инфа!A:AA""), 6, FALSE)"),2024)</f>
        <v>2024</v>
      </c>
      <c r="J2566" s="5">
        <f ca="1">ROUND((5000+G2566*30),-2)</f>
        <v>15000</v>
      </c>
      <c r="K2566" s="9" t="s">
        <v>26</v>
      </c>
      <c r="L2566" s="15"/>
    </row>
    <row r="2567" spans="1:12" ht="157.5">
      <c r="A2567" s="8" t="s">
        <v>10169</v>
      </c>
      <c r="B2567" s="9" t="s">
        <v>12</v>
      </c>
      <c r="C2567" s="10" t="s">
        <v>443</v>
      </c>
      <c r="D2567" s="10" t="str">
        <f ca="1">IFERROR(__xludf.DUMMYFUNCTION(" VLOOKUP(A2564, IMPORTRANGE(""https://docs.google.com/spreadsheets/d/1fj_Bhi2XPL3siwIh4sx4VRLAe31yD50oKdj5UlRYW0c/"", ""Сводка!A:AA""), 11, FALSE)"),"978-601-310-287-0")</f>
        <v>978-601-310-287-0</v>
      </c>
      <c r="E2567" s="11" t="s">
        <v>10170</v>
      </c>
      <c r="F2567" s="11" t="s">
        <v>10171</v>
      </c>
      <c r="G2567" s="12" t="e">
        <f>#REF!</f>
        <v>#REF!</v>
      </c>
      <c r="H2567" s="12" t="s">
        <v>106</v>
      </c>
      <c r="I2567" s="10">
        <f ca="1">IFERROR(__xludf.DUMMYFUNCTION(" VLOOKUP(A2564, IMPORTRANGE(""https://docs.google.com/spreadsheets/d/1QNLbnkR_AongFt22vMfNzfpjZ0CjpI8QI-w0wBnYA1w/"", ""Инфа!A:AA""), 6, FALSE)"),2024)</f>
        <v>2024</v>
      </c>
      <c r="J2567" s="5" t="e">
        <f>ROUND((5000+G2567*30),-2)</f>
        <v>#REF!</v>
      </c>
      <c r="K2567" s="9" t="s">
        <v>539</v>
      </c>
      <c r="L2567" s="15" t="s">
        <v>10172</v>
      </c>
    </row>
    <row r="2568" spans="1:12" ht="38.25">
      <c r="A2568" s="8" t="s">
        <v>10173</v>
      </c>
      <c r="B2568" s="9" t="s">
        <v>12</v>
      </c>
      <c r="C2568" s="10" t="s">
        <v>443</v>
      </c>
      <c r="D2568" s="10" t="str">
        <f ca="1">IFERROR(__xludf.DUMMYFUNCTION(" VLOOKUP(A2565, IMPORTRANGE(""https://docs.google.com/spreadsheets/d/1fj_Bhi2XPL3siwIh4sx4VRLAe31yD50oKdj5UlRYW0c/"", ""Сводка!A:AA""), 11, FALSE)"),"978-601-310-349-5")</f>
        <v>978-601-310-349-5</v>
      </c>
      <c r="E2568" s="11" t="s">
        <v>10174</v>
      </c>
      <c r="F2568" s="11" t="s">
        <v>10175</v>
      </c>
      <c r="G2568" s="12">
        <f ca="1">IFERROR(__xludf.DUMMYFUNCTION(" VLOOKUP(A2565, IMPORTRANGE(""https://docs.google.com/spreadsheets/d/1fj_Bhi2XPL3siwIh4sx4VRLAe31yD50oKdj5UlRYW0c/"", ""Сводка!A:AA""), 5, FALSE)"),92)</f>
        <v>92</v>
      </c>
      <c r="H2568" s="12" t="s">
        <v>538</v>
      </c>
      <c r="I2568" s="10">
        <f ca="1">IFERROR(__xludf.DUMMYFUNCTION(" VLOOKUP(A2565, IMPORTRANGE(""https://docs.google.com/spreadsheets/d/1QNLbnkR_AongFt22vMfNzfpjZ0CjpI8QI-w0wBnYA1w/"", ""Инфа!A:AA""), 6, FALSE)"),2024)</f>
        <v>2024</v>
      </c>
      <c r="J2568" s="5">
        <f ca="1">ROUND((5000+G2568*60),-2)</f>
        <v>10500</v>
      </c>
      <c r="K2568" s="9" t="s">
        <v>758</v>
      </c>
      <c r="L2568" s="15"/>
    </row>
    <row r="2569" spans="1:12" ht="101.25">
      <c r="A2569" s="8" t="s">
        <v>10176</v>
      </c>
      <c r="B2569" s="9" t="s">
        <v>12</v>
      </c>
      <c r="C2569" s="10" t="s">
        <v>151</v>
      </c>
      <c r="D2569" s="10" t="str">
        <f ca="1">IFERROR(__xludf.DUMMYFUNCTION(" VLOOKUP(A2566, IMPORTRANGE(""https://docs.google.com/spreadsheets/d/1fj_Bhi2XPL3siwIh4sx4VRLAe31yD50oKdj5UlRYW0c/"", ""Сводка!A:AA""), 11, FALSE)"),"978-601-238-626-4")</f>
        <v>978-601-238-626-4</v>
      </c>
      <c r="E2569" s="11" t="s">
        <v>10177</v>
      </c>
      <c r="F2569" s="11" t="s">
        <v>1947</v>
      </c>
      <c r="G2569" s="12">
        <f ca="1">IFERROR(__xludf.DUMMYFUNCTION(" VLOOKUP(A2566, IMPORTRANGE(""https://docs.google.com/spreadsheets/d/1fj_Bhi2XPL3siwIh4sx4VRLAe31yD50oKdj5UlRYW0c/"", ""Сводка!A:AA""), 5, FALSE)"),208)</f>
        <v>208</v>
      </c>
      <c r="H2569" s="12" t="s">
        <v>165</v>
      </c>
      <c r="I2569" s="10">
        <f ca="1">IFERROR(__xludf.DUMMYFUNCTION(" VLOOKUP(A2566, IMPORTRANGE(""https://docs.google.com/spreadsheets/d/1QNLbnkR_AongFt22vMfNzfpjZ0CjpI8QI-w0wBnYA1w/"", ""Инфа!A:AA""), 6, FALSE)"),2024)</f>
        <v>2024</v>
      </c>
      <c r="J2569" s="5">
        <f ca="1">ROUND((5000+G2569*30),-2)</f>
        <v>11200</v>
      </c>
      <c r="K2569" s="12" t="s">
        <v>1947</v>
      </c>
      <c r="L2569" s="15" t="s">
        <v>10178</v>
      </c>
    </row>
    <row r="2570" spans="1:12" ht="157.5">
      <c r="A2570" s="8" t="s">
        <v>10179</v>
      </c>
      <c r="B2570" s="9" t="s">
        <v>12</v>
      </c>
      <c r="C2570" s="10" t="s">
        <v>443</v>
      </c>
      <c r="D2570" s="10" t="str">
        <f ca="1">IFERROR(__xludf.DUMMYFUNCTION(" VLOOKUP(A2567, IMPORTRANGE(""https://docs.google.com/spreadsheets/d/1fj_Bhi2XPL3siwIh4sx4VRLAe31yD50oKdj5UlRYW0c/"", ""Сводка!A:AA""), 11, FALSE)"),"978-601-7816-49-0")</f>
        <v>978-601-7816-49-0</v>
      </c>
      <c r="E2570" s="11" t="s">
        <v>10180</v>
      </c>
      <c r="F2570" s="11" t="s">
        <v>10181</v>
      </c>
      <c r="G2570" s="12">
        <f ca="1">IFERROR(__xludf.DUMMYFUNCTION(" VLOOKUP(A2567, IMPORTRANGE(""https://docs.google.com/spreadsheets/d/1fj_Bhi2XPL3siwIh4sx4VRLAe31yD50oKdj5UlRYW0c/"", ""Сводка!A:AA""), 5, FALSE)"),160)</f>
        <v>160</v>
      </c>
      <c r="H2570" s="12" t="s">
        <v>538</v>
      </c>
      <c r="I2570" s="10">
        <f ca="1">IFERROR(__xludf.DUMMYFUNCTION(" VLOOKUP(A2567, IMPORTRANGE(""https://docs.google.com/spreadsheets/d/1QNLbnkR_AongFt22vMfNzfpjZ0CjpI8QI-w0wBnYA1w/"", ""Инфа!A:AA""), 6, FALSE)"),2024)</f>
        <v>2024</v>
      </c>
      <c r="J2570" s="5">
        <f ca="1">ROUND((5000+G2570*60),-2)</f>
        <v>14600</v>
      </c>
      <c r="K2570" s="12" t="s">
        <v>1947</v>
      </c>
      <c r="L2570" s="15" t="s">
        <v>10182</v>
      </c>
    </row>
    <row r="2571" spans="1:12" ht="146.25">
      <c r="A2571" s="8" t="s">
        <v>10183</v>
      </c>
      <c r="B2571" s="9" t="s">
        <v>12</v>
      </c>
      <c r="C2571" s="10" t="s">
        <v>443</v>
      </c>
      <c r="D2571" s="10" t="str">
        <f ca="1">IFERROR(__xludf.DUMMYFUNCTION(" VLOOKUP(A2568, IMPORTRANGE(""https://docs.google.com/spreadsheets/d/1fj_Bhi2XPL3siwIh4sx4VRLAe31yD50oKdj5UlRYW0c/"", ""Сводка!A:AA""), 11, FALSE)"),"978-601-310-132-3")</f>
        <v>978-601-310-132-3</v>
      </c>
      <c r="E2571" s="11" t="s">
        <v>10184</v>
      </c>
      <c r="F2571" s="11" t="s">
        <v>10185</v>
      </c>
      <c r="G2571" s="12">
        <f ca="1">IFERROR(__xludf.DUMMYFUNCTION(" VLOOKUP(A2568, IMPORTRANGE(""https://docs.google.com/spreadsheets/d/1fj_Bhi2XPL3siwIh4sx4VRLAe31yD50oKdj5UlRYW0c/"", ""Сводка!A:AA""), 5, FALSE)"),240)</f>
        <v>240</v>
      </c>
      <c r="H2571" s="12" t="s">
        <v>538</v>
      </c>
      <c r="I2571" s="10">
        <f ca="1">IFERROR(__xludf.DUMMYFUNCTION(" VLOOKUP(A2568, IMPORTRANGE(""https://docs.google.com/spreadsheets/d/1QNLbnkR_AongFt22vMfNzfpjZ0CjpI8QI-w0wBnYA1w/"", ""Инфа!A:AA""), 6, FALSE)"),2023)</f>
        <v>2023</v>
      </c>
      <c r="J2571" s="5">
        <f ca="1">ROUND((5000+G2571*30),-2)</f>
        <v>12200</v>
      </c>
      <c r="K2571" s="9" t="s">
        <v>171</v>
      </c>
      <c r="L2571" s="15" t="s">
        <v>10186</v>
      </c>
    </row>
    <row r="2572" spans="1:12" ht="25.5">
      <c r="A2572" s="8" t="s">
        <v>10187</v>
      </c>
      <c r="B2572" s="9" t="s">
        <v>12</v>
      </c>
      <c r="C2572" s="10" t="s">
        <v>151</v>
      </c>
      <c r="D2572" s="10" t="str">
        <f ca="1">IFERROR(__xludf.DUMMYFUNCTION(" VLOOKUP(A2569, IMPORTRANGE(""https://docs.google.com/spreadsheets/d/1fj_Bhi2XPL3siwIh4sx4VRLAe31yD50oKdj5UlRYW0c/"", ""Сводка!A:AA""), 11, FALSE)"),"978-601-240-264-3")</f>
        <v>978-601-240-264-3</v>
      </c>
      <c r="E2572" s="19" t="s">
        <v>10188</v>
      </c>
      <c r="F2572" s="19" t="s">
        <v>3370</v>
      </c>
      <c r="G2572" s="12">
        <f ca="1">IFERROR(__xludf.DUMMYFUNCTION(" VLOOKUP(A2569, IMPORTRANGE(""https://docs.google.com/spreadsheets/d/1fj_Bhi2XPL3siwIh4sx4VRLAe31yD50oKdj5UlRYW0c/"", ""Сводка!A:AA""), 5, FALSE)"),164)</f>
        <v>164</v>
      </c>
      <c r="H2572" s="9" t="s">
        <v>47</v>
      </c>
      <c r="I2572" s="10">
        <f ca="1">IFERROR(__xludf.DUMMYFUNCTION(" VLOOKUP(A2569, IMPORTRANGE(""https://docs.google.com/spreadsheets/d/1QNLbnkR_AongFt22vMfNzfpjZ0CjpI8QI-w0wBnYA1w/"", ""Инфа!A:AA""), 6, FALSE)"),2024)</f>
        <v>2024</v>
      </c>
      <c r="J2572" s="5">
        <f ca="1">ROUND((5000+G2572*60),-2)</f>
        <v>14800</v>
      </c>
      <c r="K2572" s="12" t="s">
        <v>575</v>
      </c>
      <c r="L2572" s="15"/>
    </row>
    <row r="2573" spans="1:12" ht="76.5">
      <c r="A2573" s="8" t="s">
        <v>10189</v>
      </c>
      <c r="B2573" s="9" t="s">
        <v>12</v>
      </c>
      <c r="C2573" s="10" t="s">
        <v>151</v>
      </c>
      <c r="D2573" s="10" t="str">
        <f ca="1">IFERROR(__xludf.DUMMYFUNCTION(" VLOOKUP(A2570, IMPORTRANGE(""https://docs.google.com/spreadsheets/d/1fj_Bhi2XPL3siwIh4sx4VRLAe31yD50oKdj5UlRYW0c/"", ""Сводка!A:AA""), 11, FALSE)"),"978-601-327-242-9")</f>
        <v>978-601-327-242-9</v>
      </c>
      <c r="E2573" s="11" t="s">
        <v>10190</v>
      </c>
      <c r="F2573" s="11" t="s">
        <v>10191</v>
      </c>
      <c r="G2573" s="12">
        <f ca="1">IFERROR(__xludf.DUMMYFUNCTION(" VLOOKUP(A2570, IMPORTRANGE(""https://docs.google.com/spreadsheets/d/1fj_Bhi2XPL3siwIh4sx4VRLAe31yD50oKdj5UlRYW0c/"", ""Сводка!A:AA""), 5, FALSE)"),92)</f>
        <v>92</v>
      </c>
      <c r="H2573" s="12" t="s">
        <v>47</v>
      </c>
      <c r="I2573" s="10">
        <f ca="1">IFERROR(__xludf.DUMMYFUNCTION(" VLOOKUP(A2570, IMPORTRANGE(""https://docs.google.com/spreadsheets/d/1QNLbnkR_AongFt22vMfNzfpjZ0CjpI8QI-w0wBnYA1w/"", ""Инфа!A:AA""), 6, FALSE)"),2024)</f>
        <v>2024</v>
      </c>
      <c r="J2573" s="5">
        <f ca="1">ROUND((5000+G2573*30),-2)</f>
        <v>7800</v>
      </c>
      <c r="K2573" s="12" t="s">
        <v>4015</v>
      </c>
      <c r="L2573" s="15" t="s">
        <v>10192</v>
      </c>
    </row>
    <row r="2574" spans="1:12" ht="25.5">
      <c r="A2574" s="8" t="s">
        <v>10193</v>
      </c>
      <c r="B2574" s="9" t="s">
        <v>12</v>
      </c>
      <c r="C2574" s="10" t="s">
        <v>443</v>
      </c>
      <c r="D2574" s="10" t="str">
        <f ca="1">IFERROR(__xludf.DUMMYFUNCTION(" VLOOKUP(A2571, IMPORTRANGE(""https://docs.google.com/spreadsheets/d/1fj_Bhi2XPL3siwIh4sx4VRLAe31yD50oKdj5UlRYW0c/"", ""Сводка!A:AA""), 11, FALSE)"),"978-601-310-365-5")</f>
        <v>978-601-310-365-5</v>
      </c>
      <c r="E2574" s="11" t="s">
        <v>10194</v>
      </c>
      <c r="F2574" s="11" t="s">
        <v>10195</v>
      </c>
      <c r="G2574" s="12">
        <f ca="1">IFERROR(__xludf.DUMMYFUNCTION(" VLOOKUP(A2571, IMPORTRANGE(""https://docs.google.com/spreadsheets/d/1fj_Bhi2XPL3siwIh4sx4VRLAe31yD50oKdj5UlRYW0c/"", ""Сводка!A:AA""), 5, FALSE)"),168)</f>
        <v>168</v>
      </c>
      <c r="H2574" s="12" t="s">
        <v>538</v>
      </c>
      <c r="I2574" s="10">
        <f ca="1">IFERROR(__xludf.DUMMYFUNCTION(" VLOOKUP(A2571, IMPORTRANGE(""https://docs.google.com/spreadsheets/d/1QNLbnkR_AongFt22vMfNzfpjZ0CjpI8QI-w0wBnYA1w/"", ""Инфа!A:AA""), 6, FALSE)"),2024)</f>
        <v>2024</v>
      </c>
      <c r="J2574" s="5">
        <f ca="1">ROUND((5000+G2574*30),-2)</f>
        <v>10000</v>
      </c>
      <c r="K2574" s="12" t="s">
        <v>26</v>
      </c>
      <c r="L2574" s="15"/>
    </row>
    <row r="2575" spans="1:12" ht="247.5">
      <c r="A2575" s="8" t="s">
        <v>10196</v>
      </c>
      <c r="B2575" s="9" t="s">
        <v>12</v>
      </c>
      <c r="C2575" s="10" t="s">
        <v>443</v>
      </c>
      <c r="D2575" s="10" t="str">
        <f ca="1">IFERROR(__xludf.DUMMYFUNCTION(" VLOOKUP(A2572, IMPORTRANGE(""https://docs.google.com/spreadsheets/d/1fj_Bhi2XPL3siwIh4sx4VRLAe31yD50oKdj5UlRYW0c/"", ""Сводка!A:AA""), 11, FALSE)"),"978-601-310-354-9")</f>
        <v>978-601-310-354-9</v>
      </c>
      <c r="E2575" s="11" t="s">
        <v>10194</v>
      </c>
      <c r="F2575" s="11" t="s">
        <v>10197</v>
      </c>
      <c r="G2575" s="12" t="e">
        <f>#REF!</f>
        <v>#REF!</v>
      </c>
      <c r="H2575" s="12" t="s">
        <v>538</v>
      </c>
      <c r="I2575" s="10">
        <f ca="1">IFERROR(__xludf.DUMMYFUNCTION(" VLOOKUP(A2572, IMPORTRANGE(""https://docs.google.com/spreadsheets/d/1QNLbnkR_AongFt22vMfNzfpjZ0CjpI8QI-w0wBnYA1w/"", ""Инфа!A:AA""), 6, FALSE)"),2024)</f>
        <v>2024</v>
      </c>
      <c r="J2575" s="5" t="e">
        <f>ROUND((5000+G2575*30),-2)</f>
        <v>#REF!</v>
      </c>
      <c r="K2575" s="12" t="s">
        <v>26</v>
      </c>
      <c r="L2575" s="15" t="s">
        <v>10198</v>
      </c>
    </row>
    <row r="2576" spans="1:12" ht="63.75">
      <c r="A2576" s="8" t="s">
        <v>10199</v>
      </c>
      <c r="B2576" s="9" t="s">
        <v>12</v>
      </c>
      <c r="C2576" s="10" t="s">
        <v>443</v>
      </c>
      <c r="D2576" s="10" t="str">
        <f ca="1">IFERROR(__xludf.DUMMYFUNCTION(" VLOOKUP(A2573, IMPORTRANGE(""https://docs.google.com/spreadsheets/d/1fj_Bhi2XPL3siwIh4sx4VRLAe31yD50oKdj5UlRYW0c/"", ""Сводка!A:AA""), 11, FALSE)"),"978-601-310-328-0")</f>
        <v>978-601-310-328-0</v>
      </c>
      <c r="E2576" s="11" t="s">
        <v>10194</v>
      </c>
      <c r="F2576" s="11" t="s">
        <v>10200</v>
      </c>
      <c r="G2576" s="12">
        <f ca="1">IFERROR(__xludf.DUMMYFUNCTION(" VLOOKUP(A2573, IMPORTRANGE(""https://docs.google.com/spreadsheets/d/1fj_Bhi2XPL3siwIh4sx4VRLAe31yD50oKdj5UlRYW0c/"", ""Сводка!A:AA""), 5, FALSE)"),252)</f>
        <v>252</v>
      </c>
      <c r="H2576" s="12" t="s">
        <v>538</v>
      </c>
      <c r="I2576" s="10">
        <f ca="1">IFERROR(__xludf.DUMMYFUNCTION(" VLOOKUP(A2573, IMPORTRANGE(""https://docs.google.com/spreadsheets/d/1QNLbnkR_AongFt22vMfNzfpjZ0CjpI8QI-w0wBnYA1w/"", ""Инфа!A:AA""), 6, FALSE)"),2024)</f>
        <v>2024</v>
      </c>
      <c r="J2576" s="5">
        <f ca="1">ROUND((5000+G2576*30),-2)</f>
        <v>12600</v>
      </c>
      <c r="K2576" s="9" t="s">
        <v>539</v>
      </c>
      <c r="L2576" s="15"/>
    </row>
    <row r="2577" spans="1:12" ht="202.5">
      <c r="A2577" s="8" t="s">
        <v>10201</v>
      </c>
      <c r="B2577" s="9" t="s">
        <v>12</v>
      </c>
      <c r="C2577" s="10" t="s">
        <v>443</v>
      </c>
      <c r="D2577" s="10" t="str">
        <f ca="1">IFERROR(__xludf.DUMMYFUNCTION(" VLOOKUP(A2574, IMPORTRANGE(""https://docs.google.com/spreadsheets/d/1fj_Bhi2XPL3siwIh4sx4VRLAe31yD50oKdj5UlRYW0c/"", ""Сводка!A:AA""), 11, FALSE)"),"978-601-310-359-4")</f>
        <v>978-601-310-359-4</v>
      </c>
      <c r="E2577" s="11" t="s">
        <v>10194</v>
      </c>
      <c r="F2577" s="11" t="s">
        <v>10202</v>
      </c>
      <c r="G2577" s="12">
        <f ca="1">IFERROR(__xludf.DUMMYFUNCTION(" VLOOKUP(A2574, IMPORTRANGE(""https://docs.google.com/spreadsheets/d/1fj_Bhi2XPL3siwIh4sx4VRLAe31yD50oKdj5UlRYW0c/"", ""Сводка!A:AA""), 5, FALSE)"),260)</f>
        <v>260</v>
      </c>
      <c r="H2577" s="12" t="s">
        <v>538</v>
      </c>
      <c r="I2577" s="10">
        <f ca="1">IFERROR(__xludf.DUMMYFUNCTION(" VLOOKUP(A2574, IMPORTRANGE(""https://docs.google.com/spreadsheets/d/1QNLbnkR_AongFt22vMfNzfpjZ0CjpI8QI-w0wBnYA1w/"", ""Инфа!A:AA""), 6, FALSE)"),2024)</f>
        <v>2024</v>
      </c>
      <c r="J2577" s="5">
        <f ca="1">ROUND((5000+G2577*30),-2)</f>
        <v>12800</v>
      </c>
      <c r="K2577" s="12" t="s">
        <v>26</v>
      </c>
      <c r="L2577" s="15" t="s">
        <v>10203</v>
      </c>
    </row>
    <row r="2578" spans="1:12" ht="191.25">
      <c r="A2578" s="8" t="s">
        <v>10204</v>
      </c>
      <c r="B2578" s="9" t="s">
        <v>12</v>
      </c>
      <c r="C2578" s="10" t="s">
        <v>443</v>
      </c>
      <c r="D2578" s="10" t="str">
        <f ca="1">IFERROR(__xludf.DUMMYFUNCTION(" VLOOKUP(A2575, IMPORTRANGE(""https://docs.google.com/spreadsheets/d/1fj_Bhi2XPL3siwIh4sx4VRLAe31yD50oKdj5UlRYW0c/"", ""Сводка!A:AA""), 11, FALSE)"),"978-601-310-353-2")</f>
        <v>978-601-310-353-2</v>
      </c>
      <c r="E2578" s="11" t="s">
        <v>10194</v>
      </c>
      <c r="F2578" s="11" t="s">
        <v>587</v>
      </c>
      <c r="G2578" s="12">
        <f ca="1">IFERROR(__xludf.DUMMYFUNCTION(" VLOOKUP(A2575, IMPORTRANGE(""https://docs.google.com/spreadsheets/d/1fj_Bhi2XPL3siwIh4sx4VRLAe31yD50oKdj5UlRYW0c/"", ""Сводка!A:AA""), 5, FALSE)"),224)</f>
        <v>224</v>
      </c>
      <c r="H2578" s="12" t="s">
        <v>538</v>
      </c>
      <c r="I2578" s="10">
        <f ca="1">IFERROR(__xludf.DUMMYFUNCTION(" VLOOKUP(A2575, IMPORTRANGE(""https://docs.google.com/spreadsheets/d/1QNLbnkR_AongFt22vMfNzfpjZ0CjpI8QI-w0wBnYA1w/"", ""Инфа!A:AA""), 6, FALSE)"),2024)</f>
        <v>2024</v>
      </c>
      <c r="J2578" s="5">
        <f ca="1">ROUND((5000+G2578*60),-2)</f>
        <v>18400</v>
      </c>
      <c r="K2578" s="9" t="s">
        <v>539</v>
      </c>
      <c r="L2578" s="15" t="s">
        <v>10205</v>
      </c>
    </row>
    <row r="2579" spans="1:12" ht="63.75">
      <c r="A2579" s="8" t="s">
        <v>10206</v>
      </c>
      <c r="B2579" s="9" t="s">
        <v>12</v>
      </c>
      <c r="C2579" s="10" t="s">
        <v>443</v>
      </c>
      <c r="D2579" s="10" t="str">
        <f ca="1">IFERROR(__xludf.DUMMYFUNCTION(" VLOOKUP(A2576, IMPORTRANGE(""https://docs.google.com/spreadsheets/d/1fj_Bhi2XPL3siwIh4sx4VRLAe31yD50oKdj5UlRYW0c/"", ""Сводка!A:AA""), 11, FALSE)"),"978-601-310-327-3")</f>
        <v>978-601-310-327-3</v>
      </c>
      <c r="E2579" s="11" t="s">
        <v>10194</v>
      </c>
      <c r="F2579" s="11" t="s">
        <v>10207</v>
      </c>
      <c r="G2579" s="12">
        <f ca="1">IFERROR(__xludf.DUMMYFUNCTION(" VLOOKUP(A2576, IMPORTRANGE(""https://docs.google.com/spreadsheets/d/1fj_Bhi2XPL3siwIh4sx4VRLAe31yD50oKdj5UlRYW0c/"", ""Сводка!A:AA""), 5, FALSE)"),224)</f>
        <v>224</v>
      </c>
      <c r="H2579" s="12" t="s">
        <v>538</v>
      </c>
      <c r="I2579" s="10">
        <f ca="1">IFERROR(__xludf.DUMMYFUNCTION(" VLOOKUP(A2576, IMPORTRANGE(""https://docs.google.com/spreadsheets/d/1QNLbnkR_AongFt22vMfNzfpjZ0CjpI8QI-w0wBnYA1w/"", ""Инфа!A:AA""), 6, FALSE)"),2024)</f>
        <v>2024</v>
      </c>
      <c r="J2579" s="5">
        <f ca="1">ROUND((5000+G2579*30),-2)</f>
        <v>11700</v>
      </c>
      <c r="K2579" s="12" t="s">
        <v>26</v>
      </c>
      <c r="L2579" s="15"/>
    </row>
    <row r="2580" spans="1:12" ht="25.5">
      <c r="A2580" s="8" t="s">
        <v>10208</v>
      </c>
      <c r="B2580" s="9" t="s">
        <v>12</v>
      </c>
      <c r="C2580" s="10" t="s">
        <v>443</v>
      </c>
      <c r="D2580" s="10" t="str">
        <f ca="1">IFERROR(__xludf.DUMMYFUNCTION(" VLOOKUP(A2577, IMPORTRANGE(""https://docs.google.com/spreadsheets/d/1fj_Bhi2XPL3siwIh4sx4VRLAe31yD50oKdj5UlRYW0c/"", ""Сводка!A:AA""), 11, FALSE)"),"978-601-310-459-1")</f>
        <v>978-601-310-459-1</v>
      </c>
      <c r="E2580" s="11" t="s">
        <v>10194</v>
      </c>
      <c r="F2580" s="11" t="s">
        <v>10209</v>
      </c>
      <c r="G2580" s="12">
        <f ca="1">IFERROR(__xludf.DUMMYFUNCTION(" VLOOKUP(A2577, IMPORTRANGE(""https://docs.google.com/spreadsheets/d/1fj_Bhi2XPL3siwIh4sx4VRLAe31yD50oKdj5UlRYW0c/"", ""Сводка!A:AA""), 5, FALSE)"),152)</f>
        <v>152</v>
      </c>
      <c r="H2580" s="12" t="s">
        <v>538</v>
      </c>
      <c r="I2580" s="10">
        <f ca="1">IFERROR(__xludf.DUMMYFUNCTION(" VLOOKUP(A2577, IMPORTRANGE(""https://docs.google.com/spreadsheets/d/1QNLbnkR_AongFt22vMfNzfpjZ0CjpI8QI-w0wBnYA1w/"", ""Инфа!A:AA""), 6, FALSE)"),2024)</f>
        <v>2024</v>
      </c>
      <c r="J2580" s="5">
        <f ca="1">ROUND((5000+G2580*30),-2)</f>
        <v>9600</v>
      </c>
      <c r="K2580" s="12" t="s">
        <v>26</v>
      </c>
      <c r="L2580" s="15"/>
    </row>
    <row r="2581" spans="1:12" ht="25.5">
      <c r="A2581" s="8" t="s">
        <v>10210</v>
      </c>
      <c r="B2581" s="9" t="s">
        <v>12</v>
      </c>
      <c r="C2581" s="10" t="s">
        <v>151</v>
      </c>
      <c r="D2581" s="10" t="str">
        <f ca="1">IFERROR(__xludf.DUMMYFUNCTION(" VLOOKUP(A2578, IMPORTRANGE(""https://docs.google.com/spreadsheets/d/1fj_Bhi2XPL3siwIh4sx4VRLAe31yD50oKdj5UlRYW0c/"", ""Сводка!A:AA""), 11, FALSE)"),"978-601-310-377-8")</f>
        <v>978-601-310-377-8</v>
      </c>
      <c r="E2581" s="11" t="s">
        <v>10194</v>
      </c>
      <c r="F2581" s="11" t="s">
        <v>10211</v>
      </c>
      <c r="G2581" s="12">
        <f ca="1">IFERROR(__xludf.DUMMYFUNCTION(" VLOOKUP(A2578, IMPORTRANGE(""https://docs.google.com/spreadsheets/d/1fj_Bhi2XPL3siwIh4sx4VRLAe31yD50oKdj5UlRYW0c/"", ""Сводка!A:AA""), 5, FALSE)"),126)</f>
        <v>126</v>
      </c>
      <c r="H2581" s="12" t="s">
        <v>47</v>
      </c>
      <c r="I2581" s="10">
        <f ca="1">IFERROR(__xludf.DUMMYFUNCTION(" VLOOKUP(A2578, IMPORTRANGE(""https://docs.google.com/spreadsheets/d/1QNLbnkR_AongFt22vMfNzfpjZ0CjpI8QI-w0wBnYA1w/"", ""Инфа!A:AA""), 6, FALSE)"),2024)</f>
        <v>2024</v>
      </c>
      <c r="J2581" s="5">
        <f ca="1">ROUND((5000+G2581*30),-2)</f>
        <v>8800</v>
      </c>
      <c r="K2581" s="9" t="s">
        <v>26</v>
      </c>
      <c r="L2581" s="15"/>
    </row>
    <row r="2582" spans="1:12" ht="51">
      <c r="A2582" s="8" t="s">
        <v>10212</v>
      </c>
      <c r="B2582" s="9" t="s">
        <v>12</v>
      </c>
      <c r="C2582" s="10" t="s">
        <v>151</v>
      </c>
      <c r="D2582" s="10" t="str">
        <f ca="1">IFERROR(__xludf.DUMMYFUNCTION(" VLOOKUP(A2579, IMPORTRANGE(""https://docs.google.com/spreadsheets/d/1fj_Bhi2XPL3siwIh4sx4VRLAe31yD50oKdj5UlRYW0c/"", ""Сводка!A:AA""), 11, FALSE)"),"978-601-238-465-9")</f>
        <v>978-601-238-465-9</v>
      </c>
      <c r="E2582" s="11" t="s">
        <v>10194</v>
      </c>
      <c r="F2582" s="11" t="s">
        <v>10213</v>
      </c>
      <c r="G2582" s="12">
        <f ca="1">IFERROR(__xludf.DUMMYFUNCTION(" VLOOKUP(A2579, IMPORTRANGE(""https://docs.google.com/spreadsheets/d/1fj_Bhi2XPL3siwIh4sx4VRLAe31yD50oKdj5UlRYW0c/"", ""Сводка!A:AA""), 5, FALSE)"),162)</f>
        <v>162</v>
      </c>
      <c r="H2582" s="12" t="s">
        <v>47</v>
      </c>
      <c r="I2582" s="10">
        <f ca="1">IFERROR(__xludf.DUMMYFUNCTION(" VLOOKUP(A2579, IMPORTRANGE(""https://docs.google.com/spreadsheets/d/1QNLbnkR_AongFt22vMfNzfpjZ0CjpI8QI-w0wBnYA1w/"", ""Инфа!A:AA""), 6, FALSE)"),2024)</f>
        <v>2024</v>
      </c>
      <c r="J2582" s="5">
        <f ca="1">ROUND((5000+G2582*30),-2)</f>
        <v>9900</v>
      </c>
      <c r="K2582" s="9" t="s">
        <v>26</v>
      </c>
      <c r="L2582" s="15"/>
    </row>
    <row r="2583" spans="1:12" ht="135">
      <c r="A2583" s="8" t="s">
        <v>10214</v>
      </c>
      <c r="B2583" s="9" t="s">
        <v>12</v>
      </c>
      <c r="C2583" s="10" t="s">
        <v>13</v>
      </c>
      <c r="D2583" s="10" t="str">
        <f ca="1">IFERROR(__xludf.DUMMYFUNCTION(" VLOOKUP(A2580, IMPORTRANGE(""https://docs.google.com/spreadsheets/d/1fj_Bhi2XPL3siwIh4sx4VRLAe31yD50oKdj5UlRYW0c/"", ""Сводка!A:AA""), 11, FALSE)"),"987-601-310-459-1")</f>
        <v>987-601-310-459-1</v>
      </c>
      <c r="E2583" s="11" t="s">
        <v>10215</v>
      </c>
      <c r="F2583" s="11" t="s">
        <v>10216</v>
      </c>
      <c r="G2583" s="12">
        <f ca="1">IFERROR(__xludf.DUMMYFUNCTION(" VLOOKUP(A2580, IMPORTRANGE(""https://docs.google.com/spreadsheets/d/1fj_Bhi2XPL3siwIh4sx4VRLAe31yD50oKdj5UlRYW0c/"", ""Сводка!A:AA""), 5, FALSE)"),112)</f>
        <v>112</v>
      </c>
      <c r="H2583" s="12" t="s">
        <v>10217</v>
      </c>
      <c r="I2583" s="10">
        <f ca="1">IFERROR(__xludf.DUMMYFUNCTION(" VLOOKUP(A2580, IMPORTRANGE(""https://docs.google.com/spreadsheets/d/1QNLbnkR_AongFt22vMfNzfpjZ0CjpI8QI-w0wBnYA1w/"", ""Инфа!A:AA""), 6, FALSE)"),2024)</f>
        <v>2024</v>
      </c>
      <c r="J2583" s="5">
        <f ca="1">ROUND((5000+G2583*60),-2)</f>
        <v>11700</v>
      </c>
      <c r="K2583" s="12" t="s">
        <v>213</v>
      </c>
      <c r="L2583" s="15" t="s">
        <v>10218</v>
      </c>
    </row>
    <row r="2584" spans="1:12" ht="51">
      <c r="A2584" s="8" t="s">
        <v>10219</v>
      </c>
      <c r="B2584" s="9" t="s">
        <v>12</v>
      </c>
      <c r="C2584" s="10" t="s">
        <v>151</v>
      </c>
      <c r="D2584" s="10" t="str">
        <f ca="1">IFERROR(__xludf.DUMMYFUNCTION(" VLOOKUP(A2581, IMPORTRANGE(""https://docs.google.com/spreadsheets/d/1fj_Bhi2XPL3siwIh4sx4VRLAe31yD50oKdj5UlRYW0c/"", ""Сводка!A:AA""), 11, FALSE)"),"987-601-310-459-1")</f>
        <v>987-601-310-459-1</v>
      </c>
      <c r="E2584" s="11" t="s">
        <v>10220</v>
      </c>
      <c r="F2584" s="11" t="s">
        <v>10221</v>
      </c>
      <c r="G2584" s="12">
        <f ca="1">IFERROR(__xludf.DUMMYFUNCTION(" VLOOKUP(A2581, IMPORTRANGE(""https://docs.google.com/spreadsheets/d/1fj_Bhi2XPL3siwIh4sx4VRLAe31yD50oKdj5UlRYW0c/"", ""Сводка!A:AA""), 5, FALSE)"),204)</f>
        <v>204</v>
      </c>
      <c r="H2584" s="12" t="s">
        <v>106</v>
      </c>
      <c r="I2584" s="10">
        <f ca="1">IFERROR(__xludf.DUMMYFUNCTION(" VLOOKUP(A2581, IMPORTRANGE(""https://docs.google.com/spreadsheets/d/1QNLbnkR_AongFt22vMfNzfpjZ0CjpI8QI-w0wBnYA1w/"", ""Инфа!A:AA""), 6, FALSE)"),2024)</f>
        <v>2024</v>
      </c>
      <c r="J2584" s="5">
        <f ca="1">ROUND((5000+G2584*30),-2)</f>
        <v>11100</v>
      </c>
      <c r="K2584" s="12" t="s">
        <v>213</v>
      </c>
      <c r="L2584" s="15"/>
    </row>
    <row r="2585" spans="1:12" ht="90">
      <c r="A2585" s="8" t="s">
        <v>10222</v>
      </c>
      <c r="B2585" s="9" t="s">
        <v>12</v>
      </c>
      <c r="C2585" s="10" t="s">
        <v>443</v>
      </c>
      <c r="D2585" s="10" t="str">
        <f ca="1">IFERROR(__xludf.DUMMYFUNCTION(" VLOOKUP(A2582, IMPORTRANGE(""https://docs.google.com/spreadsheets/d/1fj_Bhi2XPL3siwIh4sx4VRLAe31yD50oKdj5UlRYW0c/"", ""Сводка!A:AA""), 11, FALSE)"),"978-601-228-573-4")</f>
        <v>978-601-228-573-4</v>
      </c>
      <c r="E2585" s="11" t="s">
        <v>10223</v>
      </c>
      <c r="F2585" s="11" t="s">
        <v>10224</v>
      </c>
      <c r="G2585" s="12">
        <f ca="1">IFERROR(__xludf.DUMMYFUNCTION(" VLOOKUP(A2582, IMPORTRANGE(""https://docs.google.com/spreadsheets/d/1fj_Bhi2XPL3siwIh4sx4VRLAe31yD50oKdj5UlRYW0c/"", ""Сводка!A:AA""), 5, FALSE)"),196)</f>
        <v>196</v>
      </c>
      <c r="H2585" s="12"/>
      <c r="I2585" s="10">
        <f ca="1">IFERROR(__xludf.DUMMYFUNCTION(" VLOOKUP(A2582, IMPORTRANGE(""https://docs.google.com/spreadsheets/d/1QNLbnkR_AongFt22vMfNzfpjZ0CjpI8QI-w0wBnYA1w/"", ""Инфа!A:AA""), 6, FALSE)"),2024)</f>
        <v>2024</v>
      </c>
      <c r="J2585" s="5">
        <f ca="1">ROUND((5000+G2585*30),-2)</f>
        <v>10900</v>
      </c>
      <c r="K2585" s="12" t="s">
        <v>10225</v>
      </c>
      <c r="L2585" s="15" t="s">
        <v>10226</v>
      </c>
    </row>
    <row r="2586" spans="1:12" ht="135">
      <c r="A2586" s="8" t="s">
        <v>10227</v>
      </c>
      <c r="B2586" s="9" t="s">
        <v>12</v>
      </c>
      <c r="C2586" s="10" t="s">
        <v>13</v>
      </c>
      <c r="D2586" s="10" t="str">
        <f ca="1">IFERROR(__xludf.DUMMYFUNCTION(" VLOOKUP(A2583, IMPORTRANGE(""https://docs.google.com/spreadsheets/d/1fj_Bhi2XPL3siwIh4sx4VRLAe31yD50oKdj5UlRYW0c/"", ""Сводка!A:AA""), 11, FALSE)"),"978-601-310-406-5")</f>
        <v>978-601-310-406-5</v>
      </c>
      <c r="E2586" s="11" t="s">
        <v>10228</v>
      </c>
      <c r="F2586" s="11" t="s">
        <v>10229</v>
      </c>
      <c r="G2586" s="12">
        <f ca="1">IFERROR(__xludf.DUMMYFUNCTION(" VLOOKUP(A2583, IMPORTRANGE(""https://docs.google.com/spreadsheets/d/1fj_Bhi2XPL3siwIh4sx4VRLAe31yD50oKdj5UlRYW0c/"", ""Сводка!A:AA""), 5, FALSE)"),232)</f>
        <v>232</v>
      </c>
      <c r="H2586" s="12"/>
      <c r="I2586" s="10">
        <f ca="1">IFERROR(__xludf.DUMMYFUNCTION(" VLOOKUP(A2583, IMPORTRANGE(""https://docs.google.com/spreadsheets/d/1QNLbnkR_AongFt22vMfNzfpjZ0CjpI8QI-w0wBnYA1w/"", ""Инфа!A:AA""), 6, FALSE)"),2024)</f>
        <v>2024</v>
      </c>
      <c r="J2586" s="5">
        <f ca="1">ROUND((5000+G2586*30),-2)</f>
        <v>12000</v>
      </c>
      <c r="K2586" s="12" t="s">
        <v>139</v>
      </c>
      <c r="L2586" s="15" t="s">
        <v>10230</v>
      </c>
    </row>
    <row r="2587" spans="1:12" ht="123.75">
      <c r="A2587" s="8" t="s">
        <v>10231</v>
      </c>
      <c r="B2587" s="9" t="s">
        <v>12</v>
      </c>
      <c r="C2587" s="10" t="s">
        <v>13</v>
      </c>
      <c r="D2587" s="10" t="str">
        <f ca="1">IFERROR(__xludf.DUMMYFUNCTION(" VLOOKUP(A2584, IMPORTRANGE(""https://docs.google.com/spreadsheets/d/1fj_Bhi2XPL3siwIh4sx4VRLAe31yD50oKdj5UlRYW0c/"", ""Сводка!A:AA""), 11, FALSE)"),"978-601-310-705-9")</f>
        <v>978-601-310-705-9</v>
      </c>
      <c r="E2587" s="11" t="s">
        <v>10232</v>
      </c>
      <c r="F2587" s="11" t="s">
        <v>10233</v>
      </c>
      <c r="G2587" s="12">
        <f ca="1">IFERROR(__xludf.DUMMYFUNCTION(" VLOOKUP(A2584, IMPORTRANGE(""https://docs.google.com/spreadsheets/d/1fj_Bhi2XPL3siwIh4sx4VRLAe31yD50oKdj5UlRYW0c/"", ""Сводка!A:AA""), 5, FALSE)"),124)</f>
        <v>124</v>
      </c>
      <c r="H2587" s="12" t="s">
        <v>3419</v>
      </c>
      <c r="I2587" s="10">
        <f ca="1">IFERROR(__xludf.DUMMYFUNCTION(" VLOOKUP(A2584, IMPORTRANGE(""https://docs.google.com/spreadsheets/d/1QNLbnkR_AongFt22vMfNzfpjZ0CjpI8QI-w0wBnYA1w/"", ""Инфа!A:AA""), 6, FALSE)"),2024)</f>
        <v>2024</v>
      </c>
      <c r="J2587" s="5">
        <f ca="1">ROUND((5000+G2587*30),-2)</f>
        <v>8700</v>
      </c>
      <c r="K2587" s="12" t="s">
        <v>10234</v>
      </c>
      <c r="L2587" s="15" t="s">
        <v>10235</v>
      </c>
    </row>
    <row r="2588" spans="1:12" ht="90">
      <c r="A2588" s="8" t="s">
        <v>10236</v>
      </c>
      <c r="B2588" s="9" t="s">
        <v>12</v>
      </c>
      <c r="C2588" s="10" t="s">
        <v>13</v>
      </c>
      <c r="D2588" s="10" t="str">
        <f ca="1">IFERROR(__xludf.DUMMYFUNCTION(" VLOOKUP(A2585, IMPORTRANGE(""https://docs.google.com/spreadsheets/d/1fj_Bhi2XPL3siwIh4sx4VRLAe31yD50oKdj5UlRYW0c/"", ""Сводка!A:AA""), 11, FALSE)"),"978-601-342-760-7")</f>
        <v>978-601-342-760-7</v>
      </c>
      <c r="E2588" s="11" t="s">
        <v>10237</v>
      </c>
      <c r="F2588" s="11" t="s">
        <v>10238</v>
      </c>
      <c r="G2588" s="12">
        <f ca="1">IFERROR(__xludf.DUMMYFUNCTION(" VLOOKUP(A2585, IMPORTRANGE(""https://docs.google.com/spreadsheets/d/1fj_Bhi2XPL3siwIh4sx4VRLAe31yD50oKdj5UlRYW0c/"", ""Сводка!A:AA""), 5, FALSE)"),204)</f>
        <v>204</v>
      </c>
      <c r="H2588" s="12"/>
      <c r="I2588" s="10">
        <f ca="1">IFERROR(__xludf.DUMMYFUNCTION(" VLOOKUP(A2585, IMPORTRANGE(""https://docs.google.com/spreadsheets/d/1QNLbnkR_AongFt22vMfNzfpjZ0CjpI8QI-w0wBnYA1w/"", ""Инфа!A:AA""), 6, FALSE)"),2024)</f>
        <v>2024</v>
      </c>
      <c r="J2588" s="5">
        <f ca="1">ROUND((5000+G2588*60),-2)</f>
        <v>17200</v>
      </c>
      <c r="K2588" s="12" t="s">
        <v>139</v>
      </c>
      <c r="L2588" s="15" t="s">
        <v>10239</v>
      </c>
    </row>
    <row r="2589" spans="1:12" ht="168.75">
      <c r="A2589" s="8" t="s">
        <v>10240</v>
      </c>
      <c r="B2589" s="9" t="s">
        <v>12</v>
      </c>
      <c r="C2589" s="10" t="s">
        <v>151</v>
      </c>
      <c r="D2589" s="10" t="str">
        <f ca="1">IFERROR(__xludf.DUMMYFUNCTION(" VLOOKUP(A2586, IMPORTRANGE(""https://docs.google.com/spreadsheets/d/1fj_Bhi2XPL3siwIh4sx4VRLAe31yD50oKdj5UlRYW0c/"", ""Сводка!A:AA""), 11, FALSE)"),"978-601-310-395-2")</f>
        <v>978-601-310-395-2</v>
      </c>
      <c r="E2589" s="19" t="s">
        <v>10241</v>
      </c>
      <c r="F2589" s="19" t="s">
        <v>10242</v>
      </c>
      <c r="G2589" s="12">
        <f ca="1">IFERROR(__xludf.DUMMYFUNCTION(" VLOOKUP(A2586, IMPORTRANGE(""https://docs.google.com/spreadsheets/d/1fj_Bhi2XPL3siwIh4sx4VRLAe31yD50oKdj5UlRYW0c/"", ""Сводка!A:AA""), 5, FALSE)"),200)</f>
        <v>200</v>
      </c>
      <c r="H2589" s="9" t="s">
        <v>10243</v>
      </c>
      <c r="I2589" s="10">
        <f ca="1">IFERROR(__xludf.DUMMYFUNCTION(" VLOOKUP(A2586, IMPORTRANGE(""https://docs.google.com/spreadsheets/d/1QNLbnkR_AongFt22vMfNzfpjZ0CjpI8QI-w0wBnYA1w/"", ""Инфа!A:AA""), 6, FALSE)"),2024)</f>
        <v>2024</v>
      </c>
      <c r="J2589" s="5">
        <f ca="1">ROUND(((5000+G2589*30)*1.3),-2)</f>
        <v>14300</v>
      </c>
      <c r="K2589" s="12" t="s">
        <v>139</v>
      </c>
      <c r="L2589" s="15" t="s">
        <v>10244</v>
      </c>
    </row>
    <row r="2590" spans="1:12" ht="101.25">
      <c r="A2590" s="8" t="s">
        <v>10245</v>
      </c>
      <c r="B2590" s="9" t="s">
        <v>12</v>
      </c>
      <c r="C2590" s="10" t="s">
        <v>13</v>
      </c>
      <c r="D2590" s="10" t="str">
        <f ca="1">IFERROR(__xludf.DUMMYFUNCTION(" VLOOKUP(A2587, IMPORTRANGE(""https://docs.google.com/spreadsheets/d/1fj_Bhi2XPL3siwIh4sx4VRLAe31yD50oKdj5UlRYW0c/"", ""Сводка!A:AA""), 11, FALSE)"),"978-601-310-706-6")</f>
        <v>978-601-310-706-6</v>
      </c>
      <c r="E2590" s="11" t="s">
        <v>10246</v>
      </c>
      <c r="F2590" s="11" t="s">
        <v>10247</v>
      </c>
      <c r="G2590" s="12">
        <f ca="1">IFERROR(__xludf.DUMMYFUNCTION(" VLOOKUP(A2587, IMPORTRANGE(""https://docs.google.com/spreadsheets/d/1fj_Bhi2XPL3siwIh4sx4VRLAe31yD50oKdj5UlRYW0c/"", ""Сводка!A:AA""), 5, FALSE)"),140)</f>
        <v>140</v>
      </c>
      <c r="H2590" s="12"/>
      <c r="I2590" s="10">
        <f ca="1">IFERROR(__xludf.DUMMYFUNCTION(" VLOOKUP(A2587, IMPORTRANGE(""https://docs.google.com/spreadsheets/d/1QNLbnkR_AongFt22vMfNzfpjZ0CjpI8QI-w0wBnYA1w/"", ""Инфа!A:AA""), 6, FALSE)"),2024)</f>
        <v>2024</v>
      </c>
      <c r="J2590" s="5">
        <f ca="1">ROUND(((5000+G2590*30)*1.3),-2)</f>
        <v>12000</v>
      </c>
      <c r="K2590" s="12" t="s">
        <v>139</v>
      </c>
      <c r="L2590" s="15" t="s">
        <v>10248</v>
      </c>
    </row>
    <row r="2591" spans="1:12" ht="112.5">
      <c r="A2591" s="8" t="s">
        <v>10249</v>
      </c>
      <c r="B2591" s="9" t="s">
        <v>12</v>
      </c>
      <c r="C2591" s="10" t="s">
        <v>13</v>
      </c>
      <c r="D2591" s="10" t="str">
        <f ca="1">IFERROR(__xludf.DUMMYFUNCTION(" VLOOKUP(A2588, IMPORTRANGE(""https://docs.google.com/spreadsheets/d/1fj_Bhi2XPL3siwIh4sx4VRLAe31yD50oKdj5UlRYW0c/"", ""Сводка!A:AA""), 11, FALSE)"),"978-601-310-434-8")</f>
        <v>978-601-310-434-8</v>
      </c>
      <c r="E2591" s="11" t="s">
        <v>10250</v>
      </c>
      <c r="F2591" s="11" t="s">
        <v>10251</v>
      </c>
      <c r="G2591" s="12">
        <f ca="1">IFERROR(__xludf.DUMMYFUNCTION(" VLOOKUP(A2588, IMPORTRANGE(""https://docs.google.com/spreadsheets/d/1fj_Bhi2XPL3siwIh4sx4VRLAe31yD50oKdj5UlRYW0c/"", ""Сводка!A:AA""), 5, FALSE)"),256)</f>
        <v>256</v>
      </c>
      <c r="H2591" s="9" t="s">
        <v>138</v>
      </c>
      <c r="I2591" s="10">
        <f ca="1">IFERROR(__xludf.DUMMYFUNCTION(" VLOOKUP(A2588, IMPORTRANGE(""https://docs.google.com/spreadsheets/d/1QNLbnkR_AongFt22vMfNzfpjZ0CjpI8QI-w0wBnYA1w/"", ""Инфа!A:AA""), 6, FALSE)"),2024)</f>
        <v>2024</v>
      </c>
      <c r="J2591" s="5">
        <f ca="1">ROUND(((5000+G2591*30)*1.3),-2)</f>
        <v>16500</v>
      </c>
      <c r="K2591" s="12" t="s">
        <v>139</v>
      </c>
      <c r="L2591" s="15" t="s">
        <v>10252</v>
      </c>
    </row>
    <row r="2592" spans="1:12" ht="180">
      <c r="A2592" s="8" t="s">
        <v>10253</v>
      </c>
      <c r="B2592" s="9" t="s">
        <v>12</v>
      </c>
      <c r="C2592" s="10" t="s">
        <v>13</v>
      </c>
      <c r="D2592" s="10" t="str">
        <f ca="1">IFERROR(__xludf.DUMMYFUNCTION(" VLOOKUP(A2589, IMPORTRANGE(""https://docs.google.com/spreadsheets/d/1fj_Bhi2XPL3siwIh4sx4VRLAe31yD50oKdj5UlRYW0c/"", ""Сводка!A:AA""), 11, FALSE)"),"978-601-310-705-9")</f>
        <v>978-601-310-705-9</v>
      </c>
      <c r="E2592" s="11" t="s">
        <v>10250</v>
      </c>
      <c r="F2592" s="11" t="s">
        <v>10254</v>
      </c>
      <c r="G2592" s="12">
        <f ca="1">IFERROR(__xludf.DUMMYFUNCTION(" VLOOKUP(A2589, IMPORTRANGE(""https://docs.google.com/spreadsheets/d/1fj_Bhi2XPL3siwIh4sx4VRLAe31yD50oKdj5UlRYW0c/"", ""Сводка!A:AA""), 5, FALSE)"),124)</f>
        <v>124</v>
      </c>
      <c r="H2592" s="12"/>
      <c r="I2592" s="10">
        <f ca="1">IFERROR(__xludf.DUMMYFUNCTION(" VLOOKUP(A2589, IMPORTRANGE(""https://docs.google.com/spreadsheets/d/1QNLbnkR_AongFt22vMfNzfpjZ0CjpI8QI-w0wBnYA1w/"", ""Инфа!A:AA""), 6, FALSE)"),2024)</f>
        <v>2024</v>
      </c>
      <c r="J2592" s="5">
        <f ca="1">ROUND(((5000+G2592*60)*1.3),-2)</f>
        <v>16200</v>
      </c>
      <c r="K2592" s="12" t="s">
        <v>139</v>
      </c>
      <c r="L2592" s="15" t="s">
        <v>10255</v>
      </c>
    </row>
    <row r="2593" spans="1:12" ht="25.5">
      <c r="A2593" s="8" t="s">
        <v>10256</v>
      </c>
      <c r="B2593" s="9" t="s">
        <v>12</v>
      </c>
      <c r="C2593" s="10" t="s">
        <v>151</v>
      </c>
      <c r="D2593" s="10" t="str">
        <f ca="1">IFERROR(__xludf.DUMMYFUNCTION(" VLOOKUP(A2590, IMPORTRANGE(""https://docs.google.com/spreadsheets/d/1fj_Bhi2XPL3siwIh4sx4VRLAe31yD50oKdj5UlRYW0c/"", ""Сводка!A:AA""), 11, FALSE)"),"978-601-310-428-7")</f>
        <v>978-601-310-428-7</v>
      </c>
      <c r="E2593" s="11" t="s">
        <v>10257</v>
      </c>
      <c r="F2593" s="11" t="s">
        <v>10258</v>
      </c>
      <c r="G2593" s="12">
        <f ca="1">IFERROR(__xludf.DUMMYFUNCTION(" VLOOKUP(A2590, IMPORTRANGE(""https://docs.google.com/spreadsheets/d/1fj_Bhi2XPL3siwIh4sx4VRLAe31yD50oKdj5UlRYW0c/"", ""Сводка!A:AA""), 5, FALSE)"),256)</f>
        <v>256</v>
      </c>
      <c r="H2593" s="9" t="s">
        <v>138</v>
      </c>
      <c r="I2593" s="10">
        <f ca="1">IFERROR(__xludf.DUMMYFUNCTION(" VLOOKUP(A2590, IMPORTRANGE(""https://docs.google.com/spreadsheets/d/1QNLbnkR_AongFt22vMfNzfpjZ0CjpI8QI-w0wBnYA1w/"", ""Инфа!A:AA""), 6, FALSE)"),2024)</f>
        <v>2024</v>
      </c>
      <c r="J2593" s="5">
        <f ca="1">ROUND(((5000+G2593*30)*1.3),-2)</f>
        <v>16500</v>
      </c>
      <c r="K2593" s="12" t="s">
        <v>139</v>
      </c>
      <c r="L2593" s="15"/>
    </row>
    <row r="2594" spans="1:12" ht="180">
      <c r="A2594" s="8" t="s">
        <v>10259</v>
      </c>
      <c r="B2594" s="9" t="s">
        <v>12</v>
      </c>
      <c r="C2594" s="10" t="s">
        <v>443</v>
      </c>
      <c r="D2594" s="10" t="str">
        <f ca="1">IFERROR(__xludf.DUMMYFUNCTION(" VLOOKUP(A2591, IMPORTRANGE(""https://docs.google.com/spreadsheets/d/1fj_Bhi2XPL3siwIh4sx4VRLAe31yD50oKdj5UlRYW0c/"", ""Сводка!A:AA""), 11, FALSE)"),"978-601-240-669-6")</f>
        <v>978-601-240-669-6</v>
      </c>
      <c r="E2594" s="11" t="s">
        <v>10260</v>
      </c>
      <c r="F2594" s="11" t="s">
        <v>10261</v>
      </c>
      <c r="G2594" s="12">
        <f ca="1">IFERROR(__xludf.DUMMYFUNCTION(" VLOOKUP(A2591, IMPORTRANGE(""https://docs.google.com/spreadsheets/d/1fj_Bhi2XPL3siwIh4sx4VRLAe31yD50oKdj5UlRYW0c/"", ""Сводка!A:AA""), 5, FALSE)"),228)</f>
        <v>228</v>
      </c>
      <c r="H2594" s="12" t="s">
        <v>498</v>
      </c>
      <c r="I2594" s="10">
        <f ca="1">IFERROR(__xludf.DUMMYFUNCTION(" VLOOKUP(A2591, IMPORTRANGE(""https://docs.google.com/spreadsheets/d/1QNLbnkR_AongFt22vMfNzfpjZ0CjpI8QI-w0wBnYA1w/"", ""Инфа!A:AA""), 6, FALSE)"),2024)</f>
        <v>2024</v>
      </c>
      <c r="J2594" s="5">
        <f ca="1">ROUND((5000+G2594*30),-2)</f>
        <v>11800</v>
      </c>
      <c r="K2594" s="12" t="s">
        <v>248</v>
      </c>
      <c r="L2594" s="15" t="s">
        <v>10262</v>
      </c>
    </row>
    <row r="2595" spans="1:12" ht="258.75">
      <c r="A2595" s="8" t="s">
        <v>10263</v>
      </c>
      <c r="B2595" s="9" t="s">
        <v>12</v>
      </c>
      <c r="C2595" s="10" t="s">
        <v>151</v>
      </c>
      <c r="D2595" s="10" t="str">
        <f ca="1">IFERROR(__xludf.DUMMYFUNCTION(" VLOOKUP(A2592, IMPORTRANGE(""https://docs.google.com/spreadsheets/d/1fj_Bhi2XPL3siwIh4sx4VRLAe31yD50oKdj5UlRYW0c/"", ""Сводка!A:AA""), 11, FALSE)"),"978-601-240-499- 9")</f>
        <v>978-601-240-499- 9</v>
      </c>
      <c r="E2595" s="11" t="s">
        <v>10264</v>
      </c>
      <c r="F2595" s="11" t="s">
        <v>10265</v>
      </c>
      <c r="G2595" s="12">
        <f ca="1">IFERROR(__xludf.DUMMYFUNCTION(" VLOOKUP(A2592, IMPORTRANGE(""https://docs.google.com/spreadsheets/d/1fj_Bhi2XPL3siwIh4sx4VRLAe31yD50oKdj5UlRYW0c/"", ""Сводка!A:AA""), 5, FALSE)"),228)</f>
        <v>228</v>
      </c>
      <c r="H2595" s="12" t="s">
        <v>47</v>
      </c>
      <c r="I2595" s="10">
        <f ca="1">IFERROR(__xludf.DUMMYFUNCTION(" VLOOKUP(A2592, IMPORTRANGE(""https://docs.google.com/spreadsheets/d/1QNLbnkR_AongFt22vMfNzfpjZ0CjpI8QI-w0wBnYA1w/"", ""Инфа!A:AA""), 6, FALSE)"),2024)</f>
        <v>2024</v>
      </c>
      <c r="J2595" s="5">
        <f ca="1">ROUND((5000+G2595*30),-2)</f>
        <v>11800</v>
      </c>
      <c r="K2595" s="12" t="s">
        <v>257</v>
      </c>
      <c r="L2595" s="15" t="s">
        <v>10266</v>
      </c>
    </row>
    <row r="2596" spans="1:12" ht="25.5">
      <c r="A2596" s="8" t="s">
        <v>10267</v>
      </c>
      <c r="B2596" s="9" t="s">
        <v>12</v>
      </c>
      <c r="C2596" s="10" t="s">
        <v>151</v>
      </c>
      <c r="D2596" s="10" t="str">
        <f ca="1">IFERROR(__xludf.DUMMYFUNCTION(" VLOOKUP(A2593, IMPORTRANGE(""https://docs.google.com/spreadsheets/d/1fj_Bhi2XPL3siwIh4sx4VRLAe31yD50oKdj5UlRYW0c/"", ""Сводка!A:AA""), 11, FALSE)"),"978-601-240-396-1")</f>
        <v>978-601-240-396-1</v>
      </c>
      <c r="E2596" s="11" t="s">
        <v>10268</v>
      </c>
      <c r="F2596" s="11" t="s">
        <v>10269</v>
      </c>
      <c r="G2596" s="12">
        <f ca="1">IFERROR(__xludf.DUMMYFUNCTION(" VLOOKUP(A2593, IMPORTRANGE(""https://docs.google.com/spreadsheets/d/1fj_Bhi2XPL3siwIh4sx4VRLAe31yD50oKdj5UlRYW0c/"", ""Сводка!A:AA""), 5, FALSE)"),202)</f>
        <v>202</v>
      </c>
      <c r="H2596" s="12" t="s">
        <v>1870</v>
      </c>
      <c r="I2596" s="10">
        <f ca="1">IFERROR(__xludf.DUMMYFUNCTION(" VLOOKUP(A2593, IMPORTRANGE(""https://docs.google.com/spreadsheets/d/1QNLbnkR_AongFt22vMfNzfpjZ0CjpI8QI-w0wBnYA1w/"", ""Инфа!A:AA""), 6, FALSE)"),2024)</f>
        <v>2024</v>
      </c>
      <c r="J2596" s="5">
        <f ca="1">ROUND(((5000+G2596*30)*1.3),-2)</f>
        <v>14400</v>
      </c>
      <c r="K2596" s="12" t="s">
        <v>740</v>
      </c>
      <c r="L2596" s="15"/>
    </row>
    <row r="2597" spans="1:12" ht="315">
      <c r="A2597" s="8" t="s">
        <v>10270</v>
      </c>
      <c r="B2597" s="9" t="s">
        <v>12</v>
      </c>
      <c r="C2597" s="10" t="s">
        <v>151</v>
      </c>
      <c r="D2597" s="10" t="str">
        <f ca="1">IFERROR(__xludf.DUMMYFUNCTION(" VLOOKUP(A2594, IMPORTRANGE(""https://docs.google.com/spreadsheets/d/1fj_Bhi2XPL3siwIh4sx4VRLAe31yD50oKdj5UlRYW0c/"", ""Сводка!A:AA""), 11, FALSE)"),"978-601-240-396-1")</f>
        <v>978-601-240-396-1</v>
      </c>
      <c r="E2597" s="11" t="s">
        <v>10271</v>
      </c>
      <c r="F2597" s="11" t="s">
        <v>9198</v>
      </c>
      <c r="G2597" s="12">
        <f ca="1">IFERROR(__xludf.DUMMYFUNCTION(" VLOOKUP(A2594, IMPORTRANGE(""https://docs.google.com/spreadsheets/d/1fj_Bhi2XPL3siwIh4sx4VRLAe31yD50oKdj5UlRYW0c/"", ""Сводка!A:AA""), 5, FALSE)"),244)</f>
        <v>244</v>
      </c>
      <c r="H2597" s="12" t="s">
        <v>47</v>
      </c>
      <c r="I2597" s="10">
        <f ca="1">IFERROR(__xludf.DUMMYFUNCTION(" VLOOKUP(A2594, IMPORTRANGE(""https://docs.google.com/spreadsheets/d/1QNLbnkR_AongFt22vMfNzfpjZ0CjpI8QI-w0wBnYA1w/"", ""Инфа!A:AA""), 6, FALSE)"),2024)</f>
        <v>2024</v>
      </c>
      <c r="J2597" s="5">
        <f ca="1">ROUND((5000+G2597*30),-2)</f>
        <v>12300</v>
      </c>
      <c r="K2597" s="9" t="s">
        <v>625</v>
      </c>
      <c r="L2597" s="15" t="s">
        <v>10272</v>
      </c>
    </row>
    <row r="2598" spans="1:12" ht="146.25">
      <c r="A2598" s="8" t="s">
        <v>10273</v>
      </c>
      <c r="B2598" s="9" t="s">
        <v>12</v>
      </c>
      <c r="C2598" s="10" t="s">
        <v>151</v>
      </c>
      <c r="D2598" s="10" t="str">
        <f ca="1">IFERROR(__xludf.DUMMYFUNCTION(" VLOOKUP(A2595, IMPORTRANGE(""https://docs.google.com/spreadsheets/d/1fj_Bhi2XPL3siwIh4sx4VRLAe31yD50oKdj5UlRYW0c/"", ""Сводка!A:AA""), 11, FALSE)"),"978-601-310-326-6")</f>
        <v>978-601-310-326-6</v>
      </c>
      <c r="E2598" s="11" t="s">
        <v>10274</v>
      </c>
      <c r="F2598" s="11" t="s">
        <v>10275</v>
      </c>
      <c r="G2598" s="12">
        <f ca="1">IFERROR(__xludf.DUMMYFUNCTION(" VLOOKUP(A2595, IMPORTRANGE(""https://docs.google.com/spreadsheets/d/1fj_Bhi2XPL3siwIh4sx4VRLAe31yD50oKdj5UlRYW0c/"", ""Сводка!A:AA""), 5, FALSE)"),168)</f>
        <v>168</v>
      </c>
      <c r="H2598" s="12" t="s">
        <v>106</v>
      </c>
      <c r="I2598" s="10">
        <f ca="1">IFERROR(__xludf.DUMMYFUNCTION(" VLOOKUP(A2595, IMPORTRANGE(""https://docs.google.com/spreadsheets/d/1QNLbnkR_AongFt22vMfNzfpjZ0CjpI8QI-w0wBnYA1w/"", ""Инфа!A:AA""), 6, FALSE)"),2024)</f>
        <v>2024</v>
      </c>
      <c r="J2598" s="5">
        <f ca="1">ROUND((5000+G2598*60),-2)</f>
        <v>15100</v>
      </c>
      <c r="K2598" s="12" t="s">
        <v>257</v>
      </c>
      <c r="L2598" s="15" t="s">
        <v>10276</v>
      </c>
    </row>
    <row r="2599" spans="1:12" ht="112.5">
      <c r="A2599" s="8" t="s">
        <v>10277</v>
      </c>
      <c r="B2599" s="9" t="s">
        <v>12</v>
      </c>
      <c r="C2599" s="10" t="s">
        <v>443</v>
      </c>
      <c r="D2599" s="10" t="str">
        <f ca="1">IFERROR(__xludf.DUMMYFUNCTION(" VLOOKUP(A2596, IMPORTRANGE(""https://docs.google.com/spreadsheets/d/1fj_Bhi2XPL3siwIh4sx4VRLAe31yD50oKdj5UlRYW0c/"", ""Сводка!A:AA""), 11, FALSE)"),"978-601-310-325-9")</f>
        <v>978-601-310-325-9</v>
      </c>
      <c r="E2599" s="11" t="s">
        <v>10274</v>
      </c>
      <c r="F2599" s="11" t="s">
        <v>10278</v>
      </c>
      <c r="G2599" s="12">
        <f ca="1">IFERROR(__xludf.DUMMYFUNCTION(" VLOOKUP(A2596, IMPORTRANGE(""https://docs.google.com/spreadsheets/d/1fj_Bhi2XPL3siwIh4sx4VRLAe31yD50oKdj5UlRYW0c/"", ""Сводка!A:AA""), 5, FALSE)"),136)</f>
        <v>136</v>
      </c>
      <c r="H2599" s="12" t="s">
        <v>106</v>
      </c>
      <c r="I2599" s="10">
        <f ca="1">IFERROR(__xludf.DUMMYFUNCTION(" VLOOKUP(A2596, IMPORTRANGE(""https://docs.google.com/spreadsheets/d/1QNLbnkR_AongFt22vMfNzfpjZ0CjpI8QI-w0wBnYA1w/"", ""Инфа!A:AA""), 6, FALSE)"),2024)</f>
        <v>2024</v>
      </c>
      <c r="J2599" s="5">
        <f ca="1">ROUND((5000+G2599*30),-2)</f>
        <v>9100</v>
      </c>
      <c r="K2599" s="12" t="s">
        <v>257</v>
      </c>
      <c r="L2599" s="15" t="s">
        <v>10279</v>
      </c>
    </row>
    <row r="2600" spans="1:12" ht="258.75">
      <c r="A2600" s="8" t="s">
        <v>10280</v>
      </c>
      <c r="B2600" s="9" t="s">
        <v>12</v>
      </c>
      <c r="C2600" s="10" t="s">
        <v>151</v>
      </c>
      <c r="D2600" s="10" t="str">
        <f ca="1">IFERROR(__xludf.DUMMYFUNCTION(" VLOOKUP(A2597, IMPORTRANGE(""https://docs.google.com/spreadsheets/d/1fj_Bhi2XPL3siwIh4sx4VRLAe31yD50oKdj5UlRYW0c/"", ""Сводка!A:AA""), 11, FALSE)"),"978-601-327-963-3")</f>
        <v>978-601-327-963-3</v>
      </c>
      <c r="E2600" s="11" t="s">
        <v>10281</v>
      </c>
      <c r="F2600" s="11" t="s">
        <v>10282</v>
      </c>
      <c r="G2600" s="12">
        <f ca="1">IFERROR(__xludf.DUMMYFUNCTION(" VLOOKUP(A2597, IMPORTRANGE(""https://docs.google.com/spreadsheets/d/1fj_Bhi2XPL3siwIh4sx4VRLAe31yD50oKdj5UlRYW0c/"", ""Сводка!A:AA""), 5, FALSE)"),120)</f>
        <v>120</v>
      </c>
      <c r="H2600" s="12" t="s">
        <v>47</v>
      </c>
      <c r="I2600" s="10">
        <f ca="1">IFERROR(__xludf.DUMMYFUNCTION(" VLOOKUP(A2597, IMPORTRANGE(""https://docs.google.com/spreadsheets/d/1QNLbnkR_AongFt22vMfNzfpjZ0CjpI8QI-w0wBnYA1w/"", ""Инфа!A:AA""), 6, FALSE)"),2024)</f>
        <v>2024</v>
      </c>
      <c r="J2600" s="5">
        <f ca="1">ROUND((5000+G2600*30),-2)</f>
        <v>8600</v>
      </c>
      <c r="K2600" s="9" t="s">
        <v>7967</v>
      </c>
      <c r="L2600" s="15" t="s">
        <v>10283</v>
      </c>
    </row>
    <row r="2601" spans="1:12" ht="90">
      <c r="A2601" s="8" t="s">
        <v>10284</v>
      </c>
      <c r="B2601" s="9" t="s">
        <v>12</v>
      </c>
      <c r="C2601" s="10" t="s">
        <v>443</v>
      </c>
      <c r="D2601" s="10" t="str">
        <f ca="1">IFERROR(__xludf.DUMMYFUNCTION(" VLOOKUP(A2598, IMPORTRANGE(""https://docs.google.com/spreadsheets/d/1fj_Bhi2XPL3siwIh4sx4VRLAe31yD50oKdj5UlRYW0c/"", ""Сводка!A:AA""), 11, FALSE)"),"978-601-327-826-1")</f>
        <v>978-601-327-826-1</v>
      </c>
      <c r="E2601" s="11" t="s">
        <v>10285</v>
      </c>
      <c r="F2601" s="11" t="s">
        <v>10286</v>
      </c>
      <c r="G2601" s="12">
        <f ca="1">IFERROR(__xludf.DUMMYFUNCTION(" VLOOKUP(A2598, IMPORTRANGE(""https://docs.google.com/spreadsheets/d/1fj_Bhi2XPL3siwIh4sx4VRLAe31yD50oKdj5UlRYW0c/"", ""Сводка!A:AA""), 5, FALSE)"),124)</f>
        <v>124</v>
      </c>
      <c r="H2601" s="12" t="s">
        <v>106</v>
      </c>
      <c r="I2601" s="10">
        <f ca="1">IFERROR(__xludf.DUMMYFUNCTION(" VLOOKUP(A2598, IMPORTRANGE(""https://docs.google.com/spreadsheets/d/1QNLbnkR_AongFt22vMfNzfpjZ0CjpI8QI-w0wBnYA1w/"", ""Инфа!A:AA""), 6, FALSE)"),2024)</f>
        <v>2024</v>
      </c>
      <c r="J2601" s="5">
        <f ca="1">ROUND((5000+G2601*60),-2)</f>
        <v>12400</v>
      </c>
      <c r="K2601" s="12" t="s">
        <v>539</v>
      </c>
      <c r="L2601" s="15" t="s">
        <v>10287</v>
      </c>
    </row>
    <row r="2602" spans="1:12" ht="123.75">
      <c r="A2602" s="8" t="s">
        <v>10288</v>
      </c>
      <c r="B2602" s="9" t="s">
        <v>12</v>
      </c>
      <c r="C2602" s="10" t="s">
        <v>443</v>
      </c>
      <c r="D2602" s="10" t="str">
        <f ca="1">IFERROR(__xludf.DUMMYFUNCTION(" VLOOKUP(A2599, IMPORTRANGE(""https://docs.google.com/spreadsheets/d/1fj_Bhi2XPL3siwIh4sx4VRLAe31yD50oKdj5UlRYW0c/"", ""Сводка!A:AA""), 11, FALSE)"),"978-601-327-698-4")</f>
        <v>978-601-327-698-4</v>
      </c>
      <c r="E2602" s="11" t="s">
        <v>10285</v>
      </c>
      <c r="F2602" s="11" t="s">
        <v>10289</v>
      </c>
      <c r="G2602" s="12">
        <f ca="1">IFERROR(__xludf.DUMMYFUNCTION(" VLOOKUP(A2599, IMPORTRANGE(""https://docs.google.com/spreadsheets/d/1fj_Bhi2XPL3siwIh4sx4VRLAe31yD50oKdj5UlRYW0c/"", ""Сводка!A:AA""), 5, FALSE)"),232)</f>
        <v>232</v>
      </c>
      <c r="H2602" s="12" t="s">
        <v>538</v>
      </c>
      <c r="I2602" s="10">
        <f ca="1">IFERROR(__xludf.DUMMYFUNCTION(" VLOOKUP(A2599, IMPORTRANGE(""https://docs.google.com/spreadsheets/d/1QNLbnkR_AongFt22vMfNzfpjZ0CjpI8QI-w0wBnYA1w/"", ""Инфа!A:AA""), 6, FALSE)"),2024)</f>
        <v>2024</v>
      </c>
      <c r="J2602" s="5">
        <f ca="1">ROUND((5000+G2602*30),-2)</f>
        <v>12000</v>
      </c>
      <c r="K2602" s="12" t="s">
        <v>539</v>
      </c>
      <c r="L2602" s="15" t="s">
        <v>10290</v>
      </c>
    </row>
    <row r="2603" spans="1:12" ht="135">
      <c r="A2603" s="8" t="s">
        <v>10291</v>
      </c>
      <c r="B2603" s="9" t="s">
        <v>12</v>
      </c>
      <c r="C2603" s="10" t="s">
        <v>443</v>
      </c>
      <c r="D2603" s="10" t="str">
        <f ca="1">IFERROR(__xludf.DUMMYFUNCTION(" VLOOKUP(A2600, IMPORTRANGE(""https://docs.google.com/spreadsheets/d/1fj_Bhi2XPL3siwIh4sx4VRLAe31yD50oKdj5UlRYW0c/"", ""Сводка!A:AA""), 11, FALSE)"),"978-601-342-593-1")</f>
        <v>978-601-342-593-1</v>
      </c>
      <c r="E2603" s="11" t="s">
        <v>10292</v>
      </c>
      <c r="F2603" s="11" t="s">
        <v>10293</v>
      </c>
      <c r="G2603" s="12">
        <f ca="1">IFERROR(__xludf.DUMMYFUNCTION(" VLOOKUP(A2600, IMPORTRANGE(""https://docs.google.com/spreadsheets/d/1fj_Bhi2XPL3siwIh4sx4VRLAe31yD50oKdj5UlRYW0c/"", ""Сводка!A:AA""), 5, FALSE)"),224)</f>
        <v>224</v>
      </c>
      <c r="H2603" s="12" t="s">
        <v>1266</v>
      </c>
      <c r="I2603" s="10">
        <f ca="1">IFERROR(__xludf.DUMMYFUNCTION(" VLOOKUP(A2600, IMPORTRANGE(""https://docs.google.com/spreadsheets/d/1QNLbnkR_AongFt22vMfNzfpjZ0CjpI8QI-w0wBnYA1w/"", ""Инфа!A:AA""), 6, FALSE)"),2024)</f>
        <v>2024</v>
      </c>
      <c r="J2603" s="5">
        <f ca="1">ROUND((5000+G2603*60),-2)</f>
        <v>18400</v>
      </c>
      <c r="K2603" s="12" t="s">
        <v>619</v>
      </c>
      <c r="L2603" s="15" t="s">
        <v>10294</v>
      </c>
    </row>
    <row r="2604" spans="1:12" ht="303.75">
      <c r="A2604" s="8" t="s">
        <v>10295</v>
      </c>
      <c r="B2604" s="9" t="s">
        <v>12</v>
      </c>
      <c r="C2604" s="10" t="s">
        <v>5722</v>
      </c>
      <c r="D2604" s="10" t="str">
        <f ca="1">IFERROR(__xludf.DUMMYFUNCTION(" VLOOKUP(A2601, IMPORTRANGE(""https://docs.google.com/spreadsheets/d/1fj_Bhi2XPL3siwIh4sx4VRLAe31yD50oKdj5UlRYW0c/"", ""Сводка!A:AA""), 11, FALSE)"),"978-601-278-414-5")</f>
        <v>978-601-278-414-5</v>
      </c>
      <c r="E2604" s="11" t="s">
        <v>10296</v>
      </c>
      <c r="F2604" s="11" t="s">
        <v>10297</v>
      </c>
      <c r="G2604" s="12">
        <f ca="1">IFERROR(__xludf.DUMMYFUNCTION(" VLOOKUP(A2601, IMPORTRANGE(""https://docs.google.com/spreadsheets/d/1fj_Bhi2XPL3siwIh4sx4VRLAe31yD50oKdj5UlRYW0c/"", ""Сводка!A:AA""), 5, FALSE)"),140)</f>
        <v>140</v>
      </c>
      <c r="H2604" s="12" t="s">
        <v>511</v>
      </c>
      <c r="I2604" s="10">
        <f ca="1">IFERROR(__xludf.DUMMYFUNCTION(" VLOOKUP(A2601, IMPORTRANGE(""https://docs.google.com/spreadsheets/d/1QNLbnkR_AongFt22vMfNzfpjZ0CjpI8QI-w0wBnYA1w/"", ""Инфа!A:AA""), 6, FALSE)"),2024)</f>
        <v>2024</v>
      </c>
      <c r="J2604" s="5">
        <f ca="1">ROUND((5000+G2604*30),-2)</f>
        <v>9200</v>
      </c>
      <c r="K2604" s="12" t="s">
        <v>160</v>
      </c>
      <c r="L2604" s="15" t="s">
        <v>10298</v>
      </c>
    </row>
    <row r="2605" spans="1:12" ht="258.75">
      <c r="A2605" s="8" t="s">
        <v>10299</v>
      </c>
      <c r="B2605" s="9" t="s">
        <v>12</v>
      </c>
      <c r="C2605" s="10" t="s">
        <v>5722</v>
      </c>
      <c r="D2605" s="10" t="str">
        <f ca="1">IFERROR(__xludf.DUMMYFUNCTION(" VLOOKUP(A2602, IMPORTRANGE(""https://docs.google.com/spreadsheets/d/1fj_Bhi2XPL3siwIh4sx4VRLAe31yD50oKdj5UlRYW0c/"", ""Сводка!A:AA""), 11, FALSE)"),"978-601-280-249-8")</f>
        <v>978-601-280-249-8</v>
      </c>
      <c r="E2605" s="11" t="s">
        <v>10300</v>
      </c>
      <c r="F2605" s="81" t="s">
        <v>10301</v>
      </c>
      <c r="G2605" s="12">
        <f ca="1">IFERROR(__xludf.DUMMYFUNCTION(" VLOOKUP(A2602, IMPORTRANGE(""https://docs.google.com/spreadsheets/d/1fj_Bhi2XPL3siwIh4sx4VRLAe31yD50oKdj5UlRYW0c/"", ""Сводка!A:AA""), 5, FALSE)"),124)</f>
        <v>124</v>
      </c>
      <c r="H2605" s="12" t="s">
        <v>106</v>
      </c>
      <c r="I2605" s="10">
        <f ca="1">IFERROR(__xludf.DUMMYFUNCTION(" VLOOKUP(A2602, IMPORTRANGE(""https://docs.google.com/spreadsheets/d/1QNLbnkR_AongFt22vMfNzfpjZ0CjpI8QI-w0wBnYA1w/"", ""Инфа!A:AA""), 6, FALSE)"),2024)</f>
        <v>2024</v>
      </c>
      <c r="J2605" s="5">
        <f ca="1">ROUND((5000+G2605*30),-2)</f>
        <v>8700</v>
      </c>
      <c r="K2605" s="12" t="s">
        <v>63</v>
      </c>
      <c r="L2605" s="15" t="s">
        <v>10302</v>
      </c>
    </row>
    <row r="2606" spans="1:12" ht="168.75">
      <c r="A2606" s="8" t="s">
        <v>10303</v>
      </c>
      <c r="B2606" s="9" t="s">
        <v>12</v>
      </c>
      <c r="C2606" s="10" t="s">
        <v>443</v>
      </c>
      <c r="D2606" s="10" t="str">
        <f ca="1">IFERROR(__xludf.DUMMYFUNCTION(" VLOOKUP(A2603, IMPORTRANGE(""https://docs.google.com/spreadsheets/d/1fj_Bhi2XPL3siwIh4sx4VRLAe31yD50oKdj5UlRYW0c/"", ""Сводка!A:AA""), 11, FALSE)"),"978-601-327-140-8")</f>
        <v>978-601-327-140-8</v>
      </c>
      <c r="E2606" s="11" t="s">
        <v>10304</v>
      </c>
      <c r="F2606" s="11" t="s">
        <v>10305</v>
      </c>
      <c r="G2606" s="12">
        <f ca="1">IFERROR(__xludf.DUMMYFUNCTION(" VLOOKUP(A2603, IMPORTRANGE(""https://docs.google.com/spreadsheets/d/1fj_Bhi2XPL3siwIh4sx4VRLAe31yD50oKdj5UlRYW0c/"", ""Сводка!A:AA""), 5, FALSE)"),264)</f>
        <v>264</v>
      </c>
      <c r="H2606" s="12" t="s">
        <v>511</v>
      </c>
      <c r="I2606" s="10">
        <f ca="1">IFERROR(__xludf.DUMMYFUNCTION(" VLOOKUP(A2603, IMPORTRANGE(""https://docs.google.com/spreadsheets/d/1QNLbnkR_AongFt22vMfNzfpjZ0CjpI8QI-w0wBnYA1w/"", ""Инфа!A:AA""), 6, FALSE)"),2024)</f>
        <v>2024</v>
      </c>
      <c r="J2606" s="5">
        <f ca="1">ROUND((5000+G2606*30),-2)</f>
        <v>12900</v>
      </c>
      <c r="K2606" s="12" t="s">
        <v>2520</v>
      </c>
      <c r="L2606" s="15" t="s">
        <v>10306</v>
      </c>
    </row>
    <row r="2607" spans="1:12" ht="337.5">
      <c r="A2607" s="8" t="s">
        <v>10307</v>
      </c>
      <c r="B2607" s="9" t="s">
        <v>12</v>
      </c>
      <c r="C2607" s="10" t="s">
        <v>10308</v>
      </c>
      <c r="D2607" s="10" t="str">
        <f ca="1">IFERROR(__xludf.DUMMYFUNCTION(" VLOOKUP(A2604, IMPORTRANGE(""https://docs.google.com/spreadsheets/d/1fj_Bhi2XPL3siwIh4sx4VRLAe31yD50oKdj5UlRYW0c/"", ""Сводка!A:AA""), 11, FALSE)"),"978-601-342-592-4")</f>
        <v>978-601-342-592-4</v>
      </c>
      <c r="E2607" s="11" t="s">
        <v>10309</v>
      </c>
      <c r="F2607" s="11" t="s">
        <v>10310</v>
      </c>
      <c r="G2607" s="12">
        <f ca="1">IFERROR(__xludf.DUMMYFUNCTION(" VLOOKUP(A2604, IMPORTRANGE(""https://docs.google.com/spreadsheets/d/1fj_Bhi2XPL3siwIh4sx4VRLAe31yD50oKdj5UlRYW0c/"", ""Сводка!A:AA""), 5, FALSE)"),320)</f>
        <v>320</v>
      </c>
      <c r="H2607" s="12" t="s">
        <v>538</v>
      </c>
      <c r="I2607" s="10">
        <f ca="1">IFERROR(__xludf.DUMMYFUNCTION(" VLOOKUP(A2604, IMPORTRANGE(""https://docs.google.com/spreadsheets/d/1QNLbnkR_AongFt22vMfNzfpjZ0CjpI8QI-w0wBnYA1w/"", ""Инфа!A:AA""), 6, FALSE)"),2024)</f>
        <v>2024</v>
      </c>
      <c r="J2607" s="5">
        <f ca="1">ROUND((5000+G2607*30),-2)</f>
        <v>14600</v>
      </c>
      <c r="K2607" s="12" t="s">
        <v>619</v>
      </c>
      <c r="L2607" s="15" t="s">
        <v>10311</v>
      </c>
    </row>
    <row r="2608" spans="1:12" ht="337.5">
      <c r="A2608" s="8" t="s">
        <v>10312</v>
      </c>
      <c r="B2608" s="9" t="s">
        <v>12</v>
      </c>
      <c r="C2608" s="10" t="s">
        <v>10308</v>
      </c>
      <c r="D2608" s="10" t="str">
        <f ca="1">IFERROR(__xludf.DUMMYFUNCTION(" VLOOKUP(A2605, IMPORTRANGE(""https://docs.google.com/spreadsheets/d/1fj_Bhi2XPL3siwIh4sx4VRLAe31yD50oKdj5UlRYW0c/"", ""Сводка!A:AA""), 11, FALSE)"),"978-601-280-249-8")</f>
        <v>978-601-280-249-8</v>
      </c>
      <c r="E2608" s="11" t="s">
        <v>10309</v>
      </c>
      <c r="F2608" s="11" t="s">
        <v>10313</v>
      </c>
      <c r="G2608" s="12">
        <f ca="1">IFERROR(__xludf.DUMMYFUNCTION(" VLOOKUP(A2605, IMPORTRANGE(""https://docs.google.com/spreadsheets/d/1fj_Bhi2XPL3siwIh4sx4VRLAe31yD50oKdj5UlRYW0c/"", ""Сводка!A:AA""), 5, FALSE)"),124)</f>
        <v>124</v>
      </c>
      <c r="H2608" s="12" t="s">
        <v>106</v>
      </c>
      <c r="I2608" s="10">
        <f ca="1">IFERROR(__xludf.DUMMYFUNCTION(" VLOOKUP(A2605, IMPORTRANGE(""https://docs.google.com/spreadsheets/d/1QNLbnkR_AongFt22vMfNzfpjZ0CjpI8QI-w0wBnYA1w/"", ""Инфа!A:AA""), 6, FALSE)"),2024)</f>
        <v>2024</v>
      </c>
      <c r="J2608" s="5">
        <f ca="1">ROUND((5000+G2608*30),-2)</f>
        <v>8700</v>
      </c>
      <c r="K2608" s="12" t="s">
        <v>69</v>
      </c>
      <c r="L2608" s="15" t="s">
        <v>10314</v>
      </c>
    </row>
    <row r="2609" spans="1:12" ht="236.25">
      <c r="A2609" s="8" t="s">
        <v>10315</v>
      </c>
      <c r="B2609" s="9" t="s">
        <v>12</v>
      </c>
      <c r="C2609" s="10" t="s">
        <v>443</v>
      </c>
      <c r="D2609" s="10" t="str">
        <f ca="1">IFERROR(__xludf.DUMMYFUNCTION(" VLOOKUP(A2606, IMPORTRANGE(""https://docs.google.com/spreadsheets/d/1fj_Bhi2XPL3siwIh4sx4VRLAe31yD50oKdj5UlRYW0c/"", ""Сводка!A:AA""), 11, FALSE)"),"978-601-228-574-17")</f>
        <v>978-601-228-574-17</v>
      </c>
      <c r="E2609" s="11" t="s">
        <v>10316</v>
      </c>
      <c r="F2609" s="11" t="s">
        <v>10317</v>
      </c>
      <c r="G2609" s="12">
        <f ca="1">IFERROR(__xludf.DUMMYFUNCTION(" VLOOKUP(A2606, IMPORTRANGE(""https://docs.google.com/spreadsheets/d/1fj_Bhi2XPL3siwIh4sx4VRLAe31yD50oKdj5UlRYW0c/"", ""Сводка!A:AA""), 5, FALSE)"),204)</f>
        <v>204</v>
      </c>
      <c r="H2609" s="12" t="s">
        <v>538</v>
      </c>
      <c r="I2609" s="10">
        <f ca="1">IFERROR(__xludf.DUMMYFUNCTION(" VLOOKUP(A2606, IMPORTRANGE(""https://docs.google.com/spreadsheets/d/1QNLbnkR_AongFt22vMfNzfpjZ0CjpI8QI-w0wBnYA1w/"", ""Инфа!A:AA""), 6, FALSE)"),2024)</f>
        <v>2024</v>
      </c>
      <c r="J2609" s="5">
        <f ca="1">ROUND((5000+G2609*60),-2)</f>
        <v>17200</v>
      </c>
      <c r="K2609" s="12" t="s">
        <v>2363</v>
      </c>
      <c r="L2609" s="15" t="s">
        <v>10318</v>
      </c>
    </row>
    <row r="2610" spans="1:12" ht="25.5">
      <c r="A2610" s="8" t="s">
        <v>10319</v>
      </c>
      <c r="B2610" s="9" t="s">
        <v>12</v>
      </c>
      <c r="C2610" s="10" t="s">
        <v>443</v>
      </c>
      <c r="D2610" s="10" t="str">
        <f ca="1">IFERROR(__xludf.DUMMYFUNCTION(" VLOOKUP(A2607, IMPORTRANGE(""https://docs.google.com/spreadsheets/d/1fj_Bhi2XPL3siwIh4sx4VRLAe31yD50oKdj5UlRYW0c/"", ""Сводка!A:AA""), 11, FALSE)"),"978-601-310-481-2")</f>
        <v>978-601-310-481-2</v>
      </c>
      <c r="E2610" s="19" t="s">
        <v>10320</v>
      </c>
      <c r="F2610" s="19" t="s">
        <v>10321</v>
      </c>
      <c r="G2610" s="12">
        <f ca="1">IFERROR(__xludf.DUMMYFUNCTION(" VLOOKUP(A2607, IMPORTRANGE(""https://docs.google.com/spreadsheets/d/1fj_Bhi2XPL3siwIh4sx4VRLAe31yD50oKdj5UlRYW0c/"", ""Сводка!A:AA""), 5, FALSE)"),92)</f>
        <v>92</v>
      </c>
      <c r="H2610" s="9" t="s">
        <v>538</v>
      </c>
      <c r="I2610" s="10">
        <f ca="1">IFERROR(__xludf.DUMMYFUNCTION(" VLOOKUP(A2607, IMPORTRANGE(""https://docs.google.com/spreadsheets/d/1QNLbnkR_AongFt22vMfNzfpjZ0CjpI8QI-w0wBnYA1w/"", ""Инфа!A:AA""), 6, FALSE)"),2024)</f>
        <v>2024</v>
      </c>
      <c r="J2610" s="5">
        <f ca="1">ROUND((5000+G2610*30),-2)</f>
        <v>7800</v>
      </c>
      <c r="K2610" s="12" t="s">
        <v>961</v>
      </c>
      <c r="L2610" s="15"/>
    </row>
    <row r="2611" spans="1:12" ht="191.25">
      <c r="A2611" s="8" t="s">
        <v>10322</v>
      </c>
      <c r="B2611" s="9" t="s">
        <v>12</v>
      </c>
      <c r="C2611" s="10" t="s">
        <v>443</v>
      </c>
      <c r="D2611" s="10" t="str">
        <f ca="1">IFERROR(__xludf.DUMMYFUNCTION(" VLOOKUP(A2608, IMPORTRANGE(""https://docs.google.com/spreadsheets/d/1fj_Bhi2XPL3siwIh4sx4VRLAe31yD50oKdj5UlRYW0c/"", ""Сводка!A:AA""), 11, FALSE)"),"978-601-352-942-4")</f>
        <v>978-601-352-942-4</v>
      </c>
      <c r="E2611" s="11" t="s">
        <v>10323</v>
      </c>
      <c r="F2611" s="11" t="s">
        <v>10324</v>
      </c>
      <c r="G2611" s="12">
        <f ca="1">IFERROR(__xludf.DUMMYFUNCTION(" VLOOKUP(A2608, IMPORTRANGE(""https://docs.google.com/spreadsheets/d/1fj_Bhi2XPL3siwIh4sx4VRLAe31yD50oKdj5UlRYW0c/"", ""Сводка!A:AA""), 5, FALSE)"),212)</f>
        <v>212</v>
      </c>
      <c r="H2611" s="12" t="s">
        <v>511</v>
      </c>
      <c r="I2611" s="10">
        <f ca="1">IFERROR(__xludf.DUMMYFUNCTION(" VLOOKUP(A2608, IMPORTRANGE(""https://docs.google.com/spreadsheets/d/1QNLbnkR_AongFt22vMfNzfpjZ0CjpI8QI-w0wBnYA1w/"", ""Инфа!A:AA""), 6, FALSE)"),2024)</f>
        <v>2024</v>
      </c>
      <c r="J2611" s="5">
        <f ca="1">ROUND((5000+G2611*30),-2)</f>
        <v>11400</v>
      </c>
      <c r="K2611" s="9" t="s">
        <v>1219</v>
      </c>
      <c r="L2611" s="15" t="s">
        <v>10325</v>
      </c>
    </row>
    <row r="2612" spans="1:12" ht="191.25">
      <c r="A2612" s="8" t="s">
        <v>10326</v>
      </c>
      <c r="B2612" s="9" t="s">
        <v>12</v>
      </c>
      <c r="C2612" s="10" t="s">
        <v>443</v>
      </c>
      <c r="D2612" s="10" t="str">
        <f ca="1">IFERROR(__xludf.DUMMYFUNCTION(" VLOOKUP(A2609, IMPORTRANGE(""https://docs.google.com/spreadsheets/d/1fj_Bhi2XPL3siwIh4sx4VRLAe31yD50oKdj5UlRYW0c/"", ""Сводка!A:AA""), 11, FALSE)"),"978-601-310-349-5")</f>
        <v>978-601-310-349-5</v>
      </c>
      <c r="E2612" s="11" t="s">
        <v>10327</v>
      </c>
      <c r="F2612" s="11" t="s">
        <v>7608</v>
      </c>
      <c r="G2612" s="12">
        <f ca="1">IFERROR(__xludf.DUMMYFUNCTION(" VLOOKUP(A2609, IMPORTRANGE(""https://docs.google.com/spreadsheets/d/1fj_Bhi2XPL3siwIh4sx4VRLAe31yD50oKdj5UlRYW0c/"", ""Сводка!A:AA""), 5, FALSE)"),92)</f>
        <v>92</v>
      </c>
      <c r="H2612" s="12" t="s">
        <v>538</v>
      </c>
      <c r="I2612" s="10">
        <f ca="1">IFERROR(__xludf.DUMMYFUNCTION(" VLOOKUP(A2609, IMPORTRANGE(""https://docs.google.com/spreadsheets/d/1QNLbnkR_AongFt22vMfNzfpjZ0CjpI8QI-w0wBnYA1w/"", ""Инфа!A:AA""), 6, FALSE)"),2024)</f>
        <v>2024</v>
      </c>
      <c r="J2612" s="5">
        <f ca="1">ROUND((5000+G2612*60),-2)</f>
        <v>10500</v>
      </c>
      <c r="K2612" s="9" t="s">
        <v>408</v>
      </c>
      <c r="L2612" s="15" t="s">
        <v>10328</v>
      </c>
    </row>
    <row r="2613" spans="1:12" ht="25.5">
      <c r="A2613" s="8" t="s">
        <v>10329</v>
      </c>
      <c r="B2613" s="9" t="s">
        <v>12</v>
      </c>
      <c r="C2613" s="10" t="s">
        <v>443</v>
      </c>
      <c r="D2613" s="10" t="str">
        <f ca="1">IFERROR(__xludf.DUMMYFUNCTION(" VLOOKUP(A2610, IMPORTRANGE(""https://docs.google.com/spreadsheets/d/1fj_Bhi2XPL3siwIh4sx4VRLAe31yD50oKdj5UlRYW0c/"", ""Сводка!A:AA""), 11, FALSE)"),"978-601-240-158-5")</f>
        <v>978-601-240-158-5</v>
      </c>
      <c r="E2613" s="11" t="s">
        <v>10330</v>
      </c>
      <c r="F2613" s="11" t="s">
        <v>10331</v>
      </c>
      <c r="G2613" s="12">
        <f ca="1">IFERROR(__xludf.DUMMYFUNCTION(" VLOOKUP(A2610, IMPORTRANGE(""https://docs.google.com/spreadsheets/d/1fj_Bhi2XPL3siwIh4sx4VRLAe31yD50oKdj5UlRYW0c/"", ""Сводка!A:AA""), 5, FALSE)"),320)</f>
        <v>320</v>
      </c>
      <c r="H2613" s="12" t="s">
        <v>538</v>
      </c>
      <c r="I2613" s="10">
        <f ca="1">IFERROR(__xludf.DUMMYFUNCTION(" VLOOKUP(A2610, IMPORTRANGE(""https://docs.google.com/spreadsheets/d/1QNLbnkR_AongFt22vMfNzfpjZ0CjpI8QI-w0wBnYA1w/"", ""Инфа!A:AA""), 6, FALSE)"),2024)</f>
        <v>2024</v>
      </c>
      <c r="J2613" s="5">
        <f ca="1">ROUND((5000+G2613*60),-2)</f>
        <v>24200</v>
      </c>
      <c r="K2613" s="12" t="s">
        <v>257</v>
      </c>
      <c r="L2613" s="15"/>
    </row>
    <row r="2614" spans="1:12" ht="225">
      <c r="A2614" s="8" t="s">
        <v>10332</v>
      </c>
      <c r="B2614" s="9" t="s">
        <v>12</v>
      </c>
      <c r="C2614" s="10" t="s">
        <v>443</v>
      </c>
      <c r="D2614" s="10" t="str">
        <f ca="1">IFERROR(__xludf.DUMMYFUNCTION(" VLOOKUP(A2611, IMPORTRANGE(""https://docs.google.com/spreadsheets/d/1fj_Bhi2XPL3siwIh4sx4VRLAe31yD50oKdj5UlRYW0c/"", ""Сводка!A:AA""), 11, FALSE)"),"978-601-310-986-2")</f>
        <v>978-601-310-986-2</v>
      </c>
      <c r="E2614" s="11" t="s">
        <v>10333</v>
      </c>
      <c r="F2614" s="11" t="s">
        <v>10334</v>
      </c>
      <c r="G2614" s="12">
        <f ca="1">IFERROR(__xludf.DUMMYFUNCTION(" VLOOKUP(A2611, IMPORTRANGE(""https://docs.google.com/spreadsheets/d/1fj_Bhi2XPL3siwIh4sx4VRLAe31yD50oKdj5UlRYW0c/"", ""Сводка!A:AA""), 5, FALSE)"),180)</f>
        <v>180</v>
      </c>
      <c r="H2614" s="12" t="s">
        <v>106</v>
      </c>
      <c r="I2614" s="10">
        <f ca="1">IFERROR(__xludf.DUMMYFUNCTION(" VLOOKUP(A2611, IMPORTRANGE(""https://docs.google.com/spreadsheets/d/1QNLbnkR_AongFt22vMfNzfpjZ0CjpI8QI-w0wBnYA1w/"", ""Инфа!A:AA""), 6, FALSE)"),2024)</f>
        <v>2024</v>
      </c>
      <c r="J2614" s="5">
        <f ca="1">ROUND((5000+G2614*30),-2)</f>
        <v>10400</v>
      </c>
      <c r="K2614" s="12" t="s">
        <v>740</v>
      </c>
      <c r="L2614" s="15" t="s">
        <v>10335</v>
      </c>
    </row>
    <row r="2615" spans="1:12" ht="38.25">
      <c r="A2615" s="8" t="s">
        <v>10336</v>
      </c>
      <c r="B2615" s="9" t="s">
        <v>12</v>
      </c>
      <c r="C2615" s="10" t="s">
        <v>443</v>
      </c>
      <c r="D2615" s="10" t="str">
        <f ca="1">IFERROR(__xludf.DUMMYFUNCTION(" VLOOKUP(A2612, IMPORTRANGE(""https://docs.google.com/spreadsheets/d/1fj_Bhi2XPL3siwIh4sx4VRLAe31yD50oKdj5UlRYW0c/"", ""Сводка!A:AA""), 11, FALSE)"),"978-601-310-948-0")</f>
        <v>978-601-310-948-0</v>
      </c>
      <c r="E2615" s="11" t="s">
        <v>10337</v>
      </c>
      <c r="F2615" s="11" t="s">
        <v>10338</v>
      </c>
      <c r="G2615" s="12">
        <f ca="1">IFERROR(__xludf.DUMMYFUNCTION(" VLOOKUP(A2612, IMPORTRANGE(""https://docs.google.com/spreadsheets/d/1fj_Bhi2XPL3siwIh4sx4VRLAe31yD50oKdj5UlRYW0c/"", ""Сводка!A:AA""), 5, FALSE)"),100)</f>
        <v>100</v>
      </c>
      <c r="H2615" s="12" t="s">
        <v>538</v>
      </c>
      <c r="I2615" s="10">
        <f ca="1">IFERROR(__xludf.DUMMYFUNCTION(" VLOOKUP(A2612, IMPORTRANGE(""https://docs.google.com/spreadsheets/d/1QNLbnkR_AongFt22vMfNzfpjZ0CjpI8QI-w0wBnYA1w/"", ""Инфа!A:AA""), 6, FALSE)"),2024)</f>
        <v>2024</v>
      </c>
      <c r="J2615" s="5">
        <f ca="1">ROUND((5000+G2615*60),-2)</f>
        <v>11000</v>
      </c>
      <c r="K2615" s="9" t="s">
        <v>539</v>
      </c>
      <c r="L2615" s="15"/>
    </row>
    <row r="2616" spans="1:12" ht="38.25">
      <c r="A2616" s="8" t="s">
        <v>10339</v>
      </c>
      <c r="B2616" s="9" t="s">
        <v>12</v>
      </c>
      <c r="C2616" s="10" t="s">
        <v>443</v>
      </c>
      <c r="D2616" s="10" t="str">
        <f ca="1">IFERROR(__xludf.DUMMYFUNCTION(" VLOOKUP(A2613, IMPORTRANGE(""https://docs.google.com/spreadsheets/d/1fj_Bhi2XPL3siwIh4sx4VRLAe31yD50oKdj5UlRYW0c/"", ""Сводка!A:AA""), 11, FALSE)"),"978-601-310-953-4")</f>
        <v>978-601-310-953-4</v>
      </c>
      <c r="E2616" s="11" t="s">
        <v>10337</v>
      </c>
      <c r="F2616" s="11" t="s">
        <v>10340</v>
      </c>
      <c r="G2616" s="12">
        <f ca="1">IFERROR(__xludf.DUMMYFUNCTION(" VLOOKUP(A2613, IMPORTRANGE(""https://docs.google.com/spreadsheets/d/1fj_Bhi2XPL3siwIh4sx4VRLAe31yD50oKdj5UlRYW0c/"", ""Сводка!A:AA""), 5, FALSE)"),132)</f>
        <v>132</v>
      </c>
      <c r="H2616" s="12" t="s">
        <v>538</v>
      </c>
      <c r="I2616" s="10">
        <f ca="1">IFERROR(__xludf.DUMMYFUNCTION(" VLOOKUP(A2613, IMPORTRANGE(""https://docs.google.com/spreadsheets/d/1QNLbnkR_AongFt22vMfNzfpjZ0CjpI8QI-w0wBnYA1w/"", ""Инфа!A:AA""), 6, FALSE)"),2024)</f>
        <v>2024</v>
      </c>
      <c r="J2616" s="5">
        <f ca="1">ROUND((5000+G2616*60),-2)</f>
        <v>12900</v>
      </c>
      <c r="K2616" s="9" t="s">
        <v>539</v>
      </c>
      <c r="L2616" s="15"/>
    </row>
    <row r="2617" spans="1:12" ht="292.5">
      <c r="A2617" s="8" t="s">
        <v>10341</v>
      </c>
      <c r="B2617" s="9" t="s">
        <v>12</v>
      </c>
      <c r="C2617" s="10" t="s">
        <v>443</v>
      </c>
      <c r="D2617" s="10" t="str">
        <f ca="1">IFERROR(__xludf.DUMMYFUNCTION(" VLOOKUP(A2614, IMPORTRANGE(""https://docs.google.com/spreadsheets/d/1fj_Bhi2XPL3siwIh4sx4VRLAe31yD50oKdj5UlRYW0c/"", ""Сводка!A:AA""), 11, FALSE)"),"978-601-240-577-4")</f>
        <v>978-601-240-577-4</v>
      </c>
      <c r="E2617" s="11" t="s">
        <v>10342</v>
      </c>
      <c r="F2617" s="11" t="s">
        <v>10343</v>
      </c>
      <c r="G2617" s="12">
        <f ca="1">IFERROR(__xludf.DUMMYFUNCTION(" VLOOKUP(A2614, IMPORTRANGE(""https://docs.google.com/spreadsheets/d/1fj_Bhi2XPL3siwIh4sx4VRLAe31yD50oKdj5UlRYW0c/"", ""Сводка!A:AA""), 5, FALSE)"),206)</f>
        <v>206</v>
      </c>
      <c r="H2617" s="12" t="s">
        <v>538</v>
      </c>
      <c r="I2617" s="10">
        <f ca="1">IFERROR(__xludf.DUMMYFUNCTION(" VLOOKUP(A2614, IMPORTRANGE(""https://docs.google.com/spreadsheets/d/1QNLbnkR_AongFt22vMfNzfpjZ0CjpI8QI-w0wBnYA1w/"", ""Инфа!A:AA""), 6, FALSE)"),2024)</f>
        <v>2024</v>
      </c>
      <c r="J2617" s="5">
        <f ca="1">ROUND((5000+G2617*30),-2)</f>
        <v>11200</v>
      </c>
      <c r="K2617" s="9" t="s">
        <v>5309</v>
      </c>
      <c r="L2617" s="15" t="s">
        <v>10344</v>
      </c>
    </row>
    <row r="2618" spans="1:12" ht="281.25">
      <c r="A2618" s="8" t="s">
        <v>10345</v>
      </c>
      <c r="B2618" s="9" t="s">
        <v>12</v>
      </c>
      <c r="C2618" s="10" t="s">
        <v>151</v>
      </c>
      <c r="D2618" s="10" t="str">
        <f ca="1">IFERROR(__xludf.DUMMYFUNCTION(" VLOOKUP(A2615, IMPORTRANGE(""https://docs.google.com/spreadsheets/d/1fj_Bhi2XPL3siwIh4sx4VRLAe31yD50oKdj5UlRYW0c/"", ""Сводка!A:AA""), 11, FALSE)"),"978-601-240-577-4")</f>
        <v>978-601-240-577-4</v>
      </c>
      <c r="E2618" s="11" t="s">
        <v>10342</v>
      </c>
      <c r="F2618" s="11" t="s">
        <v>10346</v>
      </c>
      <c r="G2618" s="12">
        <f ca="1">IFERROR(__xludf.DUMMYFUNCTION(" VLOOKUP(A2615, IMPORTRANGE(""https://docs.google.com/spreadsheets/d/1fj_Bhi2XPL3siwIh4sx4VRLAe31yD50oKdj5UlRYW0c/"", ""Сводка!A:AA""), 5, FALSE)"),182)</f>
        <v>182</v>
      </c>
      <c r="H2618" s="12" t="s">
        <v>47</v>
      </c>
      <c r="I2618" s="10">
        <f ca="1">IFERROR(__xludf.DUMMYFUNCTION(" VLOOKUP(A2615, IMPORTRANGE(""https://docs.google.com/spreadsheets/d/1QNLbnkR_AongFt22vMfNzfpjZ0CjpI8QI-w0wBnYA1w/"", ""Инфа!A:AA""), 6, FALSE)"),2024)</f>
        <v>2024</v>
      </c>
      <c r="J2618" s="5">
        <f ca="1">ROUND((5000+G2618*30),-2)</f>
        <v>10500</v>
      </c>
      <c r="K2618" s="9" t="s">
        <v>5309</v>
      </c>
      <c r="L2618" s="15" t="s">
        <v>10347</v>
      </c>
    </row>
    <row r="2619" spans="1:12" ht="191.25">
      <c r="A2619" s="8" t="s">
        <v>10348</v>
      </c>
      <c r="B2619" s="9" t="s">
        <v>12</v>
      </c>
      <c r="C2619" s="10" t="s">
        <v>151</v>
      </c>
      <c r="D2619" s="10" t="str">
        <f ca="1">IFERROR(__xludf.DUMMYFUNCTION(" VLOOKUP(A2616, IMPORTRANGE(""https://docs.google.com/spreadsheets/d/1fj_Bhi2XPL3siwIh4sx4VRLAe31yD50oKdj5UlRYW0c/"", ""Сводка!A:AA""), 11, FALSE)"),"978-601-240-880-5")</f>
        <v>978-601-240-880-5</v>
      </c>
      <c r="E2619" s="11" t="s">
        <v>10349</v>
      </c>
      <c r="F2619" s="11" t="s">
        <v>10350</v>
      </c>
      <c r="G2619" s="12">
        <f ca="1">IFERROR(__xludf.DUMMYFUNCTION(" VLOOKUP(A2616, IMPORTRANGE(""https://docs.google.com/spreadsheets/d/1fj_Bhi2XPL3siwIh4sx4VRLAe31yD50oKdj5UlRYW0c/"", ""Сводка!A:AA""), 5, FALSE)"),204)</f>
        <v>204</v>
      </c>
      <c r="H2619" s="12" t="s">
        <v>282</v>
      </c>
      <c r="I2619" s="10">
        <f ca="1">IFERROR(__xludf.DUMMYFUNCTION(" VLOOKUP(A2616, IMPORTRANGE(""https://docs.google.com/spreadsheets/d/1QNLbnkR_AongFt22vMfNzfpjZ0CjpI8QI-w0wBnYA1w/"", ""Инфа!A:AA""), 6, FALSE)"),2024)</f>
        <v>2024</v>
      </c>
      <c r="J2619" s="5">
        <f ca="1">ROUND((5000+G2619*60),-2)</f>
        <v>17200</v>
      </c>
      <c r="K2619" s="12" t="s">
        <v>302</v>
      </c>
      <c r="L2619" s="15" t="s">
        <v>10351</v>
      </c>
    </row>
    <row r="2620" spans="1:12" ht="225">
      <c r="A2620" s="8" t="s">
        <v>10352</v>
      </c>
      <c r="B2620" s="9" t="s">
        <v>12</v>
      </c>
      <c r="C2620" s="10" t="s">
        <v>151</v>
      </c>
      <c r="D2620" s="10" t="str">
        <f ca="1">IFERROR(__xludf.DUMMYFUNCTION(" VLOOKUP(A2617, IMPORTRANGE(""https://docs.google.com/spreadsheets/d/1fj_Bhi2XPL3siwIh4sx4VRLAe31yD50oKdj5UlRYW0c/"", ""Сводка!A:AA""), 11, FALSE)"),"978-604-240-901-7")</f>
        <v>978-604-240-901-7</v>
      </c>
      <c r="E2620" s="11" t="s">
        <v>10353</v>
      </c>
      <c r="F2620" s="11" t="s">
        <v>4565</v>
      </c>
      <c r="G2620" s="12">
        <f ca="1">IFERROR(__xludf.DUMMYFUNCTION(" VLOOKUP(A2617, IMPORTRANGE(""https://docs.google.com/spreadsheets/d/1fj_Bhi2XPL3siwIh4sx4VRLAe31yD50oKdj5UlRYW0c/"", ""Сводка!A:AA""), 5, FALSE)"),304)</f>
        <v>304</v>
      </c>
      <c r="H2620" s="12" t="s">
        <v>498</v>
      </c>
      <c r="I2620" s="10">
        <f ca="1">IFERROR(__xludf.DUMMYFUNCTION(" VLOOKUP(A2617, IMPORTRANGE(""https://docs.google.com/spreadsheets/d/1QNLbnkR_AongFt22vMfNzfpjZ0CjpI8QI-w0wBnYA1w/"", ""Инфа!A:AA""), 6, FALSE)"),2024)</f>
        <v>2024</v>
      </c>
      <c r="J2620" s="5">
        <f ca="1">ROUND(((5000+G2620*30)*1.3),-2)</f>
        <v>18400</v>
      </c>
      <c r="K2620" s="9" t="s">
        <v>26</v>
      </c>
      <c r="L2620" s="15" t="s">
        <v>10354</v>
      </c>
    </row>
    <row r="2621" spans="1:12" ht="157.5">
      <c r="A2621" s="8" t="s">
        <v>10355</v>
      </c>
      <c r="B2621" s="9" t="s">
        <v>12</v>
      </c>
      <c r="C2621" s="10" t="s">
        <v>151</v>
      </c>
      <c r="D2621" s="10" t="str">
        <f ca="1">IFERROR(__xludf.DUMMYFUNCTION(" VLOOKUP(A2618, IMPORTRANGE(""https://docs.google.com/spreadsheets/d/1fj_Bhi2XPL3siwIh4sx4VRLAe31yD50oKdj5UlRYW0c/"", ""Сводка!A:AA""), 11, FALSE)"),"978-601-240-894-2")</f>
        <v>978-601-240-894-2</v>
      </c>
      <c r="E2621" s="11" t="s">
        <v>10353</v>
      </c>
      <c r="F2621" s="11" t="s">
        <v>2758</v>
      </c>
      <c r="G2621" s="12">
        <f ca="1">IFERROR(__xludf.DUMMYFUNCTION(" VLOOKUP(A2618, IMPORTRANGE(""https://docs.google.com/spreadsheets/d/1fj_Bhi2XPL3siwIh4sx4VRLAe31yD50oKdj5UlRYW0c/"", ""Сводка!A:AA""), 5, FALSE)"),256)</f>
        <v>256</v>
      </c>
      <c r="H2621" s="12" t="s">
        <v>498</v>
      </c>
      <c r="I2621" s="10">
        <f ca="1">IFERROR(__xludf.DUMMYFUNCTION(" VLOOKUP(A2618, IMPORTRANGE(""https://docs.google.com/spreadsheets/d/1QNLbnkR_AongFt22vMfNzfpjZ0CjpI8QI-w0wBnYA1w/"", ""Инфа!A:AA""), 6, FALSE)"),2024)</f>
        <v>2024</v>
      </c>
      <c r="J2621" s="5">
        <f ca="1">ROUND(((5000+G2621*60)*1.3),-2)</f>
        <v>26500</v>
      </c>
      <c r="K2621" s="9" t="s">
        <v>26</v>
      </c>
      <c r="L2621" s="15" t="s">
        <v>10356</v>
      </c>
    </row>
    <row r="2622" spans="1:12" ht="101.25">
      <c r="A2622" s="8" t="s">
        <v>10357</v>
      </c>
      <c r="B2622" s="9" t="s">
        <v>12</v>
      </c>
      <c r="C2622" s="10" t="s">
        <v>151</v>
      </c>
      <c r="D2622" s="10" t="str">
        <f ca="1">IFERROR(__xludf.DUMMYFUNCTION(" VLOOKUP(A2619, IMPORTRANGE(""https://docs.google.com/spreadsheets/d/1fj_Bhi2XPL3siwIh4sx4VRLAe31yD50oKdj5UlRYW0c/"", ""Сводка!A:AA""), 11, FALSE)"),"978-601-342-151-3")</f>
        <v>978-601-342-151-3</v>
      </c>
      <c r="E2622" s="11" t="s">
        <v>10358</v>
      </c>
      <c r="F2622" s="11" t="s">
        <v>10359</v>
      </c>
      <c r="G2622" s="12">
        <f ca="1">IFERROR(__xludf.DUMMYFUNCTION(" VLOOKUP(A2619, IMPORTRANGE(""https://docs.google.com/spreadsheets/d/1fj_Bhi2XPL3siwIh4sx4VRLAe31yD50oKdj5UlRYW0c/"", ""Сводка!A:AA""), 5, FALSE)"),100)</f>
        <v>100</v>
      </c>
      <c r="H2622" s="12" t="s">
        <v>2216</v>
      </c>
      <c r="I2622" s="10">
        <f ca="1">IFERROR(__xludf.DUMMYFUNCTION(" VLOOKUP(A2619, IMPORTRANGE(""https://docs.google.com/spreadsheets/d/1QNLbnkR_AongFt22vMfNzfpjZ0CjpI8QI-w0wBnYA1w/"", ""Инфа!A:AA""), 6, FALSE)"),2024)</f>
        <v>2024</v>
      </c>
      <c r="J2622" s="5">
        <f ca="1">ROUND((5000+G2622*30),-2)</f>
        <v>8000</v>
      </c>
      <c r="K2622" s="12" t="s">
        <v>18</v>
      </c>
      <c r="L2622" s="15" t="s">
        <v>10360</v>
      </c>
    </row>
    <row r="2623" spans="1:12" ht="38.25">
      <c r="A2623" s="8" t="s">
        <v>10361</v>
      </c>
      <c r="B2623" s="9" t="s">
        <v>12</v>
      </c>
      <c r="C2623" s="10" t="s">
        <v>443</v>
      </c>
      <c r="D2623" s="10" t="str">
        <f ca="1">IFERROR(__xludf.DUMMYFUNCTION(" VLOOKUP(A2620, IMPORTRANGE(""https://docs.google.com/spreadsheets/d/1fj_Bhi2XPL3siwIh4sx4VRLAe31yD50oKdj5UlRYW0c/"", ""Сводка!A:AA""), 11, FALSE)"),"978-601-80332-0-9")</f>
        <v>978-601-80332-0-9</v>
      </c>
      <c r="E2623" s="11" t="s">
        <v>10362</v>
      </c>
      <c r="F2623" s="11" t="s">
        <v>510</v>
      </c>
      <c r="G2623" s="12">
        <f ca="1">IFERROR(__xludf.DUMMYFUNCTION(" VLOOKUP(A2620, IMPORTRANGE(""https://docs.google.com/spreadsheets/d/1fj_Bhi2XPL3siwIh4sx4VRLAe31yD50oKdj5UlRYW0c/"", ""Сводка!A:AA""), 5, FALSE)"),180)</f>
        <v>180</v>
      </c>
      <c r="H2623" s="12" t="s">
        <v>538</v>
      </c>
      <c r="I2623" s="10">
        <f ca="1">IFERROR(__xludf.DUMMYFUNCTION(" VLOOKUP(A2620, IMPORTRANGE(""https://docs.google.com/spreadsheets/d/1QNLbnkR_AongFt22vMfNzfpjZ0CjpI8QI-w0wBnYA1w/"", ""Инфа!A:AA""), 6, FALSE)"),2024)</f>
        <v>2024</v>
      </c>
      <c r="J2623" s="5">
        <f ca="1">ROUND((5000+G2623*30),-2)</f>
        <v>10400</v>
      </c>
      <c r="K2623" s="9" t="s">
        <v>26</v>
      </c>
      <c r="L2623" s="15"/>
    </row>
    <row r="2624" spans="1:12" ht="38.25">
      <c r="A2624" s="8" t="s">
        <v>10363</v>
      </c>
      <c r="B2624" s="9" t="s">
        <v>12</v>
      </c>
      <c r="C2624" s="10" t="s">
        <v>151</v>
      </c>
      <c r="D2624" s="10" t="str">
        <f ca="1">IFERROR(__xludf.DUMMYFUNCTION(" VLOOKUP(A2621, IMPORTRANGE(""https://docs.google.com/spreadsheets/d/1fj_Bhi2XPL3siwIh4sx4VRLAe31yD50oKdj5UlRYW0c/"", ""Сводка!A:AA""), 11, FALSE)"),"978-601-240-620-7")</f>
        <v>978-601-240-620-7</v>
      </c>
      <c r="E2624" s="11" t="s">
        <v>10364</v>
      </c>
      <c r="F2624" s="11" t="s">
        <v>10365</v>
      </c>
      <c r="G2624" s="12">
        <f ca="1">IFERROR(__xludf.DUMMYFUNCTION(" VLOOKUP(A2621, IMPORTRANGE(""https://docs.google.com/spreadsheets/d/1fj_Bhi2XPL3siwIh4sx4VRLAe31yD50oKdj5UlRYW0c/"", ""Сводка!A:AA""), 5, FALSE)"),220)</f>
        <v>220</v>
      </c>
      <c r="H2624" s="12" t="s">
        <v>47</v>
      </c>
      <c r="I2624" s="10">
        <f ca="1">IFERROR(__xludf.DUMMYFUNCTION(" VLOOKUP(A2621, IMPORTRANGE(""https://docs.google.com/spreadsheets/d/1QNLbnkR_AongFt22vMfNzfpjZ0CjpI8QI-w0wBnYA1w/"", ""Инфа!A:AA""), 6, FALSE)"),2024)</f>
        <v>2024</v>
      </c>
      <c r="J2624" s="5">
        <f ca="1">ROUND((5000+G2624*60),-2)</f>
        <v>18200</v>
      </c>
      <c r="K2624" s="12" t="s">
        <v>8097</v>
      </c>
      <c r="L2624" s="15"/>
    </row>
    <row r="2625" spans="1:12" ht="247.5">
      <c r="A2625" s="8" t="s">
        <v>10366</v>
      </c>
      <c r="B2625" s="9" t="s">
        <v>12</v>
      </c>
      <c r="C2625" s="10" t="s">
        <v>443</v>
      </c>
      <c r="D2625" s="10" t="str">
        <f ca="1">IFERROR(__xludf.DUMMYFUNCTION(" VLOOKUP(A2622, IMPORTRANGE(""https://docs.google.com/spreadsheets/d/1fj_Bhi2XPL3siwIh4sx4VRLAe31yD50oKdj5UlRYW0c/"", ""Сводка!A:AA""), 11, FALSE)"),"978-601-327-161-3")</f>
        <v>978-601-327-161-3</v>
      </c>
      <c r="E2625" s="11" t="s">
        <v>10367</v>
      </c>
      <c r="F2625" s="11" t="s">
        <v>10368</v>
      </c>
      <c r="G2625" s="12">
        <f ca="1">IFERROR(__xludf.DUMMYFUNCTION(" VLOOKUP(A2622, IMPORTRANGE(""https://docs.google.com/spreadsheets/d/1fj_Bhi2XPL3siwIh4sx4VRLAe31yD50oKdj5UlRYW0c/"", ""Сводка!A:AA""), 5, FALSE)"),160)</f>
        <v>160</v>
      </c>
      <c r="H2625" s="12" t="s">
        <v>10369</v>
      </c>
      <c r="I2625" s="10">
        <f ca="1">IFERROR(__xludf.DUMMYFUNCTION(" VLOOKUP(A2622, IMPORTRANGE(""https://docs.google.com/spreadsheets/d/1QNLbnkR_AongFt22vMfNzfpjZ0CjpI8QI-w0wBnYA1w/"", ""Инфа!A:AA""), 6, FALSE)"),2024)</f>
        <v>2024</v>
      </c>
      <c r="J2625" s="5">
        <f ca="1">ROUND((5000+G2625*60),-2)</f>
        <v>14600</v>
      </c>
      <c r="K2625" s="12" t="s">
        <v>37</v>
      </c>
      <c r="L2625" s="15" t="s">
        <v>10370</v>
      </c>
    </row>
    <row r="2626" spans="1:12" ht="213.75">
      <c r="A2626" s="8" t="s">
        <v>10371</v>
      </c>
      <c r="B2626" s="9" t="s">
        <v>12</v>
      </c>
      <c r="C2626" s="10" t="s">
        <v>443</v>
      </c>
      <c r="D2626" s="10" t="str">
        <f ca="1">IFERROR(__xludf.DUMMYFUNCTION(" VLOOKUP(A2623, IMPORTRANGE(""https://docs.google.com/spreadsheets/d/1fj_Bhi2XPL3siwIh4sx4VRLAe31yD50oKdj5UlRYW0c/"", ""Сводка!A:AA""), 11, FALSE)"),"978-601-310-735-6")</f>
        <v>978-601-310-735-6</v>
      </c>
      <c r="E2626" s="11" t="s">
        <v>10372</v>
      </c>
      <c r="F2626" s="11" t="s">
        <v>10373</v>
      </c>
      <c r="G2626" s="12">
        <f ca="1">IFERROR(__xludf.DUMMYFUNCTION(" VLOOKUP(A2623, IMPORTRANGE(""https://docs.google.com/spreadsheets/d/1fj_Bhi2XPL3siwIh4sx4VRLAe31yD50oKdj5UlRYW0c/"", ""Сводка!A:AA""), 5, FALSE)"),120)</f>
        <v>120</v>
      </c>
      <c r="H2626" s="12" t="s">
        <v>538</v>
      </c>
      <c r="I2626" s="10">
        <f ca="1">IFERROR(__xludf.DUMMYFUNCTION(" VLOOKUP(A2623, IMPORTRANGE(""https://docs.google.com/spreadsheets/d/1QNLbnkR_AongFt22vMfNzfpjZ0CjpI8QI-w0wBnYA1w/"", ""Инфа!A:AA""), 6, FALSE)"),2024)</f>
        <v>2024</v>
      </c>
      <c r="J2626" s="5">
        <f ca="1">ROUND((5000+G2626*30),-2)</f>
        <v>8600</v>
      </c>
      <c r="K2626" s="12" t="s">
        <v>271</v>
      </c>
      <c r="L2626" s="15" t="s">
        <v>10374</v>
      </c>
    </row>
    <row r="2627" spans="1:12" ht="38.25">
      <c r="A2627" s="8" t="s">
        <v>10375</v>
      </c>
      <c r="B2627" s="9" t="s">
        <v>12</v>
      </c>
      <c r="C2627" s="10" t="s">
        <v>443</v>
      </c>
      <c r="D2627" s="10" t="str">
        <f ca="1">IFERROR(__xludf.DUMMYFUNCTION(" VLOOKUP(A2624, IMPORTRANGE(""https://docs.google.com/spreadsheets/d/1fj_Bhi2XPL3siwIh4sx4VRLAe31yD50oKdj5UlRYW0c/"", ""Сводка!A:AA""), 11, FALSE)"),"978-601-310-518-5")</f>
        <v>978-601-310-518-5</v>
      </c>
      <c r="E2627" s="11" t="s">
        <v>10376</v>
      </c>
      <c r="F2627" s="11" t="s">
        <v>10377</v>
      </c>
      <c r="G2627" s="12">
        <f ca="1">IFERROR(__xludf.DUMMYFUNCTION(" VLOOKUP(A2624, IMPORTRANGE(""https://docs.google.com/spreadsheets/d/1fj_Bhi2XPL3siwIh4sx4VRLAe31yD50oKdj5UlRYW0c/"", ""Сводка!A:AA""), 5, FALSE)"),124)</f>
        <v>124</v>
      </c>
      <c r="H2627" s="12" t="s">
        <v>511</v>
      </c>
      <c r="I2627" s="10">
        <f ca="1">IFERROR(__xludf.DUMMYFUNCTION(" VLOOKUP(A2624, IMPORTRANGE(""https://docs.google.com/spreadsheets/d/1QNLbnkR_AongFt22vMfNzfpjZ0CjpI8QI-w0wBnYA1w/"", ""Инфа!A:AA""), 6, FALSE)"),2024)</f>
        <v>2024</v>
      </c>
      <c r="J2627" s="5">
        <f ca="1">ROUND((5000+G2627*30),-2)</f>
        <v>8700</v>
      </c>
      <c r="K2627" s="9" t="s">
        <v>539</v>
      </c>
      <c r="L2627" s="15"/>
    </row>
    <row r="2628" spans="1:12" ht="38.25">
      <c r="A2628" s="8" t="s">
        <v>10378</v>
      </c>
      <c r="B2628" s="9" t="s">
        <v>12</v>
      </c>
      <c r="C2628" s="10" t="s">
        <v>443</v>
      </c>
      <c r="D2628" s="10" t="str">
        <f ca="1">IFERROR(__xludf.DUMMYFUNCTION(" VLOOKUP(A2625, IMPORTRANGE(""https://docs.google.com/spreadsheets/d/1fj_Bhi2XPL3siwIh4sx4VRLAe31yD50oKdj5UlRYW0c/"", ""Сводка!A:AA""), 11, FALSE)"),"978-601-310-449-2")</f>
        <v>978-601-310-449-2</v>
      </c>
      <c r="E2628" s="11" t="s">
        <v>10379</v>
      </c>
      <c r="F2628" s="11" t="s">
        <v>10380</v>
      </c>
      <c r="G2628" s="12">
        <f ca="1">IFERROR(__xludf.DUMMYFUNCTION(" VLOOKUP(A2625, IMPORTRANGE(""https://docs.google.com/spreadsheets/d/1fj_Bhi2XPL3siwIh4sx4VRLAe31yD50oKdj5UlRYW0c/"", ""Сводка!A:AA""), 5, FALSE)"),240)</f>
        <v>240</v>
      </c>
      <c r="H2628" s="12" t="s">
        <v>511</v>
      </c>
      <c r="I2628" s="10">
        <f ca="1">IFERROR(__xludf.DUMMYFUNCTION(" VLOOKUP(A2625, IMPORTRANGE(""https://docs.google.com/spreadsheets/d/1QNLbnkR_AongFt22vMfNzfpjZ0CjpI8QI-w0wBnYA1w/"", ""Инфа!A:AA""), 6, FALSE)"),2024)</f>
        <v>2024</v>
      </c>
      <c r="J2628" s="5">
        <f ca="1">ROUND(((5000+G2628*30)*1.3),-2)</f>
        <v>15900</v>
      </c>
      <c r="K2628" s="9" t="s">
        <v>539</v>
      </c>
      <c r="L2628" s="15"/>
    </row>
    <row r="2629" spans="1:12" ht="38.25">
      <c r="A2629" s="8" t="s">
        <v>10381</v>
      </c>
      <c r="B2629" s="9" t="s">
        <v>12</v>
      </c>
      <c r="C2629" s="10" t="s">
        <v>443</v>
      </c>
      <c r="D2629" s="10" t="str">
        <f ca="1">IFERROR(__xludf.DUMMYFUNCTION(" VLOOKUP(A2626, IMPORTRANGE(""https://docs.google.com/spreadsheets/d/1fj_Bhi2XPL3siwIh4sx4VRLAe31yD50oKdj5UlRYW0c/"", ""Сводка!A:AA""), 11, FALSE)"),"978-601-310-020-3")</f>
        <v>978-601-310-020-3</v>
      </c>
      <c r="E2629" s="11" t="s">
        <v>10382</v>
      </c>
      <c r="F2629" s="11" t="s">
        <v>561</v>
      </c>
      <c r="G2629" s="12">
        <f ca="1">IFERROR(__xludf.DUMMYFUNCTION(" VLOOKUP(A2626, IMPORTRANGE(""https://docs.google.com/spreadsheets/d/1fj_Bhi2XPL3siwIh4sx4VRLAe31yD50oKdj5UlRYW0c/"", ""Сводка!A:AA""), 5, FALSE)"),92)</f>
        <v>92</v>
      </c>
      <c r="H2629" s="12" t="s">
        <v>538</v>
      </c>
      <c r="I2629" s="10">
        <f ca="1">IFERROR(__xludf.DUMMYFUNCTION(" VLOOKUP(A2626, IMPORTRANGE(""https://docs.google.com/spreadsheets/d/1QNLbnkR_AongFt22vMfNzfpjZ0CjpI8QI-w0wBnYA1w/"", ""Инфа!A:AA""), 6, FALSE)"),2024)</f>
        <v>2024</v>
      </c>
      <c r="J2629" s="5">
        <f ca="1">ROUND(((5000+G2629*30)*1.3),-2)</f>
        <v>10100</v>
      </c>
      <c r="K2629" s="9" t="s">
        <v>539</v>
      </c>
      <c r="L2629" s="15" t="s">
        <v>10383</v>
      </c>
    </row>
    <row r="2630" spans="1:12" ht="281.25">
      <c r="A2630" s="8" t="s">
        <v>10384</v>
      </c>
      <c r="B2630" s="9" t="s">
        <v>12</v>
      </c>
      <c r="C2630" s="10" t="s">
        <v>443</v>
      </c>
      <c r="D2630" s="10" t="str">
        <f ca="1">IFERROR(__xludf.DUMMYFUNCTION(" VLOOKUP(A2627, IMPORTRANGE(""https://docs.google.com/spreadsheets/d/1fj_Bhi2XPL3siwIh4sx4VRLAe31yD50oKdj5UlRYW0c/"", ""Сводка!A:AA""), 11, FALSE)"),"978-601-327-633-5")</f>
        <v>978-601-327-633-5</v>
      </c>
      <c r="E2630" s="11" t="s">
        <v>10385</v>
      </c>
      <c r="F2630" s="11" t="s">
        <v>10386</v>
      </c>
      <c r="G2630" s="12">
        <f ca="1">IFERROR(__xludf.DUMMYFUNCTION(" VLOOKUP(A2627, IMPORTRANGE(""https://docs.google.com/spreadsheets/d/1fj_Bhi2XPL3siwIh4sx4VRLAe31yD50oKdj5UlRYW0c/"", ""Сводка!A:AA""), 5, FALSE)"),168)</f>
        <v>168</v>
      </c>
      <c r="H2630" s="12" t="s">
        <v>446</v>
      </c>
      <c r="I2630" s="10">
        <f ca="1">IFERROR(__xludf.DUMMYFUNCTION(" VLOOKUP(A2627, IMPORTRANGE(""https://docs.google.com/spreadsheets/d/1QNLbnkR_AongFt22vMfNzfpjZ0CjpI8QI-w0wBnYA1w/"", ""Инфа!A:AA""), 6, FALSE)"),2024)</f>
        <v>2024</v>
      </c>
      <c r="J2630" s="5">
        <f t="shared" ref="J2630:J2636" ca="1" si="88">ROUND((5000+G2630*30),-2)</f>
        <v>10000</v>
      </c>
      <c r="K2630" s="12" t="s">
        <v>160</v>
      </c>
      <c r="L2630" s="15" t="s">
        <v>10387</v>
      </c>
    </row>
    <row r="2631" spans="1:12" ht="191.25">
      <c r="A2631" s="8" t="s">
        <v>10388</v>
      </c>
      <c r="B2631" s="9" t="s">
        <v>12</v>
      </c>
      <c r="C2631" s="10" t="s">
        <v>151</v>
      </c>
      <c r="D2631" s="10" t="str">
        <f ca="1">IFERROR(__xludf.DUMMYFUNCTION(" VLOOKUP(A2628, IMPORTRANGE(""https://docs.google.com/spreadsheets/d/1fj_Bhi2XPL3siwIh4sx4VRLAe31yD50oKdj5UlRYW0c/"", ""Сводка!A:AA""), 11, FALSE)"),"978-601-327-641-0")</f>
        <v>978-601-327-641-0</v>
      </c>
      <c r="E2631" s="11" t="s">
        <v>10389</v>
      </c>
      <c r="F2631" s="11" t="s">
        <v>10390</v>
      </c>
      <c r="G2631" s="12">
        <f ca="1">IFERROR(__xludf.DUMMYFUNCTION(" VLOOKUP(A2628, IMPORTRANGE(""https://docs.google.com/spreadsheets/d/1fj_Bhi2XPL3siwIh4sx4VRLAe31yD50oKdj5UlRYW0c/"", ""Сводка!A:AA""), 5, FALSE)"),196)</f>
        <v>196</v>
      </c>
      <c r="H2631" s="12" t="s">
        <v>10391</v>
      </c>
      <c r="I2631" s="10">
        <f ca="1">IFERROR(__xludf.DUMMYFUNCTION(" VLOOKUP(A2628, IMPORTRANGE(""https://docs.google.com/spreadsheets/d/1QNLbnkR_AongFt22vMfNzfpjZ0CjpI8QI-w0wBnYA1w/"", ""Инфа!A:AA""), 6, FALSE)"),2024)</f>
        <v>2024</v>
      </c>
      <c r="J2631" s="5">
        <f t="shared" ca="1" si="88"/>
        <v>10900</v>
      </c>
      <c r="K2631" s="12" t="s">
        <v>160</v>
      </c>
      <c r="L2631" s="15" t="s">
        <v>10392</v>
      </c>
    </row>
    <row r="2632" spans="1:12" ht="180">
      <c r="A2632" s="8" t="s">
        <v>10393</v>
      </c>
      <c r="B2632" s="9" t="s">
        <v>12</v>
      </c>
      <c r="C2632" s="10" t="s">
        <v>151</v>
      </c>
      <c r="D2632" s="10" t="str">
        <f ca="1">IFERROR(__xludf.DUMMYFUNCTION(" VLOOKUP(A2629, IMPORTRANGE(""https://docs.google.com/spreadsheets/d/1fj_Bhi2XPL3siwIh4sx4VRLAe31yD50oKdj5UlRYW0c/"", ""Сводка!A:AA""), 11, FALSE)"),"978-601-327-676-2")</f>
        <v>978-601-327-676-2</v>
      </c>
      <c r="E2632" s="11" t="s">
        <v>10394</v>
      </c>
      <c r="F2632" s="11" t="s">
        <v>10395</v>
      </c>
      <c r="G2632" s="12">
        <f ca="1">IFERROR(__xludf.DUMMYFUNCTION(" VLOOKUP(A2629, IMPORTRANGE(""https://docs.google.com/spreadsheets/d/1fj_Bhi2XPL3siwIh4sx4VRLAe31yD50oKdj5UlRYW0c/"", ""Сводка!A:AA""), 5, FALSE)"),232)</f>
        <v>232</v>
      </c>
      <c r="H2632" s="12" t="s">
        <v>106</v>
      </c>
      <c r="I2632" s="10">
        <f ca="1">IFERROR(__xludf.DUMMYFUNCTION(" VLOOKUP(A2629, IMPORTRANGE(""https://docs.google.com/spreadsheets/d/1QNLbnkR_AongFt22vMfNzfpjZ0CjpI8QI-w0wBnYA1w/"", ""Инфа!A:AA""), 6, FALSE)"),2024)</f>
        <v>2024</v>
      </c>
      <c r="J2632" s="5">
        <f t="shared" ca="1" si="88"/>
        <v>12000</v>
      </c>
      <c r="K2632" s="12" t="s">
        <v>160</v>
      </c>
      <c r="L2632" s="15" t="s">
        <v>10396</v>
      </c>
    </row>
    <row r="2633" spans="1:12" ht="146.25">
      <c r="A2633" s="8" t="s">
        <v>10397</v>
      </c>
      <c r="B2633" s="9" t="s">
        <v>12</v>
      </c>
      <c r="C2633" s="10" t="s">
        <v>443</v>
      </c>
      <c r="D2633" s="10" t="str">
        <f ca="1">IFERROR(__xludf.DUMMYFUNCTION(" VLOOKUP(A2630, IMPORTRANGE(""https://docs.google.com/spreadsheets/d/1fj_Bhi2XPL3siwIh4sx4VRLAe31yD50oKdj5UlRYW0c/"", ""Сводка!A:AA""), 11, FALSE)"),"978-601-327-634-2")</f>
        <v>978-601-327-634-2</v>
      </c>
      <c r="E2633" s="11" t="s">
        <v>10398</v>
      </c>
      <c r="F2633" s="11" t="s">
        <v>10399</v>
      </c>
      <c r="G2633" s="12">
        <f ca="1">IFERROR(__xludf.DUMMYFUNCTION(" VLOOKUP(A2630, IMPORTRANGE(""https://docs.google.com/spreadsheets/d/1fj_Bhi2XPL3siwIh4sx4VRLAe31yD50oKdj5UlRYW0c/"", ""Сводка!A:AA""), 5, FALSE)"),164)</f>
        <v>164</v>
      </c>
      <c r="H2633" s="12" t="s">
        <v>538</v>
      </c>
      <c r="I2633" s="10">
        <f ca="1">IFERROR(__xludf.DUMMYFUNCTION(" VLOOKUP(A2630, IMPORTRANGE(""https://docs.google.com/spreadsheets/d/1QNLbnkR_AongFt22vMfNzfpjZ0CjpI8QI-w0wBnYA1w/"", ""Инфа!A:AA""), 6, FALSE)"),2024)</f>
        <v>2024</v>
      </c>
      <c r="J2633" s="5">
        <f t="shared" ca="1" si="88"/>
        <v>9900</v>
      </c>
      <c r="K2633" s="12" t="s">
        <v>160</v>
      </c>
      <c r="L2633" s="15" t="s">
        <v>10400</v>
      </c>
    </row>
    <row r="2634" spans="1:12" ht="157.5">
      <c r="A2634" s="8" t="s">
        <v>10401</v>
      </c>
      <c r="B2634" s="9" t="s">
        <v>12</v>
      </c>
      <c r="C2634" s="10" t="s">
        <v>443</v>
      </c>
      <c r="D2634" s="10" t="str">
        <f ca="1">IFERROR(__xludf.DUMMYFUNCTION(" VLOOKUP(A2631, IMPORTRANGE(""https://docs.google.com/spreadsheets/d/1fj_Bhi2XPL3siwIh4sx4VRLAe31yD50oKdj5UlRYW0c/"", ""Сводка!A:AA""), 11, FALSE)"),"978-601-327-636-6")</f>
        <v>978-601-327-636-6</v>
      </c>
      <c r="E2634" s="11" t="s">
        <v>10402</v>
      </c>
      <c r="F2634" s="11" t="s">
        <v>10403</v>
      </c>
      <c r="G2634" s="12">
        <f ca="1">IFERROR(__xludf.DUMMYFUNCTION(" VLOOKUP(A2631, IMPORTRANGE(""https://docs.google.com/spreadsheets/d/1fj_Bhi2XPL3siwIh4sx4VRLAe31yD50oKdj5UlRYW0c/"", ""Сводка!A:AA""), 5, FALSE)"),136)</f>
        <v>136</v>
      </c>
      <c r="H2634" s="12" t="s">
        <v>106</v>
      </c>
      <c r="I2634" s="10">
        <f ca="1">IFERROR(__xludf.DUMMYFUNCTION(" VLOOKUP(A2631, IMPORTRANGE(""https://docs.google.com/spreadsheets/d/1QNLbnkR_AongFt22vMfNzfpjZ0CjpI8QI-w0wBnYA1w/"", ""Инфа!A:AA""), 6, FALSE)"),2024)</f>
        <v>2024</v>
      </c>
      <c r="J2634" s="5">
        <f t="shared" ca="1" si="88"/>
        <v>9100</v>
      </c>
      <c r="K2634" s="12" t="s">
        <v>160</v>
      </c>
      <c r="L2634" s="15" t="s">
        <v>10404</v>
      </c>
    </row>
    <row r="2635" spans="1:12" ht="191.25">
      <c r="A2635" s="8" t="s">
        <v>10405</v>
      </c>
      <c r="B2635" s="9" t="s">
        <v>12</v>
      </c>
      <c r="C2635" s="10" t="s">
        <v>443</v>
      </c>
      <c r="D2635" s="10" t="str">
        <f ca="1">IFERROR(__xludf.DUMMYFUNCTION(" VLOOKUP(A2632, IMPORTRANGE(""https://docs.google.com/spreadsheets/d/1fj_Bhi2XPL3siwIh4sx4VRLAe31yD50oKdj5UlRYW0c/"", ""Сводка!A:AA""), 11, FALSE)"),"978-601-327-639-7")</f>
        <v>978-601-327-639-7</v>
      </c>
      <c r="E2635" s="11" t="s">
        <v>10406</v>
      </c>
      <c r="F2635" s="11" t="s">
        <v>10407</v>
      </c>
      <c r="G2635" s="12">
        <f ca="1">IFERROR(__xludf.DUMMYFUNCTION(" VLOOKUP(A2632, IMPORTRANGE(""https://docs.google.com/spreadsheets/d/1fj_Bhi2XPL3siwIh4sx4VRLAe31yD50oKdj5UlRYW0c/"", ""Сводка!A:AA""), 5, FALSE)"),180)</f>
        <v>180</v>
      </c>
      <c r="H2635" s="12" t="s">
        <v>446</v>
      </c>
      <c r="I2635" s="10">
        <f ca="1">IFERROR(__xludf.DUMMYFUNCTION(" VLOOKUP(A2632, IMPORTRANGE(""https://docs.google.com/spreadsheets/d/1QNLbnkR_AongFt22vMfNzfpjZ0CjpI8QI-w0wBnYA1w/"", ""Инфа!A:AA""), 6, FALSE)"),2024)</f>
        <v>2024</v>
      </c>
      <c r="J2635" s="5">
        <f t="shared" ca="1" si="88"/>
        <v>10400</v>
      </c>
      <c r="K2635" s="12" t="s">
        <v>160</v>
      </c>
      <c r="L2635" s="15" t="s">
        <v>10408</v>
      </c>
    </row>
    <row r="2636" spans="1:12" ht="168.75">
      <c r="A2636" s="8" t="s">
        <v>10409</v>
      </c>
      <c r="B2636" s="9" t="s">
        <v>12</v>
      </c>
      <c r="C2636" s="10" t="s">
        <v>13</v>
      </c>
      <c r="D2636" s="10" t="str">
        <f ca="1">IFERROR(__xludf.DUMMYFUNCTION(" VLOOKUP(A2633, IMPORTRANGE(""https://docs.google.com/spreadsheets/d/1fj_Bhi2XPL3siwIh4sx4VRLAe31yD50oKdj5UlRYW0c/"", ""Сводка!A:AA""), 11, FALSE)"),"978-601-327-631-1")</f>
        <v>978-601-327-631-1</v>
      </c>
      <c r="E2636" s="11" t="s">
        <v>10410</v>
      </c>
      <c r="F2636" s="11" t="s">
        <v>10411</v>
      </c>
      <c r="G2636" s="12">
        <f ca="1">IFERROR(__xludf.DUMMYFUNCTION(" VLOOKUP(A2633, IMPORTRANGE(""https://docs.google.com/spreadsheets/d/1fj_Bhi2XPL3siwIh4sx4VRLAe31yD50oKdj5UlRYW0c/"", ""Сводка!A:AA""), 5, FALSE)"),168)</f>
        <v>168</v>
      </c>
      <c r="H2636" s="12" t="s">
        <v>10412</v>
      </c>
      <c r="I2636" s="10">
        <f ca="1">IFERROR(__xludf.DUMMYFUNCTION(" VLOOKUP(A2633, IMPORTRANGE(""https://docs.google.com/spreadsheets/d/1QNLbnkR_AongFt22vMfNzfpjZ0CjpI8QI-w0wBnYA1w/"", ""Инфа!A:AA""), 6, FALSE)"),2024)</f>
        <v>2024</v>
      </c>
      <c r="J2636" s="5">
        <f t="shared" ca="1" si="88"/>
        <v>10000</v>
      </c>
      <c r="K2636" s="12" t="s">
        <v>160</v>
      </c>
      <c r="L2636" s="15" t="s">
        <v>10413</v>
      </c>
    </row>
    <row r="2637" spans="1:12" ht="303.75">
      <c r="A2637" s="8" t="s">
        <v>10414</v>
      </c>
      <c r="B2637" s="9" t="s">
        <v>12</v>
      </c>
      <c r="C2637" s="10" t="s">
        <v>443</v>
      </c>
      <c r="D2637" s="10" t="str">
        <f ca="1">IFERROR(__xludf.DUMMYFUNCTION(" VLOOKUP(A2634, IMPORTRANGE(""https://docs.google.com/spreadsheets/d/1fj_Bhi2XPL3siwIh4sx4VRLAe31yD50oKdj5UlRYW0c/"", ""Сводка!A:AA""), 11, FALSE)"),"978 -601 -241- 024-2")</f>
        <v>978 -601 -241- 024-2</v>
      </c>
      <c r="E2637" s="11" t="s">
        <v>3173</v>
      </c>
      <c r="F2637" s="11" t="s">
        <v>10415</v>
      </c>
      <c r="G2637" s="12">
        <f ca="1">IFERROR(__xludf.DUMMYFUNCTION(" VLOOKUP(A2634, IMPORTRANGE(""https://docs.google.com/spreadsheets/d/1fj_Bhi2XPL3siwIh4sx4VRLAe31yD50oKdj5UlRYW0c/"", ""Сводка!A:AA""), 5, FALSE)"),332)</f>
        <v>332</v>
      </c>
      <c r="H2637" s="12" t="s">
        <v>511</v>
      </c>
      <c r="I2637" s="10">
        <f ca="1">IFERROR(__xludf.DUMMYFUNCTION(" VLOOKUP(A2634, IMPORTRANGE(""https://docs.google.com/spreadsheets/d/1QNLbnkR_AongFt22vMfNzfpjZ0CjpI8QI-w0wBnYA1w/"", ""Инфа!A:AA""), 6, FALSE)"),2024)</f>
        <v>2024</v>
      </c>
      <c r="J2637" s="5">
        <f ca="1">ROUND((5000+G2637*60),-2)</f>
        <v>24900</v>
      </c>
      <c r="K2637" s="12" t="s">
        <v>1147</v>
      </c>
      <c r="L2637" s="15" t="s">
        <v>10416</v>
      </c>
    </row>
    <row r="2638" spans="1:12" ht="303.75">
      <c r="A2638" s="8" t="s">
        <v>10417</v>
      </c>
      <c r="B2638" s="9" t="s">
        <v>12</v>
      </c>
      <c r="C2638" s="10" t="s">
        <v>443</v>
      </c>
      <c r="D2638" s="10" t="str">
        <f ca="1">IFERROR(__xludf.DUMMYFUNCTION(" VLOOKUP(A2635, IMPORTRANGE(""https://docs.google.com/spreadsheets/d/1fj_Bhi2XPL3siwIh4sx4VRLAe31yD50oKdj5UlRYW0c/"", ""Сводка!A:AA""), 11, FALSE)"),"978 -601 -241- 024-2")</f>
        <v>978 -601 -241- 024-2</v>
      </c>
      <c r="E2638" s="11" t="s">
        <v>3173</v>
      </c>
      <c r="F2638" s="11" t="s">
        <v>10418</v>
      </c>
      <c r="G2638" s="12">
        <f ca="1">IFERROR(__xludf.DUMMYFUNCTION(" VLOOKUP(A2635, IMPORTRANGE(""https://docs.google.com/spreadsheets/d/1fj_Bhi2XPL3siwIh4sx4VRLAe31yD50oKdj5UlRYW0c/"", ""Сводка!A:AA""), 5, FALSE)"),304)</f>
        <v>304</v>
      </c>
      <c r="H2638" s="12" t="s">
        <v>511</v>
      </c>
      <c r="I2638" s="10">
        <f ca="1">IFERROR(__xludf.DUMMYFUNCTION(" VLOOKUP(A2635, IMPORTRANGE(""https://docs.google.com/spreadsheets/d/1QNLbnkR_AongFt22vMfNzfpjZ0CjpI8QI-w0wBnYA1w/"", ""Инфа!A:AA""), 6, FALSE)"),2024)</f>
        <v>2024</v>
      </c>
      <c r="J2638" s="5">
        <f ca="1">ROUND((5000+G2638*30),-2)</f>
        <v>14100</v>
      </c>
      <c r="K2638" s="12" t="s">
        <v>1147</v>
      </c>
      <c r="L2638" s="15" t="s">
        <v>10416</v>
      </c>
    </row>
    <row r="2639" spans="1:12" ht="292.5">
      <c r="A2639" s="8" t="s">
        <v>10419</v>
      </c>
      <c r="B2639" s="9" t="s">
        <v>12</v>
      </c>
      <c r="C2639" s="10" t="s">
        <v>151</v>
      </c>
      <c r="D2639" s="10" t="str">
        <f ca="1">IFERROR(__xludf.DUMMYFUNCTION(" VLOOKUP(A2636, IMPORTRANGE(""https://docs.google.com/spreadsheets/d/1fj_Bhi2XPL3siwIh4sx4VRLAe31yD50oKdj5UlRYW0c/"", ""Сводка!A:AA""), 11, FALSE)"),"978-601-327-699-1")</f>
        <v>978-601-327-699-1</v>
      </c>
      <c r="E2639" s="11" t="s">
        <v>3173</v>
      </c>
      <c r="F2639" s="11" t="s">
        <v>10420</v>
      </c>
      <c r="G2639" s="12">
        <f ca="1">IFERROR(__xludf.DUMMYFUNCTION(" VLOOKUP(A2636, IMPORTRANGE(""https://docs.google.com/spreadsheets/d/1fj_Bhi2XPL3siwIh4sx4VRLAe31yD50oKdj5UlRYW0c/"", ""Сводка!A:AA""), 5, FALSE)"),320)</f>
        <v>320</v>
      </c>
      <c r="H2639" s="12" t="s">
        <v>165</v>
      </c>
      <c r="I2639" s="10">
        <f ca="1">IFERROR(__xludf.DUMMYFUNCTION(" VLOOKUP(A2636, IMPORTRANGE(""https://docs.google.com/spreadsheets/d/1QNLbnkR_AongFt22vMfNzfpjZ0CjpI8QI-w0wBnYA1w/"", ""Инфа!A:AA""), 6, FALSE)"),2024)</f>
        <v>2024</v>
      </c>
      <c r="J2639" s="5">
        <f ca="1">ROUND((5000+G2639*30),-2)</f>
        <v>14600</v>
      </c>
      <c r="K2639" s="12" t="s">
        <v>1147</v>
      </c>
      <c r="L2639" s="15" t="s">
        <v>10421</v>
      </c>
    </row>
    <row r="2640" spans="1:12" ht="258.75">
      <c r="A2640" s="8" t="s">
        <v>10422</v>
      </c>
      <c r="B2640" s="9" t="s">
        <v>12</v>
      </c>
      <c r="C2640" s="10" t="s">
        <v>151</v>
      </c>
      <c r="D2640" s="10" t="str">
        <f ca="1">IFERROR(__xludf.DUMMYFUNCTION(" VLOOKUP(A2637, IMPORTRANGE(""https://docs.google.com/spreadsheets/d/1fj_Bhi2XPL3siwIh4sx4VRLAe31yD50oKdj5UlRYW0c/"", ""Сводка!A:AA""), 11, FALSE)"),"978-601-327-384-6")</f>
        <v>978-601-327-384-6</v>
      </c>
      <c r="E2640" s="11" t="s">
        <v>3173</v>
      </c>
      <c r="F2640" s="11" t="s">
        <v>10423</v>
      </c>
      <c r="G2640" s="12">
        <f ca="1">IFERROR(__xludf.DUMMYFUNCTION(" VLOOKUP(A2637, IMPORTRANGE(""https://docs.google.com/spreadsheets/d/1fj_Bhi2XPL3siwIh4sx4VRLAe31yD50oKdj5UlRYW0c/"", ""Сводка!A:AA""), 5, FALSE)"),240)</f>
        <v>240</v>
      </c>
      <c r="H2640" s="12" t="s">
        <v>165</v>
      </c>
      <c r="I2640" s="10">
        <f ca="1">IFERROR(__xludf.DUMMYFUNCTION(" VLOOKUP(A2637, IMPORTRANGE(""https://docs.google.com/spreadsheets/d/1QNLbnkR_AongFt22vMfNzfpjZ0CjpI8QI-w0wBnYA1w/"", ""Инфа!A:AA""), 6, FALSE)"),2024)</f>
        <v>2024</v>
      </c>
      <c r="J2640" s="5">
        <f ca="1">ROUND((5000+G2640*60),-2)</f>
        <v>19400</v>
      </c>
      <c r="K2640" s="12" t="s">
        <v>1147</v>
      </c>
      <c r="L2640" s="15" t="s">
        <v>10424</v>
      </c>
    </row>
    <row r="2641" spans="1:12" ht="123.75">
      <c r="A2641" s="8" t="s">
        <v>10425</v>
      </c>
      <c r="B2641" s="9" t="s">
        <v>12</v>
      </c>
      <c r="C2641" s="10" t="s">
        <v>151</v>
      </c>
      <c r="D2641" s="10" t="str">
        <f ca="1">IFERROR(__xludf.DUMMYFUNCTION(" VLOOKUP(A2638, IMPORTRANGE(""https://docs.google.com/spreadsheets/d/1fj_Bhi2XPL3siwIh4sx4VRLAe31yD50oKdj5UlRYW0c/"", ""Сводка!A:AA""), 11, FALSE)"),"978-601-327-986-2")</f>
        <v>978-601-327-986-2</v>
      </c>
      <c r="E2641" s="11" t="s">
        <v>3173</v>
      </c>
      <c r="F2641" s="11" t="s">
        <v>10426</v>
      </c>
      <c r="G2641" s="12">
        <f ca="1">IFERROR(__xludf.DUMMYFUNCTION(" VLOOKUP(A2638, IMPORTRANGE(""https://docs.google.com/spreadsheets/d/1fj_Bhi2XPL3siwIh4sx4VRLAe31yD50oKdj5UlRYW0c/"", ""Сводка!A:AA""), 5, FALSE)"),188)</f>
        <v>188</v>
      </c>
      <c r="H2641" s="12" t="s">
        <v>1577</v>
      </c>
      <c r="I2641" s="10">
        <f ca="1">IFERROR(__xludf.DUMMYFUNCTION(" VLOOKUP(A2638, IMPORTRANGE(""https://docs.google.com/spreadsheets/d/1QNLbnkR_AongFt22vMfNzfpjZ0CjpI8QI-w0wBnYA1w/"", ""Инфа!A:AA""), 6, FALSE)"),2024)</f>
        <v>2024</v>
      </c>
      <c r="J2641" s="5">
        <f ca="1">ROUND((5000+G2641*30),-2)</f>
        <v>10600</v>
      </c>
      <c r="K2641" s="12" t="s">
        <v>1147</v>
      </c>
      <c r="L2641" s="15" t="s">
        <v>10427</v>
      </c>
    </row>
    <row r="2642" spans="1:12" ht="326.25">
      <c r="A2642" s="8" t="s">
        <v>10428</v>
      </c>
      <c r="B2642" s="9" t="s">
        <v>12</v>
      </c>
      <c r="C2642" s="10" t="s">
        <v>151</v>
      </c>
      <c r="D2642" s="10" t="str">
        <f ca="1">IFERROR(__xludf.DUMMYFUNCTION(" VLOOKUP(A2639, IMPORTRANGE(""https://docs.google.com/spreadsheets/d/1fj_Bhi2XPL3siwIh4sx4VRLAe31yD50oKdj5UlRYW0c/"", ""Сводка!A:AA""), 11, FALSE)"),"978-601-342-466-8")</f>
        <v>978-601-342-466-8</v>
      </c>
      <c r="E2642" s="11" t="s">
        <v>3173</v>
      </c>
      <c r="F2642" s="11" t="s">
        <v>10429</v>
      </c>
      <c r="G2642" s="12">
        <f ca="1">IFERROR(__xludf.DUMMYFUNCTION(" VLOOKUP(A2639, IMPORTRANGE(""https://docs.google.com/spreadsheets/d/1fj_Bhi2XPL3siwIh4sx4VRLAe31yD50oKdj5UlRYW0c/"", ""Сводка!A:AA""), 5, FALSE)"),160)</f>
        <v>160</v>
      </c>
      <c r="H2642" s="12" t="s">
        <v>165</v>
      </c>
      <c r="I2642" s="10">
        <f ca="1">IFERROR(__xludf.DUMMYFUNCTION(" VLOOKUP(A2639, IMPORTRANGE(""https://docs.google.com/spreadsheets/d/1QNLbnkR_AongFt22vMfNzfpjZ0CjpI8QI-w0wBnYA1w/"", ""Инфа!A:AA""), 6, FALSE)"),2024)</f>
        <v>2024</v>
      </c>
      <c r="J2642" s="5">
        <f ca="1">ROUND((5000+G2642*60),-2)</f>
        <v>14600</v>
      </c>
      <c r="K2642" s="12" t="s">
        <v>160</v>
      </c>
      <c r="L2642" s="15" t="s">
        <v>10430</v>
      </c>
    </row>
    <row r="2643" spans="1:12" ht="303.75">
      <c r="A2643" s="8" t="s">
        <v>10431</v>
      </c>
      <c r="B2643" s="9" t="s">
        <v>12</v>
      </c>
      <c r="C2643" s="10" t="s">
        <v>443</v>
      </c>
      <c r="D2643" s="10" t="str">
        <f ca="1">IFERROR(__xludf.DUMMYFUNCTION(" VLOOKUP(A2640, IMPORTRANGE(""https://docs.google.com/spreadsheets/d/1fj_Bhi2XPL3siwIh4sx4VRLAe31yD50oKdj5UlRYW0c/"", ""Сводка!A:AA""), 11, FALSE)"),"978-601-327-980-0")</f>
        <v>978-601-327-980-0</v>
      </c>
      <c r="E2643" s="11" t="s">
        <v>10432</v>
      </c>
      <c r="F2643" s="11" t="s">
        <v>10433</v>
      </c>
      <c r="G2643" s="12">
        <f ca="1">IFERROR(__xludf.DUMMYFUNCTION(" VLOOKUP(A2640, IMPORTRANGE(""https://docs.google.com/spreadsheets/d/1fj_Bhi2XPL3siwIh4sx4VRLAe31yD50oKdj5UlRYW0c/"", ""Сводка!A:AA""), 5, FALSE)"),88)</f>
        <v>88</v>
      </c>
      <c r="H2643" s="12" t="s">
        <v>10434</v>
      </c>
      <c r="I2643" s="10">
        <f ca="1">IFERROR(__xludf.DUMMYFUNCTION(" VLOOKUP(A2640, IMPORTRANGE(""https://docs.google.com/spreadsheets/d/1QNLbnkR_AongFt22vMfNzfpjZ0CjpI8QI-w0wBnYA1w/"", ""Инфа!A:AA""), 6, FALSE)"),2024)</f>
        <v>2024</v>
      </c>
      <c r="J2643" s="5">
        <f ca="1">ROUND((5000+G2643*60),-2)</f>
        <v>10300</v>
      </c>
      <c r="K2643" s="12" t="s">
        <v>1147</v>
      </c>
      <c r="L2643" s="15" t="s">
        <v>10435</v>
      </c>
    </row>
    <row r="2644" spans="1:12" ht="146.25">
      <c r="A2644" s="8" t="s">
        <v>10436</v>
      </c>
      <c r="B2644" s="9" t="s">
        <v>12</v>
      </c>
      <c r="C2644" s="13" t="s">
        <v>443</v>
      </c>
      <c r="D2644" s="10" t="str">
        <f ca="1">IFERROR(__xludf.DUMMYFUNCTION(" VLOOKUP(A2641, IMPORTRANGE(""https://docs.google.com/spreadsheets/d/1fj_Bhi2XPL3siwIh4sx4VRLAe31yD50oKdj5UlRYW0c/"", ""Сводка!A:AA""), 11, FALSE)"),"978-601-202-154-7")</f>
        <v>978-601-202-154-7</v>
      </c>
      <c r="E2644" s="19" t="s">
        <v>10437</v>
      </c>
      <c r="F2644" s="19" t="s">
        <v>10438</v>
      </c>
      <c r="G2644" s="12">
        <f ca="1">IFERROR(__xludf.DUMMYFUNCTION(" VLOOKUP(A2641, IMPORTRANGE(""https://docs.google.com/spreadsheets/d/1fj_Bhi2XPL3siwIh4sx4VRLAe31yD50oKdj5UlRYW0c/"", ""Сводка!A:AA""), 5, FALSE)"),136)</f>
        <v>136</v>
      </c>
      <c r="H2644" s="9" t="s">
        <v>10439</v>
      </c>
      <c r="I2644" s="10">
        <f ca="1">IFERROR(__xludf.DUMMYFUNCTION(" VLOOKUP(A2641, IMPORTRANGE(""https://docs.google.com/spreadsheets/d/1QNLbnkR_AongFt22vMfNzfpjZ0CjpI8QI-w0wBnYA1w/"", ""Инфа!A:AA""), 6, FALSE)"),2024)</f>
        <v>2024</v>
      </c>
      <c r="J2644" s="5">
        <f ca="1">ROUND((5000+G2644*60),-2)</f>
        <v>13200</v>
      </c>
      <c r="K2644" s="9" t="s">
        <v>248</v>
      </c>
      <c r="L2644" s="21" t="s">
        <v>10440</v>
      </c>
    </row>
    <row r="2645" spans="1:12" ht="292.5">
      <c r="A2645" s="8" t="s">
        <v>10441</v>
      </c>
      <c r="B2645" s="9" t="s">
        <v>12</v>
      </c>
      <c r="C2645" s="10" t="s">
        <v>151</v>
      </c>
      <c r="D2645" s="10" t="str">
        <f ca="1">IFERROR(__xludf.DUMMYFUNCTION(" VLOOKUP(A2642, IMPORTRANGE(""https://docs.google.com/spreadsheets/d/1fj_Bhi2XPL3siwIh4sx4VRLAe31yD50oKdj5UlRYW0c/"", ""Сводка!A:AA""), 11, FALSE)"),"978-601-342-513-9")</f>
        <v>978-601-342-513-9</v>
      </c>
      <c r="E2645" s="11" t="s">
        <v>10442</v>
      </c>
      <c r="F2645" s="11" t="s">
        <v>10443</v>
      </c>
      <c r="G2645" s="12">
        <f ca="1">IFERROR(__xludf.DUMMYFUNCTION(" VLOOKUP(A2642, IMPORTRANGE(""https://docs.google.com/spreadsheets/d/1fj_Bhi2XPL3siwIh4sx4VRLAe31yD50oKdj5UlRYW0c/"", ""Сводка!A:AA""), 5, FALSE)"),204)</f>
        <v>204</v>
      </c>
      <c r="H2645" s="12" t="s">
        <v>10444</v>
      </c>
      <c r="I2645" s="10">
        <f ca="1">IFERROR(__xludf.DUMMYFUNCTION(" VLOOKUP(A2642, IMPORTRANGE(""https://docs.google.com/spreadsheets/d/1QNLbnkR_AongFt22vMfNzfpjZ0CjpI8QI-w0wBnYA1w/"", ""Инфа!A:AA""), 6, FALSE)"),2024)</f>
        <v>2024</v>
      </c>
      <c r="J2645" s="5">
        <f ca="1">ROUND((5000+G2645*60),-2)</f>
        <v>17200</v>
      </c>
      <c r="K2645" s="12" t="s">
        <v>248</v>
      </c>
      <c r="L2645" s="15" t="s">
        <v>10445</v>
      </c>
    </row>
    <row r="2646" spans="1:12" ht="146.25">
      <c r="A2646" s="8" t="s">
        <v>10446</v>
      </c>
      <c r="B2646" s="9" t="s">
        <v>12</v>
      </c>
      <c r="C2646" s="10" t="s">
        <v>151</v>
      </c>
      <c r="D2646" s="10" t="str">
        <f ca="1">IFERROR(__xludf.DUMMYFUNCTION(" VLOOKUP(A2643, IMPORTRANGE(""https://docs.google.com/spreadsheets/d/1fj_Bhi2XPL3siwIh4sx4VRLAe31yD50oKdj5UlRYW0c/"", ""Сводка!A:AA""), 11, FALSE)"),"978–601–248-671-1")</f>
        <v>978–601–248-671-1</v>
      </c>
      <c r="E2646" s="11" t="s">
        <v>10447</v>
      </c>
      <c r="F2646" s="11" t="s">
        <v>10448</v>
      </c>
      <c r="G2646" s="12">
        <f ca="1">IFERROR(__xludf.DUMMYFUNCTION(" VLOOKUP(A2643, IMPORTRANGE(""https://docs.google.com/spreadsheets/d/1fj_Bhi2XPL3siwIh4sx4VRLAe31yD50oKdj5UlRYW0c/"", ""Сводка!A:AA""), 5, FALSE)"),133)</f>
        <v>133</v>
      </c>
      <c r="H2646" s="12" t="s">
        <v>165</v>
      </c>
      <c r="I2646" s="10">
        <f ca="1">IFERROR(__xludf.DUMMYFUNCTION(" VLOOKUP(A2643, IMPORTRANGE(""https://docs.google.com/spreadsheets/d/1QNLbnkR_AongFt22vMfNzfpjZ0CjpI8QI-w0wBnYA1w/"", ""Инфа!A:AA""), 6, FALSE)"),2024)</f>
        <v>2024</v>
      </c>
      <c r="J2646" s="5">
        <f ca="1">ROUND((5000+G2646*30),-2)</f>
        <v>9000</v>
      </c>
      <c r="K2646" s="12" t="s">
        <v>1603</v>
      </c>
      <c r="L2646" s="15" t="s">
        <v>10449</v>
      </c>
    </row>
    <row r="2647" spans="1:12" ht="135">
      <c r="A2647" s="8" t="s">
        <v>10450</v>
      </c>
      <c r="B2647" s="9" t="s">
        <v>12</v>
      </c>
      <c r="C2647" s="10" t="s">
        <v>151</v>
      </c>
      <c r="D2647" s="10" t="str">
        <f ca="1">IFERROR(__xludf.DUMMYFUNCTION(" VLOOKUP(A2644, IMPORTRANGE(""https://docs.google.com/spreadsheets/d/1fj_Bhi2XPL3siwIh4sx4VRLAe31yD50oKdj5UlRYW0c/"", ""Сводка!A:AA""), 11, FALSE)"),"978–601-248-675-9")</f>
        <v>978–601-248-675-9</v>
      </c>
      <c r="E2647" s="11" t="s">
        <v>10451</v>
      </c>
      <c r="F2647" s="11" t="s">
        <v>10452</v>
      </c>
      <c r="G2647" s="12">
        <f ca="1">IFERROR(__xludf.DUMMYFUNCTION(" VLOOKUP(A2644, IMPORTRANGE(""https://docs.google.com/spreadsheets/d/1fj_Bhi2XPL3siwIh4sx4VRLAe31yD50oKdj5UlRYW0c/"", ""Сводка!A:AA""), 5, FALSE)"),127)</f>
        <v>127</v>
      </c>
      <c r="H2647" s="12" t="s">
        <v>47</v>
      </c>
      <c r="I2647" s="10">
        <f ca="1">IFERROR(__xludf.DUMMYFUNCTION(" VLOOKUP(A2644, IMPORTRANGE(""https://docs.google.com/spreadsheets/d/1QNLbnkR_AongFt22vMfNzfpjZ0CjpI8QI-w0wBnYA1w/"", ""Инфа!A:AA""), 6, FALSE)"),2024)</f>
        <v>2024</v>
      </c>
      <c r="J2647" s="5">
        <f ca="1">ROUND((5000+G2647*30),-2)</f>
        <v>8800</v>
      </c>
      <c r="K2647" s="12" t="s">
        <v>243</v>
      </c>
      <c r="L2647" s="15" t="s">
        <v>10453</v>
      </c>
    </row>
    <row r="2648" spans="1:12" ht="78.75">
      <c r="A2648" s="8" t="s">
        <v>10454</v>
      </c>
      <c r="B2648" s="9" t="s">
        <v>12</v>
      </c>
      <c r="C2648" s="10" t="s">
        <v>443</v>
      </c>
      <c r="D2648" s="10" t="str">
        <f ca="1">IFERROR(__xludf.DUMMYFUNCTION(" VLOOKUP(A2645, IMPORTRANGE(""https://docs.google.com/spreadsheets/d/1fj_Bhi2XPL3siwIh4sx4VRLAe31yD50oKdj5UlRYW0c/"", ""Сводка!A:AA""), 11, FALSE)"),"978-601-327-570-3")</f>
        <v>978-601-327-570-3</v>
      </c>
      <c r="E2648" s="22" t="s">
        <v>10455</v>
      </c>
      <c r="F2648" s="22" t="s">
        <v>10456</v>
      </c>
      <c r="G2648" s="12">
        <f ca="1">IFERROR(__xludf.DUMMYFUNCTION(" VLOOKUP(A2645, IMPORTRANGE(""https://docs.google.com/spreadsheets/d/1fj_Bhi2XPL3siwIh4sx4VRLAe31yD50oKdj5UlRYW0c/"", ""Сводка!A:AA""), 5, FALSE)"),320)</f>
        <v>320</v>
      </c>
      <c r="H2648" s="10" t="s">
        <v>24</v>
      </c>
      <c r="I2648" s="10">
        <f ca="1">IFERROR(__xludf.DUMMYFUNCTION(" VLOOKUP(A2645, IMPORTRANGE(""https://docs.google.com/spreadsheets/d/1QNLbnkR_AongFt22vMfNzfpjZ0CjpI8QI-w0wBnYA1w/"", ""Инфа!A:AA""), 6, FALSE)"),2024)</f>
        <v>2024</v>
      </c>
      <c r="J2648" s="5">
        <f ca="1">ROUND((5000+G2648*60),-2)</f>
        <v>24200</v>
      </c>
      <c r="K2648" s="12" t="s">
        <v>160</v>
      </c>
      <c r="L2648" s="23" t="s">
        <v>10457</v>
      </c>
    </row>
    <row r="2649" spans="1:12" ht="146.25">
      <c r="A2649" s="8" t="s">
        <v>10458</v>
      </c>
      <c r="B2649" s="9" t="s">
        <v>12</v>
      </c>
      <c r="C2649" s="10" t="s">
        <v>443</v>
      </c>
      <c r="D2649" s="10" t="str">
        <f ca="1">IFERROR(__xludf.DUMMYFUNCTION(" VLOOKUP(A2646, IMPORTRANGE(""https://docs.google.com/spreadsheets/d/1fj_Bhi2XPL3siwIh4sx4VRLAe31yD50oKdj5UlRYW0c/"", ""Сводка!A:AA""), 11, FALSE)"),"978-601-240-227-8")</f>
        <v>978-601-240-227-8</v>
      </c>
      <c r="E2649" s="11" t="s">
        <v>10459</v>
      </c>
      <c r="F2649" s="11" t="s">
        <v>10460</v>
      </c>
      <c r="G2649" s="12">
        <f ca="1">IFERROR(__xludf.DUMMYFUNCTION(" VLOOKUP(A2646, IMPORTRANGE(""https://docs.google.com/spreadsheets/d/1fj_Bhi2XPL3siwIh4sx4VRLAe31yD50oKdj5UlRYW0c/"", ""Сводка!A:AA""), 5, FALSE)"),128)</f>
        <v>128</v>
      </c>
      <c r="H2649" s="12" t="s">
        <v>538</v>
      </c>
      <c r="I2649" s="10">
        <f ca="1">IFERROR(__xludf.DUMMYFUNCTION(" VLOOKUP(A2646, IMPORTRANGE(""https://docs.google.com/spreadsheets/d/1QNLbnkR_AongFt22vMfNzfpjZ0CjpI8QI-w0wBnYA1w/"", ""Инфа!A:AA""), 6, FALSE)"),2024)</f>
        <v>2024</v>
      </c>
      <c r="J2649" s="5">
        <f ca="1">ROUND((5000+G2649*30),-2)</f>
        <v>8800</v>
      </c>
      <c r="K2649" s="9" t="s">
        <v>171</v>
      </c>
      <c r="L2649" s="15" t="s">
        <v>10186</v>
      </c>
    </row>
    <row r="2650" spans="1:12" ht="56.25">
      <c r="A2650" s="8" t="s">
        <v>10461</v>
      </c>
      <c r="B2650" s="9" t="s">
        <v>12</v>
      </c>
      <c r="C2650" s="10" t="s">
        <v>443</v>
      </c>
      <c r="D2650" s="10" t="str">
        <f ca="1">IFERROR(__xludf.DUMMYFUNCTION(" VLOOKUP(A2647, IMPORTRANGE(""https://docs.google.com/spreadsheets/d/1fj_Bhi2XPL3siwIh4sx4VRLAe31yD50oKdj5UlRYW0c/"", ""Сводка!A:AA""), 11, FALSE)"),"978-601-240-310-7")</f>
        <v>978-601-240-310-7</v>
      </c>
      <c r="E2650" s="11" t="s">
        <v>10459</v>
      </c>
      <c r="F2650" s="11" t="s">
        <v>10462</v>
      </c>
      <c r="G2650" s="12">
        <f ca="1">IFERROR(__xludf.DUMMYFUNCTION(" VLOOKUP(A2647, IMPORTRANGE(""https://docs.google.com/spreadsheets/d/1fj_Bhi2XPL3siwIh4sx4VRLAe31yD50oKdj5UlRYW0c/"", ""Сводка!A:AA""), 5, FALSE)"),124)</f>
        <v>124</v>
      </c>
      <c r="H2650" s="12" t="s">
        <v>538</v>
      </c>
      <c r="I2650" s="10">
        <f ca="1">IFERROR(__xludf.DUMMYFUNCTION(" VLOOKUP(A2647, IMPORTRANGE(""https://docs.google.com/spreadsheets/d/1QNLbnkR_AongFt22vMfNzfpjZ0CjpI8QI-w0wBnYA1w/"", ""Инфа!A:AA""), 6, FALSE)"),2024)</f>
        <v>2024</v>
      </c>
      <c r="J2650" s="5">
        <f ca="1">ROUND((5000+G2650*30),-2)</f>
        <v>8700</v>
      </c>
      <c r="K2650" s="9" t="s">
        <v>171</v>
      </c>
      <c r="L2650" s="15" t="s">
        <v>10463</v>
      </c>
    </row>
    <row r="2651" spans="1:12" ht="258.75">
      <c r="A2651" s="8" t="s">
        <v>10464</v>
      </c>
      <c r="B2651" s="9" t="s">
        <v>12</v>
      </c>
      <c r="C2651" s="10" t="s">
        <v>151</v>
      </c>
      <c r="D2651" s="10" t="str">
        <f ca="1">IFERROR(__xludf.DUMMYFUNCTION(" VLOOKUP(A2648, IMPORTRANGE(""https://docs.google.com/spreadsheets/d/1fj_Bhi2XPL3siwIh4sx4VRLAe31yD50oKdj5UlRYW0c/"", ""Сводка!A:AA""), 11, FALSE)"),"978-601-342-289-3")</f>
        <v>978-601-342-289-3</v>
      </c>
      <c r="E2651" s="11" t="s">
        <v>10465</v>
      </c>
      <c r="F2651" s="11" t="s">
        <v>5272</v>
      </c>
      <c r="G2651" s="12">
        <f ca="1">IFERROR(__xludf.DUMMYFUNCTION(" VLOOKUP(A2648, IMPORTRANGE(""https://docs.google.com/spreadsheets/d/1fj_Bhi2XPL3siwIh4sx4VRLAe31yD50oKdj5UlRYW0c/"", ""Сводка!A:AA""), 5, FALSE)"),156)</f>
        <v>156</v>
      </c>
      <c r="H2651" s="12" t="s">
        <v>10466</v>
      </c>
      <c r="I2651" s="10">
        <f ca="1">IFERROR(__xludf.DUMMYFUNCTION(" VLOOKUP(A2648, IMPORTRANGE(""https://docs.google.com/spreadsheets/d/1QNLbnkR_AongFt22vMfNzfpjZ0CjpI8QI-w0wBnYA1w/"", ""Инфа!A:AA""), 6, FALSE)"),2024)</f>
        <v>2024</v>
      </c>
      <c r="J2651" s="5">
        <f ca="1">ROUND((5000+G2651*60),-2)</f>
        <v>14400</v>
      </c>
      <c r="K2651" s="9" t="s">
        <v>1450</v>
      </c>
      <c r="L2651" s="15" t="s">
        <v>10467</v>
      </c>
    </row>
    <row r="2652" spans="1:12" ht="225">
      <c r="A2652" s="8" t="s">
        <v>10468</v>
      </c>
      <c r="B2652" s="9" t="s">
        <v>12</v>
      </c>
      <c r="C2652" s="10" t="s">
        <v>151</v>
      </c>
      <c r="D2652" s="10" t="str">
        <f ca="1">IFERROR(__xludf.DUMMYFUNCTION(" VLOOKUP(A2649, IMPORTRANGE(""https://docs.google.com/spreadsheets/d/1fj_Bhi2XPL3siwIh4sx4VRLAe31yD50oKdj5UlRYW0c/"", ""Сводка!A:AA""), 11, FALSE)"),"978-601-342-433-0")</f>
        <v>978-601-342-433-0</v>
      </c>
      <c r="E2652" s="11" t="s">
        <v>10465</v>
      </c>
      <c r="F2652" s="11" t="s">
        <v>10469</v>
      </c>
      <c r="G2652" s="12">
        <f ca="1">IFERROR(__xludf.DUMMYFUNCTION(" VLOOKUP(A2649, IMPORTRANGE(""https://docs.google.com/spreadsheets/d/1fj_Bhi2XPL3siwIh4sx4VRLAe31yD50oKdj5UlRYW0c/"", ""Сводка!A:AA""), 5, FALSE)"),132)</f>
        <v>132</v>
      </c>
      <c r="H2652" s="12" t="s">
        <v>10470</v>
      </c>
      <c r="I2652" s="10">
        <f ca="1">IFERROR(__xludf.DUMMYFUNCTION(" VLOOKUP(A2649, IMPORTRANGE(""https://docs.google.com/spreadsheets/d/1QNLbnkR_AongFt22vMfNzfpjZ0CjpI8QI-w0wBnYA1w/"", ""Инфа!A:AA""), 6, FALSE)"),2024)</f>
        <v>2024</v>
      </c>
      <c r="J2652" s="5">
        <f ca="1">ROUND((5000+G2652*30),-2)</f>
        <v>9000</v>
      </c>
      <c r="K2652" s="9" t="s">
        <v>1450</v>
      </c>
      <c r="L2652" s="15" t="s">
        <v>10471</v>
      </c>
    </row>
    <row r="2653" spans="1:12" ht="303.75">
      <c r="A2653" s="8" t="s">
        <v>10472</v>
      </c>
      <c r="B2653" s="9" t="s">
        <v>12</v>
      </c>
      <c r="C2653" s="10" t="s">
        <v>151</v>
      </c>
      <c r="D2653" s="10" t="str">
        <f ca="1">IFERROR(__xludf.DUMMYFUNCTION(" VLOOKUP(A2650, IMPORTRANGE(""https://docs.google.com/spreadsheets/d/1fj_Bhi2XPL3siwIh4sx4VRLAe31yD50oKdj5UlRYW0c/"", ""Сводка!A:AA""), 11, FALSE)"),"978-601-342-431-6")</f>
        <v>978-601-342-431-6</v>
      </c>
      <c r="E2653" s="11" t="s">
        <v>10465</v>
      </c>
      <c r="F2653" s="11" t="s">
        <v>10473</v>
      </c>
      <c r="G2653" s="12">
        <f ca="1">IFERROR(__xludf.DUMMYFUNCTION(" VLOOKUP(A2650, IMPORTRANGE(""https://docs.google.com/spreadsheets/d/1fj_Bhi2XPL3siwIh4sx4VRLAe31yD50oKdj5UlRYW0c/"", ""Сводка!A:AA""), 5, FALSE)"),200)</f>
        <v>200</v>
      </c>
      <c r="H2653" s="12" t="s">
        <v>2216</v>
      </c>
      <c r="I2653" s="10">
        <f ca="1">IFERROR(__xludf.DUMMYFUNCTION(" VLOOKUP(A2650, IMPORTRANGE(""https://docs.google.com/spreadsheets/d/1QNLbnkR_AongFt22vMfNzfpjZ0CjpI8QI-w0wBnYA1w/"", ""Инфа!A:AA""), 6, FALSE)"),2024)</f>
        <v>2024</v>
      </c>
      <c r="J2653" s="5">
        <f ca="1">ROUND((5000+G2653*30),-2)</f>
        <v>11000</v>
      </c>
      <c r="K2653" s="9" t="s">
        <v>1450</v>
      </c>
      <c r="L2653" s="15" t="s">
        <v>10474</v>
      </c>
    </row>
    <row r="2654" spans="1:12" ht="258.75">
      <c r="A2654" s="8" t="s">
        <v>10475</v>
      </c>
      <c r="B2654" s="9" t="s">
        <v>12</v>
      </c>
      <c r="C2654" s="10" t="s">
        <v>151</v>
      </c>
      <c r="D2654" s="10" t="str">
        <f ca="1">IFERROR(__xludf.DUMMYFUNCTION(" VLOOKUP(A2651, IMPORTRANGE(""https://docs.google.com/spreadsheets/d/1fj_Bhi2XPL3siwIh4sx4VRLAe31yD50oKdj5UlRYW0c/"", ""Сводка!A:AA""), 11, FALSE)"),"978-601-342-432-3")</f>
        <v>978-601-342-432-3</v>
      </c>
      <c r="E2654" s="11" t="s">
        <v>10465</v>
      </c>
      <c r="F2654" s="11" t="s">
        <v>10476</v>
      </c>
      <c r="G2654" s="12">
        <f ca="1">IFERROR(__xludf.DUMMYFUNCTION(" VLOOKUP(A2651, IMPORTRANGE(""https://docs.google.com/spreadsheets/d/1fj_Bhi2XPL3siwIh4sx4VRLAe31yD50oKdj5UlRYW0c/"", ""Сводка!A:AA""), 5, FALSE)"),80)</f>
        <v>80</v>
      </c>
      <c r="H2654" s="12" t="s">
        <v>2216</v>
      </c>
      <c r="I2654" s="10">
        <f ca="1">IFERROR(__xludf.DUMMYFUNCTION(" VLOOKUP(A2651, IMPORTRANGE(""https://docs.google.com/spreadsheets/d/1QNLbnkR_AongFt22vMfNzfpjZ0CjpI8QI-w0wBnYA1w/"", ""Инфа!A:AA""), 6, FALSE)"),2024)</f>
        <v>2024</v>
      </c>
      <c r="J2654" s="5">
        <f ca="1">ROUND((5000+G2654*30),-2)</f>
        <v>7400</v>
      </c>
      <c r="K2654" s="9" t="s">
        <v>1450</v>
      </c>
      <c r="L2654" s="15" t="s">
        <v>10477</v>
      </c>
    </row>
    <row r="2655" spans="1:12" ht="225">
      <c r="A2655" s="8" t="s">
        <v>10478</v>
      </c>
      <c r="B2655" s="9" t="s">
        <v>12</v>
      </c>
      <c r="C2655" s="10" t="s">
        <v>151</v>
      </c>
      <c r="D2655" s="10" t="str">
        <f ca="1">IFERROR(__xludf.DUMMYFUNCTION(" VLOOKUP(A2652, IMPORTRANGE(""https://docs.google.com/spreadsheets/d/1fj_Bhi2XPL3siwIh4sx4VRLAe31yD50oKdj5UlRYW0c/"", ""Сводка!A:AA""), 11, FALSE)"),"978-601-342-290-9")</f>
        <v>978-601-342-290-9</v>
      </c>
      <c r="E2655" s="11" t="s">
        <v>10465</v>
      </c>
      <c r="F2655" s="11" t="s">
        <v>10479</v>
      </c>
      <c r="G2655" s="12">
        <f ca="1">IFERROR(__xludf.DUMMYFUNCTION(" VLOOKUP(A2652, IMPORTRANGE(""https://docs.google.com/spreadsheets/d/1fj_Bhi2XPL3siwIh4sx4VRLAe31yD50oKdj5UlRYW0c/"", ""Сводка!A:AA""), 5, FALSE)"),276)</f>
        <v>276</v>
      </c>
      <c r="H2655" s="82" t="s">
        <v>56</v>
      </c>
      <c r="I2655" s="10">
        <f ca="1">IFERROR(__xludf.DUMMYFUNCTION(" VLOOKUP(A2652, IMPORTRANGE(""https://docs.google.com/spreadsheets/d/1QNLbnkR_AongFt22vMfNzfpjZ0CjpI8QI-w0wBnYA1w/"", ""Инфа!A:AA""), 6, FALSE)"),2024)</f>
        <v>2024</v>
      </c>
      <c r="J2655" s="5">
        <f ca="1">ROUND((5000+G2655*60),-2)</f>
        <v>21600</v>
      </c>
      <c r="K2655" s="9" t="s">
        <v>1450</v>
      </c>
      <c r="L2655" s="15" t="s">
        <v>10480</v>
      </c>
    </row>
    <row r="2656" spans="1:12" ht="303.75">
      <c r="A2656" s="8" t="s">
        <v>10481</v>
      </c>
      <c r="B2656" s="9" t="s">
        <v>12</v>
      </c>
      <c r="C2656" s="10" t="s">
        <v>151</v>
      </c>
      <c r="D2656" s="10" t="str">
        <f ca="1">IFERROR(__xludf.DUMMYFUNCTION(" VLOOKUP(A2653, IMPORTRANGE(""https://docs.google.com/spreadsheets/d/1fj_Bhi2XPL3siwIh4sx4VRLAe31yD50oKdj5UlRYW0c/"", ""Сводка!A:AA""), 11, FALSE)"),"978-601-342-376-0")</f>
        <v>978-601-342-376-0</v>
      </c>
      <c r="E2656" s="11" t="s">
        <v>10465</v>
      </c>
      <c r="F2656" s="11" t="s">
        <v>10482</v>
      </c>
      <c r="G2656" s="12">
        <f ca="1">IFERROR(__xludf.DUMMYFUNCTION(" VLOOKUP(A2653, IMPORTRANGE(""https://docs.google.com/spreadsheets/d/1fj_Bhi2XPL3siwIh4sx4VRLAe31yD50oKdj5UlRYW0c/"", ""Сводка!A:AA""), 5, FALSE)"),128)</f>
        <v>128</v>
      </c>
      <c r="H2656" s="12" t="s">
        <v>4470</v>
      </c>
      <c r="I2656" s="10">
        <f ca="1">IFERROR(__xludf.DUMMYFUNCTION(" VLOOKUP(A2653, IMPORTRANGE(""https://docs.google.com/spreadsheets/d/1QNLbnkR_AongFt22vMfNzfpjZ0CjpI8QI-w0wBnYA1w/"", ""Инфа!A:AA""), 6, FALSE)"),2024)</f>
        <v>2024</v>
      </c>
      <c r="J2656" s="5">
        <f ca="1">ROUND((5000+G2656*60),-2)</f>
        <v>12700</v>
      </c>
      <c r="K2656" s="9" t="s">
        <v>10483</v>
      </c>
      <c r="L2656" s="15" t="s">
        <v>10484</v>
      </c>
    </row>
    <row r="2657" spans="1:12" ht="303.75">
      <c r="A2657" s="8" t="s">
        <v>10485</v>
      </c>
      <c r="B2657" s="9" t="s">
        <v>12</v>
      </c>
      <c r="C2657" s="10" t="s">
        <v>151</v>
      </c>
      <c r="D2657" s="10" t="str">
        <f ca="1">IFERROR(__xludf.DUMMYFUNCTION(" VLOOKUP(A2654, IMPORTRANGE(""https://docs.google.com/spreadsheets/d/1fj_Bhi2XPL3siwIh4sx4VRLAe31yD50oKdj5UlRYW0c/"", ""Сводка!A:AA""), 11, FALSE)"),"978-601-342-267-1")</f>
        <v>978-601-342-267-1</v>
      </c>
      <c r="E2657" s="11" t="s">
        <v>10465</v>
      </c>
      <c r="F2657" s="11" t="s">
        <v>10486</v>
      </c>
      <c r="G2657" s="12">
        <f ca="1">IFERROR(__xludf.DUMMYFUNCTION(" VLOOKUP(A2654, IMPORTRANGE(""https://docs.google.com/spreadsheets/d/1fj_Bhi2XPL3siwIh4sx4VRLAe31yD50oKdj5UlRYW0c/"", ""Сводка!A:AA""), 5, FALSE)"),172)</f>
        <v>172</v>
      </c>
      <c r="H2657" s="12" t="s">
        <v>165</v>
      </c>
      <c r="I2657" s="10">
        <f ca="1">IFERROR(__xludf.DUMMYFUNCTION(" VLOOKUP(A2654, IMPORTRANGE(""https://docs.google.com/spreadsheets/d/1QNLbnkR_AongFt22vMfNzfpjZ0CjpI8QI-w0wBnYA1w/"", ""Инфа!A:AA""), 6, FALSE)"),2024)</f>
        <v>2024</v>
      </c>
      <c r="J2657" s="5">
        <f ca="1">ROUND((5000+G2657*30),-2)</f>
        <v>10200</v>
      </c>
      <c r="K2657" s="9" t="s">
        <v>1450</v>
      </c>
      <c r="L2657" s="15" t="s">
        <v>10487</v>
      </c>
    </row>
    <row r="2658" spans="1:12" ht="191.25">
      <c r="A2658" s="8" t="s">
        <v>10488</v>
      </c>
      <c r="B2658" s="9" t="s">
        <v>12</v>
      </c>
      <c r="C2658" s="10" t="s">
        <v>151</v>
      </c>
      <c r="D2658" s="10" t="str">
        <f ca="1">IFERROR(__xludf.DUMMYFUNCTION(" VLOOKUP(A2655, IMPORTRANGE(""https://docs.google.com/spreadsheets/d/1fj_Bhi2XPL3siwIh4sx4VRLAe31yD50oKdj5UlRYW0c/"", ""Сводка!A:AA""), 11, FALSE)"),"978-601-327-835-3")</f>
        <v>978-601-327-835-3</v>
      </c>
      <c r="E2658" s="11" t="s">
        <v>10489</v>
      </c>
      <c r="F2658" s="11" t="s">
        <v>10490</v>
      </c>
      <c r="G2658" s="12">
        <f ca="1">IFERROR(__xludf.DUMMYFUNCTION(" VLOOKUP(A2655, IMPORTRANGE(""https://docs.google.com/spreadsheets/d/1fj_Bhi2XPL3siwIh4sx4VRLAe31yD50oKdj5UlRYW0c/"", ""Сводка!A:AA""), 5, FALSE)"),172)</f>
        <v>172</v>
      </c>
      <c r="H2658" s="12" t="s">
        <v>165</v>
      </c>
      <c r="I2658" s="10">
        <f ca="1">IFERROR(__xludf.DUMMYFUNCTION(" VLOOKUP(A2655, IMPORTRANGE(""https://docs.google.com/spreadsheets/d/1QNLbnkR_AongFt22vMfNzfpjZ0CjpI8QI-w0wBnYA1w/"", ""Инфа!A:AA""), 6, FALSE)"),2024)</f>
        <v>2024</v>
      </c>
      <c r="J2658" s="5">
        <f ca="1">ROUND((5000+G2658*30),-2)</f>
        <v>10200</v>
      </c>
      <c r="K2658" s="9" t="s">
        <v>7967</v>
      </c>
      <c r="L2658" s="15" t="s">
        <v>10491</v>
      </c>
    </row>
    <row r="2659" spans="1:12" ht="38.25">
      <c r="A2659" s="8" t="s">
        <v>10492</v>
      </c>
      <c r="B2659" s="9" t="s">
        <v>12</v>
      </c>
      <c r="C2659" s="10" t="s">
        <v>151</v>
      </c>
      <c r="D2659" s="10" t="str">
        <f ca="1">IFERROR(__xludf.DUMMYFUNCTION(" VLOOKUP(A2656, IMPORTRANGE(""https://docs.google.com/spreadsheets/d/1fj_Bhi2XPL3siwIh4sx4VRLAe31yD50oKdj5UlRYW0c/"", ""Сводка!A:AA""), 11, FALSE)"),"978-601-310-312-2")</f>
        <v>978-601-310-312-2</v>
      </c>
      <c r="E2659" s="11" t="s">
        <v>10493</v>
      </c>
      <c r="F2659" s="11" t="s">
        <v>10494</v>
      </c>
      <c r="G2659" s="12">
        <f ca="1">IFERROR(__xludf.DUMMYFUNCTION(" VLOOKUP(A2656, IMPORTRANGE(""https://docs.google.com/spreadsheets/d/1fj_Bhi2XPL3siwIh4sx4VRLAe31yD50oKdj5UlRYW0c/"", ""Сводка!A:AA""), 5, FALSE)"),216)</f>
        <v>216</v>
      </c>
      <c r="H2659" s="12" t="s">
        <v>47</v>
      </c>
      <c r="I2659" s="10">
        <f ca="1">IFERROR(__xludf.DUMMYFUNCTION(" VLOOKUP(A2656, IMPORTRANGE(""https://docs.google.com/spreadsheets/d/1QNLbnkR_AongFt22vMfNzfpjZ0CjpI8QI-w0wBnYA1w/"", ""Инфа!A:AA""), 6, FALSE)"),2024)</f>
        <v>2024</v>
      </c>
      <c r="J2659" s="5">
        <f ca="1">ROUND((5000+G2659*30),-2)</f>
        <v>11500</v>
      </c>
      <c r="K2659" s="9" t="s">
        <v>7967</v>
      </c>
      <c r="L2659" s="15"/>
    </row>
    <row r="2660" spans="1:12" ht="38.25">
      <c r="A2660" s="8" t="s">
        <v>10495</v>
      </c>
      <c r="B2660" s="9" t="s">
        <v>12</v>
      </c>
      <c r="C2660" s="10" t="s">
        <v>151</v>
      </c>
      <c r="D2660" s="10" t="str">
        <f ca="1">IFERROR(__xludf.DUMMYFUNCTION(" VLOOKUP(A2657, IMPORTRANGE(""https://docs.google.com/spreadsheets/d/1fj_Bhi2XPL3siwIh4sx4VRLAe31yD50oKdj5UlRYW0c/"", ""Сводка!A:AA""), 11, FALSE)"),"978-601-310-312-2")</f>
        <v>978-601-310-312-2</v>
      </c>
      <c r="E2660" s="11" t="s">
        <v>10493</v>
      </c>
      <c r="F2660" s="11" t="s">
        <v>10496</v>
      </c>
      <c r="G2660" s="12">
        <f ca="1">IFERROR(__xludf.DUMMYFUNCTION(" VLOOKUP(A2657, IMPORTRANGE(""https://docs.google.com/spreadsheets/d/1fj_Bhi2XPL3siwIh4sx4VRLAe31yD50oKdj5UlRYW0c/"", ""Сводка!A:AA""), 5, FALSE)"),220)</f>
        <v>220</v>
      </c>
      <c r="H2660" s="12" t="s">
        <v>47</v>
      </c>
      <c r="I2660" s="10">
        <f ca="1">IFERROR(__xludf.DUMMYFUNCTION(" VLOOKUP(A2657, IMPORTRANGE(""https://docs.google.com/spreadsheets/d/1QNLbnkR_AongFt22vMfNzfpjZ0CjpI8QI-w0wBnYA1w/"", ""Инфа!A:AA""), 6, FALSE)"),2024)</f>
        <v>2024</v>
      </c>
      <c r="J2660" s="5">
        <f ca="1">ROUND((5000+G2660*60),-2)</f>
        <v>18200</v>
      </c>
      <c r="K2660" s="9" t="s">
        <v>7967</v>
      </c>
      <c r="L2660" s="15"/>
    </row>
    <row r="2661" spans="1:12" ht="258.75">
      <c r="A2661" s="8" t="s">
        <v>10497</v>
      </c>
      <c r="B2661" s="9" t="s">
        <v>12</v>
      </c>
      <c r="C2661" s="10" t="s">
        <v>151</v>
      </c>
      <c r="D2661" s="10" t="str">
        <f ca="1">IFERROR(__xludf.DUMMYFUNCTION(" VLOOKUP(A2658, IMPORTRANGE(""https://docs.google.com/spreadsheets/d/1fj_Bhi2XPL3siwIh4sx4VRLAe31yD50oKdj5UlRYW0c/"", ""Сводка!A:AA""), 11, FALSE)"),"978-601-310-046-3")</f>
        <v>978-601-310-046-3</v>
      </c>
      <c r="E2661" s="11" t="s">
        <v>10498</v>
      </c>
      <c r="F2661" s="11" t="s">
        <v>10499</v>
      </c>
      <c r="G2661" s="12">
        <f ca="1">IFERROR(__xludf.DUMMYFUNCTION(" VLOOKUP(A2658, IMPORTRANGE(""https://docs.google.com/spreadsheets/d/1fj_Bhi2XPL3siwIh4sx4VRLAe31yD50oKdj5UlRYW0c/"", ""Сводка!A:AA""), 5, FALSE)"),272)</f>
        <v>272</v>
      </c>
      <c r="H2661" s="12" t="s">
        <v>47</v>
      </c>
      <c r="I2661" s="10">
        <f ca="1">IFERROR(__xludf.DUMMYFUNCTION(" VLOOKUP(A2658, IMPORTRANGE(""https://docs.google.com/spreadsheets/d/1QNLbnkR_AongFt22vMfNzfpjZ0CjpI8QI-w0wBnYA1w/"", ""Инфа!A:AA""), 6, FALSE)"),2024)</f>
        <v>2024</v>
      </c>
      <c r="J2661" s="5">
        <f ca="1">ROUND(((5000+G2661*60)*1.3),-2)</f>
        <v>27700</v>
      </c>
      <c r="K2661" s="12" t="s">
        <v>447</v>
      </c>
      <c r="L2661" s="15" t="s">
        <v>10500</v>
      </c>
    </row>
    <row r="2662" spans="1:12" ht="202.5">
      <c r="A2662" s="8" t="s">
        <v>10501</v>
      </c>
      <c r="B2662" s="9" t="s">
        <v>12</v>
      </c>
      <c r="C2662" s="10" t="s">
        <v>151</v>
      </c>
      <c r="D2662" s="10" t="str">
        <f ca="1">IFERROR(__xludf.DUMMYFUNCTION(" VLOOKUP(A2659, IMPORTRANGE(""https://docs.google.com/spreadsheets/d/1fj_Bhi2XPL3siwIh4sx4VRLAe31yD50oKdj5UlRYW0c/"", ""Сводка!A:AA""), 11, FALSE)"),"978-601-310-841-4")</f>
        <v>978-601-310-841-4</v>
      </c>
      <c r="E2662" s="11" t="s">
        <v>10502</v>
      </c>
      <c r="F2662" s="11" t="s">
        <v>10503</v>
      </c>
      <c r="G2662" s="12">
        <f ca="1">IFERROR(__xludf.DUMMYFUNCTION(" VLOOKUP(A2659, IMPORTRANGE(""https://docs.google.com/spreadsheets/d/1fj_Bhi2XPL3siwIh4sx4VRLAe31yD50oKdj5UlRYW0c/"", ""Сводка!A:AA""), 5, FALSE)"),248)</f>
        <v>248</v>
      </c>
      <c r="H2662" s="12" t="s">
        <v>47</v>
      </c>
      <c r="I2662" s="10">
        <f ca="1">IFERROR(__xludf.DUMMYFUNCTION(" VLOOKUP(A2659, IMPORTRANGE(""https://docs.google.com/spreadsheets/d/1QNLbnkR_AongFt22vMfNzfpjZ0CjpI8QI-w0wBnYA1w/"", ""Инфа!A:AA""), 6, FALSE)"),2024)</f>
        <v>2024</v>
      </c>
      <c r="J2662" s="5">
        <f ca="1">ROUND(((5000+G2662*60)*1.3),-2)</f>
        <v>25800</v>
      </c>
      <c r="K2662" s="12" t="s">
        <v>447</v>
      </c>
      <c r="L2662" s="15" t="s">
        <v>10504</v>
      </c>
    </row>
    <row r="2663" spans="1:12" ht="168.75">
      <c r="A2663" s="8" t="s">
        <v>10505</v>
      </c>
      <c r="B2663" s="9" t="s">
        <v>12</v>
      </c>
      <c r="C2663" s="10" t="s">
        <v>151</v>
      </c>
      <c r="D2663" s="10" t="str">
        <f ca="1">IFERROR(__xludf.DUMMYFUNCTION(" VLOOKUP(A2660, IMPORTRANGE(""https://docs.google.com/spreadsheets/d/1fj_Bhi2XPL3siwIh4sx4VRLAe31yD50oKdj5UlRYW0c/"", ""Сводка!A:AA""), 11, FALSE)"),"978-601-7816-95-7")</f>
        <v>978-601-7816-95-7</v>
      </c>
      <c r="E2663" s="11" t="s">
        <v>10506</v>
      </c>
      <c r="F2663" s="11" t="s">
        <v>10507</v>
      </c>
      <c r="G2663" s="12">
        <f ca="1">IFERROR(__xludf.DUMMYFUNCTION(" VLOOKUP(A2660, IMPORTRANGE(""https://docs.google.com/spreadsheets/d/1fj_Bhi2XPL3siwIh4sx4VRLAe31yD50oKdj5UlRYW0c/"", ""Сводка!A:AA""), 5, FALSE)"),300)</f>
        <v>300</v>
      </c>
      <c r="H2663" s="12" t="s">
        <v>47</v>
      </c>
      <c r="I2663" s="10">
        <f ca="1">IFERROR(__xludf.DUMMYFUNCTION(" VLOOKUP(A2660, IMPORTRANGE(""https://docs.google.com/spreadsheets/d/1QNLbnkR_AongFt22vMfNzfpjZ0CjpI8QI-w0wBnYA1w/"", ""Инфа!A:AA""), 6, FALSE)"),2024)</f>
        <v>2024</v>
      </c>
      <c r="J2663" s="5">
        <f ca="1">ROUND(((5000+G2663*60)*1.3),-2)</f>
        <v>29900</v>
      </c>
      <c r="K2663" s="12" t="s">
        <v>447</v>
      </c>
      <c r="L2663" s="15" t="s">
        <v>10508</v>
      </c>
    </row>
    <row r="2664" spans="1:12" ht="38.25">
      <c r="A2664" s="8" t="s">
        <v>10509</v>
      </c>
      <c r="B2664" s="9" t="s">
        <v>12</v>
      </c>
      <c r="C2664" s="13" t="s">
        <v>151</v>
      </c>
      <c r="D2664" s="10" t="str">
        <f ca="1">IFERROR(__xludf.DUMMYFUNCTION(" VLOOKUP(A2661, IMPORTRANGE(""https://docs.google.com/spreadsheets/d/1fj_Bhi2XPL3siwIh4sx4VRLAe31yD50oKdj5UlRYW0c/"", ""Сводка!A:AA""), 11, FALSE)"),"978-601-310-476-8")</f>
        <v>978-601-310-476-8</v>
      </c>
      <c r="E2664" s="19" t="s">
        <v>10510</v>
      </c>
      <c r="F2664" s="19" t="s">
        <v>10511</v>
      </c>
      <c r="G2664" s="12">
        <f ca="1">IFERROR(__xludf.DUMMYFUNCTION(" VLOOKUP(A2661, IMPORTRANGE(""https://docs.google.com/spreadsheets/d/1fj_Bhi2XPL3siwIh4sx4VRLAe31yD50oKdj5UlRYW0c/"", ""Сводка!A:AA""), 5, FALSE)"),148)</f>
        <v>148</v>
      </c>
      <c r="H2664" s="9" t="s">
        <v>498</v>
      </c>
      <c r="I2664" s="10">
        <f ca="1">IFERROR(__xludf.DUMMYFUNCTION(" VLOOKUP(A2661, IMPORTRANGE(""https://docs.google.com/spreadsheets/d/1QNLbnkR_AongFt22vMfNzfpjZ0CjpI8QI-w0wBnYA1w/"", ""Инфа!A:AA""), 6, FALSE)"),2024)</f>
        <v>2024</v>
      </c>
      <c r="J2664" s="5">
        <f ca="1">ROUND((5000+G2664*30),-2)</f>
        <v>9400</v>
      </c>
      <c r="K2664" s="12" t="s">
        <v>1147</v>
      </c>
      <c r="L2664" s="21"/>
    </row>
    <row r="2665" spans="1:12" ht="51">
      <c r="A2665" s="8" t="s">
        <v>10512</v>
      </c>
      <c r="B2665" s="9" t="s">
        <v>12</v>
      </c>
      <c r="C2665" s="10" t="s">
        <v>151</v>
      </c>
      <c r="D2665" s="10" t="str">
        <f ca="1">IFERROR(__xludf.DUMMYFUNCTION(" VLOOKUP(A2662, IMPORTRANGE(""https://docs.google.com/spreadsheets/d/1fj_Bhi2XPL3siwIh4sx4VRLAe31yD50oKdj5UlRYW0c/"", ""Сводка!A:AA""), 11, FALSE)"),"978-601-240-310-7")</f>
        <v>978-601-240-310-7</v>
      </c>
      <c r="E2665" s="11" t="s">
        <v>10513</v>
      </c>
      <c r="F2665" s="11" t="s">
        <v>10514</v>
      </c>
      <c r="G2665" s="12">
        <f ca="1">IFERROR(__xludf.DUMMYFUNCTION(" VLOOKUP(A2662, IMPORTRANGE(""https://docs.google.com/spreadsheets/d/1fj_Bhi2XPL3siwIh4sx4VRLAe31yD50oKdj5UlRYW0c/"", ""Сводка!A:AA""), 5, FALSE)"),160)</f>
        <v>160</v>
      </c>
      <c r="H2665" s="12" t="s">
        <v>47</v>
      </c>
      <c r="I2665" s="10">
        <f ca="1">IFERROR(__xludf.DUMMYFUNCTION(" VLOOKUP(A2662, IMPORTRANGE(""https://docs.google.com/spreadsheets/d/1QNLbnkR_AongFt22vMfNzfpjZ0CjpI8QI-w0wBnYA1w/"", ""Инфа!A:AA""), 6, FALSE)"),2024)</f>
        <v>2024</v>
      </c>
      <c r="J2665" s="5">
        <f ca="1">ROUND((5000+G2665*30),-2)</f>
        <v>9800</v>
      </c>
      <c r="K2665" s="12" t="s">
        <v>1147</v>
      </c>
      <c r="L2665" s="15"/>
    </row>
    <row r="2666" spans="1:12" ht="38.25">
      <c r="A2666" s="8" t="s">
        <v>10515</v>
      </c>
      <c r="B2666" s="9" t="s">
        <v>12</v>
      </c>
      <c r="C2666" s="10" t="s">
        <v>151</v>
      </c>
      <c r="D2666" s="10" t="str">
        <f ca="1">IFERROR(__xludf.DUMMYFUNCTION(" VLOOKUP(A2663, IMPORTRANGE(""https://docs.google.com/spreadsheets/d/1fj_Bhi2XPL3siwIh4sx4VRLAe31yD50oKdj5UlRYW0c/"", ""Сводка!A:AA""), 11, FALSE)"),"978-601-240-108-8")</f>
        <v>978-601-240-108-8</v>
      </c>
      <c r="E2666" s="11" t="s">
        <v>10513</v>
      </c>
      <c r="F2666" s="11" t="s">
        <v>10516</v>
      </c>
      <c r="G2666" s="12">
        <f ca="1">IFERROR(__xludf.DUMMYFUNCTION(" VLOOKUP(A2663, IMPORTRANGE(""https://docs.google.com/spreadsheets/d/1fj_Bhi2XPL3siwIh4sx4VRLAe31yD50oKdj5UlRYW0c/"", ""Сводка!A:AA""), 5, FALSE)"),348)</f>
        <v>348</v>
      </c>
      <c r="H2666" s="12" t="s">
        <v>47</v>
      </c>
      <c r="I2666" s="10">
        <f ca="1">IFERROR(__xludf.DUMMYFUNCTION(" VLOOKUP(A2663, IMPORTRANGE(""https://docs.google.com/spreadsheets/d/1QNLbnkR_AongFt22vMfNzfpjZ0CjpI8QI-w0wBnYA1w/"", ""Инфа!A:AA""), 6, FALSE)"),2024)</f>
        <v>2024</v>
      </c>
      <c r="J2666" s="5">
        <f ca="1">ROUND((5000+G2666*60),-2)</f>
        <v>25900</v>
      </c>
      <c r="K2666" s="12" t="s">
        <v>1147</v>
      </c>
      <c r="L2666" s="15"/>
    </row>
    <row r="2667" spans="1:12" ht="38.25">
      <c r="A2667" s="8" t="s">
        <v>10517</v>
      </c>
      <c r="B2667" s="9" t="s">
        <v>12</v>
      </c>
      <c r="C2667" s="10" t="s">
        <v>443</v>
      </c>
      <c r="D2667" s="10" t="str">
        <f ca="1">IFERROR(__xludf.DUMMYFUNCTION(" VLOOKUP(A2664, IMPORTRANGE(""https://docs.google.com/spreadsheets/d/1fj_Bhi2XPL3siwIh4sx4VRLAe31yD50oKdj5UlRYW0c/"", ""Сводка!A:AA""), 11, FALSE)"),"978-601-240-894-2")</f>
        <v>978-601-240-894-2</v>
      </c>
      <c r="E2667" s="11" t="s">
        <v>10518</v>
      </c>
      <c r="F2667" s="11" t="s">
        <v>10519</v>
      </c>
      <c r="G2667" s="12">
        <f ca="1">IFERROR(__xludf.DUMMYFUNCTION(" VLOOKUP(A2664, IMPORTRANGE(""https://docs.google.com/spreadsheets/d/1fj_Bhi2XPL3siwIh4sx4VRLAe31yD50oKdj5UlRYW0c/"", ""Сводка!A:AA""), 5, FALSE)"),272)</f>
        <v>272</v>
      </c>
      <c r="H2667" s="12" t="s">
        <v>511</v>
      </c>
      <c r="I2667" s="10">
        <f ca="1">IFERROR(__xludf.DUMMYFUNCTION(" VLOOKUP(A2664, IMPORTRANGE(""https://docs.google.com/spreadsheets/d/1QNLbnkR_AongFt22vMfNzfpjZ0CjpI8QI-w0wBnYA1w/"", ""Инфа!A:AA""), 6, FALSE)"),2024)</f>
        <v>2024</v>
      </c>
      <c r="J2667" s="5">
        <f ca="1">ROUND((5000+G2667*30),-2)</f>
        <v>13200</v>
      </c>
      <c r="K2667" s="12" t="s">
        <v>1147</v>
      </c>
      <c r="L2667" s="15"/>
    </row>
    <row r="2668" spans="1:12" ht="38.25">
      <c r="A2668" s="8" t="s">
        <v>10520</v>
      </c>
      <c r="B2668" s="9" t="s">
        <v>12</v>
      </c>
      <c r="C2668" s="10" t="s">
        <v>151</v>
      </c>
      <c r="D2668" s="10" t="str">
        <f ca="1">IFERROR(__xludf.DUMMYFUNCTION(" VLOOKUP(A2665, IMPORTRANGE(""https://docs.google.com/spreadsheets/d/1fj_Bhi2XPL3siwIh4sx4VRLAe31yD50oKdj5UlRYW0c/"", ""Сводка!A:AA""), 11, FALSE)"),"978-601-240-880-5")</f>
        <v>978-601-240-880-5</v>
      </c>
      <c r="E2668" s="11" t="s">
        <v>10521</v>
      </c>
      <c r="F2668" s="11" t="s">
        <v>10522</v>
      </c>
      <c r="G2668" s="12">
        <f ca="1">IFERROR(__xludf.DUMMYFUNCTION(" VLOOKUP(A2665, IMPORTRANGE(""https://docs.google.com/spreadsheets/d/1fj_Bhi2XPL3siwIh4sx4VRLAe31yD50oKdj5UlRYW0c/"", ""Сводка!A:AA""), 5, FALSE)"),276)</f>
        <v>276</v>
      </c>
      <c r="H2668" s="12" t="s">
        <v>498</v>
      </c>
      <c r="I2668" s="10">
        <f ca="1">IFERROR(__xludf.DUMMYFUNCTION(" VLOOKUP(A2665, IMPORTRANGE(""https://docs.google.com/spreadsheets/d/1QNLbnkR_AongFt22vMfNzfpjZ0CjpI8QI-w0wBnYA1w/"", ""Инфа!A:AA""), 6, FALSE)"),2024)</f>
        <v>2024</v>
      </c>
      <c r="J2668" s="5">
        <f ca="1">ROUND((5000+G2668*60),-2)</f>
        <v>21600</v>
      </c>
      <c r="K2668" s="12" t="s">
        <v>1147</v>
      </c>
      <c r="L2668" s="15"/>
    </row>
    <row r="2669" spans="1:12" ht="168.75">
      <c r="A2669" s="8" t="s">
        <v>10523</v>
      </c>
      <c r="B2669" s="9" t="s">
        <v>12</v>
      </c>
      <c r="C2669" s="10" t="s">
        <v>443</v>
      </c>
      <c r="D2669" s="10" t="str">
        <f ca="1">IFERROR(__xludf.DUMMYFUNCTION(" VLOOKUP(A2666, IMPORTRANGE(""https://docs.google.com/spreadsheets/d/1fj_Bhi2XPL3siwIh4sx4VRLAe31yD50oKdj5UlRYW0c/"", ""Сводка!A:AA""), 11, FALSE)"),"978-601-342-597-9")</f>
        <v>978-601-342-597-9</v>
      </c>
      <c r="E2669" s="11" t="s">
        <v>10524</v>
      </c>
      <c r="F2669" s="11" t="s">
        <v>10525</v>
      </c>
      <c r="G2669" s="12">
        <f ca="1">IFERROR(__xludf.DUMMYFUNCTION(" VLOOKUP(A2666, IMPORTRANGE(""https://docs.google.com/spreadsheets/d/1fj_Bhi2XPL3siwIh4sx4VRLAe31yD50oKdj5UlRYW0c/"", ""Сводка!A:AA""), 5, FALSE)"),120)</f>
        <v>120</v>
      </c>
      <c r="H2669" s="12" t="s">
        <v>446</v>
      </c>
      <c r="I2669" s="10">
        <f ca="1">IFERROR(__xludf.DUMMYFUNCTION(" VLOOKUP(A2666, IMPORTRANGE(""https://docs.google.com/spreadsheets/d/1QNLbnkR_AongFt22vMfNzfpjZ0CjpI8QI-w0wBnYA1w/"", ""Инфа!A:AA""), 6, FALSE)"),2024)</f>
        <v>2024</v>
      </c>
      <c r="J2669" s="5">
        <f ca="1">ROUND((5000+G2669*30),-2)</f>
        <v>8600</v>
      </c>
      <c r="K2669" s="12" t="s">
        <v>1147</v>
      </c>
      <c r="L2669" s="16" t="s">
        <v>10526</v>
      </c>
    </row>
    <row r="2670" spans="1:12" ht="157.5">
      <c r="A2670" s="8" t="s">
        <v>10527</v>
      </c>
      <c r="B2670" s="9" t="s">
        <v>12</v>
      </c>
      <c r="C2670" s="10" t="s">
        <v>443</v>
      </c>
      <c r="D2670" s="10" t="str">
        <f ca="1">IFERROR(__xludf.DUMMYFUNCTION(" VLOOKUP(A2667, IMPORTRANGE(""https://docs.google.com/spreadsheets/d/1fj_Bhi2XPL3siwIh4sx4VRLAe31yD50oKdj5UlRYW0c/"", ""Сводка!A:AA""), 11, FALSE)"),"978-601-342-597-9")</f>
        <v>978-601-342-597-9</v>
      </c>
      <c r="E2670" s="11" t="s">
        <v>10528</v>
      </c>
      <c r="F2670" s="11" t="s">
        <v>10529</v>
      </c>
      <c r="G2670" s="12">
        <f ca="1">IFERROR(__xludf.DUMMYFUNCTION(" VLOOKUP(A2667, IMPORTRANGE(""https://docs.google.com/spreadsheets/d/1fj_Bhi2XPL3siwIh4sx4VRLAe31yD50oKdj5UlRYW0c/"", ""Сводка!A:AA""), 5, FALSE)"),120)</f>
        <v>120</v>
      </c>
      <c r="H2670" s="12" t="s">
        <v>511</v>
      </c>
      <c r="I2670" s="10">
        <f ca="1">IFERROR(__xludf.DUMMYFUNCTION(" VLOOKUP(A2667, IMPORTRANGE(""https://docs.google.com/spreadsheets/d/1QNLbnkR_AongFt22vMfNzfpjZ0CjpI8QI-w0wBnYA1w/"", ""Инфа!A:AA""), 6, FALSE)"),2024)</f>
        <v>2024</v>
      </c>
      <c r="J2670" s="5">
        <f ca="1">ROUND((5000+G2670*30),-2)</f>
        <v>8600</v>
      </c>
      <c r="K2670" s="12" t="s">
        <v>1147</v>
      </c>
      <c r="L2670" s="15" t="s">
        <v>10530</v>
      </c>
    </row>
    <row r="2671" spans="1:12" ht="51">
      <c r="A2671" s="8" t="s">
        <v>10531</v>
      </c>
      <c r="B2671" s="9" t="s">
        <v>12</v>
      </c>
      <c r="C2671" s="10" t="s">
        <v>443</v>
      </c>
      <c r="D2671" s="10" t="str">
        <f ca="1">IFERROR(__xludf.DUMMYFUNCTION(" VLOOKUP(A2668, IMPORTRANGE(""https://docs.google.com/spreadsheets/d/1fj_Bhi2XPL3siwIh4sx4VRLAe31yD50oKdj5UlRYW0c/"", ""Сводка!A:AA""), 11, FALSE)"),"978-601-240-962-8")</f>
        <v>978-601-240-962-8</v>
      </c>
      <c r="E2671" s="11" t="s">
        <v>10532</v>
      </c>
      <c r="F2671" s="11" t="s">
        <v>10533</v>
      </c>
      <c r="G2671" s="12">
        <f ca="1">IFERROR(__xludf.DUMMYFUNCTION(" VLOOKUP(A2668, IMPORTRANGE(""https://docs.google.com/spreadsheets/d/1fj_Bhi2XPL3siwIh4sx4VRLAe31yD50oKdj5UlRYW0c/"", ""Сводка!A:AA""), 5, FALSE)"),176)</f>
        <v>176</v>
      </c>
      <c r="H2671" s="12" t="s">
        <v>538</v>
      </c>
      <c r="I2671" s="10">
        <f ca="1">IFERROR(__xludf.DUMMYFUNCTION(" VLOOKUP(A2668, IMPORTRANGE(""https://docs.google.com/spreadsheets/d/1QNLbnkR_AongFt22vMfNzfpjZ0CjpI8QI-w0wBnYA1w/"", ""Инфа!A:AA""), 6, FALSE)"),2024)</f>
        <v>2024</v>
      </c>
      <c r="J2671" s="5">
        <f ca="1">ROUND((5000+G2671*30),-2)</f>
        <v>10300</v>
      </c>
      <c r="K2671" s="12" t="s">
        <v>257</v>
      </c>
      <c r="L2671" s="15"/>
    </row>
    <row r="2672" spans="1:12" ht="146.25">
      <c r="A2672" s="8" t="s">
        <v>10534</v>
      </c>
      <c r="B2672" s="9" t="s">
        <v>12</v>
      </c>
      <c r="C2672" s="10" t="s">
        <v>443</v>
      </c>
      <c r="D2672" s="10" t="str">
        <f ca="1">IFERROR(__xludf.DUMMYFUNCTION(" VLOOKUP(A2669, IMPORTRANGE(""https://docs.google.com/spreadsheets/d/1fj_Bhi2XPL3siwIh4sx4VRLAe31yD50oKdj5UlRYW0c/"", ""Сводка!A:AA""), 11, FALSE)"),"978-601-327-354-9")</f>
        <v>978-601-327-354-9</v>
      </c>
      <c r="E2672" s="11" t="s">
        <v>10535</v>
      </c>
      <c r="F2672" s="11" t="s">
        <v>10536</v>
      </c>
      <c r="G2672" s="12">
        <f ca="1">IFERROR(__xludf.DUMMYFUNCTION(" VLOOKUP(A2669, IMPORTRANGE(""https://docs.google.com/spreadsheets/d/1fj_Bhi2XPL3siwIh4sx4VRLAe31yD50oKdj5UlRYW0c/"", ""Сводка!A:AA""), 5, FALSE)"),168)</f>
        <v>168</v>
      </c>
      <c r="H2672" s="12" t="s">
        <v>1908</v>
      </c>
      <c r="I2672" s="10">
        <f ca="1">IFERROR(__xludf.DUMMYFUNCTION(" VLOOKUP(A2669, IMPORTRANGE(""https://docs.google.com/spreadsheets/d/1QNLbnkR_AongFt22vMfNzfpjZ0CjpI8QI-w0wBnYA1w/"", ""Инфа!A:AA""), 6, FALSE)"),2024)</f>
        <v>2024</v>
      </c>
      <c r="J2672" s="5">
        <f ca="1">ROUND((5000+G2672*60),-2)</f>
        <v>15100</v>
      </c>
      <c r="K2672" s="12" t="s">
        <v>127</v>
      </c>
      <c r="L2672" s="15" t="s">
        <v>10537</v>
      </c>
    </row>
    <row r="2673" spans="1:12" ht="247.5">
      <c r="A2673" s="8" t="s">
        <v>10538</v>
      </c>
      <c r="B2673" s="9" t="s">
        <v>12</v>
      </c>
      <c r="C2673" s="10" t="s">
        <v>443</v>
      </c>
      <c r="D2673" s="10" t="str">
        <f ca="1">IFERROR(__xludf.DUMMYFUNCTION(" VLOOKUP(A2670, IMPORTRANGE(""https://docs.google.com/spreadsheets/d/1fj_Bhi2XPL3siwIh4sx4VRLAe31yD50oKdj5UlRYW0c/"", ""Сводка!A:AA""), 11, FALSE)"),"978-601-240-754-9")</f>
        <v>978-601-240-754-9</v>
      </c>
      <c r="E2673" s="11" t="s">
        <v>10539</v>
      </c>
      <c r="F2673" s="11" t="s">
        <v>10540</v>
      </c>
      <c r="G2673" s="12">
        <f ca="1">IFERROR(__xludf.DUMMYFUNCTION(" VLOOKUP(A2670, IMPORTRANGE(""https://docs.google.com/spreadsheets/d/1fj_Bhi2XPL3siwIh4sx4VRLAe31yD50oKdj5UlRYW0c/"", ""Сводка!A:AA""), 5, FALSE)"),176)</f>
        <v>176</v>
      </c>
      <c r="H2673" s="12" t="s">
        <v>1585</v>
      </c>
      <c r="I2673" s="10">
        <f ca="1">IFERROR(__xludf.DUMMYFUNCTION(" VLOOKUP(A2670, IMPORTRANGE(""https://docs.google.com/spreadsheets/d/1QNLbnkR_AongFt22vMfNzfpjZ0CjpI8QI-w0wBnYA1w/"", ""Инфа!A:AA""), 6, FALSE)"),2024)</f>
        <v>2024</v>
      </c>
      <c r="J2673" s="5">
        <f ca="1">ROUND((5000+G2673*60),-2)</f>
        <v>15600</v>
      </c>
      <c r="K2673" s="12" t="s">
        <v>10541</v>
      </c>
      <c r="L2673" s="15" t="s">
        <v>10542</v>
      </c>
    </row>
    <row r="2674" spans="1:12" ht="213.75">
      <c r="A2674" s="8" t="s">
        <v>10543</v>
      </c>
      <c r="B2674" s="9" t="s">
        <v>12</v>
      </c>
      <c r="C2674" s="10" t="s">
        <v>151</v>
      </c>
      <c r="D2674" s="10" t="str">
        <f ca="1">IFERROR(__xludf.DUMMYFUNCTION(" VLOOKUP(A2671, IMPORTRANGE(""https://docs.google.com/spreadsheets/d/1fj_Bhi2XPL3siwIh4sx4VRLAe31yD50oKdj5UlRYW0c/"", ""Сводка!A:AA""), 11, FALSE)"),"978-601-327-491-1")</f>
        <v>978-601-327-491-1</v>
      </c>
      <c r="E2674" s="22" t="s">
        <v>10544</v>
      </c>
      <c r="F2674" s="22" t="s">
        <v>10545</v>
      </c>
      <c r="G2674" s="12">
        <f ca="1">IFERROR(__xludf.DUMMYFUNCTION(" VLOOKUP(A2671, IMPORTRANGE(""https://docs.google.com/spreadsheets/d/1fj_Bhi2XPL3siwIh4sx4VRLAe31yD50oKdj5UlRYW0c/"", ""Сводка!A:AA""), 5, FALSE)"),108)</f>
        <v>108</v>
      </c>
      <c r="H2674" s="10" t="s">
        <v>47</v>
      </c>
      <c r="I2674" s="10">
        <f ca="1">IFERROR(__xludf.DUMMYFUNCTION(" VLOOKUP(A2671, IMPORTRANGE(""https://docs.google.com/spreadsheets/d/1QNLbnkR_AongFt22vMfNzfpjZ0CjpI8QI-w0wBnYA1w/"", ""Инфа!A:AA""), 6, FALSE)"),2024)</f>
        <v>2024</v>
      </c>
      <c r="J2674" s="5">
        <f ca="1">ROUND((5000+G2674*60),-2)</f>
        <v>11500</v>
      </c>
      <c r="K2674" s="12" t="s">
        <v>302</v>
      </c>
      <c r="L2674" s="23" t="s">
        <v>10546</v>
      </c>
    </row>
    <row r="2675" spans="1:12" ht="315">
      <c r="A2675" s="8" t="s">
        <v>10547</v>
      </c>
      <c r="B2675" s="9" t="s">
        <v>12</v>
      </c>
      <c r="C2675" s="10" t="s">
        <v>151</v>
      </c>
      <c r="D2675" s="10" t="str">
        <f ca="1">IFERROR(__xludf.DUMMYFUNCTION(" VLOOKUP(A2672, IMPORTRANGE(""https://docs.google.com/spreadsheets/d/1fj_Bhi2XPL3siwIh4sx4VRLAe31yD50oKdj5UlRYW0c/"", ""Сводка!A:AA""), 11, FALSE)"),"978-601-327-582-6")</f>
        <v>978-601-327-582-6</v>
      </c>
      <c r="E2675" s="22" t="s">
        <v>10548</v>
      </c>
      <c r="F2675" s="22" t="s">
        <v>10549</v>
      </c>
      <c r="G2675" s="12">
        <f ca="1">IFERROR(__xludf.DUMMYFUNCTION(" VLOOKUP(A2672, IMPORTRANGE(""https://docs.google.com/spreadsheets/d/1fj_Bhi2XPL3siwIh4sx4VRLAe31yD50oKdj5UlRYW0c/"", ""Сводка!A:AA""), 5, FALSE)"),178)</f>
        <v>178</v>
      </c>
      <c r="H2675" s="10" t="s">
        <v>106</v>
      </c>
      <c r="I2675" s="10">
        <f ca="1">IFERROR(__xludf.DUMMYFUNCTION(" VLOOKUP(A2672, IMPORTRANGE(""https://docs.google.com/spreadsheets/d/1QNLbnkR_AongFt22vMfNzfpjZ0CjpI8QI-w0wBnYA1w/"", ""Инфа!A:AA""), 6, FALSE)"),2024)</f>
        <v>2024</v>
      </c>
      <c r="J2675" s="5">
        <f ca="1">ROUND((5000+G2675*60),-2)</f>
        <v>15700</v>
      </c>
      <c r="K2675" s="12" t="s">
        <v>1240</v>
      </c>
      <c r="L2675" s="23" t="s">
        <v>10550</v>
      </c>
    </row>
    <row r="2676" spans="1:12" ht="225">
      <c r="A2676" s="8" t="s">
        <v>10551</v>
      </c>
      <c r="B2676" s="9" t="s">
        <v>12</v>
      </c>
      <c r="C2676" s="10" t="s">
        <v>151</v>
      </c>
      <c r="D2676" s="10" t="str">
        <f ca="1">IFERROR(__xludf.DUMMYFUNCTION(" VLOOKUP(A2673, IMPORTRANGE(""https://docs.google.com/spreadsheets/d/1fj_Bhi2XPL3siwIh4sx4VRLAe31yD50oKdj5UlRYW0c/"", ""Сводка!A:AA""), 11, FALSE)"),"978-601-327-680-9")</f>
        <v>978-601-327-680-9</v>
      </c>
      <c r="E2676" s="11" t="s">
        <v>10552</v>
      </c>
      <c r="F2676" s="11" t="s">
        <v>10553</v>
      </c>
      <c r="G2676" s="12">
        <f ca="1">IFERROR(__xludf.DUMMYFUNCTION(" VLOOKUP(A2673, IMPORTRANGE(""https://docs.google.com/spreadsheets/d/1fj_Bhi2XPL3siwIh4sx4VRLAe31yD50oKdj5UlRYW0c/"", ""Сводка!A:AA""), 5, FALSE)"),160)</f>
        <v>160</v>
      </c>
      <c r="H2676" s="12" t="s">
        <v>24</v>
      </c>
      <c r="I2676" s="10">
        <f ca="1">IFERROR(__xludf.DUMMYFUNCTION(" VLOOKUP(A2673, IMPORTRANGE(""https://docs.google.com/spreadsheets/d/1QNLbnkR_AongFt22vMfNzfpjZ0CjpI8QI-w0wBnYA1w/"", ""Инфа!A:AA""), 6, FALSE)"),2024)</f>
        <v>2024</v>
      </c>
      <c r="J2676" s="5">
        <f ca="1">ROUND((5000+G2676*60),-2)</f>
        <v>14600</v>
      </c>
      <c r="K2676" s="12" t="s">
        <v>2520</v>
      </c>
      <c r="L2676" s="15" t="s">
        <v>10554</v>
      </c>
    </row>
    <row r="2677" spans="1:12" ht="168.75">
      <c r="A2677" s="8" t="s">
        <v>10555</v>
      </c>
      <c r="B2677" s="9" t="s">
        <v>12</v>
      </c>
      <c r="C2677" s="10" t="s">
        <v>443</v>
      </c>
      <c r="D2677" s="10" t="str">
        <f ca="1">IFERROR(__xludf.DUMMYFUNCTION(" VLOOKUP(A2674, IMPORTRANGE(""https://docs.google.com/spreadsheets/d/1fj_Bhi2XPL3siwIh4sx4VRLAe31yD50oKdj5UlRYW0c/"", ""Сводка!A:AA""), 11, FALSE)"),"978-601-327-871-1")</f>
        <v>978-601-327-871-1</v>
      </c>
      <c r="E2677" s="11" t="s">
        <v>10556</v>
      </c>
      <c r="F2677" s="11" t="s">
        <v>10557</v>
      </c>
      <c r="G2677" s="12">
        <f ca="1">IFERROR(__xludf.DUMMYFUNCTION(" VLOOKUP(A2674, IMPORTRANGE(""https://docs.google.com/spreadsheets/d/1fj_Bhi2XPL3siwIh4sx4VRLAe31yD50oKdj5UlRYW0c/"", ""Сводка!A:AA""), 5, FALSE)"),308)</f>
        <v>308</v>
      </c>
      <c r="H2677" s="12" t="s">
        <v>511</v>
      </c>
      <c r="I2677" s="10">
        <f ca="1">IFERROR(__xludf.DUMMYFUNCTION(" VLOOKUP(A2674, IMPORTRANGE(""https://docs.google.com/spreadsheets/d/1QNLbnkR_AongFt22vMfNzfpjZ0CjpI8QI-w0wBnYA1w/"", ""Инфа!A:AA""), 6, FALSE)"),2024)</f>
        <v>2024</v>
      </c>
      <c r="J2677" s="5">
        <f ca="1">ROUND((5000+G2677*30),-2)</f>
        <v>14200</v>
      </c>
      <c r="K2677" s="12" t="s">
        <v>277</v>
      </c>
      <c r="L2677" s="15" t="s">
        <v>10558</v>
      </c>
    </row>
    <row r="2678" spans="1:12" ht="225">
      <c r="A2678" s="8" t="s">
        <v>10559</v>
      </c>
      <c r="B2678" s="9" t="s">
        <v>12</v>
      </c>
      <c r="C2678" s="10" t="s">
        <v>443</v>
      </c>
      <c r="D2678" s="10" t="str">
        <f ca="1">IFERROR(__xludf.DUMMYFUNCTION(" VLOOKUP(A2675, IMPORTRANGE(""https://docs.google.com/spreadsheets/d/1fj_Bhi2XPL3siwIh4sx4VRLAe31yD50oKdj5UlRYW0c/"", ""Сводка!A:AA""), 11, FALSE)"),"978-601-327-700-4")</f>
        <v>978-601-327-700-4</v>
      </c>
      <c r="E2678" s="11" t="s">
        <v>10560</v>
      </c>
      <c r="F2678" s="11" t="s">
        <v>10561</v>
      </c>
      <c r="G2678" s="12">
        <f ca="1">IFERROR(__xludf.DUMMYFUNCTION(" VLOOKUP(A2675, IMPORTRANGE(""https://docs.google.com/spreadsheets/d/1fj_Bhi2XPL3siwIh4sx4VRLAe31yD50oKdj5UlRYW0c/"", ""Сводка!A:AA""), 5, FALSE)"),320)</f>
        <v>320</v>
      </c>
      <c r="H2678" s="12" t="s">
        <v>106</v>
      </c>
      <c r="I2678" s="10">
        <f ca="1">IFERROR(__xludf.DUMMYFUNCTION(" VLOOKUP(A2675, IMPORTRANGE(""https://docs.google.com/spreadsheets/d/1QNLbnkR_AongFt22vMfNzfpjZ0CjpI8QI-w0wBnYA1w/"", ""Инфа!A:AA""), 6, FALSE)"),2024)</f>
        <v>2024</v>
      </c>
      <c r="J2678" s="5">
        <f ca="1">ROUND((5000+G2678*30),-2)</f>
        <v>14600</v>
      </c>
      <c r="K2678" s="12" t="s">
        <v>277</v>
      </c>
      <c r="L2678" s="15" t="s">
        <v>10562</v>
      </c>
    </row>
    <row r="2679" spans="1:12" ht="202.5">
      <c r="A2679" s="8" t="s">
        <v>10563</v>
      </c>
      <c r="B2679" s="9" t="s">
        <v>12</v>
      </c>
      <c r="C2679" s="10" t="s">
        <v>151</v>
      </c>
      <c r="D2679" s="10" t="str">
        <f ca="1">IFERROR(__xludf.DUMMYFUNCTION(" VLOOKUP(A2676, IMPORTRANGE(""https://docs.google.com/spreadsheets/d/1fj_Bhi2XPL3siwIh4sx4VRLAe31yD50oKdj5UlRYW0c/"", ""Сводка!A:AA""), 11, FALSE)"),"978-601-342-241-1")</f>
        <v>978-601-342-241-1</v>
      </c>
      <c r="E2679" s="11" t="s">
        <v>10560</v>
      </c>
      <c r="F2679" s="11" t="s">
        <v>10564</v>
      </c>
      <c r="G2679" s="12">
        <f ca="1">IFERROR(__xludf.DUMMYFUNCTION(" VLOOKUP(A2676, IMPORTRANGE(""https://docs.google.com/spreadsheets/d/1fj_Bhi2XPL3siwIh4sx4VRLAe31yD50oKdj5UlRYW0c/"", ""Сводка!A:AA""), 5, FALSE)"),260)</f>
        <v>260</v>
      </c>
      <c r="H2679" s="12" t="s">
        <v>24</v>
      </c>
      <c r="I2679" s="10">
        <f ca="1">IFERROR(__xludf.DUMMYFUNCTION(" VLOOKUP(A2676, IMPORTRANGE(""https://docs.google.com/spreadsheets/d/1QNLbnkR_AongFt22vMfNzfpjZ0CjpI8QI-w0wBnYA1w/"", ""Инфа!A:AA""), 6, FALSE)"),2024)</f>
        <v>2024</v>
      </c>
      <c r="J2679" s="5">
        <f ca="1">ROUND((5000+G2679*30),-2)</f>
        <v>12800</v>
      </c>
      <c r="K2679" s="12" t="s">
        <v>2283</v>
      </c>
      <c r="L2679" s="16" t="s">
        <v>10565</v>
      </c>
    </row>
    <row r="2680" spans="1:12" ht="180">
      <c r="A2680" s="8" t="s">
        <v>10566</v>
      </c>
      <c r="B2680" s="9" t="s">
        <v>12</v>
      </c>
      <c r="C2680" s="10" t="s">
        <v>443</v>
      </c>
      <c r="D2680" s="10" t="str">
        <f ca="1">IFERROR(__xludf.DUMMYFUNCTION(" VLOOKUP(A2677, IMPORTRANGE(""https://docs.google.com/spreadsheets/d/1fj_Bhi2XPL3siwIh4sx4VRLAe31yD50oKdj5UlRYW0c/"", ""Сводка!A:AA""), 11, FALSE)"),"978-601-327-153-2")</f>
        <v>978-601-327-153-2</v>
      </c>
      <c r="E2680" s="11" t="s">
        <v>10567</v>
      </c>
      <c r="F2680" s="11" t="s">
        <v>10568</v>
      </c>
      <c r="G2680" s="12">
        <f ca="1">IFERROR(__xludf.DUMMYFUNCTION(" VLOOKUP(A2677, IMPORTRANGE(""https://docs.google.com/spreadsheets/d/1fj_Bhi2XPL3siwIh4sx4VRLAe31yD50oKdj5UlRYW0c/"", ""Сводка!A:AA""), 5, FALSE)"),112)</f>
        <v>112</v>
      </c>
      <c r="H2680" s="12" t="s">
        <v>446</v>
      </c>
      <c r="I2680" s="10">
        <f ca="1">IFERROR(__xludf.DUMMYFUNCTION(" VLOOKUP(A2677, IMPORTRANGE(""https://docs.google.com/spreadsheets/d/1QNLbnkR_AongFt22vMfNzfpjZ0CjpI8QI-w0wBnYA1w/"", ""Инфа!A:AA""), 6, FALSE)"),2024)</f>
        <v>2024</v>
      </c>
      <c r="J2680" s="5">
        <f ca="1">ROUND((5000+G2680*60),-2)</f>
        <v>11700</v>
      </c>
      <c r="K2680" s="12" t="s">
        <v>1299</v>
      </c>
      <c r="L2680" s="15" t="s">
        <v>10569</v>
      </c>
    </row>
    <row r="2681" spans="1:12" ht="168.75">
      <c r="A2681" s="8" t="s">
        <v>10570</v>
      </c>
      <c r="B2681" s="9" t="s">
        <v>12</v>
      </c>
      <c r="C2681" s="10" t="s">
        <v>443</v>
      </c>
      <c r="D2681" s="10" t="str">
        <f ca="1">IFERROR(__xludf.DUMMYFUNCTION(" VLOOKUP(A2678, IMPORTRANGE(""https://docs.google.com/spreadsheets/d/1fj_Bhi2XPL3siwIh4sx4VRLAe31yD50oKdj5UlRYW0c/"", ""Сводка!A:AA""), 11, FALSE)"),"978-601-327-153-5")</f>
        <v>978-601-327-153-5</v>
      </c>
      <c r="E2681" s="11" t="s">
        <v>10571</v>
      </c>
      <c r="F2681" s="11" t="s">
        <v>10572</v>
      </c>
      <c r="G2681" s="12">
        <f ca="1">IFERROR(__xludf.DUMMYFUNCTION(" VLOOKUP(A2678, IMPORTRANGE(""https://docs.google.com/spreadsheets/d/1fj_Bhi2XPL3siwIh4sx4VRLAe31yD50oKdj5UlRYW0c/"", ""Сводка!A:AA""), 5, FALSE)"),248)</f>
        <v>248</v>
      </c>
      <c r="H2681" s="12" t="s">
        <v>446</v>
      </c>
      <c r="I2681" s="10">
        <f ca="1">IFERROR(__xludf.DUMMYFUNCTION(" VLOOKUP(A2678, IMPORTRANGE(""https://docs.google.com/spreadsheets/d/1QNLbnkR_AongFt22vMfNzfpjZ0CjpI8QI-w0wBnYA1w/"", ""Инфа!A:AA""), 6, FALSE)"),2024)</f>
        <v>2024</v>
      </c>
      <c r="J2681" s="5">
        <f ca="1">ROUND((5000+G2681*60),-2)</f>
        <v>19900</v>
      </c>
      <c r="K2681" s="12" t="s">
        <v>1299</v>
      </c>
      <c r="L2681" s="15" t="s">
        <v>10573</v>
      </c>
    </row>
    <row r="2682" spans="1:12" ht="168.75">
      <c r="A2682" s="8" t="s">
        <v>10574</v>
      </c>
      <c r="B2682" s="9" t="s">
        <v>12</v>
      </c>
      <c r="C2682" s="10" t="s">
        <v>443</v>
      </c>
      <c r="D2682" s="10" t="str">
        <f ca="1">IFERROR(__xludf.DUMMYFUNCTION(" VLOOKUP(A2679, IMPORTRANGE(""https://docs.google.com/spreadsheets/d/1fj_Bhi2XPL3siwIh4sx4VRLAe31yD50oKdj5UlRYW0c/"", ""Сводка!A:AA""), 11, FALSE)"),"978-601-342-646-4")</f>
        <v>978-601-342-646-4</v>
      </c>
      <c r="E2682" s="11" t="s">
        <v>10575</v>
      </c>
      <c r="F2682" s="11" t="s">
        <v>10576</v>
      </c>
      <c r="G2682" s="12">
        <f ca="1">IFERROR(__xludf.DUMMYFUNCTION(" VLOOKUP(A2679, IMPORTRANGE(""https://docs.google.com/spreadsheets/d/1fj_Bhi2XPL3siwIh4sx4VRLAe31yD50oKdj5UlRYW0c/"", ""Сводка!A:AA""), 5, FALSE)"),248)</f>
        <v>248</v>
      </c>
      <c r="H2682" s="12" t="s">
        <v>538</v>
      </c>
      <c r="I2682" s="10">
        <f ca="1">IFERROR(__xludf.DUMMYFUNCTION(" VLOOKUP(A2679, IMPORTRANGE(""https://docs.google.com/spreadsheets/d/1QNLbnkR_AongFt22vMfNzfpjZ0CjpI8QI-w0wBnYA1w/"", ""Инфа!A:AA""), 6, FALSE)"),2024)</f>
        <v>2024</v>
      </c>
      <c r="J2682" s="5">
        <f ca="1">ROUND((5000+G2682*60),-2)</f>
        <v>19900</v>
      </c>
      <c r="K2682" s="9" t="s">
        <v>758</v>
      </c>
      <c r="L2682" s="15" t="s">
        <v>10577</v>
      </c>
    </row>
    <row r="2683" spans="1:12" ht="202.5">
      <c r="A2683" s="8" t="s">
        <v>10578</v>
      </c>
      <c r="B2683" s="9" t="s">
        <v>12</v>
      </c>
      <c r="C2683" s="10" t="s">
        <v>443</v>
      </c>
      <c r="D2683" s="10" t="str">
        <f ca="1">IFERROR(__xludf.DUMMYFUNCTION(" VLOOKUP(A2680, IMPORTRANGE(""https://docs.google.com/spreadsheets/d/1fj_Bhi2XPL3siwIh4sx4VRLAe31yD50oKdj5UlRYW0c/"", ""Сводка!A:AA""), 11, FALSE)"),"978-601-310-429-4")</f>
        <v>978-601-310-429-4</v>
      </c>
      <c r="E2683" s="25" t="s">
        <v>10579</v>
      </c>
      <c r="F2683" s="25" t="s">
        <v>10580</v>
      </c>
      <c r="G2683" s="12">
        <f ca="1">IFERROR(__xludf.DUMMYFUNCTION(" VLOOKUP(A2680, IMPORTRANGE(""https://docs.google.com/spreadsheets/d/1fj_Bhi2XPL3siwIh4sx4VRLAe31yD50oKdj5UlRYW0c/"", ""Сводка!A:AA""), 5, FALSE)"),136)</f>
        <v>136</v>
      </c>
      <c r="H2683" s="26" t="s">
        <v>556</v>
      </c>
      <c r="I2683" s="10">
        <f ca="1">IFERROR(__xludf.DUMMYFUNCTION(" VLOOKUP(A2680, IMPORTRANGE(""https://docs.google.com/spreadsheets/d/1QNLbnkR_AongFt22vMfNzfpjZ0CjpI8QI-w0wBnYA1w/"", ""Инфа!A:AA""), 6, FALSE)"),2024)</f>
        <v>2024</v>
      </c>
      <c r="J2683" s="5">
        <f ca="1">ROUND((5000+G2683*30),-2)</f>
        <v>9100</v>
      </c>
      <c r="K2683" s="9" t="s">
        <v>69</v>
      </c>
      <c r="L2683" s="15" t="s">
        <v>10581</v>
      </c>
    </row>
    <row r="2684" spans="1:12" ht="78.75">
      <c r="A2684" s="8" t="s">
        <v>10582</v>
      </c>
      <c r="B2684" s="9" t="s">
        <v>12</v>
      </c>
      <c r="C2684" s="10" t="s">
        <v>443</v>
      </c>
      <c r="D2684" s="10" t="str">
        <f ca="1">IFERROR(__xludf.DUMMYFUNCTION(" VLOOKUP(A2681, IMPORTRANGE(""https://docs.google.com/spreadsheets/d/1fj_Bhi2XPL3siwIh4sx4VRLAe31yD50oKdj5UlRYW0c/"", ""Сводка!A:AA""), 11, FALSE)"),"978-601-310-525-3")</f>
        <v>978-601-310-525-3</v>
      </c>
      <c r="E2684" s="25" t="s">
        <v>10583</v>
      </c>
      <c r="F2684" s="25" t="s">
        <v>10584</v>
      </c>
      <c r="G2684" s="12">
        <f ca="1">IFERROR(__xludf.DUMMYFUNCTION(" VLOOKUP(A2681, IMPORTRANGE(""https://docs.google.com/spreadsheets/d/1fj_Bhi2XPL3siwIh4sx4VRLAe31yD50oKdj5UlRYW0c/"", ""Сводка!A:AA""), 5, FALSE)"),180)</f>
        <v>180</v>
      </c>
      <c r="H2684" s="26" t="s">
        <v>538</v>
      </c>
      <c r="I2684" s="10">
        <f ca="1">IFERROR(__xludf.DUMMYFUNCTION(" VLOOKUP(A2681, IMPORTRANGE(""https://docs.google.com/spreadsheets/d/1QNLbnkR_AongFt22vMfNzfpjZ0CjpI8QI-w0wBnYA1w/"", ""Инфа!A:AA""), 6, FALSE)"),2024)</f>
        <v>2024</v>
      </c>
      <c r="J2684" s="5">
        <f ca="1">ROUND((5000+G2684*30),-2)</f>
        <v>10400</v>
      </c>
      <c r="K2684" s="12" t="s">
        <v>213</v>
      </c>
      <c r="L2684" s="15" t="s">
        <v>10585</v>
      </c>
    </row>
    <row r="2685" spans="1:12" ht="236.25">
      <c r="A2685" s="8" t="s">
        <v>10586</v>
      </c>
      <c r="B2685" s="9" t="s">
        <v>12</v>
      </c>
      <c r="C2685" s="10" t="s">
        <v>151</v>
      </c>
      <c r="D2685" s="10" t="str">
        <f ca="1">IFERROR(__xludf.DUMMYFUNCTION(" VLOOKUP(A2682, IMPORTRANGE(""https://docs.google.com/spreadsheets/d/1fj_Bhi2XPL3siwIh4sx4VRLAe31yD50oKdj5UlRYW0c/"", ""Сводка!A:AA""), 11, FALSE)"),"978-601-7481-39-1")</f>
        <v>978-601-7481-39-1</v>
      </c>
      <c r="E2685" s="11" t="s">
        <v>6986</v>
      </c>
      <c r="F2685" s="11" t="s">
        <v>10587</v>
      </c>
      <c r="G2685" s="12">
        <f ca="1">IFERROR(__xludf.DUMMYFUNCTION(" VLOOKUP(A2682, IMPORTRANGE(""https://docs.google.com/spreadsheets/d/1fj_Bhi2XPL3siwIh4sx4VRLAe31yD50oKdj5UlRYW0c/"", ""Сводка!A:AA""), 5, FALSE)"),160)</f>
        <v>160</v>
      </c>
      <c r="H2685" s="12" t="s">
        <v>165</v>
      </c>
      <c r="I2685" s="10">
        <f ca="1">IFERROR(__xludf.DUMMYFUNCTION(" VLOOKUP(A2682, IMPORTRANGE(""https://docs.google.com/spreadsheets/d/1QNLbnkR_AongFt22vMfNzfpjZ0CjpI8QI-w0wBnYA1w/"", ""Инфа!A:AA""), 6, FALSE)"),2024)</f>
        <v>2024</v>
      </c>
      <c r="J2685" s="5">
        <f ca="1">ROUND((5000+G2685*60),-2)</f>
        <v>14600</v>
      </c>
      <c r="K2685" s="12" t="s">
        <v>2398</v>
      </c>
      <c r="L2685" s="15" t="s">
        <v>10588</v>
      </c>
    </row>
    <row r="2686" spans="1:12" ht="225">
      <c r="A2686" s="8" t="s">
        <v>10589</v>
      </c>
      <c r="B2686" s="9" t="s">
        <v>12</v>
      </c>
      <c r="C2686" s="10" t="s">
        <v>151</v>
      </c>
      <c r="D2686" s="10" t="str">
        <f ca="1">IFERROR(__xludf.DUMMYFUNCTION(" VLOOKUP(A2683, IMPORTRANGE(""https://docs.google.com/spreadsheets/d/1fj_Bhi2XPL3siwIh4sx4VRLAe31yD50oKdj5UlRYW0c/"", ""Сводка!A:AA""), 11, FALSE)"),"978-601-7387-64-8")</f>
        <v>978-601-7387-64-8</v>
      </c>
      <c r="E2686" s="11" t="s">
        <v>6986</v>
      </c>
      <c r="F2686" s="11" t="s">
        <v>10590</v>
      </c>
      <c r="G2686" s="12">
        <f ca="1">IFERROR(__xludf.DUMMYFUNCTION(" VLOOKUP(A2683, IMPORTRANGE(""https://docs.google.com/spreadsheets/d/1fj_Bhi2XPL3siwIh4sx4VRLAe31yD50oKdj5UlRYW0c/"", ""Сводка!A:AA""), 5, FALSE)"),140)</f>
        <v>140</v>
      </c>
      <c r="H2686" s="12" t="s">
        <v>165</v>
      </c>
      <c r="I2686" s="10">
        <f ca="1">IFERROR(__xludf.DUMMYFUNCTION(" VLOOKUP(A2683, IMPORTRANGE(""https://docs.google.com/spreadsheets/d/1QNLbnkR_AongFt22vMfNzfpjZ0CjpI8QI-w0wBnYA1w/"", ""Инфа!A:AA""), 6, FALSE)"),2024)</f>
        <v>2024</v>
      </c>
      <c r="J2686" s="5">
        <f ca="1">ROUND((5000+G2686*60),-2)</f>
        <v>13400</v>
      </c>
      <c r="K2686" s="12" t="s">
        <v>2398</v>
      </c>
      <c r="L2686" s="15" t="s">
        <v>10591</v>
      </c>
    </row>
    <row r="2687" spans="1:12" ht="90">
      <c r="A2687" s="8" t="s">
        <v>10592</v>
      </c>
      <c r="B2687" s="9" t="s">
        <v>12</v>
      </c>
      <c r="C2687" s="10" t="s">
        <v>443</v>
      </c>
      <c r="D2687" s="10" t="str">
        <f ca="1">IFERROR(__xludf.DUMMYFUNCTION(" VLOOKUP(A2684, IMPORTRANGE(""https://docs.google.com/spreadsheets/d/1fj_Bhi2XPL3siwIh4sx4VRLAe31yD50oKdj5UlRYW0c/"", ""Сводка!A:AA""), 11, FALSE)"),"978-601-240-223-0")</f>
        <v>978-601-240-223-0</v>
      </c>
      <c r="E2687" s="11" t="s">
        <v>10593</v>
      </c>
      <c r="F2687" s="11" t="s">
        <v>10594</v>
      </c>
      <c r="G2687" s="12">
        <f ca="1">IFERROR(__xludf.DUMMYFUNCTION(" VLOOKUP(A2684, IMPORTRANGE(""https://docs.google.com/spreadsheets/d/1fj_Bhi2XPL3siwIh4sx4VRLAe31yD50oKdj5UlRYW0c/"", ""Сводка!A:AA""), 5, FALSE)"),252)</f>
        <v>252</v>
      </c>
      <c r="H2687" s="12" t="s">
        <v>538</v>
      </c>
      <c r="I2687" s="10">
        <f ca="1">IFERROR(__xludf.DUMMYFUNCTION(" VLOOKUP(A2684, IMPORTRANGE(""https://docs.google.com/spreadsheets/d/1QNLbnkR_AongFt22vMfNzfpjZ0CjpI8QI-w0wBnYA1w/"", ""Инфа!A:AA""), 6, FALSE)"),2024)</f>
        <v>2024</v>
      </c>
      <c r="J2687" s="5">
        <f ca="1">ROUND((5000+G2687*30),-2)</f>
        <v>12600</v>
      </c>
      <c r="K2687" s="12" t="s">
        <v>302</v>
      </c>
      <c r="L2687" s="15" t="s">
        <v>10595</v>
      </c>
    </row>
    <row r="2688" spans="1:12" ht="51">
      <c r="A2688" s="8" t="s">
        <v>10596</v>
      </c>
      <c r="B2688" s="9" t="s">
        <v>12</v>
      </c>
      <c r="C2688" s="10" t="s">
        <v>443</v>
      </c>
      <c r="D2688" s="10" t="str">
        <f ca="1">IFERROR(__xludf.DUMMYFUNCTION(" VLOOKUP(A2685, IMPORTRANGE(""https://docs.google.com/spreadsheets/d/1fj_Bhi2XPL3siwIh4sx4VRLAe31yD50oKdj5UlRYW0c/"", ""Сводка!A:AA""), 11, FALSE)"),"978-601-240-187-5")</f>
        <v>978-601-240-187-5</v>
      </c>
      <c r="E2688" s="11" t="s">
        <v>10593</v>
      </c>
      <c r="F2688" s="11" t="s">
        <v>10597</v>
      </c>
      <c r="G2688" s="12">
        <f ca="1">IFERROR(__xludf.DUMMYFUNCTION(" VLOOKUP(A2685, IMPORTRANGE(""https://docs.google.com/spreadsheets/d/1fj_Bhi2XPL3siwIh4sx4VRLAe31yD50oKdj5UlRYW0c/"", ""Сводка!A:AA""), 5, FALSE)"),228)</f>
        <v>228</v>
      </c>
      <c r="H2688" s="12" t="s">
        <v>538</v>
      </c>
      <c r="I2688" s="10">
        <f ca="1">IFERROR(__xludf.DUMMYFUNCTION(" VLOOKUP(A2685, IMPORTRANGE(""https://docs.google.com/spreadsheets/d/1QNLbnkR_AongFt22vMfNzfpjZ0CjpI8QI-w0wBnYA1w/"", ""Инфа!A:AA""), 6, FALSE)"),2024)</f>
        <v>2024</v>
      </c>
      <c r="J2688" s="5">
        <f ca="1">ROUND((5000+G2688*30),-2)</f>
        <v>11800</v>
      </c>
      <c r="K2688" s="12" t="s">
        <v>302</v>
      </c>
      <c r="L2688" s="15"/>
    </row>
    <row r="2689" spans="1:12" ht="63.75">
      <c r="A2689" s="8" t="s">
        <v>10598</v>
      </c>
      <c r="B2689" s="9" t="s">
        <v>12</v>
      </c>
      <c r="C2689" s="10" t="s">
        <v>151</v>
      </c>
      <c r="D2689" s="10" t="str">
        <f ca="1">IFERROR(__xludf.DUMMYFUNCTION(" VLOOKUP(A2686, IMPORTRANGE(""https://docs.google.com/spreadsheets/d/1fj_Bhi2XPL3siwIh4sx4VRLAe31yD50oKdj5UlRYW0c/"", ""Сводка!A:AA""), 11, FALSE)"),"978-601-310-668-7")</f>
        <v>978-601-310-668-7</v>
      </c>
      <c r="E2689" s="11" t="s">
        <v>10593</v>
      </c>
      <c r="F2689" s="11" t="s">
        <v>10599</v>
      </c>
      <c r="G2689" s="12">
        <f ca="1">IFERROR(__xludf.DUMMYFUNCTION(" VLOOKUP(A2686, IMPORTRANGE(""https://docs.google.com/spreadsheets/d/1fj_Bhi2XPL3siwIh4sx4VRLAe31yD50oKdj5UlRYW0c/"", ""Сводка!A:AA""), 5, FALSE)"),132)</f>
        <v>132</v>
      </c>
      <c r="H2689" s="12" t="s">
        <v>47</v>
      </c>
      <c r="I2689" s="10">
        <f ca="1">IFERROR(__xludf.DUMMYFUNCTION(" VLOOKUP(A2686, IMPORTRANGE(""https://docs.google.com/spreadsheets/d/1QNLbnkR_AongFt22vMfNzfpjZ0CjpI8QI-w0wBnYA1w/"", ""Инфа!A:AA""), 6, FALSE)"),2024)</f>
        <v>2024</v>
      </c>
      <c r="J2689" s="5">
        <f ca="1">ROUND((5000+G2689*30),-2)</f>
        <v>9000</v>
      </c>
      <c r="K2689" s="12" t="s">
        <v>302</v>
      </c>
      <c r="L2689" s="15"/>
    </row>
    <row r="2690" spans="1:12" ht="63.75">
      <c r="A2690" s="8" t="s">
        <v>10600</v>
      </c>
      <c r="B2690" s="9" t="s">
        <v>12</v>
      </c>
      <c r="C2690" s="10" t="s">
        <v>443</v>
      </c>
      <c r="D2690" s="10" t="str">
        <f ca="1">IFERROR(__xludf.DUMMYFUNCTION(" VLOOKUP(A2687, IMPORTRANGE(""https://docs.google.com/spreadsheets/d/1fj_Bhi2XPL3siwIh4sx4VRLAe31yD50oKdj5UlRYW0c/"", ""Сводка!A:AA""), 11, FALSE)"),"978-601-240-185-1")</f>
        <v>978-601-240-185-1</v>
      </c>
      <c r="E2690" s="11" t="s">
        <v>10593</v>
      </c>
      <c r="F2690" s="11" t="s">
        <v>10601</v>
      </c>
      <c r="G2690" s="12">
        <f ca="1">IFERROR(__xludf.DUMMYFUNCTION(" VLOOKUP(A2687, IMPORTRANGE(""https://docs.google.com/spreadsheets/d/1fj_Bhi2XPL3siwIh4sx4VRLAe31yD50oKdj5UlRYW0c/"", ""Сводка!A:AA""), 5, FALSE)"),134)</f>
        <v>134</v>
      </c>
      <c r="H2690" s="12" t="s">
        <v>538</v>
      </c>
      <c r="I2690" s="10">
        <f ca="1">IFERROR(__xludf.DUMMYFUNCTION(" VLOOKUP(A2687, IMPORTRANGE(""https://docs.google.com/spreadsheets/d/1QNLbnkR_AongFt22vMfNzfpjZ0CjpI8QI-w0wBnYA1w/"", ""Инфа!A:AA""), 6, FALSE)"),2024)</f>
        <v>2024</v>
      </c>
      <c r="J2690" s="5">
        <f ca="1">ROUND((5000+G2690*30),-2)</f>
        <v>9000</v>
      </c>
      <c r="K2690" s="9" t="s">
        <v>619</v>
      </c>
      <c r="L2690" s="15"/>
    </row>
    <row r="2691" spans="1:12" ht="101.25">
      <c r="A2691" s="8" t="s">
        <v>10602</v>
      </c>
      <c r="B2691" s="9" t="s">
        <v>12</v>
      </c>
      <c r="C2691" s="10" t="s">
        <v>151</v>
      </c>
      <c r="D2691" s="10" t="str">
        <f ca="1">IFERROR(__xludf.DUMMYFUNCTION(" VLOOKUP(A2688, IMPORTRANGE(""https://docs.google.com/spreadsheets/d/1fj_Bhi2XPL3siwIh4sx4VRLAe31yD50oKdj5UlRYW0c/"", ""Сводка!A:AA""), 11, FALSE)"),"978-601-342-668-2")</f>
        <v>978-601-342-668-2</v>
      </c>
      <c r="E2691" s="11" t="s">
        <v>10593</v>
      </c>
      <c r="F2691" s="11" t="s">
        <v>10603</v>
      </c>
      <c r="G2691" s="12">
        <f ca="1">IFERROR(__xludf.DUMMYFUNCTION(" VLOOKUP(A2688, IMPORTRANGE(""https://docs.google.com/spreadsheets/d/1fj_Bhi2XPL3siwIh4sx4VRLAe31yD50oKdj5UlRYW0c/"", ""Сводка!A:AA""), 5, FALSE)"),160)</f>
        <v>160</v>
      </c>
      <c r="H2691" s="12" t="s">
        <v>47</v>
      </c>
      <c r="I2691" s="10">
        <f ca="1">IFERROR(__xludf.DUMMYFUNCTION(" VLOOKUP(A2688, IMPORTRANGE(""https://docs.google.com/spreadsheets/d/1QNLbnkR_AongFt22vMfNzfpjZ0CjpI8QI-w0wBnYA1w/"", ""Инфа!A:AA""), 6, FALSE)"),2024)</f>
        <v>2024</v>
      </c>
      <c r="J2691" s="5">
        <f ca="1">ROUND((5000+G2691*30),-2)</f>
        <v>9800</v>
      </c>
      <c r="K2691" s="12" t="s">
        <v>302</v>
      </c>
      <c r="L2691" s="15" t="s">
        <v>10604</v>
      </c>
    </row>
    <row r="2692" spans="1:12" ht="38.25">
      <c r="A2692" s="8" t="s">
        <v>10605</v>
      </c>
      <c r="B2692" s="9" t="s">
        <v>12</v>
      </c>
      <c r="C2692" s="10" t="s">
        <v>151</v>
      </c>
      <c r="D2692" s="10" t="str">
        <f ca="1">IFERROR(__xludf.DUMMYFUNCTION(" VLOOKUP(A2689, IMPORTRANGE(""https://docs.google.com/spreadsheets/d/1fj_Bhi2XPL3siwIh4sx4VRLAe31yD50oKdj5UlRYW0c/"", ""Сводка!A:AA""), 11, FALSE)"),"978-601-310-298-6")</f>
        <v>978-601-310-298-6</v>
      </c>
      <c r="E2692" s="11" t="s">
        <v>10593</v>
      </c>
      <c r="F2692" s="11" t="s">
        <v>10606</v>
      </c>
      <c r="G2692" s="12">
        <f ca="1">IFERROR(__xludf.DUMMYFUNCTION(" VLOOKUP(A2689, IMPORTRANGE(""https://docs.google.com/spreadsheets/d/1fj_Bhi2XPL3siwIh4sx4VRLAe31yD50oKdj5UlRYW0c/"", ""Сводка!A:AA""), 5, FALSE)"),76)</f>
        <v>76</v>
      </c>
      <c r="H2692" s="12" t="s">
        <v>47</v>
      </c>
      <c r="I2692" s="10">
        <f ca="1">IFERROR(__xludf.DUMMYFUNCTION(" VLOOKUP(A2689, IMPORTRANGE(""https://docs.google.com/spreadsheets/d/1QNLbnkR_AongFt22vMfNzfpjZ0CjpI8QI-w0wBnYA1w/"", ""Инфа!A:AA""), 6, FALSE)"),2024)</f>
        <v>2024</v>
      </c>
      <c r="J2692" s="5">
        <f ca="1">ROUND((5000+G2692*60),-2)</f>
        <v>9600</v>
      </c>
      <c r="K2692" s="12" t="s">
        <v>302</v>
      </c>
      <c r="L2692" s="15"/>
    </row>
    <row r="2693" spans="1:12" ht="191.25">
      <c r="A2693" s="8" t="s">
        <v>10607</v>
      </c>
      <c r="B2693" s="9" t="s">
        <v>12</v>
      </c>
      <c r="C2693" s="10" t="s">
        <v>443</v>
      </c>
      <c r="D2693" s="10" t="str">
        <f ca="1">IFERROR(__xludf.DUMMYFUNCTION(" VLOOKUP(A2690, IMPORTRANGE(""https://docs.google.com/spreadsheets/d/1fj_Bhi2XPL3siwIh4sx4VRLAe31yD50oKdj5UlRYW0c/"", ""Сводка!A:AA""), 11, FALSE)"),"987-601-310-458-4")</f>
        <v>987-601-310-458-4</v>
      </c>
      <c r="E2693" s="11" t="s">
        <v>10608</v>
      </c>
      <c r="F2693" s="11" t="s">
        <v>10609</v>
      </c>
      <c r="G2693" s="12">
        <f ca="1">IFERROR(__xludf.DUMMYFUNCTION(" VLOOKUP(A2690, IMPORTRANGE(""https://docs.google.com/spreadsheets/d/1fj_Bhi2XPL3siwIh4sx4VRLAe31yD50oKdj5UlRYW0c/"", ""Сводка!A:AA""), 5, FALSE)"),104)</f>
        <v>104</v>
      </c>
      <c r="H2693" s="12" t="s">
        <v>538</v>
      </c>
      <c r="I2693" s="10">
        <f ca="1">IFERROR(__xludf.DUMMYFUNCTION(" VLOOKUP(A2690, IMPORTRANGE(""https://docs.google.com/spreadsheets/d/1QNLbnkR_AongFt22vMfNzfpjZ0CjpI8QI-w0wBnYA1w/"", ""Инфа!A:AA""), 6, FALSE)"),2024)</f>
        <v>2024</v>
      </c>
      <c r="J2693" s="5">
        <f t="shared" ref="J2693:J2700" ca="1" si="89">ROUND((5000+G2693*30),-2)</f>
        <v>8100</v>
      </c>
      <c r="K2693" s="12" t="s">
        <v>271</v>
      </c>
      <c r="L2693" s="15" t="s">
        <v>10610</v>
      </c>
    </row>
    <row r="2694" spans="1:12" ht="78.75">
      <c r="A2694" s="8" t="s">
        <v>10611</v>
      </c>
      <c r="B2694" s="9" t="s">
        <v>12</v>
      </c>
      <c r="C2694" s="10" t="s">
        <v>443</v>
      </c>
      <c r="D2694" s="10" t="str">
        <f ca="1">IFERROR(__xludf.DUMMYFUNCTION(" VLOOKUP(A2691, IMPORTRANGE(""https://docs.google.com/spreadsheets/d/1fj_Bhi2XPL3siwIh4sx4VRLAe31yD50oKdj5UlRYW0c/"", ""Сводка!A:AA""), 11, FALSE)"),"978-601-342-029-5")</f>
        <v>978-601-342-029-5</v>
      </c>
      <c r="E2694" s="11" t="s">
        <v>10612</v>
      </c>
      <c r="F2694" s="11" t="s">
        <v>10613</v>
      </c>
      <c r="G2694" s="12">
        <f ca="1">IFERROR(__xludf.DUMMYFUNCTION(" VLOOKUP(A2691, IMPORTRANGE(""https://docs.google.com/spreadsheets/d/1fj_Bhi2XPL3siwIh4sx4VRLAe31yD50oKdj5UlRYW0c/"", ""Сводка!A:AA""), 5, FALSE)"),152)</f>
        <v>152</v>
      </c>
      <c r="H2694" s="12" t="s">
        <v>538</v>
      </c>
      <c r="I2694" s="10">
        <f ca="1">IFERROR(__xludf.DUMMYFUNCTION(" VLOOKUP(A2691, IMPORTRANGE(""https://docs.google.com/spreadsheets/d/1QNLbnkR_AongFt22vMfNzfpjZ0CjpI8QI-w0wBnYA1w/"", ""Инфа!A:AA""), 6, FALSE)"),2024)</f>
        <v>2024</v>
      </c>
      <c r="J2694" s="5">
        <f t="shared" ca="1" si="89"/>
        <v>9600</v>
      </c>
      <c r="K2694" s="12" t="s">
        <v>1491</v>
      </c>
      <c r="L2694" s="15" t="s">
        <v>10614</v>
      </c>
    </row>
    <row r="2695" spans="1:12" ht="236.25">
      <c r="A2695" s="8" t="s">
        <v>10615</v>
      </c>
      <c r="B2695" s="9" t="s">
        <v>12</v>
      </c>
      <c r="C2695" s="10" t="s">
        <v>151</v>
      </c>
      <c r="D2695" s="10" t="str">
        <f ca="1">IFERROR(__xludf.DUMMYFUNCTION(" VLOOKUP(A2692, IMPORTRANGE(""https://docs.google.com/spreadsheets/d/1fj_Bhi2XPL3siwIh4sx4VRLAe31yD50oKdj5UlRYW0c/"", ""Сводка!A:AA""), 11, FALSE)"),"978-601-327-897-1")</f>
        <v>978-601-327-897-1</v>
      </c>
      <c r="E2695" s="11" t="s">
        <v>10616</v>
      </c>
      <c r="F2695" s="11" t="s">
        <v>9198</v>
      </c>
      <c r="G2695" s="12">
        <f ca="1">IFERROR(__xludf.DUMMYFUNCTION(" VLOOKUP(A2692, IMPORTRANGE(""https://docs.google.com/spreadsheets/d/1fj_Bhi2XPL3siwIh4sx4VRLAe31yD50oKdj5UlRYW0c/"", ""Сводка!A:AA""), 5, FALSE)"),140)</f>
        <v>140</v>
      </c>
      <c r="H2695" s="12" t="s">
        <v>282</v>
      </c>
      <c r="I2695" s="10">
        <f ca="1">IFERROR(__xludf.DUMMYFUNCTION(" VLOOKUP(A2692, IMPORTRANGE(""https://docs.google.com/spreadsheets/d/1QNLbnkR_AongFt22vMfNzfpjZ0CjpI8QI-w0wBnYA1w/"", ""Инфа!A:AA""), 6, FALSE)"),2024)</f>
        <v>2024</v>
      </c>
      <c r="J2695" s="5">
        <f t="shared" ca="1" si="89"/>
        <v>9200</v>
      </c>
      <c r="K2695" s="12" t="s">
        <v>860</v>
      </c>
      <c r="L2695" s="15" t="s">
        <v>10617</v>
      </c>
    </row>
    <row r="2696" spans="1:12" ht="202.5">
      <c r="A2696" s="8" t="s">
        <v>10618</v>
      </c>
      <c r="B2696" s="9" t="s">
        <v>12</v>
      </c>
      <c r="C2696" s="10" t="s">
        <v>443</v>
      </c>
      <c r="D2696" s="10" t="str">
        <f ca="1">IFERROR(__xludf.DUMMYFUNCTION(" VLOOKUP(A2693, IMPORTRANGE(""https://docs.google.com/spreadsheets/d/1fj_Bhi2XPL3siwIh4sx4VRLAe31yD50oKdj5UlRYW0c/"", ""Сводка!A:AA""), 11, FALSE)"),"978-601-240-172-1")</f>
        <v>978-601-240-172-1</v>
      </c>
      <c r="E2696" s="11" t="s">
        <v>10619</v>
      </c>
      <c r="F2696" s="11" t="s">
        <v>10620</v>
      </c>
      <c r="G2696" s="12">
        <f ca="1">IFERROR(__xludf.DUMMYFUNCTION(" VLOOKUP(A2693, IMPORTRANGE(""https://docs.google.com/spreadsheets/d/1fj_Bhi2XPL3siwIh4sx4VRLAe31yD50oKdj5UlRYW0c/"", ""Сводка!A:AA""), 5, FALSE)"),217)</f>
        <v>217</v>
      </c>
      <c r="H2696" s="12" t="s">
        <v>538</v>
      </c>
      <c r="I2696" s="10">
        <f ca="1">IFERROR(__xludf.DUMMYFUNCTION(" VLOOKUP(A2693, IMPORTRANGE(""https://docs.google.com/spreadsheets/d/1QNLbnkR_AongFt22vMfNzfpjZ0CjpI8QI-w0wBnYA1w/"", ""Инфа!A:AA""), 6, FALSE)"),2024)</f>
        <v>2024</v>
      </c>
      <c r="J2696" s="5">
        <f t="shared" ca="1" si="89"/>
        <v>11500</v>
      </c>
      <c r="K2696" s="12" t="s">
        <v>302</v>
      </c>
      <c r="L2696" s="15" t="s">
        <v>10621</v>
      </c>
    </row>
    <row r="2697" spans="1:12" ht="38.25">
      <c r="A2697" s="8" t="s">
        <v>10622</v>
      </c>
      <c r="B2697" s="9" t="s">
        <v>12</v>
      </c>
      <c r="C2697" s="10" t="s">
        <v>443</v>
      </c>
      <c r="D2697" s="10" t="str">
        <f ca="1">IFERROR(__xludf.DUMMYFUNCTION(" VLOOKUP(A2694, IMPORTRANGE(""https://docs.google.com/spreadsheets/d/1fj_Bhi2XPL3siwIh4sx4VRLAe31yD50oKdj5UlRYW0c/"", ""Сводка!A:AA""), 11, FALSE)"),"978-601-240-171-4")</f>
        <v>978-601-240-171-4</v>
      </c>
      <c r="E2697" s="11" t="s">
        <v>10619</v>
      </c>
      <c r="F2697" s="11" t="s">
        <v>10623</v>
      </c>
      <c r="G2697" s="12">
        <f ca="1">IFERROR(__xludf.DUMMYFUNCTION(" VLOOKUP(A2694, IMPORTRANGE(""https://docs.google.com/spreadsheets/d/1fj_Bhi2XPL3siwIh4sx4VRLAe31yD50oKdj5UlRYW0c/"", ""Сводка!A:AA""), 5, FALSE)"),240)</f>
        <v>240</v>
      </c>
      <c r="H2697" s="12" t="s">
        <v>538</v>
      </c>
      <c r="I2697" s="10">
        <f ca="1">IFERROR(__xludf.DUMMYFUNCTION(" VLOOKUP(A2694, IMPORTRANGE(""https://docs.google.com/spreadsheets/d/1QNLbnkR_AongFt22vMfNzfpjZ0CjpI8QI-w0wBnYA1w/"", ""Инфа!A:AA""), 6, FALSE)"),2024)</f>
        <v>2024</v>
      </c>
      <c r="J2697" s="5">
        <f t="shared" ca="1" si="89"/>
        <v>12200</v>
      </c>
      <c r="K2697" s="9" t="s">
        <v>1219</v>
      </c>
      <c r="L2697" s="15"/>
    </row>
    <row r="2698" spans="1:12" ht="25.5">
      <c r="A2698" s="8" t="s">
        <v>10624</v>
      </c>
      <c r="B2698" s="9" t="s">
        <v>12</v>
      </c>
      <c r="C2698" s="10" t="s">
        <v>443</v>
      </c>
      <c r="D2698" s="10" t="str">
        <f ca="1">IFERROR(__xludf.DUMMYFUNCTION(" VLOOKUP(A2695, IMPORTRANGE(""https://docs.google.com/spreadsheets/d/1fj_Bhi2XPL3siwIh4sx4VRLAe31yD50oKdj5UlRYW0c/"", ""Сводка!A:AA""), 11, FALSE)"),"978-601-310-178-1")</f>
        <v>978-601-310-178-1</v>
      </c>
      <c r="E2698" s="11" t="s">
        <v>10625</v>
      </c>
      <c r="F2698" s="11" t="s">
        <v>1248</v>
      </c>
      <c r="G2698" s="12">
        <f ca="1">IFERROR(__xludf.DUMMYFUNCTION(" VLOOKUP(A2695, IMPORTRANGE(""https://docs.google.com/spreadsheets/d/1fj_Bhi2XPL3siwIh4sx4VRLAe31yD50oKdj5UlRYW0c/"", ""Сводка!A:AA""), 5, FALSE)"),196)</f>
        <v>196</v>
      </c>
      <c r="H2698" s="12" t="s">
        <v>538</v>
      </c>
      <c r="I2698" s="10">
        <f ca="1">IFERROR(__xludf.DUMMYFUNCTION(" VLOOKUP(A2695, IMPORTRANGE(""https://docs.google.com/spreadsheets/d/1QNLbnkR_AongFt22vMfNzfpjZ0CjpI8QI-w0wBnYA1w/"", ""Инфа!A:AA""), 6, FALSE)"),2024)</f>
        <v>2024</v>
      </c>
      <c r="J2698" s="5">
        <f t="shared" ca="1" si="89"/>
        <v>10900</v>
      </c>
      <c r="K2698" s="9" t="s">
        <v>26</v>
      </c>
      <c r="L2698" s="15"/>
    </row>
    <row r="2699" spans="1:12" ht="191.25">
      <c r="A2699" s="8" t="s">
        <v>10626</v>
      </c>
      <c r="B2699" s="9" t="s">
        <v>12</v>
      </c>
      <c r="C2699" s="10" t="s">
        <v>443</v>
      </c>
      <c r="D2699" s="10" t="str">
        <f ca="1">IFERROR(__xludf.DUMMYFUNCTION(" VLOOKUP(A2696, IMPORTRANGE(""https://docs.google.com/spreadsheets/d/1fj_Bhi2XPL3siwIh4sx4VRLAe31yD50oKdj5UlRYW0c/"", ""Сводка!A:AA""), 11, FALSE)"),"978-601-310-178-1")</f>
        <v>978-601-310-178-1</v>
      </c>
      <c r="E2699" s="11" t="s">
        <v>10627</v>
      </c>
      <c r="F2699" s="11" t="s">
        <v>10628</v>
      </c>
      <c r="G2699" s="12">
        <f ca="1">IFERROR(__xludf.DUMMYFUNCTION(" VLOOKUP(A2696, IMPORTRANGE(""https://docs.google.com/spreadsheets/d/1fj_Bhi2XPL3siwIh4sx4VRLAe31yD50oKdj5UlRYW0c/"", ""Сводка!A:AA""), 5, FALSE)"),252)</f>
        <v>252</v>
      </c>
      <c r="H2699" s="12" t="s">
        <v>538</v>
      </c>
      <c r="I2699" s="10">
        <f ca="1">IFERROR(__xludf.DUMMYFUNCTION(" VLOOKUP(A2696, IMPORTRANGE(""https://docs.google.com/spreadsheets/d/1QNLbnkR_AongFt22vMfNzfpjZ0CjpI8QI-w0wBnYA1w/"", ""Инфа!A:AA""), 6, FALSE)"),2024)</f>
        <v>2024</v>
      </c>
      <c r="J2699" s="5">
        <f t="shared" ca="1" si="89"/>
        <v>12600</v>
      </c>
      <c r="K2699" s="9" t="s">
        <v>26</v>
      </c>
      <c r="L2699" s="15" t="s">
        <v>10629</v>
      </c>
    </row>
    <row r="2700" spans="1:12" ht="135">
      <c r="A2700" s="8" t="s">
        <v>10630</v>
      </c>
      <c r="B2700" s="9" t="s">
        <v>12</v>
      </c>
      <c r="C2700" s="10" t="s">
        <v>443</v>
      </c>
      <c r="D2700" s="10" t="str">
        <f ca="1">IFERROR(__xludf.DUMMYFUNCTION(" VLOOKUP(A2697, IMPORTRANGE(""https://docs.google.com/spreadsheets/d/1fj_Bhi2XPL3siwIh4sx4VRLAe31yD50oKdj5UlRYW0c/"", ""Сводка!A:AA""), 11, FALSE)"),"978-601-310-178-1")</f>
        <v>978-601-310-178-1</v>
      </c>
      <c r="E2700" s="11" t="s">
        <v>10631</v>
      </c>
      <c r="F2700" s="11" t="s">
        <v>1248</v>
      </c>
      <c r="G2700" s="12">
        <f ca="1">IFERROR(__xludf.DUMMYFUNCTION(" VLOOKUP(A2697, IMPORTRANGE(""https://docs.google.com/spreadsheets/d/1fj_Bhi2XPL3siwIh4sx4VRLAe31yD50oKdj5UlRYW0c/"", ""Сводка!A:AA""), 5, FALSE)"),196)</f>
        <v>196</v>
      </c>
      <c r="H2700" s="12" t="s">
        <v>538</v>
      </c>
      <c r="I2700" s="10">
        <f ca="1">IFERROR(__xludf.DUMMYFUNCTION(" VLOOKUP(A2697, IMPORTRANGE(""https://docs.google.com/spreadsheets/d/1QNLbnkR_AongFt22vMfNzfpjZ0CjpI8QI-w0wBnYA1w/"", ""Инфа!A:AA""), 6, FALSE)"),2024)</f>
        <v>2024</v>
      </c>
      <c r="J2700" s="5">
        <f t="shared" ca="1" si="89"/>
        <v>10900</v>
      </c>
      <c r="K2700" s="9" t="s">
        <v>26</v>
      </c>
      <c r="L2700" s="15" t="s">
        <v>10632</v>
      </c>
    </row>
    <row r="2701" spans="1:12" ht="45">
      <c r="A2701" s="8" t="s">
        <v>10633</v>
      </c>
      <c r="B2701" s="9" t="s">
        <v>12</v>
      </c>
      <c r="C2701" s="10" t="s">
        <v>443</v>
      </c>
      <c r="D2701" s="10" t="str">
        <f ca="1">IFERROR(__xludf.DUMMYFUNCTION(" VLOOKUP(A2698, IMPORTRANGE(""https://docs.google.com/spreadsheets/d/1fj_Bhi2XPL3siwIh4sx4VRLAe31yD50oKdj5UlRYW0c/"", ""Сводка!A:AA""), 11, FALSE)"),"978-601-240-108-8")</f>
        <v>978-601-240-108-8</v>
      </c>
      <c r="E2701" s="11" t="s">
        <v>10634</v>
      </c>
      <c r="F2701" s="11" t="s">
        <v>10635</v>
      </c>
      <c r="G2701" s="12">
        <f ca="1">IFERROR(__xludf.DUMMYFUNCTION(" VLOOKUP(A2698, IMPORTRANGE(""https://docs.google.com/spreadsheets/d/1fj_Bhi2XPL3siwIh4sx4VRLAe31yD50oKdj5UlRYW0c/"", ""Сводка!A:AA""), 5, FALSE)"),324)</f>
        <v>324</v>
      </c>
      <c r="H2701" s="12" t="s">
        <v>511</v>
      </c>
      <c r="I2701" s="10">
        <f ca="1">IFERROR(__xludf.DUMMYFUNCTION(" VLOOKUP(A2698, IMPORTRANGE(""https://docs.google.com/spreadsheets/d/1QNLbnkR_AongFt22vMfNzfpjZ0CjpI8QI-w0wBnYA1w/"", ""Инфа!A:AA""), 6, FALSE)"),2024)</f>
        <v>2024</v>
      </c>
      <c r="J2701" s="5">
        <f ca="1">ROUND((5000+G2701*60),-2)</f>
        <v>24400</v>
      </c>
      <c r="K2701" s="12" t="s">
        <v>308</v>
      </c>
      <c r="L2701" s="15" t="s">
        <v>10636</v>
      </c>
    </row>
    <row r="2702" spans="1:12" ht="213.75">
      <c r="A2702" s="8" t="s">
        <v>10637</v>
      </c>
      <c r="B2702" s="9" t="s">
        <v>12</v>
      </c>
      <c r="C2702" s="10" t="s">
        <v>443</v>
      </c>
      <c r="D2702" s="10" t="str">
        <f ca="1">IFERROR(__xludf.DUMMYFUNCTION(" VLOOKUP(A2699, IMPORTRANGE(""https://docs.google.com/spreadsheets/d/1fj_Bhi2XPL3siwIh4sx4VRLAe31yD50oKdj5UlRYW0c/"", ""Сводка!A:AA""), 11, FALSE)"),"978-601-342-767-6")</f>
        <v>978-601-342-767-6</v>
      </c>
      <c r="E2702" s="11" t="s">
        <v>10638</v>
      </c>
      <c r="F2702" s="11" t="s">
        <v>10639</v>
      </c>
      <c r="G2702" s="12">
        <f ca="1">IFERROR(__xludf.DUMMYFUNCTION(" VLOOKUP(A2699, IMPORTRANGE(""https://docs.google.com/spreadsheets/d/1fj_Bhi2XPL3siwIh4sx4VRLAe31yD50oKdj5UlRYW0c/"", ""Сводка!A:AA""), 5, FALSE)"),112)</f>
        <v>112</v>
      </c>
      <c r="H2702" s="12" t="s">
        <v>538</v>
      </c>
      <c r="I2702" s="10">
        <f ca="1">IFERROR(__xludf.DUMMYFUNCTION(" VLOOKUP(A2699, IMPORTRANGE(""https://docs.google.com/spreadsheets/d/1QNLbnkR_AongFt22vMfNzfpjZ0CjpI8QI-w0wBnYA1w/"", ""Инфа!A:AA""), 6, FALSE)"),2024)</f>
        <v>2024</v>
      </c>
      <c r="J2702" s="5">
        <f ca="1">ROUND((5000+G2702*30),-2)</f>
        <v>8400</v>
      </c>
      <c r="K2702" s="12" t="s">
        <v>171</v>
      </c>
      <c r="L2702" s="15" t="s">
        <v>10640</v>
      </c>
    </row>
    <row r="2703" spans="1:12" ht="180">
      <c r="A2703" s="8" t="s">
        <v>10641</v>
      </c>
      <c r="B2703" s="9" t="s">
        <v>12</v>
      </c>
      <c r="C2703" s="10" t="s">
        <v>10642</v>
      </c>
      <c r="D2703" s="10" t="str">
        <f ca="1">IFERROR(__xludf.DUMMYFUNCTION(" VLOOKUP(A2700, IMPORTRANGE(""https://docs.google.com/spreadsheets/d/1fj_Bhi2XPL3siwIh4sx4VRLAe31yD50oKdj5UlRYW0c/"", ""Сводка!A:AA""), 11, FALSE)"),"978-601-314-241-8")</f>
        <v>978-601-314-241-8</v>
      </c>
      <c r="E2703" s="11" t="s">
        <v>10643</v>
      </c>
      <c r="F2703" s="11" t="s">
        <v>10644</v>
      </c>
      <c r="G2703" s="12">
        <f ca="1">IFERROR(__xludf.DUMMYFUNCTION(" VLOOKUP(A2700, IMPORTRANGE(""https://docs.google.com/spreadsheets/d/1fj_Bhi2XPL3siwIh4sx4VRLAe31yD50oKdj5UlRYW0c/"", ""Сводка!A:AA""), 5, FALSE)"),128)</f>
        <v>128</v>
      </c>
      <c r="H2703" s="12" t="s">
        <v>4928</v>
      </c>
      <c r="I2703" s="10">
        <f ca="1">IFERROR(__xludf.DUMMYFUNCTION(" VLOOKUP(A2700, IMPORTRANGE(""https://docs.google.com/spreadsheets/d/1QNLbnkR_AongFt22vMfNzfpjZ0CjpI8QI-w0wBnYA1w/"", ""Инфа!A:AA""), 6, FALSE)"),2024)</f>
        <v>2024</v>
      </c>
      <c r="J2703" s="5">
        <f ca="1">ROUND((5000+G2703*30),-2)</f>
        <v>8800</v>
      </c>
      <c r="K2703" s="12" t="s">
        <v>2217</v>
      </c>
      <c r="L2703" s="15" t="s">
        <v>10645</v>
      </c>
    </row>
    <row r="2704" spans="1:12" ht="213.75">
      <c r="A2704" s="8" t="s">
        <v>10646</v>
      </c>
      <c r="B2704" s="9" t="s">
        <v>12</v>
      </c>
      <c r="C2704" s="10" t="s">
        <v>443</v>
      </c>
      <c r="D2704" s="10" t="str">
        <f ca="1">IFERROR(__xludf.DUMMYFUNCTION(" VLOOKUP(A2701, IMPORTRANGE(""https://docs.google.com/spreadsheets/d/1fj_Bhi2XPL3siwIh4sx4VRLAe31yD50oKdj5UlRYW0c/"", ""Сводка!A:AA""), 11, FALSE)"),"978-601-330-059-7")</f>
        <v>978-601-330-059-7</v>
      </c>
      <c r="E2704" s="11" t="s">
        <v>10647</v>
      </c>
      <c r="F2704" s="11" t="s">
        <v>10648</v>
      </c>
      <c r="G2704" s="12">
        <f ca="1">IFERROR(__xludf.DUMMYFUNCTION(" VLOOKUP(A2701, IMPORTRANGE(""https://docs.google.com/spreadsheets/d/1fj_Bhi2XPL3siwIh4sx4VRLAe31yD50oKdj5UlRYW0c/"", ""Сводка!A:AA""), 5, FALSE)"),224)</f>
        <v>224</v>
      </c>
      <c r="H2704" s="12" t="s">
        <v>538</v>
      </c>
      <c r="I2704" s="10">
        <f ca="1">IFERROR(__xludf.DUMMYFUNCTION(" VLOOKUP(A2701, IMPORTRANGE(""https://docs.google.com/spreadsheets/d/1QNLbnkR_AongFt22vMfNzfpjZ0CjpI8QI-w0wBnYA1w/"", ""Инфа!A:AA""), 6, FALSE)"),2024)</f>
        <v>2024</v>
      </c>
      <c r="J2704" s="5">
        <f ca="1">ROUND((5000+G2704*60),-2)</f>
        <v>18400</v>
      </c>
      <c r="K2704" s="12" t="s">
        <v>10649</v>
      </c>
      <c r="L2704" s="15" t="s">
        <v>10650</v>
      </c>
    </row>
    <row r="2705" spans="1:12" ht="236.25">
      <c r="A2705" s="8" t="s">
        <v>10651</v>
      </c>
      <c r="B2705" s="9" t="s">
        <v>12</v>
      </c>
      <c r="C2705" s="10" t="s">
        <v>443</v>
      </c>
      <c r="D2705" s="10" t="str">
        <f ca="1">IFERROR(__xludf.DUMMYFUNCTION(" VLOOKUP(A2702, IMPORTRANGE(""https://docs.google.com/spreadsheets/d/1fj_Bhi2XPL3siwIh4sx4VRLAe31yD50oKdj5UlRYW0c/"", ""Сводка!A:AA""), 11, FALSE)"),"")</f>
        <v/>
      </c>
      <c r="E2705" s="11" t="s">
        <v>10652</v>
      </c>
      <c r="F2705" s="11" t="s">
        <v>10653</v>
      </c>
      <c r="G2705" s="12">
        <f ca="1">IFERROR(__xludf.DUMMYFUNCTION(" VLOOKUP(A2702, IMPORTRANGE(""https://docs.google.com/spreadsheets/d/1fj_Bhi2XPL3siwIh4sx4VRLAe31yD50oKdj5UlRYW0c/"", ""Сводка!A:AA""), 5, FALSE)"),112)</f>
        <v>112</v>
      </c>
      <c r="H2705" s="12" t="s">
        <v>24</v>
      </c>
      <c r="I2705" s="10">
        <f ca="1">IFERROR(__xludf.DUMMYFUNCTION(" VLOOKUP(A2702, IMPORTRANGE(""https://docs.google.com/spreadsheets/d/1QNLbnkR_AongFt22vMfNzfpjZ0CjpI8QI-w0wBnYA1w/"", ""Инфа!A:AA""), 6, FALSE)"),2024)</f>
        <v>2024</v>
      </c>
      <c r="J2705" s="5">
        <f ca="1">ROUND((5000+G2705*30),-2)</f>
        <v>8400</v>
      </c>
      <c r="K2705" s="12" t="s">
        <v>171</v>
      </c>
      <c r="L2705" s="15" t="s">
        <v>10654</v>
      </c>
    </row>
    <row r="2706" spans="1:12" ht="337.5">
      <c r="A2706" s="8" t="s">
        <v>10655</v>
      </c>
      <c r="B2706" s="9" t="s">
        <v>12</v>
      </c>
      <c r="C2706" s="10" t="s">
        <v>151</v>
      </c>
      <c r="D2706" s="10" t="str">
        <f ca="1">IFERROR(__xludf.DUMMYFUNCTION(" VLOOKUP(A2703, IMPORTRANGE(""https://docs.google.com/spreadsheets/d/1fj_Bhi2XPL3siwIh4sx4VRLAe31yD50oKdj5UlRYW0c/"", ""Сводка!A:AA""), 11, FALSE)"),"978-601-248-845-6")</f>
        <v>978-601-248-845-6</v>
      </c>
      <c r="E2706" s="11" t="s">
        <v>10656</v>
      </c>
      <c r="F2706" s="11" t="s">
        <v>10657</v>
      </c>
      <c r="G2706" s="12">
        <f ca="1">IFERROR(__xludf.DUMMYFUNCTION(" VLOOKUP(A2703, IMPORTRANGE(""https://docs.google.com/spreadsheets/d/1fj_Bhi2XPL3siwIh4sx4VRLAe31yD50oKdj5UlRYW0c/"", ""Сводка!A:AA""), 5, FALSE)"),108)</f>
        <v>108</v>
      </c>
      <c r="H2706" s="12" t="s">
        <v>106</v>
      </c>
      <c r="I2706" s="10">
        <f ca="1">IFERROR(__xludf.DUMMYFUNCTION(" VLOOKUP(A2703, IMPORTRANGE(""https://docs.google.com/spreadsheets/d/1QNLbnkR_AongFt22vMfNzfpjZ0CjpI8QI-w0wBnYA1w/"", ""Инфа!A:AA""), 6, FALSE)"),2024)</f>
        <v>2024</v>
      </c>
      <c r="J2706" s="5">
        <f ca="1">ROUND((5000+G2706*60),-2)</f>
        <v>11500</v>
      </c>
      <c r="K2706" s="12" t="s">
        <v>84</v>
      </c>
      <c r="L2706" s="15" t="s">
        <v>10658</v>
      </c>
    </row>
    <row r="2707" spans="1:12" ht="51">
      <c r="A2707" s="8" t="s">
        <v>10659</v>
      </c>
      <c r="B2707" s="9" t="s">
        <v>12</v>
      </c>
      <c r="C2707" s="10" t="s">
        <v>443</v>
      </c>
      <c r="D2707" s="10" t="str">
        <f ca="1">IFERROR(__xludf.DUMMYFUNCTION(" VLOOKUP(A2704, IMPORTRANGE(""https://docs.google.com/spreadsheets/d/1fj_Bhi2XPL3siwIh4sx4VRLAe31yD50oKdj5UlRYW0c/"", ""Сводка!A:AA""), 11, FALSE)"),"978-601-310-453-9")</f>
        <v>978-601-310-453-9</v>
      </c>
      <c r="E2707" s="11" t="s">
        <v>10660</v>
      </c>
      <c r="F2707" s="11" t="s">
        <v>10661</v>
      </c>
      <c r="G2707" s="12">
        <f ca="1">IFERROR(__xludf.DUMMYFUNCTION(" VLOOKUP(A2704, IMPORTRANGE(""https://docs.google.com/spreadsheets/d/1fj_Bhi2XPL3siwIh4sx4VRLAe31yD50oKdj5UlRYW0c/"", ""Сводка!A:AA""), 5, FALSE)"),80)</f>
        <v>80</v>
      </c>
      <c r="H2707" s="12" t="s">
        <v>2664</v>
      </c>
      <c r="I2707" s="10">
        <f ca="1">IFERROR(__xludf.DUMMYFUNCTION(" VLOOKUP(A2704, IMPORTRANGE(""https://docs.google.com/spreadsheets/d/1QNLbnkR_AongFt22vMfNzfpjZ0CjpI8QI-w0wBnYA1w/"", ""Инфа!A:AA""), 6, FALSE)"),2024)</f>
        <v>2024</v>
      </c>
      <c r="J2707" s="5">
        <f ca="1">ROUND((5000+G2707*30),-2)</f>
        <v>7400</v>
      </c>
      <c r="K2707" s="9" t="s">
        <v>758</v>
      </c>
      <c r="L2707" s="15"/>
    </row>
    <row r="2708" spans="1:12" ht="25.5">
      <c r="A2708" s="8" t="s">
        <v>10662</v>
      </c>
      <c r="B2708" s="9" t="s">
        <v>12</v>
      </c>
      <c r="C2708" s="10" t="s">
        <v>443</v>
      </c>
      <c r="D2708" s="10" t="str">
        <f ca="1">IFERROR(__xludf.DUMMYFUNCTION(" VLOOKUP(A2705, IMPORTRANGE(""https://docs.google.com/spreadsheets/d/1fj_Bhi2XPL3siwIh4sx4VRLAe31yD50oKdj5UlRYW0c/"", ""Сводка!A:AA""), 11, FALSE)"),"9965-668-17-5")</f>
        <v>9965-668-17-5</v>
      </c>
      <c r="E2708" s="11" t="s">
        <v>10663</v>
      </c>
      <c r="F2708" s="11" t="s">
        <v>10664</v>
      </c>
      <c r="G2708" s="12">
        <f ca="1">IFERROR(__xludf.DUMMYFUNCTION(" VLOOKUP(A2705, IMPORTRANGE(""https://docs.google.com/spreadsheets/d/1fj_Bhi2XPL3siwIh4sx4VRLAe31yD50oKdj5UlRYW0c/"", ""Сводка!A:AA""), 5, FALSE)"),64)</f>
        <v>64</v>
      </c>
      <c r="H2708" s="12" t="s">
        <v>538</v>
      </c>
      <c r="I2708" s="10">
        <f ca="1">IFERROR(__xludf.DUMMYFUNCTION(" VLOOKUP(A2705, IMPORTRANGE(""https://docs.google.com/spreadsheets/d/1QNLbnkR_AongFt22vMfNzfpjZ0CjpI8QI-w0wBnYA1w/"", ""Инфа!A:AA""), 6, FALSE)"),2024)</f>
        <v>2024</v>
      </c>
      <c r="J2708" s="5">
        <f ca="1">ROUND((5000+G2708*30),-2)</f>
        <v>6900</v>
      </c>
      <c r="K2708" s="12" t="s">
        <v>8216</v>
      </c>
      <c r="L2708" s="15"/>
    </row>
    <row r="2709" spans="1:12" ht="213.75">
      <c r="A2709" s="8" t="s">
        <v>10665</v>
      </c>
      <c r="B2709" s="9" t="s">
        <v>12</v>
      </c>
      <c r="C2709" s="10" t="s">
        <v>151</v>
      </c>
      <c r="D2709" s="10" t="str">
        <f ca="1">IFERROR(__xludf.DUMMYFUNCTION(" VLOOKUP(A2706, IMPORTRANGE(""https://docs.google.com/spreadsheets/d/1fj_Bhi2XPL3siwIh4sx4VRLAe31yD50oKdj5UlRYW0c/"", ""Сводка!A:AA""), 11, FALSE)"),"978-601-342-221-4")</f>
        <v>978-601-342-221-4</v>
      </c>
      <c r="E2709" s="11" t="s">
        <v>10666</v>
      </c>
      <c r="F2709" s="11" t="s">
        <v>10667</v>
      </c>
      <c r="G2709" s="12">
        <f ca="1">IFERROR(__xludf.DUMMYFUNCTION(" VLOOKUP(A2706, IMPORTRANGE(""https://docs.google.com/spreadsheets/d/1fj_Bhi2XPL3siwIh4sx4VRLAe31yD50oKdj5UlRYW0c/"", ""Сводка!A:AA""), 5, FALSE)"),120)</f>
        <v>120</v>
      </c>
      <c r="H2709" s="12" t="s">
        <v>47</v>
      </c>
      <c r="I2709" s="10">
        <f ca="1">IFERROR(__xludf.DUMMYFUNCTION(" VLOOKUP(A2706, IMPORTRANGE(""https://docs.google.com/spreadsheets/d/1QNLbnkR_AongFt22vMfNzfpjZ0CjpI8QI-w0wBnYA1w/"", ""Инфа!A:AA""), 6, FALSE)"),2024)</f>
        <v>2024</v>
      </c>
      <c r="J2709" s="5">
        <f ca="1">ROUND((5000+G2709*30),-2)</f>
        <v>8600</v>
      </c>
      <c r="K2709" s="12" t="s">
        <v>2046</v>
      </c>
      <c r="L2709" s="15" t="s">
        <v>10668</v>
      </c>
    </row>
    <row r="2710" spans="1:12" ht="38.25">
      <c r="A2710" s="8" t="s">
        <v>10669</v>
      </c>
      <c r="B2710" s="9" t="s">
        <v>12</v>
      </c>
      <c r="C2710" s="10" t="s">
        <v>443</v>
      </c>
      <c r="D2710" s="10" t="str">
        <f ca="1">IFERROR(__xludf.DUMMYFUNCTION(" VLOOKUP(A2707, IMPORTRANGE(""https://docs.google.com/spreadsheets/d/1fj_Bhi2XPL3siwIh4sx4VRLAe31yD50oKdj5UlRYW0c/"", ""Сводка!A:AA""), 11, FALSE)"),"978-601-310-071-5")</f>
        <v>978-601-310-071-5</v>
      </c>
      <c r="E2710" s="11" t="s">
        <v>10670</v>
      </c>
      <c r="F2710" s="11" t="s">
        <v>10671</v>
      </c>
      <c r="G2710" s="12">
        <f ca="1">IFERROR(__xludf.DUMMYFUNCTION(" VLOOKUP(A2707, IMPORTRANGE(""https://docs.google.com/spreadsheets/d/1fj_Bhi2XPL3siwIh4sx4VRLAe31yD50oKdj5UlRYW0c/"", ""Сводка!A:AA""), 5, FALSE)"),154)</f>
        <v>154</v>
      </c>
      <c r="H2710" s="12" t="s">
        <v>511</v>
      </c>
      <c r="I2710" s="10">
        <f ca="1">IFERROR(__xludf.DUMMYFUNCTION(" VLOOKUP(A2707, IMPORTRANGE(""https://docs.google.com/spreadsheets/d/1QNLbnkR_AongFt22vMfNzfpjZ0CjpI8QI-w0wBnYA1w/"", ""Инфа!A:AA""), 6, FALSE)"),2024)</f>
        <v>2024</v>
      </c>
      <c r="J2710" s="5">
        <f ca="1">ROUND((5000+G2710*30),-2)</f>
        <v>9600</v>
      </c>
      <c r="K2710" s="9" t="s">
        <v>7967</v>
      </c>
      <c r="L2710" s="15"/>
    </row>
    <row r="2711" spans="1:12" ht="135">
      <c r="A2711" s="8" t="s">
        <v>10672</v>
      </c>
      <c r="B2711" s="9" t="s">
        <v>12</v>
      </c>
      <c r="C2711" s="10" t="s">
        <v>443</v>
      </c>
      <c r="D2711" s="10" t="str">
        <f ca="1">IFERROR(__xludf.DUMMYFUNCTION(" VLOOKUP(A2708, IMPORTRANGE(""https://docs.google.com/spreadsheets/d/1fj_Bhi2XPL3siwIh4sx4VRLAe31yD50oKdj5UlRYW0c/"", ""Сводка!A:AA""), 11, FALSE)"),"978-601-240-847-8")</f>
        <v>978-601-240-847-8</v>
      </c>
      <c r="E2711" s="11" t="s">
        <v>10670</v>
      </c>
      <c r="F2711" s="11" t="s">
        <v>10673</v>
      </c>
      <c r="G2711" s="12">
        <f ca="1">IFERROR(__xludf.DUMMYFUNCTION(" VLOOKUP(A2708, IMPORTRANGE(""https://docs.google.com/spreadsheets/d/1fj_Bhi2XPL3siwIh4sx4VRLAe31yD50oKdj5UlRYW0c/"", ""Сводка!A:AA""), 5, FALSE)"),200)</f>
        <v>200</v>
      </c>
      <c r="H2711" s="12" t="s">
        <v>511</v>
      </c>
      <c r="I2711" s="10">
        <f ca="1">IFERROR(__xludf.DUMMYFUNCTION(" VLOOKUP(A2708, IMPORTRANGE(""https://docs.google.com/spreadsheets/d/1QNLbnkR_AongFt22vMfNzfpjZ0CjpI8QI-w0wBnYA1w/"", ""Инфа!A:AA""), 6, FALSE)"),2024)</f>
        <v>2024</v>
      </c>
      <c r="J2711" s="5">
        <f ca="1">ROUND((5000+G2711*30),-2)</f>
        <v>11000</v>
      </c>
      <c r="K2711" s="9" t="s">
        <v>575</v>
      </c>
      <c r="L2711" s="15" t="s">
        <v>10674</v>
      </c>
    </row>
    <row r="2712" spans="1:12" ht="157.5">
      <c r="A2712" s="8" t="s">
        <v>10675</v>
      </c>
      <c r="B2712" s="9" t="s">
        <v>12</v>
      </c>
      <c r="C2712" s="10" t="s">
        <v>151</v>
      </c>
      <c r="D2712" s="10" t="str">
        <f ca="1">IFERROR(__xludf.DUMMYFUNCTION(" VLOOKUP(A2709, IMPORTRANGE(""https://docs.google.com/spreadsheets/d/1fj_Bhi2XPL3siwIh4sx4VRLAe31yD50oKdj5UlRYW0c/"", ""Сводка!A:AA""), 11, FALSE)"),"978-601-342-268-8")</f>
        <v>978-601-342-268-8</v>
      </c>
      <c r="E2712" s="11" t="s">
        <v>10676</v>
      </c>
      <c r="F2712" s="11" t="s">
        <v>10677</v>
      </c>
      <c r="G2712" s="12">
        <f ca="1">IFERROR(__xludf.DUMMYFUNCTION(" VLOOKUP(A2709, IMPORTRANGE(""https://docs.google.com/spreadsheets/d/1fj_Bhi2XPL3siwIh4sx4VRLAe31yD50oKdj5UlRYW0c/"", ""Сводка!A:AA""), 5, FALSE)"),216)</f>
        <v>216</v>
      </c>
      <c r="H2712" s="12" t="s">
        <v>1020</v>
      </c>
      <c r="I2712" s="10">
        <f ca="1">IFERROR(__xludf.DUMMYFUNCTION(" VLOOKUP(A2709, IMPORTRANGE(""https://docs.google.com/spreadsheets/d/1QNLbnkR_AongFt22vMfNzfpjZ0CjpI8QI-w0wBnYA1w/"", ""Инфа!A:AA""), 6, FALSE)"),2024)</f>
        <v>2024</v>
      </c>
      <c r="J2712" s="5">
        <f ca="1">ROUND(((5000+G2712*30)*1.3),-2)</f>
        <v>14900</v>
      </c>
      <c r="K2712" s="12" t="s">
        <v>277</v>
      </c>
      <c r="L2712" s="15" t="s">
        <v>10678</v>
      </c>
    </row>
    <row r="2713" spans="1:12" ht="90">
      <c r="A2713" s="8" t="s">
        <v>10679</v>
      </c>
      <c r="B2713" s="9" t="s">
        <v>12</v>
      </c>
      <c r="C2713" s="10" t="s">
        <v>443</v>
      </c>
      <c r="D2713" s="10" t="str">
        <f ca="1">IFERROR(__xludf.DUMMYFUNCTION(" VLOOKUP(A2710, IMPORTRANGE(""https://docs.google.com/spreadsheets/d/1fj_Bhi2XPL3siwIh4sx4VRLAe31yD50oKdj5UlRYW0c/"", ""Сводка!A:AA""), 11, FALSE)"),"987-601-310-757-8")</f>
        <v>987-601-310-757-8</v>
      </c>
      <c r="E2713" s="11" t="s">
        <v>10680</v>
      </c>
      <c r="F2713" s="11" t="s">
        <v>10681</v>
      </c>
      <c r="G2713" s="12">
        <f ca="1">IFERROR(__xludf.DUMMYFUNCTION(" VLOOKUP(A2710, IMPORTRANGE(""https://docs.google.com/spreadsheets/d/1fj_Bhi2XPL3siwIh4sx4VRLAe31yD50oKdj5UlRYW0c/"", ""Сводка!A:AA""), 5, FALSE)"),88)</f>
        <v>88</v>
      </c>
      <c r="H2713" s="12"/>
      <c r="I2713" s="10">
        <f ca="1">IFERROR(__xludf.DUMMYFUNCTION(" VLOOKUP(A2710, IMPORTRANGE(""https://docs.google.com/spreadsheets/d/1QNLbnkR_AongFt22vMfNzfpjZ0CjpI8QI-w0wBnYA1w/"", ""Инфа!A:AA""), 6, FALSE)"),2024)</f>
        <v>2024</v>
      </c>
      <c r="J2713" s="5">
        <f t="shared" ref="J2713:J2720" ca="1" si="90">ROUND((5000+G2713*30),-2)</f>
        <v>7600</v>
      </c>
      <c r="K2713" s="12" t="s">
        <v>139</v>
      </c>
      <c r="L2713" s="15" t="s">
        <v>10682</v>
      </c>
    </row>
    <row r="2714" spans="1:12" ht="67.5">
      <c r="A2714" s="8" t="s">
        <v>10683</v>
      </c>
      <c r="B2714" s="9" t="s">
        <v>12</v>
      </c>
      <c r="C2714" s="10" t="s">
        <v>151</v>
      </c>
      <c r="D2714" s="10" t="str">
        <f ca="1">IFERROR(__xludf.DUMMYFUNCTION(" VLOOKUP(A2711, IMPORTRANGE(""https://docs.google.com/spreadsheets/d/1fj_Bhi2XPL3siwIh4sx4VRLAe31yD50oKdj5UlRYW0c/"", ""Сводка!A:AA""), 11, FALSE)"),"978-601-225-212-5")</f>
        <v>978-601-225-212-5</v>
      </c>
      <c r="E2714" s="11" t="s">
        <v>10680</v>
      </c>
      <c r="F2714" s="11" t="s">
        <v>10684</v>
      </c>
      <c r="G2714" s="12">
        <f ca="1">IFERROR(__xludf.DUMMYFUNCTION(" VLOOKUP(A2711, IMPORTRANGE(""https://docs.google.com/spreadsheets/d/1fj_Bhi2XPL3siwIh4sx4VRLAe31yD50oKdj5UlRYW0c/"", ""Сводка!A:AA""), 5, FALSE)"),192)</f>
        <v>192</v>
      </c>
      <c r="H2714" s="12" t="s">
        <v>47</v>
      </c>
      <c r="I2714" s="10">
        <f ca="1">IFERROR(__xludf.DUMMYFUNCTION(" VLOOKUP(A2711, IMPORTRANGE(""https://docs.google.com/spreadsheets/d/1QNLbnkR_AongFt22vMfNzfpjZ0CjpI8QI-w0wBnYA1w/"", ""Инфа!A:AA""), 6, FALSE)"),2024)</f>
        <v>2024</v>
      </c>
      <c r="J2714" s="5">
        <f t="shared" ca="1" si="90"/>
        <v>10800</v>
      </c>
      <c r="K2714" s="12" t="s">
        <v>139</v>
      </c>
      <c r="L2714" s="15" t="s">
        <v>10685</v>
      </c>
    </row>
    <row r="2715" spans="1:12" ht="315">
      <c r="A2715" s="8" t="s">
        <v>10686</v>
      </c>
      <c r="B2715" s="9" t="s">
        <v>12</v>
      </c>
      <c r="C2715" s="10" t="s">
        <v>443</v>
      </c>
      <c r="D2715" s="10" t="str">
        <f ca="1">IFERROR(__xludf.DUMMYFUNCTION(" VLOOKUP(A2712, IMPORTRANGE(""https://docs.google.com/spreadsheets/d/1fj_Bhi2XPL3siwIh4sx4VRLAe31yD50oKdj5UlRYW0c/"", ""Сводка!A:AA""), 11, FALSE)"),"978-601-310-491-1")</f>
        <v>978-601-310-491-1</v>
      </c>
      <c r="E2715" s="11" t="s">
        <v>10687</v>
      </c>
      <c r="F2715" s="11" t="s">
        <v>10688</v>
      </c>
      <c r="G2715" s="12">
        <f ca="1">IFERROR(__xludf.DUMMYFUNCTION(" VLOOKUP(A2712, IMPORTRANGE(""https://docs.google.com/spreadsheets/d/1fj_Bhi2XPL3siwIh4sx4VRLAe31yD50oKdj5UlRYW0c/"", ""Сводка!A:AA""), 5, FALSE)"),166)</f>
        <v>166</v>
      </c>
      <c r="H2715" s="12" t="s">
        <v>538</v>
      </c>
      <c r="I2715" s="10">
        <f ca="1">IFERROR(__xludf.DUMMYFUNCTION(" VLOOKUP(A2712, IMPORTRANGE(""https://docs.google.com/spreadsheets/d/1QNLbnkR_AongFt22vMfNzfpjZ0CjpI8QI-w0wBnYA1w/"", ""Инфа!A:AA""), 6, FALSE)"),2024)</f>
        <v>2024</v>
      </c>
      <c r="J2715" s="5">
        <f t="shared" ca="1" si="90"/>
        <v>10000</v>
      </c>
      <c r="K2715" s="12" t="s">
        <v>160</v>
      </c>
      <c r="L2715" s="15" t="s">
        <v>10689</v>
      </c>
    </row>
    <row r="2716" spans="1:12" ht="168.75">
      <c r="A2716" s="8" t="s">
        <v>10690</v>
      </c>
      <c r="B2716" s="9" t="s">
        <v>12</v>
      </c>
      <c r="C2716" s="10" t="s">
        <v>443</v>
      </c>
      <c r="D2716" s="10" t="str">
        <f ca="1">IFERROR(__xludf.DUMMYFUNCTION(" VLOOKUP(A2713, IMPORTRANGE(""https://docs.google.com/spreadsheets/d/1fj_Bhi2XPL3siwIh4sx4VRLAe31yD50oKdj5UlRYW0c/"", ""Сводка!A:AA""), 11, FALSE)"),"987-601-310-496-7")</f>
        <v>987-601-310-496-7</v>
      </c>
      <c r="E2716" s="11" t="s">
        <v>10691</v>
      </c>
      <c r="F2716" s="11" t="s">
        <v>960</v>
      </c>
      <c r="G2716" s="12">
        <f ca="1">IFERROR(__xludf.DUMMYFUNCTION(" VLOOKUP(A2713, IMPORTRANGE(""https://docs.google.com/spreadsheets/d/1fj_Bhi2XPL3siwIh4sx4VRLAe31yD50oKdj5UlRYW0c/"", ""Сводка!A:AA""), 5, FALSE)"),324)</f>
        <v>324</v>
      </c>
      <c r="H2716" s="12" t="s">
        <v>511</v>
      </c>
      <c r="I2716" s="10">
        <f ca="1">IFERROR(__xludf.DUMMYFUNCTION(" VLOOKUP(A2713, IMPORTRANGE(""https://docs.google.com/spreadsheets/d/1QNLbnkR_AongFt22vMfNzfpjZ0CjpI8QI-w0wBnYA1w/"", ""Инфа!A:AA""), 6, FALSE)"),2024)</f>
        <v>2024</v>
      </c>
      <c r="J2716" s="5">
        <f t="shared" ca="1" si="90"/>
        <v>14700</v>
      </c>
      <c r="K2716" s="12" t="s">
        <v>1581</v>
      </c>
      <c r="L2716" s="15" t="s">
        <v>10692</v>
      </c>
    </row>
    <row r="2717" spans="1:12" ht="168.75">
      <c r="A2717" s="8" t="s">
        <v>10693</v>
      </c>
      <c r="B2717" s="9" t="s">
        <v>12</v>
      </c>
      <c r="C2717" s="10" t="s">
        <v>443</v>
      </c>
      <c r="D2717" s="10" t="str">
        <f ca="1">IFERROR(__xludf.DUMMYFUNCTION(" VLOOKUP(A2714, IMPORTRANGE(""https://docs.google.com/spreadsheets/d/1fj_Bhi2XPL3siwIh4sx4VRLAe31yD50oKdj5UlRYW0c/"", ""Сводка!A:AA""), 11, FALSE)"),"978-601-327-160-6")</f>
        <v>978-601-327-160-6</v>
      </c>
      <c r="E2717" s="11" t="s">
        <v>10694</v>
      </c>
      <c r="F2717" s="11" t="s">
        <v>10695</v>
      </c>
      <c r="G2717" s="12">
        <f ca="1">IFERROR(__xludf.DUMMYFUNCTION(" VLOOKUP(A2714, IMPORTRANGE(""https://docs.google.com/spreadsheets/d/1fj_Bhi2XPL3siwIh4sx4VRLAe31yD50oKdj5UlRYW0c/"", ""Сводка!A:AA""), 5, FALSE)"),138)</f>
        <v>138</v>
      </c>
      <c r="H2717" s="12" t="s">
        <v>10696</v>
      </c>
      <c r="I2717" s="10">
        <f ca="1">IFERROR(__xludf.DUMMYFUNCTION(" VLOOKUP(A2714, IMPORTRANGE(""https://docs.google.com/spreadsheets/d/1QNLbnkR_AongFt22vMfNzfpjZ0CjpI8QI-w0wBnYA1w/"", ""Инфа!A:AA""), 6, FALSE)"),2024)</f>
        <v>2024</v>
      </c>
      <c r="J2717" s="5">
        <f t="shared" ca="1" si="90"/>
        <v>9100</v>
      </c>
      <c r="K2717" s="12" t="s">
        <v>2421</v>
      </c>
      <c r="L2717" s="15" t="s">
        <v>10697</v>
      </c>
    </row>
    <row r="2718" spans="1:12" ht="180">
      <c r="A2718" s="8" t="s">
        <v>10698</v>
      </c>
      <c r="B2718" s="9" t="s">
        <v>12</v>
      </c>
      <c r="C2718" s="10" t="s">
        <v>10699</v>
      </c>
      <c r="D2718" s="10" t="str">
        <f ca="1">IFERROR(__xludf.DUMMYFUNCTION(" VLOOKUP(A2715, IMPORTRANGE(""https://docs.google.com/spreadsheets/d/1fj_Bhi2XPL3siwIh4sx4VRLAe31yD50oKdj5UlRYW0c/"", ""Сводка!A:AA""), 11, FALSE)"),"978-601-310-722-6")</f>
        <v>978-601-310-722-6</v>
      </c>
      <c r="E2718" s="11" t="s">
        <v>10700</v>
      </c>
      <c r="F2718" s="11" t="s">
        <v>10701</v>
      </c>
      <c r="G2718" s="12">
        <f ca="1">IFERROR(__xludf.DUMMYFUNCTION(" VLOOKUP(A2715, IMPORTRANGE(""https://docs.google.com/spreadsheets/d/1fj_Bhi2XPL3siwIh4sx4VRLAe31yD50oKdj5UlRYW0c/"", ""Сводка!A:AA""), 5, FALSE)"),296)</f>
        <v>296</v>
      </c>
      <c r="H2718" s="12" t="s">
        <v>1870</v>
      </c>
      <c r="I2718" s="10">
        <f ca="1">IFERROR(__xludf.DUMMYFUNCTION(" VLOOKUP(A2715, IMPORTRANGE(""https://docs.google.com/spreadsheets/d/1QNLbnkR_AongFt22vMfNzfpjZ0CjpI8QI-w0wBnYA1w/"", ""Инфа!A:AA""), 6, FALSE)"),2024)</f>
        <v>2024</v>
      </c>
      <c r="J2718" s="5">
        <f t="shared" ca="1" si="90"/>
        <v>13900</v>
      </c>
      <c r="K2718" s="12" t="s">
        <v>160</v>
      </c>
      <c r="L2718" s="15" t="s">
        <v>10702</v>
      </c>
    </row>
    <row r="2719" spans="1:12" ht="123.75">
      <c r="A2719" s="8" t="s">
        <v>10703</v>
      </c>
      <c r="B2719" s="9" t="s">
        <v>12</v>
      </c>
      <c r="C2719" s="10" t="s">
        <v>443</v>
      </c>
      <c r="D2719" s="10" t="str">
        <f ca="1">IFERROR(__xludf.DUMMYFUNCTION(" VLOOKUP(A2716, IMPORTRANGE(""https://docs.google.com/spreadsheets/d/1fj_Bhi2XPL3siwIh4sx4VRLAe31yD50oKdj5UlRYW0c/"", ""Сводка!A:AA""), 11, FALSE)"),"987-601-310-491-2")</f>
        <v>987-601-310-491-2</v>
      </c>
      <c r="E2719" s="11" t="s">
        <v>10704</v>
      </c>
      <c r="F2719" s="11" t="s">
        <v>10705</v>
      </c>
      <c r="G2719" s="12">
        <f ca="1">IFERROR(__xludf.DUMMYFUNCTION(" VLOOKUP(A2716, IMPORTRANGE(""https://docs.google.com/spreadsheets/d/1fj_Bhi2XPL3siwIh4sx4VRLAe31yD50oKdj5UlRYW0c/"", ""Сводка!A:AA""), 5, FALSE)"),208)</f>
        <v>208</v>
      </c>
      <c r="H2719" s="12" t="s">
        <v>511</v>
      </c>
      <c r="I2719" s="10">
        <f ca="1">IFERROR(__xludf.DUMMYFUNCTION(" VLOOKUP(A2716, IMPORTRANGE(""https://docs.google.com/spreadsheets/d/1QNLbnkR_AongFt22vMfNzfpjZ0CjpI8QI-w0wBnYA1w/"", ""Инфа!A:AA""), 6, FALSE)"),2024)</f>
        <v>2024</v>
      </c>
      <c r="J2719" s="5">
        <f t="shared" ca="1" si="90"/>
        <v>11200</v>
      </c>
      <c r="K2719" s="9" t="s">
        <v>539</v>
      </c>
      <c r="L2719" s="15" t="s">
        <v>10706</v>
      </c>
    </row>
    <row r="2720" spans="1:12" ht="281.25">
      <c r="A2720" s="8" t="s">
        <v>10707</v>
      </c>
      <c r="B2720" s="9" t="s">
        <v>12</v>
      </c>
      <c r="C2720" s="10" t="s">
        <v>443</v>
      </c>
      <c r="D2720" s="10" t="str">
        <f ca="1">IFERROR(__xludf.DUMMYFUNCTION(" VLOOKUP(A2717, IMPORTRANGE(""https://docs.google.com/spreadsheets/d/1fj_Bhi2XPL3siwIh4sx4VRLAe31yD50oKdj5UlRYW0c/"", ""Сводка!A:AA""), 11, FALSE)"),"987-601-310-491-2")</f>
        <v>987-601-310-491-2</v>
      </c>
      <c r="E2720" s="11" t="s">
        <v>10704</v>
      </c>
      <c r="F2720" s="11" t="s">
        <v>10708</v>
      </c>
      <c r="G2720" s="12">
        <f ca="1">IFERROR(__xludf.DUMMYFUNCTION(" VLOOKUP(A2717, IMPORTRANGE(""https://docs.google.com/spreadsheets/d/1fj_Bhi2XPL3siwIh4sx4VRLAe31yD50oKdj5UlRYW0c/"", ""Сводка!A:AA""), 5, FALSE)"),320)</f>
        <v>320</v>
      </c>
      <c r="H2720" s="12"/>
      <c r="I2720" s="10">
        <f ca="1">IFERROR(__xludf.DUMMYFUNCTION(" VLOOKUP(A2717, IMPORTRANGE(""https://docs.google.com/spreadsheets/d/1QNLbnkR_AongFt22vMfNzfpjZ0CjpI8QI-w0wBnYA1w/"", ""Инфа!A:AA""), 6, FALSE)"),2024)</f>
        <v>2024</v>
      </c>
      <c r="J2720" s="5">
        <f t="shared" ca="1" si="90"/>
        <v>14600</v>
      </c>
      <c r="K2720" s="12" t="s">
        <v>257</v>
      </c>
      <c r="L2720" s="15" t="s">
        <v>10709</v>
      </c>
    </row>
    <row r="2721" spans="1:12" ht="38.25">
      <c r="A2721" s="8" t="s">
        <v>10710</v>
      </c>
      <c r="B2721" s="9" t="s">
        <v>12</v>
      </c>
      <c r="C2721" s="10" t="s">
        <v>443</v>
      </c>
      <c r="D2721" s="10" t="str">
        <f ca="1">IFERROR(__xludf.DUMMYFUNCTION(" VLOOKUP(A2718, IMPORTRANGE(""https://docs.google.com/spreadsheets/d/1fj_Bhi2XPL3siwIh4sx4VRLAe31yD50oKdj5UlRYW0c/"", ""Сводка!A:AA""), 11, FALSE)"),"978-601-327-677-9")</f>
        <v>978-601-327-677-9</v>
      </c>
      <c r="E2721" s="11" t="s">
        <v>10711</v>
      </c>
      <c r="F2721" s="11" t="s">
        <v>10712</v>
      </c>
      <c r="G2721" s="12">
        <f ca="1">IFERROR(__xludf.DUMMYFUNCTION(" VLOOKUP(A2718, IMPORTRANGE(""https://docs.google.com/spreadsheets/d/1fj_Bhi2XPL3siwIh4sx4VRLAe31yD50oKdj5UlRYW0c/"", ""Сводка!A:AA""), 5, FALSE)"),192)</f>
        <v>192</v>
      </c>
      <c r="H2721" s="12"/>
      <c r="I2721" s="10">
        <f ca="1">IFERROR(__xludf.DUMMYFUNCTION(" VLOOKUP(A2718, IMPORTRANGE(""https://docs.google.com/spreadsheets/d/1QNLbnkR_AongFt22vMfNzfpjZ0CjpI8QI-w0wBnYA1w/"", ""Инфа!A:AA""), 6, FALSE)"),2024)</f>
        <v>2024</v>
      </c>
      <c r="J2721" s="5">
        <f ca="1">ROUND((5000+G2721*60),-2)</f>
        <v>16500</v>
      </c>
      <c r="K2721" s="12" t="s">
        <v>539</v>
      </c>
      <c r="L2721" s="15"/>
    </row>
    <row r="2722" spans="1:12" ht="168.75">
      <c r="A2722" s="8" t="s">
        <v>10713</v>
      </c>
      <c r="B2722" s="9" t="s">
        <v>12</v>
      </c>
      <c r="C2722" s="10" t="s">
        <v>151</v>
      </c>
      <c r="D2722" s="10" t="str">
        <f ca="1">IFERROR(__xludf.DUMMYFUNCTION(" VLOOKUP(A2719, IMPORTRANGE(""https://docs.google.com/spreadsheets/d/1fj_Bhi2XPL3siwIh4sx4VRLAe31yD50oKdj5UlRYW0c/"", ""Сводка!A:AA""), 11, FALSE)"),"978-601-327-722-6")</f>
        <v>978-601-327-722-6</v>
      </c>
      <c r="E2722" s="11" t="s">
        <v>10714</v>
      </c>
      <c r="F2722" s="11" t="s">
        <v>10715</v>
      </c>
      <c r="G2722" s="12">
        <f ca="1">IFERROR(__xludf.DUMMYFUNCTION(" VLOOKUP(A2719, IMPORTRANGE(""https://docs.google.com/spreadsheets/d/1fj_Bhi2XPL3siwIh4sx4VRLAe31yD50oKdj5UlRYW0c/"", ""Сводка!A:AA""), 5, FALSE)"),196)</f>
        <v>196</v>
      </c>
      <c r="H2722" s="12" t="s">
        <v>47</v>
      </c>
      <c r="I2722" s="10">
        <f ca="1">IFERROR(__xludf.DUMMYFUNCTION(" VLOOKUP(A2719, IMPORTRANGE(""https://docs.google.com/spreadsheets/d/1QNLbnkR_AongFt22vMfNzfpjZ0CjpI8QI-w0wBnYA1w/"", ""Инфа!A:AA""), 6, FALSE)"),2024)</f>
        <v>2024</v>
      </c>
      <c r="J2722" s="5">
        <f ca="1">ROUND((5000+G2722*60),-2)</f>
        <v>16800</v>
      </c>
      <c r="K2722" s="12" t="s">
        <v>539</v>
      </c>
      <c r="L2722" s="15" t="s">
        <v>10716</v>
      </c>
    </row>
    <row r="2723" spans="1:12" ht="38.25">
      <c r="A2723" s="8" t="s">
        <v>10717</v>
      </c>
      <c r="B2723" s="9" t="s">
        <v>12</v>
      </c>
      <c r="C2723" s="10" t="s">
        <v>443</v>
      </c>
      <c r="D2723" s="10" t="str">
        <f ca="1">IFERROR(__xludf.DUMMYFUNCTION(" VLOOKUP(A2720, IMPORTRANGE(""https://docs.google.com/spreadsheets/d/1fj_Bhi2XPL3siwIh4sx4VRLAe31yD50oKdj5UlRYW0c/"", ""Сводка!A:AA""), 11, FALSE)"),"978-601-327-741-7")</f>
        <v>978-601-327-741-7</v>
      </c>
      <c r="E2723" s="11" t="s">
        <v>10714</v>
      </c>
      <c r="F2723" s="11" t="s">
        <v>10718</v>
      </c>
      <c r="G2723" s="12">
        <f ca="1">IFERROR(__xludf.DUMMYFUNCTION(" VLOOKUP(A2720, IMPORTRANGE(""https://docs.google.com/spreadsheets/d/1fj_Bhi2XPL3siwIh4sx4VRLAe31yD50oKdj5UlRYW0c/"", ""Сводка!A:AA""), 5, FALSE)"),328)</f>
        <v>328</v>
      </c>
      <c r="H2723" s="12" t="s">
        <v>1633</v>
      </c>
      <c r="I2723" s="10">
        <f ca="1">IFERROR(__xludf.DUMMYFUNCTION(" VLOOKUP(A2720, IMPORTRANGE(""https://docs.google.com/spreadsheets/d/1QNLbnkR_AongFt22vMfNzfpjZ0CjpI8QI-w0wBnYA1w/"", ""Инфа!A:AA""), 6, FALSE)"),2024)</f>
        <v>2024</v>
      </c>
      <c r="J2723" s="5">
        <f ca="1">ROUND((5000+G2723*60),-2)</f>
        <v>24700</v>
      </c>
      <c r="K2723" s="12" t="s">
        <v>539</v>
      </c>
      <c r="L2723" s="15"/>
    </row>
    <row r="2724" spans="1:12" ht="56.25">
      <c r="A2724" s="8" t="s">
        <v>10719</v>
      </c>
      <c r="B2724" s="9" t="s">
        <v>12</v>
      </c>
      <c r="C2724" s="10" t="s">
        <v>443</v>
      </c>
      <c r="D2724" s="10" t="str">
        <f ca="1">IFERROR(__xludf.DUMMYFUNCTION(" VLOOKUP(A2721, IMPORTRANGE(""https://docs.google.com/spreadsheets/d/1fj_Bhi2XPL3siwIh4sx4VRLAe31yD50oKdj5UlRYW0c/"", ""Сводка!A:AA""), 11, FALSE)"),"978-601-342-443-9")</f>
        <v>978-601-342-443-9</v>
      </c>
      <c r="E2724" s="11" t="s">
        <v>10714</v>
      </c>
      <c r="F2724" s="11" t="s">
        <v>10720</v>
      </c>
      <c r="G2724" s="12">
        <f ca="1">IFERROR(__xludf.DUMMYFUNCTION(" VLOOKUP(A2721, IMPORTRANGE(""https://docs.google.com/spreadsheets/d/1fj_Bhi2XPL3siwIh4sx4VRLAe31yD50oKdj5UlRYW0c/"", ""Сводка!A:AA""), 5, FALSE)"),160)</f>
        <v>160</v>
      </c>
      <c r="H2724" s="12" t="s">
        <v>538</v>
      </c>
      <c r="I2724" s="10">
        <f ca="1">IFERROR(__xludf.DUMMYFUNCTION(" VLOOKUP(A2721, IMPORTRANGE(""https://docs.google.com/spreadsheets/d/1QNLbnkR_AongFt22vMfNzfpjZ0CjpI8QI-w0wBnYA1w/"", ""Инфа!A:AA""), 6, FALSE)"),2024)</f>
        <v>2024</v>
      </c>
      <c r="J2724" s="5">
        <f ca="1">ROUND((5000+G2724*30),-2)</f>
        <v>9800</v>
      </c>
      <c r="K2724" s="12" t="s">
        <v>539</v>
      </c>
      <c r="L2724" s="15" t="s">
        <v>10721</v>
      </c>
    </row>
    <row r="2725" spans="1:12" ht="123.75">
      <c r="A2725" s="8" t="s">
        <v>10722</v>
      </c>
      <c r="B2725" s="9" t="s">
        <v>12</v>
      </c>
      <c r="C2725" s="10" t="s">
        <v>443</v>
      </c>
      <c r="D2725" s="10" t="str">
        <f ca="1">IFERROR(__xludf.DUMMYFUNCTION(" VLOOKUP(A2722, IMPORTRANGE(""https://docs.google.com/spreadsheets/d/1fj_Bhi2XPL3siwIh4sx4VRLAe31yD50oKdj5UlRYW0c/"", ""Сводка!A:AA""), 11, FALSE)"),"9965-07-907-8")</f>
        <v>9965-07-907-8</v>
      </c>
      <c r="E2725" s="11" t="s">
        <v>10723</v>
      </c>
      <c r="F2725" s="11" t="s">
        <v>10724</v>
      </c>
      <c r="G2725" s="12">
        <f ca="1">IFERROR(__xludf.DUMMYFUNCTION(" VLOOKUP(A2722, IMPORTRANGE(""https://docs.google.com/spreadsheets/d/1fj_Bhi2XPL3siwIh4sx4VRLAe31yD50oKdj5UlRYW0c/"", ""Сводка!A:AA""), 5, FALSE)"),172)</f>
        <v>172</v>
      </c>
      <c r="H2725" s="12" t="s">
        <v>538</v>
      </c>
      <c r="I2725" s="10">
        <f ca="1">IFERROR(__xludf.DUMMYFUNCTION(" VLOOKUP(A2722, IMPORTRANGE(""https://docs.google.com/spreadsheets/d/1QNLbnkR_AongFt22vMfNzfpjZ0CjpI8QI-w0wBnYA1w/"", ""Инфа!A:AA""), 6, FALSE)"),2024)</f>
        <v>2024</v>
      </c>
      <c r="J2725" s="5">
        <f ca="1">ROUND((5000+G2725*60),-2)</f>
        <v>15300</v>
      </c>
      <c r="K2725" s="12" t="s">
        <v>213</v>
      </c>
      <c r="L2725" s="15" t="s">
        <v>10725</v>
      </c>
    </row>
    <row r="2726" spans="1:12" ht="303.75">
      <c r="A2726" s="8" t="s">
        <v>10726</v>
      </c>
      <c r="B2726" s="9" t="s">
        <v>12</v>
      </c>
      <c r="C2726" s="10" t="s">
        <v>443</v>
      </c>
      <c r="D2726" s="10" t="str">
        <f ca="1">IFERROR(__xludf.DUMMYFUNCTION(" VLOOKUP(A2723, IMPORTRANGE(""https://docs.google.com/spreadsheets/d/1fj_Bhi2XPL3siwIh4sx4VRLAe31yD50oKdj5UlRYW0c/"", ""Сводка!A:AA""), 11, FALSE)"),"978-601-310-725-7")</f>
        <v>978-601-310-725-7</v>
      </c>
      <c r="E2726" s="11" t="s">
        <v>10727</v>
      </c>
      <c r="F2726" s="11" t="s">
        <v>10728</v>
      </c>
      <c r="G2726" s="12">
        <f ca="1">IFERROR(__xludf.DUMMYFUNCTION(" VLOOKUP(A2723, IMPORTRANGE(""https://docs.google.com/spreadsheets/d/1fj_Bhi2XPL3siwIh4sx4VRLAe31yD50oKdj5UlRYW0c/"", ""Сводка!A:AA""), 5, FALSE)"),304)</f>
        <v>304</v>
      </c>
      <c r="H2726" s="12" t="s">
        <v>446</v>
      </c>
      <c r="I2726" s="10">
        <f ca="1">IFERROR(__xludf.DUMMYFUNCTION(" VLOOKUP(A2723, IMPORTRANGE(""https://docs.google.com/spreadsheets/d/1QNLbnkR_AongFt22vMfNzfpjZ0CjpI8QI-w0wBnYA1w/"", ""Инфа!A:AA""), 6, FALSE)"),2024)</f>
        <v>2024</v>
      </c>
      <c r="J2726" s="5">
        <f ca="1">ROUND((5000+G2726*30),-2)</f>
        <v>14100</v>
      </c>
      <c r="K2726" s="12" t="s">
        <v>302</v>
      </c>
      <c r="L2726" s="15" t="s">
        <v>10729</v>
      </c>
    </row>
    <row r="2727" spans="1:12" ht="157.5">
      <c r="A2727" s="8" t="s">
        <v>10730</v>
      </c>
      <c r="B2727" s="9" t="s">
        <v>12</v>
      </c>
      <c r="C2727" s="10" t="s">
        <v>151</v>
      </c>
      <c r="D2727" s="10" t="str">
        <f ca="1">IFERROR(__xludf.DUMMYFUNCTION(" VLOOKUP(A2724, IMPORTRANGE(""https://docs.google.com/spreadsheets/d/1fj_Bhi2XPL3siwIh4sx4VRLAe31yD50oKdj5UlRYW0c/"", ""Сводка!A:AA""), 11, FALSE)"),"996-519-250-2")</f>
        <v>996-519-250-2</v>
      </c>
      <c r="E2727" s="11" t="s">
        <v>10731</v>
      </c>
      <c r="F2727" s="11" t="s">
        <v>10732</v>
      </c>
      <c r="G2727" s="12">
        <f ca="1">IFERROR(__xludf.DUMMYFUNCTION(" VLOOKUP(A2724, IMPORTRANGE(""https://docs.google.com/spreadsheets/d/1fj_Bhi2XPL3siwIh4sx4VRLAe31yD50oKdj5UlRYW0c/"", ""Сводка!A:AA""), 5, FALSE)"),180)</f>
        <v>180</v>
      </c>
      <c r="H2727" s="12" t="s">
        <v>47</v>
      </c>
      <c r="I2727" s="10">
        <f ca="1">IFERROR(__xludf.DUMMYFUNCTION(" VLOOKUP(A2724, IMPORTRANGE(""https://docs.google.com/spreadsheets/d/1QNLbnkR_AongFt22vMfNzfpjZ0CjpI8QI-w0wBnYA1w/"", ""Инфа!A:AA""), 6, FALSE)"),2024)</f>
        <v>2024</v>
      </c>
      <c r="J2727" s="5">
        <f ca="1">ROUND((5000+G2727*30),-2)</f>
        <v>10400</v>
      </c>
      <c r="K2727" s="12" t="s">
        <v>127</v>
      </c>
      <c r="L2727" s="15" t="s">
        <v>10733</v>
      </c>
    </row>
    <row r="2728" spans="1:12" ht="168.75">
      <c r="A2728" s="8" t="s">
        <v>10734</v>
      </c>
      <c r="B2728" s="9" t="s">
        <v>12</v>
      </c>
      <c r="C2728" s="10" t="s">
        <v>151</v>
      </c>
      <c r="D2728" s="10" t="str">
        <f ca="1">IFERROR(__xludf.DUMMYFUNCTION(" VLOOKUP(A2725, IMPORTRANGE(""https://docs.google.com/spreadsheets/d/1fj_Bhi2XPL3siwIh4sx4VRLAe31yD50oKdj5UlRYW0c/"", ""Сводка!A:AA""), 11, FALSE)"),"978-601-310-893-1")</f>
        <v>978-601-310-893-1</v>
      </c>
      <c r="E2728" s="11" t="s">
        <v>10735</v>
      </c>
      <c r="F2728" s="11" t="s">
        <v>10736</v>
      </c>
      <c r="G2728" s="12">
        <f ca="1">IFERROR(__xludf.DUMMYFUNCTION(" VLOOKUP(A2725, IMPORTRANGE(""https://docs.google.com/spreadsheets/d/1fj_Bhi2XPL3siwIh4sx4VRLAe31yD50oKdj5UlRYW0c/"", ""Сводка!A:AA""), 5, FALSE)"),180)</f>
        <v>180</v>
      </c>
      <c r="H2728" s="12" t="s">
        <v>165</v>
      </c>
      <c r="I2728" s="10">
        <f ca="1">IFERROR(__xludf.DUMMYFUNCTION(" VLOOKUP(A2725, IMPORTRANGE(""https://docs.google.com/spreadsheets/d/1QNLbnkR_AongFt22vMfNzfpjZ0CjpI8QI-w0wBnYA1w/"", ""Инфа!A:AA""), 6, FALSE)"),2024)</f>
        <v>2024</v>
      </c>
      <c r="J2728" s="5">
        <f ca="1">ROUND((5000+G2728*60),-2)</f>
        <v>15800</v>
      </c>
      <c r="K2728" s="12" t="s">
        <v>166</v>
      </c>
      <c r="L2728" s="15" t="s">
        <v>10737</v>
      </c>
    </row>
    <row r="2729" spans="1:12" ht="157.5">
      <c r="A2729" s="8" t="s">
        <v>10738</v>
      </c>
      <c r="B2729" s="9" t="s">
        <v>12</v>
      </c>
      <c r="C2729" s="10" t="s">
        <v>443</v>
      </c>
      <c r="D2729" s="10" t="str">
        <f ca="1">IFERROR(__xludf.DUMMYFUNCTION(" VLOOKUP(A2726, IMPORTRANGE(""https://docs.google.com/spreadsheets/d/1fj_Bhi2XPL3siwIh4sx4VRLAe31yD50oKdj5UlRYW0c/"", ""Сводка!A:AA""), 11, FALSE)"),"978-601-310-780-6")</f>
        <v>978-601-310-780-6</v>
      </c>
      <c r="E2729" s="11" t="s">
        <v>10735</v>
      </c>
      <c r="F2729" s="11" t="s">
        <v>10739</v>
      </c>
      <c r="G2729" s="12">
        <f ca="1">IFERROR(__xludf.DUMMYFUNCTION(" VLOOKUP(A2726, IMPORTRANGE(""https://docs.google.com/spreadsheets/d/1fj_Bhi2XPL3siwIh4sx4VRLAe31yD50oKdj5UlRYW0c/"", ""Сводка!A:AA""), 5, FALSE)"),156)</f>
        <v>156</v>
      </c>
      <c r="H2729" s="12" t="s">
        <v>538</v>
      </c>
      <c r="I2729" s="10">
        <f ca="1">IFERROR(__xludf.DUMMYFUNCTION(" VLOOKUP(A2726, IMPORTRANGE(""https://docs.google.com/spreadsheets/d/1QNLbnkR_AongFt22vMfNzfpjZ0CjpI8QI-w0wBnYA1w/"", ""Инфа!A:AA""), 6, FALSE)"),2024)</f>
        <v>2024</v>
      </c>
      <c r="J2729" s="5">
        <f ca="1">ROUND((5000+G2729*60),-2)</f>
        <v>14400</v>
      </c>
      <c r="K2729" s="12" t="s">
        <v>243</v>
      </c>
      <c r="L2729" s="15" t="s">
        <v>10740</v>
      </c>
    </row>
    <row r="2730" spans="1:12" ht="146.25">
      <c r="A2730" s="8" t="s">
        <v>10741</v>
      </c>
      <c r="B2730" s="9" t="s">
        <v>12</v>
      </c>
      <c r="C2730" s="10" t="s">
        <v>151</v>
      </c>
      <c r="D2730" s="10" t="str">
        <f ca="1">IFERROR(__xludf.DUMMYFUNCTION(" VLOOKUP(A2727, IMPORTRANGE(""https://docs.google.com/spreadsheets/d/1fj_Bhi2XPL3siwIh4sx4VRLAe31yD50oKdj5UlRYW0c/"", ""Сводка!A:AA""), 11, FALSE)"),"978-601-310-999-2")</f>
        <v>978-601-310-999-2</v>
      </c>
      <c r="E2730" s="11" t="s">
        <v>10735</v>
      </c>
      <c r="F2730" s="11" t="s">
        <v>3999</v>
      </c>
      <c r="G2730" s="12">
        <f ca="1">IFERROR(__xludf.DUMMYFUNCTION(" VLOOKUP(A2727, IMPORTRANGE(""https://docs.google.com/spreadsheets/d/1fj_Bhi2XPL3siwIh4sx4VRLAe31yD50oKdj5UlRYW0c/"", ""Сводка!A:AA""), 5, FALSE)"),196)</f>
        <v>196</v>
      </c>
      <c r="H2730" s="12" t="s">
        <v>47</v>
      </c>
      <c r="I2730" s="10">
        <f ca="1">IFERROR(__xludf.DUMMYFUNCTION(" VLOOKUP(A2727, IMPORTRANGE(""https://docs.google.com/spreadsheets/d/1QNLbnkR_AongFt22vMfNzfpjZ0CjpI8QI-w0wBnYA1w/"", ""Инфа!A:AA""), 6, FALSE)"),2024)</f>
        <v>2024</v>
      </c>
      <c r="J2730" s="5">
        <f ca="1">ROUND((5000+G2730*60),-2)</f>
        <v>16800</v>
      </c>
      <c r="K2730" s="12" t="s">
        <v>243</v>
      </c>
      <c r="L2730" s="15" t="s">
        <v>10742</v>
      </c>
    </row>
    <row r="2731" spans="1:12" ht="270">
      <c r="A2731" s="8" t="s">
        <v>10743</v>
      </c>
      <c r="B2731" s="9" t="s">
        <v>12</v>
      </c>
      <c r="C2731" s="10" t="s">
        <v>151</v>
      </c>
      <c r="D2731" s="10" t="str">
        <f ca="1">IFERROR(__xludf.DUMMYFUNCTION(" VLOOKUP(A2728, IMPORTRANGE(""https://docs.google.com/spreadsheets/d/1fj_Bhi2XPL3siwIh4sx4VRLAe31yD50oKdj5UlRYW0c/"", ""Сводка!A:AA""), 11, FALSE)"),"978-601-310-816-2")</f>
        <v>978-601-310-816-2</v>
      </c>
      <c r="E2731" s="11" t="s">
        <v>10735</v>
      </c>
      <c r="F2731" s="11" t="s">
        <v>10744</v>
      </c>
      <c r="G2731" s="12">
        <f ca="1">IFERROR(__xludf.DUMMYFUNCTION(" VLOOKUP(A2728, IMPORTRANGE(""https://docs.google.com/spreadsheets/d/1fj_Bhi2XPL3siwIh4sx4VRLAe31yD50oKdj5UlRYW0c/"", ""Сводка!A:AA""), 5, FALSE)"),176)</f>
        <v>176</v>
      </c>
      <c r="H2731" s="12" t="s">
        <v>47</v>
      </c>
      <c r="I2731" s="10">
        <f ca="1">IFERROR(__xludf.DUMMYFUNCTION(" VLOOKUP(A2728, IMPORTRANGE(""https://docs.google.com/spreadsheets/d/1QNLbnkR_AongFt22vMfNzfpjZ0CjpI8QI-w0wBnYA1w/"", ""Инфа!A:AA""), 6, FALSE)"),2024)</f>
        <v>2024</v>
      </c>
      <c r="J2731" s="5">
        <f ca="1">ROUND(((5000+G2731*60)*1.3),-2)</f>
        <v>20200</v>
      </c>
      <c r="K2731" s="12" t="s">
        <v>243</v>
      </c>
      <c r="L2731" s="15" t="s">
        <v>10745</v>
      </c>
    </row>
    <row r="2732" spans="1:12" ht="146.25">
      <c r="A2732" s="8" t="s">
        <v>10746</v>
      </c>
      <c r="B2732" s="9" t="s">
        <v>12</v>
      </c>
      <c r="C2732" s="10" t="s">
        <v>151</v>
      </c>
      <c r="D2732" s="10" t="str">
        <f ca="1">IFERROR(__xludf.DUMMYFUNCTION(" VLOOKUP(A2729, IMPORTRANGE(""https://docs.google.com/spreadsheets/d/1fj_Bhi2XPL3siwIh4sx4VRLAe31yD50oKdj5UlRYW0c/"", ""Сводка!A:AA""), 11, FALSE)"),"978-601-233-405-0")</f>
        <v>978-601-233-405-0</v>
      </c>
      <c r="E2732" s="11" t="s">
        <v>10735</v>
      </c>
      <c r="F2732" s="11" t="s">
        <v>10747</v>
      </c>
      <c r="G2732" s="12">
        <f ca="1">IFERROR(__xludf.DUMMYFUNCTION(" VLOOKUP(A2729, IMPORTRANGE(""https://docs.google.com/spreadsheets/d/1fj_Bhi2XPL3siwIh4sx4VRLAe31yD50oKdj5UlRYW0c/"", ""Сводка!A:AA""), 5, FALSE)"),316)</f>
        <v>316</v>
      </c>
      <c r="H2732" s="12" t="s">
        <v>47</v>
      </c>
      <c r="I2732" s="10">
        <f ca="1">IFERROR(__xludf.DUMMYFUNCTION(" VLOOKUP(A2729, IMPORTRANGE(""https://docs.google.com/spreadsheets/d/1QNLbnkR_AongFt22vMfNzfpjZ0CjpI8QI-w0wBnYA1w/"", ""Инфа!A:AA""), 6, FALSE)"),2024)</f>
        <v>2024</v>
      </c>
      <c r="J2732" s="5">
        <f ca="1">ROUND((5000+G2732*60),-2)</f>
        <v>24000</v>
      </c>
      <c r="K2732" s="9" t="s">
        <v>69</v>
      </c>
      <c r="L2732" s="15" t="s">
        <v>10748</v>
      </c>
    </row>
    <row r="2733" spans="1:12" ht="101.25">
      <c r="A2733" s="8" t="s">
        <v>10749</v>
      </c>
      <c r="B2733" s="9" t="s">
        <v>12</v>
      </c>
      <c r="C2733" s="10" t="s">
        <v>5722</v>
      </c>
      <c r="D2733" s="10" t="str">
        <f ca="1">IFERROR(__xludf.DUMMYFUNCTION(" VLOOKUP(A2730, IMPORTRANGE(""https://docs.google.com/spreadsheets/d/1fj_Bhi2XPL3siwIh4sx4VRLAe31yD50oKdj5UlRYW0c/"", ""Сводка!A:AA""), 11, FALSE)"),"978-601-235-021-0")</f>
        <v>978-601-235-021-0</v>
      </c>
      <c r="E2733" s="19" t="s">
        <v>3741</v>
      </c>
      <c r="F2733" s="11" t="s">
        <v>10750</v>
      </c>
      <c r="G2733" s="12">
        <f ca="1">IFERROR(__xludf.DUMMYFUNCTION(" VLOOKUP(A2730, IMPORTRANGE(""https://docs.google.com/spreadsheets/d/1fj_Bhi2XPL3siwIh4sx4VRLAe31yD50oKdj5UlRYW0c/"", ""Сводка!A:AA""), 5, FALSE)"),96)</f>
        <v>96</v>
      </c>
      <c r="H2733" s="12" t="s">
        <v>10751</v>
      </c>
      <c r="I2733" s="10">
        <f ca="1">IFERROR(__xludf.DUMMYFUNCTION(" VLOOKUP(A2730, IMPORTRANGE(""https://docs.google.com/spreadsheets/d/1QNLbnkR_AongFt22vMfNzfpjZ0CjpI8QI-w0wBnYA1w/"", ""Инфа!A:AA""), 6, FALSE)"),2024)</f>
        <v>2024</v>
      </c>
      <c r="J2733" s="5">
        <f ca="1">ROUND((5000+G2733*30),-2)</f>
        <v>7900</v>
      </c>
      <c r="K2733" s="12" t="s">
        <v>243</v>
      </c>
      <c r="L2733" s="15" t="s">
        <v>10752</v>
      </c>
    </row>
    <row r="2734" spans="1:12" ht="168.75">
      <c r="A2734" s="8" t="s">
        <v>10753</v>
      </c>
      <c r="B2734" s="9" t="s">
        <v>12</v>
      </c>
      <c r="C2734" s="10" t="s">
        <v>151</v>
      </c>
      <c r="D2734" s="10" t="str">
        <f ca="1">IFERROR(__xludf.DUMMYFUNCTION(" VLOOKUP(A2731, IMPORTRANGE(""https://docs.google.com/spreadsheets/d/1fj_Bhi2XPL3siwIh4sx4VRLAe31yD50oKdj5UlRYW0c/"", ""Сводка!A:AA""), 11, FALSE)"),"978-601-327-681-6")</f>
        <v>978-601-327-681-6</v>
      </c>
      <c r="E2734" s="11" t="s">
        <v>3741</v>
      </c>
      <c r="F2734" s="11" t="s">
        <v>10754</v>
      </c>
      <c r="G2734" s="12">
        <f ca="1">IFERROR(__xludf.DUMMYFUNCTION(" VLOOKUP(A2731, IMPORTRANGE(""https://docs.google.com/spreadsheets/d/1fj_Bhi2XPL3siwIh4sx4VRLAe31yD50oKdj5UlRYW0c/"", ""Сводка!A:AA""), 5, FALSE)"),232)</f>
        <v>232</v>
      </c>
      <c r="H2734" s="12" t="s">
        <v>165</v>
      </c>
      <c r="I2734" s="10">
        <f ca="1">IFERROR(__xludf.DUMMYFUNCTION(" VLOOKUP(A2731, IMPORTRANGE(""https://docs.google.com/spreadsheets/d/1QNLbnkR_AongFt22vMfNzfpjZ0CjpI8QI-w0wBnYA1w/"", ""Инфа!A:AA""), 6, FALSE)"),2024)</f>
        <v>2024</v>
      </c>
      <c r="J2734" s="5">
        <f ca="1">ROUND((5000+G2734*60),-2)</f>
        <v>18900</v>
      </c>
      <c r="K2734" s="12" t="s">
        <v>1075</v>
      </c>
      <c r="L2734" s="15" t="s">
        <v>10755</v>
      </c>
    </row>
    <row r="2735" spans="1:12" ht="191.25">
      <c r="A2735" s="8" t="s">
        <v>10756</v>
      </c>
      <c r="B2735" s="9" t="s">
        <v>12</v>
      </c>
      <c r="C2735" s="10" t="s">
        <v>151</v>
      </c>
      <c r="D2735" s="10" t="str">
        <f ca="1">IFERROR(__xludf.DUMMYFUNCTION(" VLOOKUP(A2732, IMPORTRANGE(""https://docs.google.com/spreadsheets/d/1fj_Bhi2XPL3siwIh4sx4VRLAe31yD50oKdj5UlRYW0c/"", ""Сводка!A:AA""), 11, FALSE)"),"978-601-235-208-5")</f>
        <v>978-601-235-208-5</v>
      </c>
      <c r="E2735" s="11" t="s">
        <v>3741</v>
      </c>
      <c r="F2735" s="11" t="s">
        <v>10757</v>
      </c>
      <c r="G2735" s="12">
        <f ca="1">IFERROR(__xludf.DUMMYFUNCTION(" VLOOKUP(A2732, IMPORTRANGE(""https://docs.google.com/spreadsheets/d/1fj_Bhi2XPL3siwIh4sx4VRLAe31yD50oKdj5UlRYW0c/"", ""Сводка!A:AA""), 5, FALSE)"),224)</f>
        <v>224</v>
      </c>
      <c r="H2735" s="12" t="s">
        <v>165</v>
      </c>
      <c r="I2735" s="10">
        <f ca="1">IFERROR(__xludf.DUMMYFUNCTION(" VLOOKUP(A2732, IMPORTRANGE(""https://docs.google.com/spreadsheets/d/1QNLbnkR_AongFt22vMfNzfpjZ0CjpI8QI-w0wBnYA1w/"", ""Инфа!A:AA""), 6, FALSE)"),2024)</f>
        <v>2024</v>
      </c>
      <c r="J2735" s="5">
        <f ca="1">ROUND((5000+G2735*30),-2)</f>
        <v>11700</v>
      </c>
      <c r="K2735" s="12" t="s">
        <v>1075</v>
      </c>
      <c r="L2735" s="15" t="s">
        <v>10758</v>
      </c>
    </row>
    <row r="2736" spans="1:12" ht="270">
      <c r="A2736" s="8" t="s">
        <v>10759</v>
      </c>
      <c r="B2736" s="9" t="s">
        <v>12</v>
      </c>
      <c r="C2736" s="10" t="s">
        <v>151</v>
      </c>
      <c r="D2736" s="10" t="str">
        <f ca="1">IFERROR(__xludf.DUMMYFUNCTION(" VLOOKUP(A2733, IMPORTRANGE(""https://docs.google.com/spreadsheets/d/1fj_Bhi2XPL3siwIh4sx4VRLAe31yD50oKdj5UlRYW0c/"", ""Сводка!A:AA""), 11, FALSE)"),"978-601-240-619-3")</f>
        <v>978-601-240-619-3</v>
      </c>
      <c r="E2736" s="11" t="s">
        <v>10760</v>
      </c>
      <c r="F2736" s="11" t="s">
        <v>10761</v>
      </c>
      <c r="G2736" s="12">
        <f ca="1">IFERROR(__xludf.DUMMYFUNCTION(" VLOOKUP(A2733, IMPORTRANGE(""https://docs.google.com/spreadsheets/d/1fj_Bhi2XPL3siwIh4sx4VRLAe31yD50oKdj5UlRYW0c/"", ""Сводка!A:AA""), 5, FALSE)"),122)</f>
        <v>122</v>
      </c>
      <c r="H2736" s="12" t="s">
        <v>511</v>
      </c>
      <c r="I2736" s="10">
        <f ca="1">IFERROR(__xludf.DUMMYFUNCTION(" VLOOKUP(A2733, IMPORTRANGE(""https://docs.google.com/spreadsheets/d/1QNLbnkR_AongFt22vMfNzfpjZ0CjpI8QI-w0wBnYA1w/"", ""Инфа!A:AA""), 6, FALSE)"),2024)</f>
        <v>2024</v>
      </c>
      <c r="J2736" s="5">
        <f ca="1">ROUND((5000+G2736*60),-2)</f>
        <v>12300</v>
      </c>
      <c r="K2736" s="12" t="s">
        <v>160</v>
      </c>
      <c r="L2736" s="15" t="s">
        <v>10762</v>
      </c>
    </row>
    <row r="2737" spans="1:12" ht="38.25">
      <c r="A2737" s="8" t="s">
        <v>10763</v>
      </c>
      <c r="B2737" s="9" t="s">
        <v>12</v>
      </c>
      <c r="C2737" s="10" t="s">
        <v>443</v>
      </c>
      <c r="D2737" s="10" t="str">
        <f ca="1">IFERROR(__xludf.DUMMYFUNCTION(" VLOOKUP(A2734, IMPORTRANGE(""https://docs.google.com/spreadsheets/d/1fj_Bhi2XPL3siwIh4sx4VRLAe31yD50oKdj5UlRYW0c/"", ""Сводка!A:AA""), 11, FALSE)"),"978-601-240-399-2")</f>
        <v>978-601-240-399-2</v>
      </c>
      <c r="E2737" s="11" t="s">
        <v>10764</v>
      </c>
      <c r="F2737" s="11" t="s">
        <v>10765</v>
      </c>
      <c r="G2737" s="12">
        <f ca="1">IFERROR(__xludf.DUMMYFUNCTION(" VLOOKUP(A2734, IMPORTRANGE(""https://docs.google.com/spreadsheets/d/1fj_Bhi2XPL3siwIh4sx4VRLAe31yD50oKdj5UlRYW0c/"", ""Сводка!A:AA""), 5, FALSE)"),104)</f>
        <v>104</v>
      </c>
      <c r="H2737" s="12" t="s">
        <v>538</v>
      </c>
      <c r="I2737" s="10">
        <f ca="1">IFERROR(__xludf.DUMMYFUNCTION(" VLOOKUP(A2734, IMPORTRANGE(""https://docs.google.com/spreadsheets/d/1QNLbnkR_AongFt22vMfNzfpjZ0CjpI8QI-w0wBnYA1w/"", ""Инфа!A:AA""), 6, FALSE)"),2024)</f>
        <v>2024</v>
      </c>
      <c r="J2737" s="5">
        <f ca="1">ROUND((5000+G2737*30),-2)</f>
        <v>8100</v>
      </c>
      <c r="K2737" s="12" t="s">
        <v>160</v>
      </c>
      <c r="L2737" s="15"/>
    </row>
    <row r="2738" spans="1:12" ht="112.5">
      <c r="A2738" s="8" t="s">
        <v>10766</v>
      </c>
      <c r="B2738" s="9" t="s">
        <v>12</v>
      </c>
      <c r="C2738" s="10" t="s">
        <v>151</v>
      </c>
      <c r="D2738" s="10" t="str">
        <f ca="1">IFERROR(__xludf.DUMMYFUNCTION(" VLOOKUP(A2735, IMPORTRANGE(""https://docs.google.com/spreadsheets/d/1fj_Bhi2XPL3siwIh4sx4VRLAe31yD50oKdj5UlRYW0c/"", ""Сводка!A:AA""), 11, FALSE)"),"978-601-342-783-6")</f>
        <v>978-601-342-783-6</v>
      </c>
      <c r="E2738" s="11" t="s">
        <v>10767</v>
      </c>
      <c r="F2738" s="11" t="s">
        <v>10768</v>
      </c>
      <c r="G2738" s="12">
        <f ca="1">IFERROR(__xludf.DUMMYFUNCTION(" VLOOKUP(A2735, IMPORTRANGE(""https://docs.google.com/spreadsheets/d/1fj_Bhi2XPL3siwIh4sx4VRLAe31yD50oKdj5UlRYW0c/"", ""Сводка!A:AA""), 5, FALSE)"),204)</f>
        <v>204</v>
      </c>
      <c r="H2738" s="12" t="s">
        <v>106</v>
      </c>
      <c r="I2738" s="10">
        <f ca="1">IFERROR(__xludf.DUMMYFUNCTION(" VLOOKUP(A2735, IMPORTRANGE(""https://docs.google.com/spreadsheets/d/1QNLbnkR_AongFt22vMfNzfpjZ0CjpI8QI-w0wBnYA1w/"", ""Инфа!A:AA""), 6, FALSE)"),2024)</f>
        <v>2024</v>
      </c>
      <c r="J2738" s="5">
        <f ca="1">ROUND((5000+G2738*60),-2)</f>
        <v>17200</v>
      </c>
      <c r="K2738" s="12" t="s">
        <v>78</v>
      </c>
      <c r="L2738" s="15" t="s">
        <v>10769</v>
      </c>
    </row>
    <row r="2739" spans="1:12" ht="112.5">
      <c r="A2739" s="8" t="s">
        <v>10770</v>
      </c>
      <c r="B2739" s="9" t="s">
        <v>12</v>
      </c>
      <c r="C2739" s="10" t="s">
        <v>151</v>
      </c>
      <c r="D2739" s="10" t="str">
        <f ca="1">IFERROR(__xludf.DUMMYFUNCTION(" VLOOKUP(A2736, IMPORTRANGE(""https://docs.google.com/spreadsheets/d/1fj_Bhi2XPL3siwIh4sx4VRLAe31yD50oKdj5UlRYW0c/"", ""Сводка!A:AA""), 11, FALSE)"),"978-601-342-783-7")</f>
        <v>978-601-342-783-7</v>
      </c>
      <c r="E2739" s="11" t="s">
        <v>10767</v>
      </c>
      <c r="F2739" s="11" t="s">
        <v>10771</v>
      </c>
      <c r="G2739" s="12">
        <f ca="1">IFERROR(__xludf.DUMMYFUNCTION(" VLOOKUP(A2736, IMPORTRANGE(""https://docs.google.com/spreadsheets/d/1fj_Bhi2XPL3siwIh4sx4VRLAe31yD50oKdj5UlRYW0c/"", ""Сводка!A:AA""), 5, FALSE)"),264)</f>
        <v>264</v>
      </c>
      <c r="H2739" s="12" t="s">
        <v>106</v>
      </c>
      <c r="I2739" s="10">
        <f ca="1">IFERROR(__xludf.DUMMYFUNCTION(" VLOOKUP(A2736, IMPORTRANGE(""https://docs.google.com/spreadsheets/d/1QNLbnkR_AongFt22vMfNzfpjZ0CjpI8QI-w0wBnYA1w/"", ""Инфа!A:AA""), 6, FALSE)"),2024)</f>
        <v>2024</v>
      </c>
      <c r="J2739" s="5">
        <f ca="1">ROUND((5000+G2739*60),-2)</f>
        <v>20800</v>
      </c>
      <c r="K2739" s="12" t="s">
        <v>78</v>
      </c>
      <c r="L2739" s="15" t="s">
        <v>10769</v>
      </c>
    </row>
    <row r="2740" spans="1:12" ht="112.5">
      <c r="A2740" s="8" t="s">
        <v>10772</v>
      </c>
      <c r="B2740" s="9" t="s">
        <v>12</v>
      </c>
      <c r="C2740" s="10" t="s">
        <v>151</v>
      </c>
      <c r="D2740" s="10" t="s">
        <v>10773</v>
      </c>
      <c r="E2740" s="11" t="s">
        <v>10774</v>
      </c>
      <c r="F2740" s="11" t="s">
        <v>10775</v>
      </c>
      <c r="G2740" s="12">
        <f ca="1">IFERROR(__xludf.DUMMYFUNCTION(" VLOOKUP(A2737, IMPORTRANGE(""https://docs.google.com/spreadsheets/d/1fj_Bhi2XPL3siwIh4sx4VRLAe31yD50oKdj5UlRYW0c/"", ""Сводка!A:AA""), 5, FALSE)"),116)</f>
        <v>116</v>
      </c>
      <c r="H2740" s="12" t="s">
        <v>47</v>
      </c>
      <c r="I2740" s="10">
        <f ca="1">IFERROR(__xludf.DUMMYFUNCTION(" VLOOKUP(A2737, IMPORTRANGE(""https://docs.google.com/spreadsheets/d/1QNLbnkR_AongFt22vMfNzfpjZ0CjpI8QI-w0wBnYA1w/"", ""Инфа!A:AA""), 6, FALSE)"),2023)</f>
        <v>2023</v>
      </c>
      <c r="J2740" s="5">
        <f ca="1">ROUND((5000+G2740*60),-2)</f>
        <v>12000</v>
      </c>
      <c r="K2740" s="12" t="s">
        <v>78</v>
      </c>
      <c r="L2740" s="16" t="s">
        <v>10776</v>
      </c>
    </row>
    <row r="2741" spans="1:12" ht="101.25">
      <c r="A2741" s="8" t="s">
        <v>10777</v>
      </c>
      <c r="B2741" s="9" t="s">
        <v>12</v>
      </c>
      <c r="C2741" s="10" t="s">
        <v>151</v>
      </c>
      <c r="D2741" s="10" t="str">
        <f ca="1">IFERROR(__xludf.DUMMYFUNCTION(" VLOOKUP(A2738, IMPORTRANGE(""https://docs.google.com/spreadsheets/d/1fj_Bhi2XPL3siwIh4sx4VRLAe31yD50oKdj5UlRYW0c/"", ""Сводка!A:AA""), 11, FALSE)"),"978-601-13-0466-5")</f>
        <v>978-601-13-0466-5</v>
      </c>
      <c r="E2741" s="11" t="s">
        <v>10774</v>
      </c>
      <c r="F2741" s="11" t="s">
        <v>10778</v>
      </c>
      <c r="G2741" s="12">
        <f ca="1">IFERROR(__xludf.DUMMYFUNCTION(" VLOOKUP(A2738, IMPORTRANGE(""https://docs.google.com/spreadsheets/d/1fj_Bhi2XPL3siwIh4sx4VRLAe31yD50oKdj5UlRYW0c/"", ""Сводка!A:AA""), 5, FALSE)"),96)</f>
        <v>96</v>
      </c>
      <c r="H2741" s="12" t="s">
        <v>301</v>
      </c>
      <c r="I2741" s="10">
        <f ca="1">IFERROR(__xludf.DUMMYFUNCTION(" VLOOKUP(A2738, IMPORTRANGE(""https://docs.google.com/spreadsheets/d/1QNLbnkR_AongFt22vMfNzfpjZ0CjpI8QI-w0wBnYA1w/"", ""Инфа!A:AA""), 6, FALSE)"),2024)</f>
        <v>2024</v>
      </c>
      <c r="J2741" s="5">
        <f ca="1">ROUND((5000+G2741*60),-2)</f>
        <v>10800</v>
      </c>
      <c r="K2741" s="12" t="s">
        <v>78</v>
      </c>
      <c r="L2741" s="15" t="s">
        <v>10779</v>
      </c>
    </row>
    <row r="2742" spans="1:12" ht="101.25">
      <c r="A2742" s="8" t="s">
        <v>10780</v>
      </c>
      <c r="B2742" s="9" t="s">
        <v>12</v>
      </c>
      <c r="C2742" s="10" t="s">
        <v>21</v>
      </c>
      <c r="D2742" s="10" t="str">
        <f ca="1">IFERROR(__xludf.DUMMYFUNCTION(" VLOOKUP(A2739, IMPORTRANGE(""https://docs.google.com/spreadsheets/d/1fj_Bhi2XPL3siwIh4sx4VRLAe31yD50oKdj5UlRYW0c/"", ""Сводка!A:AA""), 11, FALSE)"),"978-601-342-538-2")</f>
        <v>978-601-342-538-2</v>
      </c>
      <c r="E2742" s="11" t="s">
        <v>10781</v>
      </c>
      <c r="F2742" s="11" t="s">
        <v>10782</v>
      </c>
      <c r="G2742" s="12">
        <f ca="1">IFERROR(__xludf.DUMMYFUNCTION(" VLOOKUP(A2739, IMPORTRANGE(""https://docs.google.com/spreadsheets/d/1fj_Bhi2XPL3siwIh4sx4VRLAe31yD50oKdj5UlRYW0c/"", ""Сводка!A:AA""), 5, FALSE)"),308)</f>
        <v>308</v>
      </c>
      <c r="H2742" s="12" t="s">
        <v>165</v>
      </c>
      <c r="I2742" s="10">
        <f ca="1">IFERROR(__xludf.DUMMYFUNCTION(" VLOOKUP(A2739, IMPORTRANGE(""https://docs.google.com/spreadsheets/d/1QNLbnkR_AongFt22vMfNzfpjZ0CjpI8QI-w0wBnYA1w/"", ""Инфа!A:AA""), 6, FALSE)"),2024)</f>
        <v>2024</v>
      </c>
      <c r="J2742" s="5">
        <f ca="1">ROUND((5000+G2742*30),-2)</f>
        <v>14200</v>
      </c>
      <c r="K2742" s="9" t="s">
        <v>78</v>
      </c>
      <c r="L2742" s="15" t="s">
        <v>10783</v>
      </c>
    </row>
    <row r="2743" spans="1:12" ht="51">
      <c r="A2743" s="8" t="s">
        <v>10784</v>
      </c>
      <c r="B2743" s="9" t="s">
        <v>12</v>
      </c>
      <c r="C2743" s="10" t="s">
        <v>443</v>
      </c>
      <c r="D2743" s="10" t="str">
        <f ca="1">IFERROR(__xludf.DUMMYFUNCTION(" VLOOKUP(A2740, IMPORTRANGE(""https://docs.google.com/spreadsheets/d/1fj_Bhi2XPL3siwIh4sx4VRLAe31yD50oKdj5UlRYW0c/"", ""Сводка!A:AA""), 11, FALSE)"),"978-601-310-238-2")</f>
        <v>978-601-310-238-2</v>
      </c>
      <c r="E2743" s="11" t="s">
        <v>10785</v>
      </c>
      <c r="F2743" s="11" t="s">
        <v>10786</v>
      </c>
      <c r="G2743" s="12">
        <f ca="1">IFERROR(__xludf.DUMMYFUNCTION(" VLOOKUP(A2740, IMPORTRANGE(""https://docs.google.com/spreadsheets/d/1fj_Bhi2XPL3siwIh4sx4VRLAe31yD50oKdj5UlRYW0c/"", ""Сводка!A:AA""), 5, FALSE)"),286)</f>
        <v>286</v>
      </c>
      <c r="H2743" s="12" t="s">
        <v>106</v>
      </c>
      <c r="I2743" s="10">
        <f ca="1">IFERROR(__xludf.DUMMYFUNCTION(" VLOOKUP(A2740, IMPORTRANGE(""https://docs.google.com/spreadsheets/d/1QNLbnkR_AongFt22vMfNzfpjZ0CjpI8QI-w0wBnYA1w/"", ""Инфа!A:AA""), 6, FALSE)"),2024)</f>
        <v>2024</v>
      </c>
      <c r="J2743" s="5">
        <f ca="1">ROUND((5000+G2743*60),-2)</f>
        <v>22200</v>
      </c>
      <c r="K2743" s="12" t="s">
        <v>257</v>
      </c>
      <c r="L2743" s="15"/>
    </row>
    <row r="2744" spans="1:12" ht="168.75">
      <c r="A2744" s="8" t="s">
        <v>10787</v>
      </c>
      <c r="B2744" s="9" t="s">
        <v>12</v>
      </c>
      <c r="C2744" s="10" t="s">
        <v>151</v>
      </c>
      <c r="D2744" s="10" t="s">
        <v>10788</v>
      </c>
      <c r="E2744" s="11" t="s">
        <v>10789</v>
      </c>
      <c r="F2744" s="11" t="s">
        <v>10790</v>
      </c>
      <c r="G2744" s="12">
        <f ca="1">IFERROR(__xludf.DUMMYFUNCTION(" VLOOKUP(A2741, IMPORTRANGE(""https://docs.google.com/spreadsheets/d/1fj_Bhi2XPL3siwIh4sx4VRLAe31yD50oKdj5UlRYW0c/"", ""Сводка!A:AA""), 5, FALSE)"),108)</f>
        <v>108</v>
      </c>
      <c r="H2744" s="12" t="s">
        <v>47</v>
      </c>
      <c r="I2744" s="10">
        <f ca="1">IFERROR(__xludf.DUMMYFUNCTION(" VLOOKUP(A2741, IMPORTRANGE(""https://docs.google.com/spreadsheets/d/1QNLbnkR_AongFt22vMfNzfpjZ0CjpI8QI-w0wBnYA1w/"", ""Инфа!A:AA""), 6, FALSE)"),2024)</f>
        <v>2024</v>
      </c>
      <c r="J2744" s="5">
        <f ca="1">ROUND((5000+G2744*60),-2)</f>
        <v>11500</v>
      </c>
      <c r="K2744" s="12" t="s">
        <v>78</v>
      </c>
      <c r="L2744" s="16" t="s">
        <v>10791</v>
      </c>
    </row>
    <row r="2745" spans="1:12" ht="168.75">
      <c r="A2745" s="8" t="s">
        <v>10792</v>
      </c>
      <c r="B2745" s="9" t="s">
        <v>12</v>
      </c>
      <c r="C2745" s="10" t="s">
        <v>151</v>
      </c>
      <c r="D2745" s="10" t="str">
        <f ca="1">IFERROR(__xludf.DUMMYFUNCTION(" VLOOKUP(A2742, IMPORTRANGE(""https://docs.google.com/spreadsheets/d/1fj_Bhi2XPL3siwIh4sx4VRLAe31yD50oKdj5UlRYW0c/"", ""Сводка!A:AA""), 11, FALSE)"),"978-601-342-809-3")</f>
        <v>978-601-342-809-3</v>
      </c>
      <c r="E2745" s="11" t="s">
        <v>10789</v>
      </c>
      <c r="F2745" s="11" t="s">
        <v>10790</v>
      </c>
      <c r="G2745" s="12">
        <f ca="1">IFERROR(__xludf.DUMMYFUNCTION(" VLOOKUP(A2742, IMPORTRANGE(""https://docs.google.com/spreadsheets/d/1fj_Bhi2XPL3siwIh4sx4VRLAe31yD50oKdj5UlRYW0c/"", ""Сводка!A:AA""), 5, FALSE)"),108)</f>
        <v>108</v>
      </c>
      <c r="H2745" s="12" t="s">
        <v>1950</v>
      </c>
      <c r="I2745" s="10">
        <f ca="1">IFERROR(__xludf.DUMMYFUNCTION(" VLOOKUP(A2742, IMPORTRANGE(""https://docs.google.com/spreadsheets/d/1QNLbnkR_AongFt22vMfNzfpjZ0CjpI8QI-w0wBnYA1w/"", ""Инфа!A:AA""), 6, FALSE)"),2024)</f>
        <v>2024</v>
      </c>
      <c r="J2745" s="5">
        <f ca="1">ROUND((5000+G2745*30),-2)</f>
        <v>8200</v>
      </c>
      <c r="K2745" s="12" t="s">
        <v>78</v>
      </c>
      <c r="L2745" s="16" t="s">
        <v>10793</v>
      </c>
    </row>
    <row r="2746" spans="1:12" ht="258.75">
      <c r="A2746" s="8" t="s">
        <v>10794</v>
      </c>
      <c r="B2746" s="9" t="s">
        <v>12</v>
      </c>
      <c r="C2746" s="10" t="s">
        <v>151</v>
      </c>
      <c r="D2746" s="10" t="str">
        <f ca="1">IFERROR(__xludf.DUMMYFUNCTION(" VLOOKUP(A2743, IMPORTRANGE(""https://docs.google.com/spreadsheets/d/1fj_Bhi2XPL3siwIh4sx4VRLAe31yD50oKdj5UlRYW0c/"", ""Сводка!A:AA""), 11, FALSE)"),"978-601-342-452-1")</f>
        <v>978-601-342-452-1</v>
      </c>
      <c r="E2746" s="11" t="s">
        <v>10795</v>
      </c>
      <c r="F2746" s="11" t="s">
        <v>10796</v>
      </c>
      <c r="G2746" s="12">
        <f ca="1">IFERROR(__xludf.DUMMYFUNCTION(" VLOOKUP(A2743, IMPORTRANGE(""https://docs.google.com/spreadsheets/d/1fj_Bhi2XPL3siwIh4sx4VRLAe31yD50oKdj5UlRYW0c/"", ""Сводка!A:AA""), 5, FALSE)"),240)</f>
        <v>240</v>
      </c>
      <c r="H2746" s="12" t="s">
        <v>165</v>
      </c>
      <c r="I2746" s="10">
        <f ca="1">IFERROR(__xludf.DUMMYFUNCTION(" VLOOKUP(A2743, IMPORTRANGE(""https://docs.google.com/spreadsheets/d/1QNLbnkR_AongFt22vMfNzfpjZ0CjpI8QI-w0wBnYA1w/"", ""Инфа!A:AA""), 6, FALSE)"),2024)</f>
        <v>2024</v>
      </c>
      <c r="J2746" s="5">
        <f ca="1">ROUND((5000+G2746*30),-2)</f>
        <v>12200</v>
      </c>
      <c r="K2746" s="9" t="s">
        <v>78</v>
      </c>
      <c r="L2746" s="15" t="s">
        <v>10797</v>
      </c>
    </row>
    <row r="2747" spans="1:12" ht="146.25">
      <c r="A2747" s="8" t="s">
        <v>10798</v>
      </c>
      <c r="B2747" s="9" t="s">
        <v>12</v>
      </c>
      <c r="C2747" s="10" t="s">
        <v>151</v>
      </c>
      <c r="D2747" s="10" t="str">
        <f ca="1">IFERROR(__xludf.DUMMYFUNCTION(" VLOOKUP(A2744, IMPORTRANGE(""https://docs.google.com/spreadsheets/d/1fj_Bhi2XPL3siwIh4sx4VRLAe31yD50oKdj5UlRYW0c/"", ""Сводка!A:AA""), 11, FALSE)"),"978-601-342-512-2")</f>
        <v>978-601-342-512-2</v>
      </c>
      <c r="E2747" s="11" t="s">
        <v>10799</v>
      </c>
      <c r="F2747" s="11" t="s">
        <v>10800</v>
      </c>
      <c r="G2747" s="12">
        <f ca="1">IFERROR(__xludf.DUMMYFUNCTION(" VLOOKUP(A2744, IMPORTRANGE(""https://docs.google.com/spreadsheets/d/1fj_Bhi2XPL3siwIh4sx4VRLAe31yD50oKdj5UlRYW0c/"", ""Сводка!A:AA""), 5, FALSE)"),216)</f>
        <v>216</v>
      </c>
      <c r="H2747" s="12" t="s">
        <v>165</v>
      </c>
      <c r="I2747" s="10">
        <f ca="1">IFERROR(__xludf.DUMMYFUNCTION(" VLOOKUP(A2744, IMPORTRANGE(""https://docs.google.com/spreadsheets/d/1QNLbnkR_AongFt22vMfNzfpjZ0CjpI8QI-w0wBnYA1w/"", ""Инфа!A:AA""), 6, FALSE)"),2024)</f>
        <v>2024</v>
      </c>
      <c r="J2747" s="5">
        <f ca="1">ROUND((5000+G2747*60),-2)</f>
        <v>18000</v>
      </c>
      <c r="K2747" s="9" t="s">
        <v>78</v>
      </c>
      <c r="L2747" s="16" t="s">
        <v>10801</v>
      </c>
    </row>
    <row r="2748" spans="1:12" ht="146.25">
      <c r="A2748" s="8" t="s">
        <v>10802</v>
      </c>
      <c r="B2748" s="9" t="s">
        <v>12</v>
      </c>
      <c r="C2748" s="10" t="s">
        <v>151</v>
      </c>
      <c r="D2748" s="10" t="str">
        <f ca="1">IFERROR(__xludf.DUMMYFUNCTION(" VLOOKUP(A2745, IMPORTRANGE(""https://docs.google.com/spreadsheets/d/1fj_Bhi2XPL3siwIh4sx4VRLAe31yD50oKdj5UlRYW0c/"", ""Сводка!A:AA""), 11, FALSE)"),"978-9965-03-511-1")</f>
        <v>978-9965-03-511-1</v>
      </c>
      <c r="E2748" s="11" t="s">
        <v>10803</v>
      </c>
      <c r="F2748" s="11" t="s">
        <v>10804</v>
      </c>
      <c r="G2748" s="12">
        <f ca="1">IFERROR(__xludf.DUMMYFUNCTION(" VLOOKUP(A2745, IMPORTRANGE(""https://docs.google.com/spreadsheets/d/1fj_Bhi2XPL3siwIh4sx4VRLAe31yD50oKdj5UlRYW0c/"", ""Сводка!A:AA""), 5, FALSE)"),224)</f>
        <v>224</v>
      </c>
      <c r="H2748" s="12" t="s">
        <v>24</v>
      </c>
      <c r="I2748" s="10">
        <f ca="1">IFERROR(__xludf.DUMMYFUNCTION(" VLOOKUP(A2745, IMPORTRANGE(""https://docs.google.com/spreadsheets/d/1QNLbnkR_AongFt22vMfNzfpjZ0CjpI8QI-w0wBnYA1w/"", ""Инфа!A:AA""), 6, FALSE)"),2024)</f>
        <v>2024</v>
      </c>
      <c r="J2748" s="5">
        <f ca="1">ROUND((5000+G2748*60),-2)</f>
        <v>18400</v>
      </c>
      <c r="K2748" s="9" t="s">
        <v>78</v>
      </c>
      <c r="L2748" s="16" t="s">
        <v>10805</v>
      </c>
    </row>
    <row r="2749" spans="1:12" ht="135">
      <c r="A2749" s="8" t="s">
        <v>10806</v>
      </c>
      <c r="B2749" s="9" t="s">
        <v>12</v>
      </c>
      <c r="C2749" s="10" t="s">
        <v>443</v>
      </c>
      <c r="D2749" s="10" t="str">
        <f ca="1">IFERROR(__xludf.DUMMYFUNCTION(" VLOOKUP(A2746, IMPORTRANGE(""https://docs.google.com/spreadsheets/d/1fj_Bhi2XPL3siwIh4sx4VRLAe31yD50oKdj5UlRYW0c/"", ""Сводка!A:AA""), 11, FALSE)"),"978-601-327-936-7")</f>
        <v>978-601-327-936-7</v>
      </c>
      <c r="E2749" s="11" t="s">
        <v>10807</v>
      </c>
      <c r="F2749" s="11" t="s">
        <v>10808</v>
      </c>
      <c r="G2749" s="12">
        <f ca="1">IFERROR(__xludf.DUMMYFUNCTION(" VLOOKUP(A2746, IMPORTRANGE(""https://docs.google.com/spreadsheets/d/1fj_Bhi2XPL3siwIh4sx4VRLAe31yD50oKdj5UlRYW0c/"", ""Сводка!A:AA""), 5, FALSE)"),204)</f>
        <v>204</v>
      </c>
      <c r="H2749" s="12" t="s">
        <v>538</v>
      </c>
      <c r="I2749" s="10">
        <f ca="1">IFERROR(__xludf.DUMMYFUNCTION(" VLOOKUP(A2746, IMPORTRANGE(""https://docs.google.com/spreadsheets/d/1QNLbnkR_AongFt22vMfNzfpjZ0CjpI8QI-w0wBnYA1w/"", ""Инфа!A:AA""), 6, FALSE)"),2024)</f>
        <v>2024</v>
      </c>
      <c r="J2749" s="5">
        <f ca="1">ROUND((5000+G2749*60),-2)</f>
        <v>17200</v>
      </c>
      <c r="K2749" s="12" t="s">
        <v>160</v>
      </c>
      <c r="L2749" s="15" t="s">
        <v>10809</v>
      </c>
    </row>
    <row r="2750" spans="1:12" ht="67.5">
      <c r="A2750" s="8" t="s">
        <v>10810</v>
      </c>
      <c r="B2750" s="9" t="s">
        <v>12</v>
      </c>
      <c r="C2750" s="10" t="s">
        <v>21</v>
      </c>
      <c r="D2750" s="10" t="str">
        <f ca="1">IFERROR(__xludf.DUMMYFUNCTION(" VLOOKUP(A2747, IMPORTRANGE(""https://docs.google.com/spreadsheets/d/1fj_Bhi2XPL3siwIh4sx4VRLAe31yD50oKdj5UlRYW0c/"", ""Сводка!A:AA""), 11, FALSE)"),"978-601-342-082-0")</f>
        <v>978-601-342-082-0</v>
      </c>
      <c r="E2750" s="11" t="s">
        <v>10811</v>
      </c>
      <c r="F2750" s="11" t="s">
        <v>10812</v>
      </c>
      <c r="G2750" s="12">
        <f ca="1">IFERROR(__xludf.DUMMYFUNCTION(" VLOOKUP(A2747, IMPORTRANGE(""https://docs.google.com/spreadsheets/d/1fj_Bhi2XPL3siwIh4sx4VRLAe31yD50oKdj5UlRYW0c/"", ""Сводка!A:AA""), 5, FALSE)"),196)</f>
        <v>196</v>
      </c>
      <c r="H2750" s="12" t="s">
        <v>42</v>
      </c>
      <c r="I2750" s="10">
        <f ca="1">IFERROR(__xludf.DUMMYFUNCTION(" VLOOKUP(A2747, IMPORTRANGE(""https://docs.google.com/spreadsheets/d/1QNLbnkR_AongFt22vMfNzfpjZ0CjpI8QI-w0wBnYA1w/"", ""Инфа!A:AA""), 6, FALSE)"),2024)</f>
        <v>2024</v>
      </c>
      <c r="J2750" s="5">
        <f ca="1">ROUND((5000+G2750*30),-2)</f>
        <v>10900</v>
      </c>
      <c r="K2750" s="12" t="s">
        <v>160</v>
      </c>
      <c r="L2750" s="15" t="s">
        <v>10813</v>
      </c>
    </row>
    <row r="2751" spans="1:12" ht="202.5">
      <c r="A2751" s="8" t="s">
        <v>10814</v>
      </c>
      <c r="B2751" s="9" t="s">
        <v>12</v>
      </c>
      <c r="C2751" s="10" t="s">
        <v>443</v>
      </c>
      <c r="D2751" s="10" t="str">
        <f ca="1">IFERROR(__xludf.DUMMYFUNCTION(" VLOOKUP(A2748, IMPORTRANGE(""https://docs.google.com/spreadsheets/d/1fj_Bhi2XPL3siwIh4sx4VRLAe31yD50oKdj5UlRYW0c/"", ""Сводка!A:AA""), 11, FALSE)"),"5-9965-728-04-6")</f>
        <v>5-9965-728-04-6</v>
      </c>
      <c r="E2751" s="11" t="s">
        <v>10815</v>
      </c>
      <c r="F2751" s="11" t="s">
        <v>10816</v>
      </c>
      <c r="G2751" s="12">
        <f ca="1">IFERROR(__xludf.DUMMYFUNCTION(" VLOOKUP(A2748, IMPORTRANGE(""https://docs.google.com/spreadsheets/d/1fj_Bhi2XPL3siwIh4sx4VRLAe31yD50oKdj5UlRYW0c/"", ""Сводка!A:AA""), 5, FALSE)"),304)</f>
        <v>304</v>
      </c>
      <c r="H2751" s="12" t="s">
        <v>538</v>
      </c>
      <c r="I2751" s="10">
        <f ca="1">IFERROR(__xludf.DUMMYFUNCTION(" VLOOKUP(A2748, IMPORTRANGE(""https://docs.google.com/spreadsheets/d/1QNLbnkR_AongFt22vMfNzfpjZ0CjpI8QI-w0wBnYA1w/"", ""Инфа!A:AA""), 6, FALSE)"),2024)</f>
        <v>2024</v>
      </c>
      <c r="J2751" s="5">
        <f ca="1">ROUND((5000+G2751*30),-2)</f>
        <v>14100</v>
      </c>
      <c r="K2751" s="12" t="s">
        <v>160</v>
      </c>
      <c r="L2751" s="15" t="s">
        <v>10817</v>
      </c>
    </row>
    <row r="2752" spans="1:12" ht="236.25">
      <c r="A2752" s="8" t="s">
        <v>10818</v>
      </c>
      <c r="B2752" s="9" t="s">
        <v>12</v>
      </c>
      <c r="C2752" s="10" t="s">
        <v>443</v>
      </c>
      <c r="D2752" s="10" t="s">
        <v>10819</v>
      </c>
      <c r="E2752" s="11" t="s">
        <v>10820</v>
      </c>
      <c r="F2752" s="11" t="s">
        <v>10821</v>
      </c>
      <c r="G2752" s="12">
        <f ca="1">IFERROR(__xludf.DUMMYFUNCTION(" VLOOKUP(A2749, IMPORTRANGE(""https://docs.google.com/spreadsheets/d/1fj_Bhi2XPL3siwIh4sx4VRLAe31yD50oKdj5UlRYW0c/"", ""Сводка!A:AA""), 5, FALSE)"),176)</f>
        <v>176</v>
      </c>
      <c r="H2752" s="12" t="s">
        <v>106</v>
      </c>
      <c r="I2752" s="10">
        <f ca="1">IFERROR(__xludf.DUMMYFUNCTION(" VLOOKUP(A2749, IMPORTRANGE(""https://docs.google.com/spreadsheets/d/1QNLbnkR_AongFt22vMfNzfpjZ0CjpI8QI-w0wBnYA1w/"", ""Инфа!A:AA""), 6, FALSE)"),2024)</f>
        <v>2024</v>
      </c>
      <c r="J2752" s="5">
        <f ca="1">ROUND((5000+G2752*30),-2)</f>
        <v>10300</v>
      </c>
      <c r="K2752" s="9" t="s">
        <v>539</v>
      </c>
      <c r="L2752" s="15" t="s">
        <v>10822</v>
      </c>
    </row>
    <row r="2753" spans="1:12" ht="168.75">
      <c r="A2753" s="8" t="s">
        <v>10823</v>
      </c>
      <c r="B2753" s="9" t="s">
        <v>12</v>
      </c>
      <c r="C2753" s="10" t="s">
        <v>443</v>
      </c>
      <c r="D2753" s="10" t="str">
        <f ca="1">IFERROR(__xludf.DUMMYFUNCTION(" VLOOKUP(A2750, IMPORTRANGE(""https://docs.google.com/spreadsheets/d/1fj_Bhi2XPL3siwIh4sx4VRLAe31yD50oKdj5UlRYW0c/"", ""Сводка!A:AA""), 11, FALSE)"),"978-601-327-265-8")</f>
        <v>978-601-327-265-8</v>
      </c>
      <c r="E2753" s="11" t="s">
        <v>10824</v>
      </c>
      <c r="F2753" s="11" t="s">
        <v>10825</v>
      </c>
      <c r="G2753" s="12">
        <f ca="1">IFERROR(__xludf.DUMMYFUNCTION(" VLOOKUP(A2750, IMPORTRANGE(""https://docs.google.com/spreadsheets/d/1fj_Bhi2XPL3siwIh4sx4VRLAe31yD50oKdj5UlRYW0c/"", ""Сводка!A:AA""), 5, FALSE)"),240)</f>
        <v>240</v>
      </c>
      <c r="H2753" s="12" t="s">
        <v>203</v>
      </c>
      <c r="I2753" s="10">
        <f ca="1">IFERROR(__xludf.DUMMYFUNCTION(" VLOOKUP(A2750, IMPORTRANGE(""https://docs.google.com/spreadsheets/d/1QNLbnkR_AongFt22vMfNzfpjZ0CjpI8QI-w0wBnYA1w/"", ""Инфа!A:AA""), 6, FALSE)"),2024)</f>
        <v>2024</v>
      </c>
      <c r="J2753" s="5">
        <f ca="1">ROUND((5000+G2753*30),-2)</f>
        <v>12200</v>
      </c>
      <c r="K2753" s="9" t="s">
        <v>539</v>
      </c>
      <c r="L2753" s="15" t="s">
        <v>10826</v>
      </c>
    </row>
    <row r="2754" spans="1:12" ht="146.25">
      <c r="A2754" s="8" t="s">
        <v>10827</v>
      </c>
      <c r="B2754" s="9" t="s">
        <v>12</v>
      </c>
      <c r="C2754" s="10" t="s">
        <v>13</v>
      </c>
      <c r="D2754" s="10" t="str">
        <f ca="1">IFERROR(__xludf.DUMMYFUNCTION(" VLOOKUP(A2751, IMPORTRANGE(""https://docs.google.com/spreadsheets/d/1fj_Bhi2XPL3siwIh4sx4VRLAe31yD50oKdj5UlRYW0c/"", ""Сводка!A:AA""), 11, FALSE)"),"978-601-310-294-8")</f>
        <v>978-601-310-294-8</v>
      </c>
      <c r="E2754" s="11" t="s">
        <v>10828</v>
      </c>
      <c r="F2754" s="11" t="s">
        <v>10829</v>
      </c>
      <c r="G2754" s="12">
        <f ca="1">IFERROR(__xludf.DUMMYFUNCTION(" VLOOKUP(A2751, IMPORTRANGE(""https://docs.google.com/spreadsheets/d/1fj_Bhi2XPL3siwIh4sx4VRLAe31yD50oKdj5UlRYW0c/"", ""Сводка!A:AA""), 5, FALSE)"),96)</f>
        <v>96</v>
      </c>
      <c r="H2754" s="12" t="s">
        <v>47</v>
      </c>
      <c r="I2754" s="10">
        <f ca="1">IFERROR(__xludf.DUMMYFUNCTION(" VLOOKUP(A2751, IMPORTRANGE(""https://docs.google.com/spreadsheets/d/1QNLbnkR_AongFt22vMfNzfpjZ0CjpI8QI-w0wBnYA1w/"", ""Инфа!A:AA""), 6, FALSE)"),2024)</f>
        <v>2024</v>
      </c>
      <c r="J2754" s="5">
        <f ca="1">ROUND((5000+G2754*30),-2)</f>
        <v>7900</v>
      </c>
      <c r="K2754" s="12" t="s">
        <v>243</v>
      </c>
      <c r="L2754" s="15" t="s">
        <v>10830</v>
      </c>
    </row>
    <row r="2755" spans="1:12" ht="168.75">
      <c r="A2755" s="8" t="s">
        <v>10831</v>
      </c>
      <c r="B2755" s="9" t="s">
        <v>12</v>
      </c>
      <c r="C2755" s="10" t="s">
        <v>151</v>
      </c>
      <c r="D2755" s="10" t="str">
        <f ca="1">IFERROR(__xludf.DUMMYFUNCTION(" VLOOKUP(A2752, IMPORTRANGE(""https://docs.google.com/spreadsheets/d/1fj_Bhi2XPL3siwIh4sx4VRLAe31yD50oKdj5UlRYW0c/"", ""Сводка!A:AA""), 11, FALSE)"),"978-601-238-396-6")</f>
        <v>978-601-238-396-6</v>
      </c>
      <c r="E2755" s="11" t="s">
        <v>10832</v>
      </c>
      <c r="F2755" s="11" t="s">
        <v>10833</v>
      </c>
      <c r="G2755" s="12">
        <f ca="1">IFERROR(__xludf.DUMMYFUNCTION(" VLOOKUP(A2752, IMPORTRANGE(""https://docs.google.com/spreadsheets/d/1fj_Bhi2XPL3siwIh4sx4VRLAe31yD50oKdj5UlRYW0c/"", ""Сводка!A:AA""), 5, FALSE)"),264)</f>
        <v>264</v>
      </c>
      <c r="H2755" s="12" t="s">
        <v>106</v>
      </c>
      <c r="I2755" s="10">
        <f ca="1">IFERROR(__xludf.DUMMYFUNCTION(" VLOOKUP(A2752, IMPORTRANGE(""https://docs.google.com/spreadsheets/d/1QNLbnkR_AongFt22vMfNzfpjZ0CjpI8QI-w0wBnYA1w/"", ""Инфа!A:AA""), 6, FALSE)"),2024)</f>
        <v>2024</v>
      </c>
      <c r="J2755" s="5">
        <f ca="1">ROUND((5000+G2755*60),-2)</f>
        <v>20800</v>
      </c>
      <c r="K2755" s="12" t="s">
        <v>7097</v>
      </c>
      <c r="L2755" s="15" t="s">
        <v>10834</v>
      </c>
    </row>
    <row r="2756" spans="1:12" ht="67.5">
      <c r="A2756" s="8" t="s">
        <v>10835</v>
      </c>
      <c r="B2756" s="9" t="s">
        <v>12</v>
      </c>
      <c r="C2756" s="10" t="s">
        <v>151</v>
      </c>
      <c r="D2756" s="10" t="str">
        <f ca="1">IFERROR(__xludf.DUMMYFUNCTION(" VLOOKUP(A2753, IMPORTRANGE(""https://docs.google.com/spreadsheets/d/1fj_Bhi2XPL3siwIh4sx4VRLAe31yD50oKdj5UlRYW0c/"", ""Сводка!A:AA""), 11, FALSE)"),"978-601-310-333-4")</f>
        <v>978-601-310-333-4</v>
      </c>
      <c r="E2756" s="11" t="s">
        <v>10836</v>
      </c>
      <c r="F2756" s="11" t="s">
        <v>10837</v>
      </c>
      <c r="G2756" s="12">
        <f ca="1">IFERROR(__xludf.DUMMYFUNCTION(" VLOOKUP(A2753, IMPORTRANGE(""https://docs.google.com/spreadsheets/d/1fj_Bhi2XPL3siwIh4sx4VRLAe31yD50oKdj5UlRYW0c/"", ""Сводка!A:AA""), 5, FALSE)"),257)</f>
        <v>257</v>
      </c>
      <c r="H2756" s="12" t="s">
        <v>47</v>
      </c>
      <c r="I2756" s="10">
        <f ca="1">IFERROR(__xludf.DUMMYFUNCTION(" VLOOKUP(A2753, IMPORTRANGE(""https://docs.google.com/spreadsheets/d/1QNLbnkR_AongFt22vMfNzfpjZ0CjpI8QI-w0wBnYA1w/"", ""Инфа!A:AA""), 6, FALSE)"),2024)</f>
        <v>2024</v>
      </c>
      <c r="J2756" s="5">
        <f ca="1">ROUND((5000+G2756*60),-2)</f>
        <v>20400</v>
      </c>
      <c r="K2756" s="12" t="s">
        <v>7097</v>
      </c>
      <c r="L2756" s="15" t="s">
        <v>10838</v>
      </c>
    </row>
    <row r="2757" spans="1:12" ht="303.75">
      <c r="A2757" s="8" t="s">
        <v>10839</v>
      </c>
      <c r="B2757" s="9" t="s">
        <v>12</v>
      </c>
      <c r="C2757" s="10" t="s">
        <v>443</v>
      </c>
      <c r="D2757" s="10" t="str">
        <f ca="1">IFERROR(__xludf.DUMMYFUNCTION(" VLOOKUP(A2754, IMPORTRANGE(""https://docs.google.com/spreadsheets/d/1fj_Bhi2XPL3siwIh4sx4VRLAe31yD50oKdj5UlRYW0c/"", ""Сводка!A:AA""), 11, FALSE)"),"978-601-327-623-6")</f>
        <v>978-601-327-623-6</v>
      </c>
      <c r="E2757" s="11" t="s">
        <v>10840</v>
      </c>
      <c r="F2757" s="11" t="s">
        <v>10841</v>
      </c>
      <c r="G2757" s="12">
        <f ca="1">IFERROR(__xludf.DUMMYFUNCTION(" VLOOKUP(A2754, IMPORTRANGE(""https://docs.google.com/spreadsheets/d/1fj_Bhi2XPL3siwIh4sx4VRLAe31yD50oKdj5UlRYW0c/"", ""Сводка!A:AA""), 5, FALSE)"),248)</f>
        <v>248</v>
      </c>
      <c r="H2757" s="12" t="s">
        <v>538</v>
      </c>
      <c r="I2757" s="10">
        <f ca="1">IFERROR(__xludf.DUMMYFUNCTION(" VLOOKUP(A2754, IMPORTRANGE(""https://docs.google.com/spreadsheets/d/1QNLbnkR_AongFt22vMfNzfpjZ0CjpI8QI-w0wBnYA1w/"", ""Инфа!A:AA""), 6, FALSE)"),2024)</f>
        <v>2024</v>
      </c>
      <c r="J2757" s="5">
        <f ca="1">ROUND(((5000+G2757*30)*1.3),-2)</f>
        <v>16200</v>
      </c>
      <c r="K2757" s="12" t="s">
        <v>84</v>
      </c>
      <c r="L2757" s="15" t="s">
        <v>10842</v>
      </c>
    </row>
    <row r="2758" spans="1:12" ht="112.5">
      <c r="A2758" s="8" t="s">
        <v>10843</v>
      </c>
      <c r="B2758" s="9" t="s">
        <v>12</v>
      </c>
      <c r="C2758" s="10" t="s">
        <v>443</v>
      </c>
      <c r="D2758" s="10" t="str">
        <f ca="1">IFERROR(__xludf.DUMMYFUNCTION(" VLOOKUP(A2755, IMPORTRANGE(""https://docs.google.com/spreadsheets/d/1fj_Bhi2XPL3siwIh4sx4VRLAe31yD50oKdj5UlRYW0c/"", ""Сводка!A:AA""), 11, FALSE)"),"978-601-327-598-7")</f>
        <v>978-601-327-598-7</v>
      </c>
      <c r="E2758" s="11" t="s">
        <v>10844</v>
      </c>
      <c r="F2758" s="11" t="s">
        <v>10845</v>
      </c>
      <c r="G2758" s="12">
        <f ca="1">IFERROR(__xludf.DUMMYFUNCTION(" VLOOKUP(A2755, IMPORTRANGE(""https://docs.google.com/spreadsheets/d/1fj_Bhi2XPL3siwIh4sx4VRLAe31yD50oKdj5UlRYW0c/"", ""Сводка!A:AA""), 5, FALSE)"),232)</f>
        <v>232</v>
      </c>
      <c r="H2758" s="12" t="s">
        <v>538</v>
      </c>
      <c r="I2758" s="10">
        <f ca="1">IFERROR(__xludf.DUMMYFUNCTION(" VLOOKUP(A2755, IMPORTRANGE(""https://docs.google.com/spreadsheets/d/1QNLbnkR_AongFt22vMfNzfpjZ0CjpI8QI-w0wBnYA1w/"", ""Инфа!A:AA""), 6, FALSE)"),2024)</f>
        <v>2024</v>
      </c>
      <c r="J2758" s="5">
        <f ca="1">ROUND(((5000+G2758*30)*1.3),-2)</f>
        <v>15500</v>
      </c>
      <c r="K2758" s="12" t="s">
        <v>84</v>
      </c>
      <c r="L2758" s="15" t="s">
        <v>10846</v>
      </c>
    </row>
    <row r="2759" spans="1:12" ht="236.25">
      <c r="A2759" s="8" t="s">
        <v>10847</v>
      </c>
      <c r="B2759" s="9" t="s">
        <v>12</v>
      </c>
      <c r="C2759" s="10" t="s">
        <v>443</v>
      </c>
      <c r="D2759" s="10" t="str">
        <f ca="1">IFERROR(__xludf.DUMMYFUNCTION(" VLOOKUP(A2756, IMPORTRANGE(""https://docs.google.com/spreadsheets/d/1fj_Bhi2XPL3siwIh4sx4VRLAe31yD50oKdj5UlRYW0c/"", ""Сводка!A:AA""), 11, FALSE)"),"978-601-327-597-0")</f>
        <v>978-601-327-597-0</v>
      </c>
      <c r="E2759" s="11" t="s">
        <v>10848</v>
      </c>
      <c r="F2759" s="11" t="s">
        <v>10849</v>
      </c>
      <c r="G2759" s="12">
        <f ca="1">IFERROR(__xludf.DUMMYFUNCTION(" VLOOKUP(A2756, IMPORTRANGE(""https://docs.google.com/spreadsheets/d/1fj_Bhi2XPL3siwIh4sx4VRLAe31yD50oKdj5UlRYW0c/"", ""Сводка!A:AA""), 5, FALSE)"),228)</f>
        <v>228</v>
      </c>
      <c r="H2759" s="12" t="s">
        <v>538</v>
      </c>
      <c r="I2759" s="10">
        <f ca="1">IFERROR(__xludf.DUMMYFUNCTION(" VLOOKUP(A2756, IMPORTRANGE(""https://docs.google.com/spreadsheets/d/1QNLbnkR_AongFt22vMfNzfpjZ0CjpI8QI-w0wBnYA1w/"", ""Инфа!A:AA""), 6, FALSE)"),2024)</f>
        <v>2024</v>
      </c>
      <c r="J2759" s="5">
        <f ca="1">ROUND(((5000+G2759*30)*1.3),-2)</f>
        <v>15400</v>
      </c>
      <c r="K2759" s="12" t="s">
        <v>84</v>
      </c>
      <c r="L2759" s="15" t="s">
        <v>10850</v>
      </c>
    </row>
    <row r="2760" spans="1:12" ht="101.25">
      <c r="A2760" s="8" t="s">
        <v>10851</v>
      </c>
      <c r="B2760" s="9" t="s">
        <v>12</v>
      </c>
      <c r="C2760" s="10" t="s">
        <v>443</v>
      </c>
      <c r="D2760" s="10" t="str">
        <f ca="1">IFERROR(__xludf.DUMMYFUNCTION(" VLOOKUP(A2757, IMPORTRANGE(""https://docs.google.com/spreadsheets/d/1fj_Bhi2XPL3siwIh4sx4VRLAe31yD50oKdj5UlRYW0c/"", ""Сводка!A:AA""), 11, FALSE)"),"978-601-327-599-4")</f>
        <v>978-601-327-599-4</v>
      </c>
      <c r="E2760" s="11" t="s">
        <v>10852</v>
      </c>
      <c r="F2760" s="11" t="s">
        <v>10853</v>
      </c>
      <c r="G2760" s="12">
        <f ca="1">IFERROR(__xludf.DUMMYFUNCTION(" VLOOKUP(A2757, IMPORTRANGE(""https://docs.google.com/spreadsheets/d/1fj_Bhi2XPL3siwIh4sx4VRLAe31yD50oKdj5UlRYW0c/"", ""Сводка!A:AA""), 5, FALSE)"),180)</f>
        <v>180</v>
      </c>
      <c r="H2760" s="12" t="s">
        <v>538</v>
      </c>
      <c r="I2760" s="10">
        <f ca="1">IFERROR(__xludf.DUMMYFUNCTION(" VLOOKUP(A2757, IMPORTRANGE(""https://docs.google.com/spreadsheets/d/1QNLbnkR_AongFt22vMfNzfpjZ0CjpI8QI-w0wBnYA1w/"", ""Инфа!A:AA""), 6, FALSE)"),2024)</f>
        <v>2024</v>
      </c>
      <c r="J2760" s="5">
        <f ca="1">ROUND(((5000+G2760*30)*1.3),-2)</f>
        <v>13500</v>
      </c>
      <c r="K2760" s="12" t="s">
        <v>84</v>
      </c>
      <c r="L2760" s="15" t="s">
        <v>10854</v>
      </c>
    </row>
    <row r="2761" spans="1:12" ht="89.25">
      <c r="A2761" s="8" t="s">
        <v>10855</v>
      </c>
      <c r="B2761" s="9" t="s">
        <v>12</v>
      </c>
      <c r="C2761" s="10" t="s">
        <v>151</v>
      </c>
      <c r="D2761" s="10" t="s">
        <v>10856</v>
      </c>
      <c r="E2761" s="11" t="s">
        <v>10857</v>
      </c>
      <c r="F2761" s="11" t="s">
        <v>10858</v>
      </c>
      <c r="G2761" s="12">
        <f ca="1">IFERROR(__xludf.DUMMYFUNCTION(" VLOOKUP(A2758, IMPORTRANGE(""https://docs.google.com/spreadsheets/d/1fj_Bhi2XPL3siwIh4sx4VRLAe31yD50oKdj5UlRYW0c/"", ""Сводка!A:AA""), 5, FALSE)"),128)</f>
        <v>128</v>
      </c>
      <c r="H2761" s="12" t="s">
        <v>106</v>
      </c>
      <c r="I2761" s="10">
        <f ca="1">IFERROR(__xludf.DUMMYFUNCTION(" VLOOKUP(A2758, IMPORTRANGE(""https://docs.google.com/spreadsheets/d/1QNLbnkR_AongFt22vMfNzfpjZ0CjpI8QI-w0wBnYA1w/"", ""Инфа!A:AA""), 6, FALSE)"),2024)</f>
        <v>2024</v>
      </c>
      <c r="J2761" s="5">
        <f ca="1">ROUND((5000+G2761*30),-2)</f>
        <v>8800</v>
      </c>
      <c r="K2761" s="12" t="s">
        <v>3371</v>
      </c>
      <c r="L2761" s="15"/>
    </row>
    <row r="2762" spans="1:12" ht="180">
      <c r="A2762" s="8" t="s">
        <v>10859</v>
      </c>
      <c r="B2762" s="9" t="s">
        <v>12</v>
      </c>
      <c r="C2762" s="10" t="s">
        <v>443</v>
      </c>
      <c r="D2762" s="10" t="str">
        <f ca="1">IFERROR(__xludf.DUMMYFUNCTION(" VLOOKUP(A2759, IMPORTRANGE(""https://docs.google.com/spreadsheets/d/1fj_Bhi2XPL3siwIh4sx4VRLAe31yD50oKdj5UlRYW0c/"", ""Сводка!A:AA""), 11, FALSE)"),"978-601-327-506-2")</f>
        <v>978-601-327-506-2</v>
      </c>
      <c r="E2762" s="11" t="s">
        <v>10860</v>
      </c>
      <c r="F2762" s="11" t="s">
        <v>10861</v>
      </c>
      <c r="G2762" s="12">
        <f ca="1">IFERROR(__xludf.DUMMYFUNCTION(" VLOOKUP(A2759, IMPORTRANGE(""https://docs.google.com/spreadsheets/d/1fj_Bhi2XPL3siwIh4sx4VRLAe31yD50oKdj5UlRYW0c/"", ""Сводка!A:AA""), 5, FALSE)"),128)</f>
        <v>128</v>
      </c>
      <c r="H2762" s="12" t="s">
        <v>538</v>
      </c>
      <c r="I2762" s="10">
        <f ca="1">IFERROR(__xludf.DUMMYFUNCTION(" VLOOKUP(A2759, IMPORTRANGE(""https://docs.google.com/spreadsheets/d/1QNLbnkR_AongFt22vMfNzfpjZ0CjpI8QI-w0wBnYA1w/"", ""Инфа!A:AA""), 6, FALSE)"),2024)</f>
        <v>2024</v>
      </c>
      <c r="J2762" s="5">
        <f ca="1">ROUND((5000+G2762*30),-2)</f>
        <v>8800</v>
      </c>
      <c r="K2762" s="12" t="s">
        <v>3371</v>
      </c>
      <c r="L2762" s="15" t="s">
        <v>10862</v>
      </c>
    </row>
    <row r="2763" spans="1:12" ht="303.75">
      <c r="A2763" s="8" t="s">
        <v>10863</v>
      </c>
      <c r="B2763" s="9" t="s">
        <v>12</v>
      </c>
      <c r="C2763" s="10" t="s">
        <v>151</v>
      </c>
      <c r="D2763" s="10" t="str">
        <f ca="1">IFERROR(__xludf.DUMMYFUNCTION(" VLOOKUP(A2760, IMPORTRANGE(""https://docs.google.com/spreadsheets/d/1fj_Bhi2XPL3siwIh4sx4VRLAe31yD50oKdj5UlRYW0c/"", ""Сводка!A:AA""), 11, FALSE)"),"978-601-327-964-0")</f>
        <v>978-601-327-964-0</v>
      </c>
      <c r="E2763" s="11" t="s">
        <v>10864</v>
      </c>
      <c r="F2763" s="22" t="s">
        <v>10865</v>
      </c>
      <c r="G2763" s="12">
        <f ca="1">IFERROR(__xludf.DUMMYFUNCTION(" VLOOKUP(A2760, IMPORTRANGE(""https://docs.google.com/spreadsheets/d/1fj_Bhi2XPL3siwIh4sx4VRLAe31yD50oKdj5UlRYW0c/"", ""Сводка!A:AA""), 5, FALSE)"),272)</f>
        <v>272</v>
      </c>
      <c r="H2763" s="10" t="s">
        <v>498</v>
      </c>
      <c r="I2763" s="10">
        <f ca="1">IFERROR(__xludf.DUMMYFUNCTION(" VLOOKUP(A2760, IMPORTRANGE(""https://docs.google.com/spreadsheets/d/1QNLbnkR_AongFt22vMfNzfpjZ0CjpI8QI-w0wBnYA1w/"", ""Инфа!A:AA""), 6, FALSE)"),2024)</f>
        <v>2024</v>
      </c>
      <c r="J2763" s="5">
        <f ca="1">ROUND(((5000+G2763*60)*1.3),-2)</f>
        <v>27700</v>
      </c>
      <c r="K2763" s="10" t="s">
        <v>625</v>
      </c>
      <c r="L2763" s="23" t="s">
        <v>10866</v>
      </c>
    </row>
    <row r="2764" spans="1:12" ht="180">
      <c r="A2764" s="8" t="s">
        <v>10867</v>
      </c>
      <c r="B2764" s="9" t="s">
        <v>12</v>
      </c>
      <c r="C2764" s="10" t="s">
        <v>151</v>
      </c>
      <c r="D2764" s="10" t="str">
        <f ca="1">IFERROR(__xludf.DUMMYFUNCTION(" VLOOKUP(A2761, IMPORTRANGE(""https://docs.google.com/spreadsheets/d/1fj_Bhi2XPL3siwIh4sx4VRLAe31yD50oKdj5UlRYW0c/"", ""Сводка!A:AA""), 11, FALSE)"),"978-601-327-718-9")</f>
        <v>978-601-327-718-9</v>
      </c>
      <c r="E2764" s="11" t="s">
        <v>10864</v>
      </c>
      <c r="F2764" s="22" t="s">
        <v>10868</v>
      </c>
      <c r="G2764" s="12">
        <f ca="1">IFERROR(__xludf.DUMMYFUNCTION(" VLOOKUP(A2761, IMPORTRANGE(""https://docs.google.com/spreadsheets/d/1fj_Bhi2XPL3siwIh4sx4VRLAe31yD50oKdj5UlRYW0c/"", ""Сводка!A:AA""), 5, FALSE)"),214)</f>
        <v>214</v>
      </c>
      <c r="H2764" s="10" t="s">
        <v>498</v>
      </c>
      <c r="I2764" s="10">
        <f ca="1">IFERROR(__xludf.DUMMYFUNCTION(" VLOOKUP(A2761, IMPORTRANGE(""https://docs.google.com/spreadsheets/d/1QNLbnkR_AongFt22vMfNzfpjZ0CjpI8QI-w0wBnYA1w/"", ""Инфа!A:AA""), 6, FALSE)"),2024)</f>
        <v>2024</v>
      </c>
      <c r="J2764" s="5">
        <f ca="1">ROUND((5000+G2764*30),-2)</f>
        <v>11400</v>
      </c>
      <c r="K2764" s="10" t="s">
        <v>625</v>
      </c>
      <c r="L2764" s="23" t="s">
        <v>10869</v>
      </c>
    </row>
    <row r="2765" spans="1:12" ht="146.25">
      <c r="A2765" s="8" t="s">
        <v>10870</v>
      </c>
      <c r="B2765" s="9" t="s">
        <v>12</v>
      </c>
      <c r="C2765" s="10" t="s">
        <v>443</v>
      </c>
      <c r="D2765" s="10" t="str">
        <f ca="1">IFERROR(__xludf.DUMMYFUNCTION(" VLOOKUP(A2762, IMPORTRANGE(""https://docs.google.com/spreadsheets/d/1fj_Bhi2XPL3siwIh4sx4VRLAe31yD50oKdj5UlRYW0c/"", ""Сводка!A:AA""), 11, FALSE)"),"978-601-310-756-1")</f>
        <v>978-601-310-756-1</v>
      </c>
      <c r="E2765" s="11" t="s">
        <v>10871</v>
      </c>
      <c r="F2765" s="11" t="s">
        <v>10872</v>
      </c>
      <c r="G2765" s="12">
        <f ca="1">IFERROR(__xludf.DUMMYFUNCTION(" VLOOKUP(A2762, IMPORTRANGE(""https://docs.google.com/spreadsheets/d/1fj_Bhi2XPL3siwIh4sx4VRLAe31yD50oKdj5UlRYW0c/"", ""Сводка!A:AA""), 5, FALSE)"),92)</f>
        <v>92</v>
      </c>
      <c r="H2765" s="12" t="s">
        <v>1271</v>
      </c>
      <c r="I2765" s="10">
        <f ca="1">IFERROR(__xludf.DUMMYFUNCTION(" VLOOKUP(A2762, IMPORTRANGE(""https://docs.google.com/spreadsheets/d/1QNLbnkR_AongFt22vMfNzfpjZ0CjpI8QI-w0wBnYA1w/"", ""Инфа!A:AA""), 6, FALSE)"),2024)</f>
        <v>2024</v>
      </c>
      <c r="J2765" s="5">
        <f ca="1">ROUND((5000+G2765*30),-2)</f>
        <v>7800</v>
      </c>
      <c r="K2765" s="12" t="s">
        <v>10873</v>
      </c>
      <c r="L2765" s="15" t="s">
        <v>10874</v>
      </c>
    </row>
    <row r="2766" spans="1:12" ht="281.25">
      <c r="A2766" s="8" t="s">
        <v>10875</v>
      </c>
      <c r="B2766" s="9" t="s">
        <v>12</v>
      </c>
      <c r="C2766" s="10" t="s">
        <v>443</v>
      </c>
      <c r="D2766" s="10" t="str">
        <f ca="1">IFERROR(__xludf.DUMMYFUNCTION(" VLOOKUP(A2763, IMPORTRANGE(""https://docs.google.com/spreadsheets/d/1fj_Bhi2XPL3siwIh4sx4VRLAe31yD50oKdj5UlRYW0c/"", ""Сводка!A:AA""), 11, FALSE)"),"978-9965-31-932-7")</f>
        <v>978-9965-31-932-7</v>
      </c>
      <c r="E2766" s="11" t="s">
        <v>10876</v>
      </c>
      <c r="F2766" s="11" t="s">
        <v>10877</v>
      </c>
      <c r="G2766" s="12">
        <f ca="1">IFERROR(__xludf.DUMMYFUNCTION(" VLOOKUP(A2763, IMPORTRANGE(""https://docs.google.com/spreadsheets/d/1fj_Bhi2XPL3siwIh4sx4VRLAe31yD50oKdj5UlRYW0c/"", ""Сводка!A:AA""), 5, FALSE)"),296)</f>
        <v>296</v>
      </c>
      <c r="H2766" s="12" t="s">
        <v>538</v>
      </c>
      <c r="I2766" s="10">
        <f ca="1">IFERROR(__xludf.DUMMYFUNCTION(" VLOOKUP(A2763, IMPORTRANGE(""https://docs.google.com/spreadsheets/d/1QNLbnkR_AongFt22vMfNzfpjZ0CjpI8QI-w0wBnYA1w/"", ""Инфа!A:AA""), 6, FALSE)"),2024)</f>
        <v>2024</v>
      </c>
      <c r="J2766" s="5">
        <f ca="1">ROUND((5000+G2766*60),-2)</f>
        <v>22800</v>
      </c>
      <c r="K2766" s="12" t="s">
        <v>10878</v>
      </c>
      <c r="L2766" s="15" t="s">
        <v>10879</v>
      </c>
    </row>
    <row r="2767" spans="1:12" ht="213.75">
      <c r="A2767" s="8" t="s">
        <v>10880</v>
      </c>
      <c r="B2767" s="9" t="s">
        <v>12</v>
      </c>
      <c r="C2767" s="10" t="s">
        <v>151</v>
      </c>
      <c r="D2767" s="10" t="str">
        <f ca="1">IFERROR(__xludf.DUMMYFUNCTION(" VLOOKUP(A2764, IMPORTRANGE(""https://docs.google.com/spreadsheets/d/1fj_Bhi2XPL3siwIh4sx4VRLAe31yD50oKdj5UlRYW0c/"", ""Сводка!A:AA""), 11, FALSE)"),"978-601-240-857-7")</f>
        <v>978-601-240-857-7</v>
      </c>
      <c r="E2767" s="11" t="s">
        <v>10881</v>
      </c>
      <c r="F2767" s="11" t="s">
        <v>10882</v>
      </c>
      <c r="G2767" s="12">
        <f ca="1">IFERROR(__xludf.DUMMYFUNCTION(" VLOOKUP(A2764, IMPORTRANGE(""https://docs.google.com/spreadsheets/d/1fj_Bhi2XPL3siwIh4sx4VRLAe31yD50oKdj5UlRYW0c/"", ""Сводка!A:AA""), 5, FALSE)"),268)</f>
        <v>268</v>
      </c>
      <c r="H2767" s="12" t="s">
        <v>56</v>
      </c>
      <c r="I2767" s="10">
        <f ca="1">IFERROR(__xludf.DUMMYFUNCTION(" VLOOKUP(A2764, IMPORTRANGE(""https://docs.google.com/spreadsheets/d/1QNLbnkR_AongFt22vMfNzfpjZ0CjpI8QI-w0wBnYA1w/"", ""Инфа!A:AA""), 6, FALSE)"),2024)</f>
        <v>2024</v>
      </c>
      <c r="J2767" s="5">
        <f ca="1">ROUND((5000+G2767*30),-2)</f>
        <v>13000</v>
      </c>
      <c r="K2767" s="12" t="s">
        <v>1450</v>
      </c>
      <c r="L2767" s="15" t="s">
        <v>10883</v>
      </c>
    </row>
    <row r="2768" spans="1:12" ht="292.5">
      <c r="A2768" s="8" t="s">
        <v>10884</v>
      </c>
      <c r="B2768" s="9" t="s">
        <v>12</v>
      </c>
      <c r="C2768" s="10" t="s">
        <v>151</v>
      </c>
      <c r="D2768" s="10" t="str">
        <f ca="1">IFERROR(__xludf.DUMMYFUNCTION(" VLOOKUP(A2765, IMPORTRANGE(""https://docs.google.com/spreadsheets/d/1fj_Bhi2XPL3siwIh4sx4VRLAe31yD50oKdj5UlRYW0c/"", ""Сводка!A:AA""), 11, FALSE)"),"978-601-327-366-2")</f>
        <v>978-601-327-366-2</v>
      </c>
      <c r="E2768" s="11" t="s">
        <v>10885</v>
      </c>
      <c r="F2768" s="11" t="s">
        <v>10886</v>
      </c>
      <c r="G2768" s="12">
        <f ca="1">IFERROR(__xludf.DUMMYFUNCTION(" VLOOKUP(A2765, IMPORTRANGE(""https://docs.google.com/spreadsheets/d/1fj_Bhi2XPL3siwIh4sx4VRLAe31yD50oKdj5UlRYW0c/"", ""Сводка!A:AA""), 5, FALSE)"),224)</f>
        <v>224</v>
      </c>
      <c r="H2768" s="12" t="s">
        <v>106</v>
      </c>
      <c r="I2768" s="10">
        <f ca="1">IFERROR(__xludf.DUMMYFUNCTION(" VLOOKUP(A2765, IMPORTRANGE(""https://docs.google.com/spreadsheets/d/1QNLbnkR_AongFt22vMfNzfpjZ0CjpI8QI-w0wBnYA1w/"", ""Инфа!A:AA""), 6, FALSE)"),2024)</f>
        <v>2024</v>
      </c>
      <c r="J2768" s="5">
        <f ca="1">ROUND((5000+G2768*30),-2)</f>
        <v>11700</v>
      </c>
      <c r="K2768" s="12" t="s">
        <v>1450</v>
      </c>
      <c r="L2768" s="15" t="s">
        <v>10887</v>
      </c>
    </row>
    <row r="2769" spans="1:12" ht="292.5">
      <c r="A2769" s="8" t="s">
        <v>10888</v>
      </c>
      <c r="B2769" s="9" t="s">
        <v>12</v>
      </c>
      <c r="C2769" s="10" t="s">
        <v>151</v>
      </c>
      <c r="D2769" s="10" t="str">
        <f ca="1">IFERROR(__xludf.DUMMYFUNCTION(" VLOOKUP(A2766, IMPORTRANGE(""https://docs.google.com/spreadsheets/d/1fj_Bhi2XPL3siwIh4sx4VRLAe31yD50oKdj5UlRYW0c/"", ""Сводка!A:AA""), 11, FALSE)"),"978-601-327-226-9")</f>
        <v>978-601-327-226-9</v>
      </c>
      <c r="E2769" s="11" t="s">
        <v>10885</v>
      </c>
      <c r="F2769" s="11" t="s">
        <v>10889</v>
      </c>
      <c r="G2769" s="12">
        <f ca="1">IFERROR(__xludf.DUMMYFUNCTION(" VLOOKUP(A2766, IMPORTRANGE(""https://docs.google.com/spreadsheets/d/1fj_Bhi2XPL3siwIh4sx4VRLAe31yD50oKdj5UlRYW0c/"", ""Сводка!A:AA""), 5, FALSE)"),184)</f>
        <v>184</v>
      </c>
      <c r="H2769" s="12" t="s">
        <v>106</v>
      </c>
      <c r="I2769" s="10">
        <f ca="1">IFERROR(__xludf.DUMMYFUNCTION(" VLOOKUP(A2766, IMPORTRANGE(""https://docs.google.com/spreadsheets/d/1QNLbnkR_AongFt22vMfNzfpjZ0CjpI8QI-w0wBnYA1w/"", ""Инфа!A:AA""), 6, FALSE)"),2024)</f>
        <v>2024</v>
      </c>
      <c r="J2769" s="5">
        <f ca="1">ROUND((5000+G2769*30),-2)</f>
        <v>10500</v>
      </c>
      <c r="K2769" s="12" t="s">
        <v>1450</v>
      </c>
      <c r="L2769" s="15" t="s">
        <v>10890</v>
      </c>
    </row>
    <row r="2770" spans="1:12" ht="213.75">
      <c r="A2770" s="8" t="s">
        <v>10891</v>
      </c>
      <c r="B2770" s="9" t="s">
        <v>12</v>
      </c>
      <c r="C2770" s="10" t="s">
        <v>151</v>
      </c>
      <c r="D2770" s="10" t="str">
        <f ca="1">IFERROR(__xludf.DUMMYFUNCTION(" VLOOKUP(A2767, IMPORTRANGE(""https://docs.google.com/spreadsheets/d/1fj_Bhi2XPL3siwIh4sx4VRLAe31yD50oKdj5UlRYW0c/"", ""Сводка!A:AA""), 11, FALSE)"),"978-601-240-857-7")</f>
        <v>978-601-240-857-7</v>
      </c>
      <c r="E2770" s="11" t="s">
        <v>10892</v>
      </c>
      <c r="F2770" s="11" t="s">
        <v>10893</v>
      </c>
      <c r="G2770" s="12">
        <f ca="1">IFERROR(__xludf.DUMMYFUNCTION(" VLOOKUP(A2767, IMPORTRANGE(""https://docs.google.com/spreadsheets/d/1fj_Bhi2XPL3siwIh4sx4VRLAe31yD50oKdj5UlRYW0c/"", ""Сводка!A:AA""), 5, FALSE)"),180)</f>
        <v>180</v>
      </c>
      <c r="H2770" s="12" t="s">
        <v>56</v>
      </c>
      <c r="I2770" s="10">
        <f ca="1">IFERROR(__xludf.DUMMYFUNCTION(" VLOOKUP(A2767, IMPORTRANGE(""https://docs.google.com/spreadsheets/d/1QNLbnkR_AongFt22vMfNzfpjZ0CjpI8QI-w0wBnYA1w/"", ""Инфа!A:AA""), 6, FALSE)"),2024)</f>
        <v>2024</v>
      </c>
      <c r="J2770" s="5">
        <f ca="1">ROUND((5000+G2770*30),-2)</f>
        <v>10400</v>
      </c>
      <c r="K2770" s="12" t="s">
        <v>1450</v>
      </c>
      <c r="L2770" s="15" t="s">
        <v>10883</v>
      </c>
    </row>
    <row r="2771" spans="1:12" ht="270">
      <c r="A2771" s="8" t="s">
        <v>10894</v>
      </c>
      <c r="B2771" s="9" t="s">
        <v>12</v>
      </c>
      <c r="C2771" s="10" t="s">
        <v>151</v>
      </c>
      <c r="D2771" s="10" t="str">
        <f ca="1">IFERROR(__xludf.DUMMYFUNCTION(" VLOOKUP(A2768, IMPORTRANGE(""https://docs.google.com/spreadsheets/d/1fj_Bhi2XPL3siwIh4sx4VRLAe31yD50oKdj5UlRYW0c/"", ""Сводка!A:AA""), 11, FALSE)"),"978-601-240-857-7")</f>
        <v>978-601-240-857-7</v>
      </c>
      <c r="E2771" s="11" t="s">
        <v>10895</v>
      </c>
      <c r="F2771" s="11" t="s">
        <v>10896</v>
      </c>
      <c r="G2771" s="12">
        <f ca="1">IFERROR(__xludf.DUMMYFUNCTION(" VLOOKUP(A2768, IMPORTRANGE(""https://docs.google.com/spreadsheets/d/1fj_Bhi2XPL3siwIh4sx4VRLAe31yD50oKdj5UlRYW0c/"", ""Сводка!A:AA""), 5, FALSE)"),236)</f>
        <v>236</v>
      </c>
      <c r="H2771" s="12" t="s">
        <v>498</v>
      </c>
      <c r="I2771" s="10">
        <f ca="1">IFERROR(__xludf.DUMMYFUNCTION(" VLOOKUP(A2768, IMPORTRANGE(""https://docs.google.com/spreadsheets/d/1QNLbnkR_AongFt22vMfNzfpjZ0CjpI8QI-w0wBnYA1w/"", ""Инфа!A:AA""), 6, FALSE)"),2024)</f>
        <v>2024</v>
      </c>
      <c r="J2771" s="5">
        <f ca="1">ROUND((5000+G2771*60),-2)</f>
        <v>19200</v>
      </c>
      <c r="K2771" s="12" t="s">
        <v>1450</v>
      </c>
      <c r="L2771" s="15" t="s">
        <v>10897</v>
      </c>
    </row>
    <row r="2772" spans="1:12" ht="270">
      <c r="A2772" s="8" t="s">
        <v>10898</v>
      </c>
      <c r="B2772" s="9" t="s">
        <v>12</v>
      </c>
      <c r="C2772" s="10" t="s">
        <v>151</v>
      </c>
      <c r="D2772" s="10" t="str">
        <f ca="1">IFERROR(__xludf.DUMMYFUNCTION(" VLOOKUP(A2769, IMPORTRANGE(""https://docs.google.com/spreadsheets/d/1fj_Bhi2XPL3siwIh4sx4VRLAe31yD50oKdj5UlRYW0c/"", ""Сводка!A:AA""), 11, FALSE)"),"978-601-240-857-7")</f>
        <v>978-601-240-857-7</v>
      </c>
      <c r="E2772" s="11" t="s">
        <v>10895</v>
      </c>
      <c r="F2772" s="11" t="s">
        <v>10899</v>
      </c>
      <c r="G2772" s="12">
        <f ca="1">IFERROR(__xludf.DUMMYFUNCTION(" VLOOKUP(A2769, IMPORTRANGE(""https://docs.google.com/spreadsheets/d/1fj_Bhi2XPL3siwIh4sx4VRLAe31yD50oKdj5UlRYW0c/"", ""Сводка!A:AA""), 5, FALSE)"),200)</f>
        <v>200</v>
      </c>
      <c r="H2772" s="12" t="s">
        <v>498</v>
      </c>
      <c r="I2772" s="10">
        <f ca="1">IFERROR(__xludf.DUMMYFUNCTION(" VLOOKUP(A2769, IMPORTRANGE(""https://docs.google.com/spreadsheets/d/1QNLbnkR_AongFt22vMfNzfpjZ0CjpI8QI-w0wBnYA1w/"", ""Инфа!A:AA""), 6, FALSE)"),2024)</f>
        <v>2024</v>
      </c>
      <c r="J2772" s="5">
        <f ca="1">ROUND((5000+G2772*60),-2)</f>
        <v>17000</v>
      </c>
      <c r="K2772" s="12" t="s">
        <v>1450</v>
      </c>
      <c r="L2772" s="15" t="s">
        <v>10897</v>
      </c>
    </row>
    <row r="2773" spans="1:12" ht="247.5">
      <c r="A2773" s="8" t="s">
        <v>10900</v>
      </c>
      <c r="B2773" s="9" t="s">
        <v>12</v>
      </c>
      <c r="C2773" s="10" t="s">
        <v>151</v>
      </c>
      <c r="D2773" s="10" t="str">
        <f ca="1">IFERROR(__xludf.DUMMYFUNCTION(" VLOOKUP(A2770, IMPORTRANGE(""https://docs.google.com/spreadsheets/d/1fj_Bhi2XPL3siwIh4sx4VRLAe31yD50oKdj5UlRYW0c/"", ""Сводка!A:AA""), 11, FALSE)"),"978-601-240-857-7")</f>
        <v>978-601-240-857-7</v>
      </c>
      <c r="E2773" s="11" t="s">
        <v>10901</v>
      </c>
      <c r="F2773" s="11" t="s">
        <v>10902</v>
      </c>
      <c r="G2773" s="12">
        <f ca="1">IFERROR(__xludf.DUMMYFUNCTION(" VLOOKUP(A2770, IMPORTRANGE(""https://docs.google.com/spreadsheets/d/1fj_Bhi2XPL3siwIh4sx4VRLAe31yD50oKdj5UlRYW0c/"", ""Сводка!A:AA""), 5, FALSE)"),280)</f>
        <v>280</v>
      </c>
      <c r="H2773" s="12" t="s">
        <v>56</v>
      </c>
      <c r="I2773" s="10">
        <f ca="1">IFERROR(__xludf.DUMMYFUNCTION(" VLOOKUP(A2770, IMPORTRANGE(""https://docs.google.com/spreadsheets/d/1QNLbnkR_AongFt22vMfNzfpjZ0CjpI8QI-w0wBnYA1w/"", ""Инфа!A:AA""), 6, FALSE)"),2024)</f>
        <v>2024</v>
      </c>
      <c r="J2773" s="5">
        <f ca="1">ROUND((5000+G2773*60),-2)</f>
        <v>21800</v>
      </c>
      <c r="K2773" s="12" t="s">
        <v>1450</v>
      </c>
      <c r="L2773" s="15" t="s">
        <v>10903</v>
      </c>
    </row>
    <row r="2774" spans="1:12" ht="247.5">
      <c r="A2774" s="8" t="s">
        <v>10904</v>
      </c>
      <c r="B2774" s="9" t="s">
        <v>12</v>
      </c>
      <c r="C2774" s="10" t="s">
        <v>151</v>
      </c>
      <c r="D2774" s="10" t="str">
        <f ca="1">IFERROR(__xludf.DUMMYFUNCTION(" VLOOKUP(A2771, IMPORTRANGE(""https://docs.google.com/spreadsheets/d/1fj_Bhi2XPL3siwIh4sx4VRLAe31yD50oKdj5UlRYW0c/"", ""Сводка!A:AA""), 11, FALSE)"),"978-601-240-857-7")</f>
        <v>978-601-240-857-7</v>
      </c>
      <c r="E2774" s="11" t="s">
        <v>10901</v>
      </c>
      <c r="F2774" s="11" t="s">
        <v>10905</v>
      </c>
      <c r="G2774" s="12">
        <f ca="1">IFERROR(__xludf.DUMMYFUNCTION(" VLOOKUP(A2771, IMPORTRANGE(""https://docs.google.com/spreadsheets/d/1fj_Bhi2XPL3siwIh4sx4VRLAe31yD50oKdj5UlRYW0c/"", ""Сводка!A:AA""), 5, FALSE)"),304)</f>
        <v>304</v>
      </c>
      <c r="H2774" s="12" t="s">
        <v>56</v>
      </c>
      <c r="I2774" s="10">
        <f ca="1">IFERROR(__xludf.DUMMYFUNCTION(" VLOOKUP(A2771, IMPORTRANGE(""https://docs.google.com/spreadsheets/d/1QNLbnkR_AongFt22vMfNzfpjZ0CjpI8QI-w0wBnYA1w/"", ""Инфа!A:AA""), 6, FALSE)"),2024)</f>
        <v>2024</v>
      </c>
      <c r="J2774" s="5">
        <f ca="1">ROUND((5000+G2774*60),-2)</f>
        <v>23200</v>
      </c>
      <c r="K2774" s="12" t="s">
        <v>1450</v>
      </c>
      <c r="L2774" s="15" t="s">
        <v>10903</v>
      </c>
    </row>
    <row r="2775" spans="1:12" ht="281.25">
      <c r="A2775" s="8" t="s">
        <v>10906</v>
      </c>
      <c r="B2775" s="9" t="s">
        <v>12</v>
      </c>
      <c r="C2775" s="10" t="s">
        <v>443</v>
      </c>
      <c r="D2775" s="10" t="str">
        <f ca="1">IFERROR(__xludf.DUMMYFUNCTION(" VLOOKUP(A2772, IMPORTRANGE(""https://docs.google.com/spreadsheets/d/1fj_Bhi2XPL3siwIh4sx4VRLAe31yD50oKdj5UlRYW0c/"", ""Сводка!A:AA""), 11, FALSE)"),"978-601-240-857-7")</f>
        <v>978-601-240-857-7</v>
      </c>
      <c r="E2775" s="11" t="s">
        <v>10907</v>
      </c>
      <c r="F2775" s="11" t="s">
        <v>10908</v>
      </c>
      <c r="G2775" s="12">
        <f ca="1">IFERROR(__xludf.DUMMYFUNCTION(" VLOOKUP(A2772, IMPORTRANGE(""https://docs.google.com/spreadsheets/d/1fj_Bhi2XPL3siwIh4sx4VRLAe31yD50oKdj5UlRYW0c/"", ""Сводка!A:AA""), 5, FALSE)"),248)</f>
        <v>248</v>
      </c>
      <c r="H2775" s="12" t="s">
        <v>671</v>
      </c>
      <c r="I2775" s="10">
        <f ca="1">IFERROR(__xludf.DUMMYFUNCTION(" VLOOKUP(A2772, IMPORTRANGE(""https://docs.google.com/spreadsheets/d/1QNLbnkR_AongFt22vMfNzfpjZ0CjpI8QI-w0wBnYA1w/"", ""Инфа!A:AA""), 6, FALSE)"),2024)</f>
        <v>2024</v>
      </c>
      <c r="J2775" s="5">
        <f ca="1">ROUND((5000+G2775*30),-2)</f>
        <v>12400</v>
      </c>
      <c r="K2775" s="12" t="s">
        <v>1450</v>
      </c>
      <c r="L2775" s="15" t="s">
        <v>10909</v>
      </c>
    </row>
    <row r="2776" spans="1:12" ht="281.25">
      <c r="A2776" s="8" t="s">
        <v>10910</v>
      </c>
      <c r="B2776" s="9" t="s">
        <v>12</v>
      </c>
      <c r="C2776" s="10" t="s">
        <v>443</v>
      </c>
      <c r="D2776" s="10" t="str">
        <f ca="1">IFERROR(__xludf.DUMMYFUNCTION(" VLOOKUP(A2773, IMPORTRANGE(""https://docs.google.com/spreadsheets/d/1fj_Bhi2XPL3siwIh4sx4VRLAe31yD50oKdj5UlRYW0c/"", ""Сводка!A:AA""), 11, FALSE)"),"978-601-240-857-7")</f>
        <v>978-601-240-857-7</v>
      </c>
      <c r="E2776" s="11" t="s">
        <v>10907</v>
      </c>
      <c r="F2776" s="11" t="s">
        <v>10911</v>
      </c>
      <c r="G2776" s="12">
        <f ca="1">IFERROR(__xludf.DUMMYFUNCTION(" VLOOKUP(A2773, IMPORTRANGE(""https://docs.google.com/spreadsheets/d/1fj_Bhi2XPL3siwIh4sx4VRLAe31yD50oKdj5UlRYW0c/"", ""Сводка!A:AA""), 5, FALSE)"),208)</f>
        <v>208</v>
      </c>
      <c r="H2776" s="12" t="s">
        <v>671</v>
      </c>
      <c r="I2776" s="10">
        <f ca="1">IFERROR(__xludf.DUMMYFUNCTION(" VLOOKUP(A2773, IMPORTRANGE(""https://docs.google.com/spreadsheets/d/1QNLbnkR_AongFt22vMfNzfpjZ0CjpI8QI-w0wBnYA1w/"", ""Инфа!A:AA""), 6, FALSE)"),2024)</f>
        <v>2024</v>
      </c>
      <c r="J2776" s="5">
        <f ca="1">ROUND((5000+G2776*60),-2)</f>
        <v>17500</v>
      </c>
      <c r="K2776" s="12" t="s">
        <v>1450</v>
      </c>
      <c r="L2776" s="15" t="s">
        <v>10909</v>
      </c>
    </row>
    <row r="2777" spans="1:12" ht="180">
      <c r="A2777" s="8" t="s">
        <v>10912</v>
      </c>
      <c r="B2777" s="9" t="s">
        <v>12</v>
      </c>
      <c r="C2777" s="10" t="s">
        <v>443</v>
      </c>
      <c r="D2777" s="10" t="str">
        <f ca="1">IFERROR(__xludf.DUMMYFUNCTION(" VLOOKUP(A2774, IMPORTRANGE(""https://docs.google.com/spreadsheets/d/1fj_Bhi2XPL3siwIh4sx4VRLAe31yD50oKdj5UlRYW0c/"", ""Сводка!A:AA""), 11, FALSE)"),"978-601-310-885-8")</f>
        <v>978-601-310-885-8</v>
      </c>
      <c r="E2777" s="11" t="s">
        <v>10913</v>
      </c>
      <c r="F2777" s="11" t="s">
        <v>10914</v>
      </c>
      <c r="G2777" s="12">
        <f ca="1">IFERROR(__xludf.DUMMYFUNCTION(" VLOOKUP(A2774, IMPORTRANGE(""https://docs.google.com/spreadsheets/d/1fj_Bhi2XPL3siwIh4sx4VRLAe31yD50oKdj5UlRYW0c/"", ""Сводка!A:AA""), 5, FALSE)"),172)</f>
        <v>172</v>
      </c>
      <c r="H2777" s="12" t="s">
        <v>511</v>
      </c>
      <c r="I2777" s="10">
        <f ca="1">IFERROR(__xludf.DUMMYFUNCTION(" VLOOKUP(A2774, IMPORTRANGE(""https://docs.google.com/spreadsheets/d/1QNLbnkR_AongFt22vMfNzfpjZ0CjpI8QI-w0wBnYA1w/"", ""Инфа!A:AA""), 6, FALSE)"),2024)</f>
        <v>2024</v>
      </c>
      <c r="J2777" s="5">
        <f ca="1">ROUND((5000+G2777*60),-2)</f>
        <v>15300</v>
      </c>
      <c r="K2777" s="12" t="s">
        <v>302</v>
      </c>
      <c r="L2777" s="15" t="s">
        <v>10915</v>
      </c>
    </row>
    <row r="2778" spans="1:12" ht="168.75">
      <c r="A2778" s="8" t="s">
        <v>10916</v>
      </c>
      <c r="B2778" s="9" t="s">
        <v>12</v>
      </c>
      <c r="C2778" s="13" t="s">
        <v>151</v>
      </c>
      <c r="D2778" s="10" t="str">
        <f ca="1">IFERROR(__xludf.DUMMYFUNCTION(" VLOOKUP(A2775, IMPORTRANGE(""https://docs.google.com/spreadsheets/d/1fj_Bhi2XPL3siwIh4sx4VRLAe31yD50oKdj5UlRYW0c/"", ""Сводка!A:AA""), 11, FALSE)"),"978-601-310-884-1")</f>
        <v>978-601-310-884-1</v>
      </c>
      <c r="E2778" s="19" t="s">
        <v>10917</v>
      </c>
      <c r="F2778" s="19" t="s">
        <v>10918</v>
      </c>
      <c r="G2778" s="12">
        <f ca="1">IFERROR(__xludf.DUMMYFUNCTION(" VLOOKUP(A2775, IMPORTRANGE(""https://docs.google.com/spreadsheets/d/1fj_Bhi2XPL3siwIh4sx4VRLAe31yD50oKdj5UlRYW0c/"", ""Сводка!A:AA""), 5, FALSE)"),196)</f>
        <v>196</v>
      </c>
      <c r="H2778" s="9" t="s">
        <v>106</v>
      </c>
      <c r="I2778" s="10">
        <f ca="1">IFERROR(__xludf.DUMMYFUNCTION(" VLOOKUP(A2775, IMPORTRANGE(""https://docs.google.com/spreadsheets/d/1QNLbnkR_AongFt22vMfNzfpjZ0CjpI8QI-w0wBnYA1w/"", ""Инфа!A:AA""), 6, FALSE)"),2024)</f>
        <v>2024</v>
      </c>
      <c r="J2778" s="5">
        <f ca="1">ROUND((5000+G2778*60),-2)</f>
        <v>16800</v>
      </c>
      <c r="K2778" s="12" t="s">
        <v>302</v>
      </c>
      <c r="L2778" s="21" t="s">
        <v>10919</v>
      </c>
    </row>
    <row r="2779" spans="1:12" ht="202.5">
      <c r="A2779" s="8" t="s">
        <v>10920</v>
      </c>
      <c r="B2779" s="9" t="s">
        <v>12</v>
      </c>
      <c r="C2779" s="10" t="s">
        <v>151</v>
      </c>
      <c r="D2779" s="10" t="str">
        <f ca="1">IFERROR(__xludf.DUMMYFUNCTION(" VLOOKUP(A2776, IMPORTRANGE(""https://docs.google.com/spreadsheets/d/1fj_Bhi2XPL3siwIh4sx4VRLAe31yD50oKdj5UlRYW0c/"", ""Сводка!A:AA""), 11, FALSE)"),"978-601-310-795-0")</f>
        <v>978-601-310-795-0</v>
      </c>
      <c r="E2779" s="11" t="s">
        <v>10921</v>
      </c>
      <c r="F2779" s="11" t="s">
        <v>10922</v>
      </c>
      <c r="G2779" s="12">
        <f ca="1">IFERROR(__xludf.DUMMYFUNCTION(" VLOOKUP(A2776, IMPORTRANGE(""https://docs.google.com/spreadsheets/d/1fj_Bhi2XPL3siwIh4sx4VRLAe31yD50oKdj5UlRYW0c/"", ""Сводка!A:AA""), 5, FALSE)"),208)</f>
        <v>208</v>
      </c>
      <c r="H2779" s="12" t="s">
        <v>47</v>
      </c>
      <c r="I2779" s="10">
        <f ca="1">IFERROR(__xludf.DUMMYFUNCTION(" VLOOKUP(A2776, IMPORTRANGE(""https://docs.google.com/spreadsheets/d/1QNLbnkR_AongFt22vMfNzfpjZ0CjpI8QI-w0wBnYA1w/"", ""Инфа!A:AA""), 6, FALSE)"),2024)</f>
        <v>2024</v>
      </c>
      <c r="J2779" s="5">
        <f ca="1">ROUND((5000+G2779*30),-2)</f>
        <v>11200</v>
      </c>
      <c r="K2779" s="12" t="s">
        <v>961</v>
      </c>
      <c r="L2779" s="15" t="s">
        <v>10923</v>
      </c>
    </row>
    <row r="2780" spans="1:12" ht="123.75">
      <c r="A2780" s="8" t="s">
        <v>10924</v>
      </c>
      <c r="B2780" s="9" t="s">
        <v>12</v>
      </c>
      <c r="C2780" s="10" t="s">
        <v>443</v>
      </c>
      <c r="D2780" s="10" t="str">
        <f ca="1">IFERROR(__xludf.DUMMYFUNCTION(" VLOOKUP(A2777, IMPORTRANGE(""https://docs.google.com/spreadsheets/d/1fj_Bhi2XPL3siwIh4sx4VRLAe31yD50oKdj5UlRYW0c/"", ""Сводка!A:AA""), 11, FALSE)"),"978-601-240-778-5")</f>
        <v>978-601-240-778-5</v>
      </c>
      <c r="E2780" s="11" t="s">
        <v>10921</v>
      </c>
      <c r="F2780" s="11" t="s">
        <v>10925</v>
      </c>
      <c r="G2780" s="12">
        <f ca="1">IFERROR(__xludf.DUMMYFUNCTION(" VLOOKUP(A2777, IMPORTRANGE(""https://docs.google.com/spreadsheets/d/1fj_Bhi2XPL3siwIh4sx4VRLAe31yD50oKdj5UlRYW0c/"", ""Сводка!A:AA""), 5, FALSE)"),148)</f>
        <v>148</v>
      </c>
      <c r="H2780" s="12" t="s">
        <v>538</v>
      </c>
      <c r="I2780" s="10">
        <f ca="1">IFERROR(__xludf.DUMMYFUNCTION(" VLOOKUP(A2777, IMPORTRANGE(""https://docs.google.com/spreadsheets/d/1QNLbnkR_AongFt22vMfNzfpjZ0CjpI8QI-w0wBnYA1w/"", ""Инфа!A:AA""), 6, FALSE)"),2024)</f>
        <v>2024</v>
      </c>
      <c r="J2780" s="5">
        <f ca="1">ROUND((5000+G2780*60),-2)</f>
        <v>13900</v>
      </c>
      <c r="K2780" s="12" t="s">
        <v>302</v>
      </c>
      <c r="L2780" s="15" t="s">
        <v>10926</v>
      </c>
    </row>
    <row r="2781" spans="1:12" ht="168.75">
      <c r="A2781" s="8" t="s">
        <v>10927</v>
      </c>
      <c r="B2781" s="9" t="s">
        <v>12</v>
      </c>
      <c r="C2781" s="10" t="s">
        <v>151</v>
      </c>
      <c r="D2781" s="10" t="str">
        <f ca="1">IFERROR(__xludf.DUMMYFUNCTION(" VLOOKUP(A2778, IMPORTRANGE(""https://docs.google.com/spreadsheets/d/1fj_Bhi2XPL3siwIh4sx4VRLAe31yD50oKdj5UlRYW0c/"", ""Сводка!A:AA""), 11, FALSE)"),"978-601-330-160-0")</f>
        <v>978-601-330-160-0</v>
      </c>
      <c r="E2781" s="11" t="s">
        <v>10928</v>
      </c>
      <c r="F2781" s="11" t="s">
        <v>10929</v>
      </c>
      <c r="G2781" s="12">
        <f ca="1">IFERROR(__xludf.DUMMYFUNCTION(" VLOOKUP(A2778, IMPORTRANGE(""https://docs.google.com/spreadsheets/d/1fj_Bhi2XPL3siwIh4sx4VRLAe31yD50oKdj5UlRYW0c/"", ""Сводка!A:AA""), 5, FALSE)"),120)</f>
        <v>120</v>
      </c>
      <c r="H2781" s="12" t="s">
        <v>10930</v>
      </c>
      <c r="I2781" s="10">
        <f ca="1">IFERROR(__xludf.DUMMYFUNCTION(" VLOOKUP(A2778, IMPORTRANGE(""https://docs.google.com/spreadsheets/d/1QNLbnkR_AongFt22vMfNzfpjZ0CjpI8QI-w0wBnYA1w/"", ""Инфа!A:AA""), 6, FALSE)"),2024)</f>
        <v>2024</v>
      </c>
      <c r="J2781" s="5">
        <f ca="1">ROUND((5000+G2781*60),-2)</f>
        <v>12200</v>
      </c>
      <c r="K2781" s="12" t="s">
        <v>10931</v>
      </c>
      <c r="L2781" s="15" t="s">
        <v>10932</v>
      </c>
    </row>
    <row r="2782" spans="1:12" ht="213.75">
      <c r="A2782" s="8" t="s">
        <v>10933</v>
      </c>
      <c r="B2782" s="9" t="s">
        <v>12</v>
      </c>
      <c r="C2782" s="10" t="s">
        <v>151</v>
      </c>
      <c r="D2782" s="10" t="str">
        <f ca="1">IFERROR(__xludf.DUMMYFUNCTION(" VLOOKUP(A2779, IMPORTRANGE(""https://docs.google.com/spreadsheets/d/1fj_Bhi2XPL3siwIh4sx4VRLAe31yD50oKdj5UlRYW0c/"", ""Сводка!A:AA""), 11, FALSE)"),"978-601-330-161-7")</f>
        <v>978-601-330-161-7</v>
      </c>
      <c r="E2782" s="11" t="s">
        <v>10928</v>
      </c>
      <c r="F2782" s="11" t="s">
        <v>10934</v>
      </c>
      <c r="G2782" s="12">
        <f ca="1">IFERROR(__xludf.DUMMYFUNCTION(" VLOOKUP(A2779, IMPORTRANGE(""https://docs.google.com/spreadsheets/d/1fj_Bhi2XPL3siwIh4sx4VRLAe31yD50oKdj5UlRYW0c/"", ""Сводка!A:AA""), 5, FALSE)"),184)</f>
        <v>184</v>
      </c>
      <c r="H2782" s="12" t="s">
        <v>106</v>
      </c>
      <c r="I2782" s="10">
        <f ca="1">IFERROR(__xludf.DUMMYFUNCTION(" VLOOKUP(A2779, IMPORTRANGE(""https://docs.google.com/spreadsheets/d/1QNLbnkR_AongFt22vMfNzfpjZ0CjpI8QI-w0wBnYA1w/"", ""Инфа!A:AA""), 6, FALSE)"),2024)</f>
        <v>2024</v>
      </c>
      <c r="J2782" s="5">
        <f ca="1">ROUND((5000+G2782*60),-2)</f>
        <v>16000</v>
      </c>
      <c r="K2782" s="12" t="s">
        <v>10931</v>
      </c>
      <c r="L2782" s="15" t="s">
        <v>10935</v>
      </c>
    </row>
    <row r="2783" spans="1:12" ht="292.5">
      <c r="A2783" s="8" t="s">
        <v>10936</v>
      </c>
      <c r="B2783" s="9" t="s">
        <v>12</v>
      </c>
      <c r="C2783" s="10" t="s">
        <v>443</v>
      </c>
      <c r="D2783" s="10" t="str">
        <f ca="1">IFERROR(__xludf.DUMMYFUNCTION(" VLOOKUP(A2780, IMPORTRANGE(""https://docs.google.com/spreadsheets/d/1fj_Bhi2XPL3siwIh4sx4VRLAe31yD50oKdj5UlRYW0c/"", ""Сводка!A:AA""), 11, FALSE)"),"978-601-327-456-0")</f>
        <v>978-601-327-456-0</v>
      </c>
      <c r="E2783" s="11" t="s">
        <v>10937</v>
      </c>
      <c r="F2783" s="11" t="s">
        <v>10938</v>
      </c>
      <c r="G2783" s="12">
        <f ca="1">IFERROR(__xludf.DUMMYFUNCTION(" VLOOKUP(A2780, IMPORTRANGE(""https://docs.google.com/spreadsheets/d/1fj_Bhi2XPL3siwIh4sx4VRLAe31yD50oKdj5UlRYW0c/"", ""Сводка!A:AA""), 5, FALSE)"),120)</f>
        <v>120</v>
      </c>
      <c r="H2783" s="12" t="s">
        <v>538</v>
      </c>
      <c r="I2783" s="10">
        <f ca="1">IFERROR(__xludf.DUMMYFUNCTION(" VLOOKUP(A2780, IMPORTRANGE(""https://docs.google.com/spreadsheets/d/1QNLbnkR_AongFt22vMfNzfpjZ0CjpI8QI-w0wBnYA1w/"", ""Инфа!A:AA""), 6, FALSE)"),2024)</f>
        <v>2024</v>
      </c>
      <c r="J2783" s="5">
        <f ca="1">ROUND((5000+G2783*30),-2)</f>
        <v>8600</v>
      </c>
      <c r="K2783" s="9" t="s">
        <v>408</v>
      </c>
      <c r="L2783" s="15" t="s">
        <v>10939</v>
      </c>
    </row>
    <row r="2784" spans="1:12" ht="236.25">
      <c r="A2784" s="8" t="s">
        <v>10940</v>
      </c>
      <c r="B2784" s="9" t="s">
        <v>12</v>
      </c>
      <c r="C2784" s="10" t="s">
        <v>443</v>
      </c>
      <c r="D2784" s="10" t="str">
        <f ca="1">IFERROR(__xludf.DUMMYFUNCTION(" VLOOKUP(A2781, IMPORTRANGE(""https://docs.google.com/spreadsheets/d/1fj_Bhi2XPL3siwIh4sx4VRLAe31yD50oKdj5UlRYW0c/"", ""Сводка!A:AA""), 11, FALSE)"),"978-601-330-094-8")</f>
        <v>978-601-330-094-8</v>
      </c>
      <c r="E2784" s="11" t="s">
        <v>10941</v>
      </c>
      <c r="F2784" s="11" t="s">
        <v>10942</v>
      </c>
      <c r="G2784" s="12">
        <f ca="1">IFERROR(__xludf.DUMMYFUNCTION(" VLOOKUP(A2781, IMPORTRANGE(""https://docs.google.com/spreadsheets/d/1fj_Bhi2XPL3siwIh4sx4VRLAe31yD50oKdj5UlRYW0c/"", ""Сводка!A:AA""), 5, FALSE)"),76)</f>
        <v>76</v>
      </c>
      <c r="H2784" s="12" t="s">
        <v>538</v>
      </c>
      <c r="I2784" s="10">
        <f ca="1">IFERROR(__xludf.DUMMYFUNCTION(" VLOOKUP(A2781, IMPORTRANGE(""https://docs.google.com/spreadsheets/d/1QNLbnkR_AongFt22vMfNzfpjZ0CjpI8QI-w0wBnYA1w/"", ""Инфа!A:AA""), 6, FALSE)"),2024)</f>
        <v>2024</v>
      </c>
      <c r="J2784" s="5">
        <f ca="1">ROUND((5000+G2784*30),-2)</f>
        <v>7300</v>
      </c>
      <c r="K2784" s="9" t="s">
        <v>5121</v>
      </c>
      <c r="L2784" s="16" t="s">
        <v>10943</v>
      </c>
    </row>
    <row r="2785" spans="1:12" ht="168.75">
      <c r="A2785" s="8" t="s">
        <v>10944</v>
      </c>
      <c r="B2785" s="9" t="s">
        <v>12</v>
      </c>
      <c r="C2785" s="10" t="s">
        <v>10945</v>
      </c>
      <c r="D2785" s="10" t="str">
        <f ca="1">IFERROR(__xludf.DUMMYFUNCTION(" VLOOKUP(A2782, IMPORTRANGE(""https://docs.google.com/spreadsheets/d/1fj_Bhi2XPL3siwIh4sx4VRLAe31yD50oKdj5UlRYW0c/"", ""Сводка!A:AA""), 11, FALSE)"),"978-601-327-500-0")</f>
        <v>978-601-327-500-0</v>
      </c>
      <c r="E2785" s="11" t="s">
        <v>10946</v>
      </c>
      <c r="F2785" s="11" t="s">
        <v>10947</v>
      </c>
      <c r="G2785" s="12">
        <f ca="1">IFERROR(__xludf.DUMMYFUNCTION(" VLOOKUP(A2782, IMPORTRANGE(""https://docs.google.com/spreadsheets/d/1fj_Bhi2XPL3siwIh4sx4VRLAe31yD50oKdj5UlRYW0c/"", ""Сводка!A:AA""), 5, FALSE)"),92)</f>
        <v>92</v>
      </c>
      <c r="H2785" s="12" t="s">
        <v>1908</v>
      </c>
      <c r="I2785" s="10">
        <f ca="1">IFERROR(__xludf.DUMMYFUNCTION(" VLOOKUP(A2782, IMPORTRANGE(""https://docs.google.com/spreadsheets/d/1QNLbnkR_AongFt22vMfNzfpjZ0CjpI8QI-w0wBnYA1w/"", ""Инфа!A:AA""), 6, FALSE)"),2024)</f>
        <v>2024</v>
      </c>
      <c r="J2785" s="5">
        <f ca="1">ROUND((5000+G2785*30),-2)</f>
        <v>7800</v>
      </c>
      <c r="K2785" s="12" t="s">
        <v>37</v>
      </c>
      <c r="L2785" s="15" t="s">
        <v>10948</v>
      </c>
    </row>
    <row r="2786" spans="1:12" ht="123.75">
      <c r="A2786" s="8" t="s">
        <v>10949</v>
      </c>
      <c r="B2786" s="9" t="s">
        <v>12</v>
      </c>
      <c r="C2786" s="10" t="s">
        <v>151</v>
      </c>
      <c r="D2786" s="10" t="str">
        <f ca="1">IFERROR(__xludf.DUMMYFUNCTION(" VLOOKUP(A2783, IMPORTRANGE(""https://docs.google.com/spreadsheets/d/1fj_Bhi2XPL3siwIh4sx4VRLAe31yD50oKdj5UlRYW0c/"", ""Сводка!A:AA""), 11, FALSE)"),"978-601-327-500-1")</f>
        <v>978-601-327-500-1</v>
      </c>
      <c r="E2786" s="11" t="s">
        <v>10950</v>
      </c>
      <c r="F2786" s="11" t="s">
        <v>10951</v>
      </c>
      <c r="G2786" s="12">
        <f ca="1">IFERROR(__xludf.DUMMYFUNCTION(" VLOOKUP(A2783, IMPORTRANGE(""https://docs.google.com/spreadsheets/d/1fj_Bhi2XPL3siwIh4sx4VRLAe31yD50oKdj5UlRYW0c/"", ""Сводка!A:AA""), 5, FALSE)"),204)</f>
        <v>204</v>
      </c>
      <c r="H2786" s="12" t="s">
        <v>47</v>
      </c>
      <c r="I2786" s="10">
        <f ca="1">IFERROR(__xludf.DUMMYFUNCTION(" VLOOKUP(A2783, IMPORTRANGE(""https://docs.google.com/spreadsheets/d/1QNLbnkR_AongFt22vMfNzfpjZ0CjpI8QI-w0wBnYA1w/"", ""Инфа!A:AA""), 6, FALSE)"),2024)</f>
        <v>2024</v>
      </c>
      <c r="J2786" s="5">
        <f ca="1">ROUND((5000+G2786*60),-2)</f>
        <v>17200</v>
      </c>
      <c r="K2786" s="12" t="s">
        <v>37</v>
      </c>
      <c r="L2786" s="15" t="s">
        <v>10952</v>
      </c>
    </row>
    <row r="2787" spans="1:12" ht="123.75">
      <c r="A2787" s="8" t="s">
        <v>10953</v>
      </c>
      <c r="B2787" s="9" t="s">
        <v>12</v>
      </c>
      <c r="C2787" s="10" t="s">
        <v>443</v>
      </c>
      <c r="D2787" s="10" t="str">
        <f ca="1">IFERROR(__xludf.DUMMYFUNCTION(" VLOOKUP(A2784, IMPORTRANGE(""https://docs.google.com/spreadsheets/d/1fj_Bhi2XPL3siwIh4sx4VRLAe31yD50oKdj5UlRYW0c/"", ""Сводка!A:AA""), 11, FALSE)"),"978-601-327-383-9")</f>
        <v>978-601-327-383-9</v>
      </c>
      <c r="E2787" s="11" t="s">
        <v>10954</v>
      </c>
      <c r="F2787" s="11" t="s">
        <v>10955</v>
      </c>
      <c r="G2787" s="12">
        <f ca="1">IFERROR(__xludf.DUMMYFUNCTION(" VLOOKUP(A2784, IMPORTRANGE(""https://docs.google.com/spreadsheets/d/1fj_Bhi2XPL3siwIh4sx4VRLAe31yD50oKdj5UlRYW0c/"", ""Сводка!A:AA""), 5, FALSE)"),192)</f>
        <v>192</v>
      </c>
      <c r="H2787" s="12" t="s">
        <v>1908</v>
      </c>
      <c r="I2787" s="10">
        <f ca="1">IFERROR(__xludf.DUMMYFUNCTION(" VLOOKUP(A2784, IMPORTRANGE(""https://docs.google.com/spreadsheets/d/1QNLbnkR_AongFt22vMfNzfpjZ0CjpI8QI-w0wBnYA1w/"", ""Инфа!A:AA""), 6, FALSE)"),2024)</f>
        <v>2024</v>
      </c>
      <c r="J2787" s="5">
        <f ca="1">ROUND((5000+G2787*60),-2)</f>
        <v>16500</v>
      </c>
      <c r="K2787" s="12" t="s">
        <v>37</v>
      </c>
      <c r="L2787" s="15" t="s">
        <v>10956</v>
      </c>
    </row>
    <row r="2788" spans="1:12" ht="90">
      <c r="A2788" s="8" t="s">
        <v>10957</v>
      </c>
      <c r="B2788" s="9" t="s">
        <v>12</v>
      </c>
      <c r="C2788" s="10" t="s">
        <v>443</v>
      </c>
      <c r="D2788" s="10" t="str">
        <f ca="1">IFERROR(__xludf.DUMMYFUNCTION(" VLOOKUP(A2785, IMPORTRANGE(""https://docs.google.com/spreadsheets/d/1fj_Bhi2XPL3siwIh4sx4VRLAe31yD50oKdj5UlRYW0c/"", ""Сводка!A:AA""), 11, FALSE)"),"978-601-327-172-9")</f>
        <v>978-601-327-172-9</v>
      </c>
      <c r="E2788" s="11" t="s">
        <v>10958</v>
      </c>
      <c r="F2788" s="11" t="s">
        <v>10959</v>
      </c>
      <c r="G2788" s="12">
        <f ca="1">IFERROR(__xludf.DUMMYFUNCTION(" VLOOKUP(A2785, IMPORTRANGE(""https://docs.google.com/spreadsheets/d/1fj_Bhi2XPL3siwIh4sx4VRLAe31yD50oKdj5UlRYW0c/"", ""Сводка!A:AA""), 5, FALSE)"),176)</f>
        <v>176</v>
      </c>
      <c r="H2788" s="12" t="s">
        <v>511</v>
      </c>
      <c r="I2788" s="10">
        <f ca="1">IFERROR(__xludf.DUMMYFUNCTION(" VLOOKUP(A2785, IMPORTRANGE(""https://docs.google.com/spreadsheets/d/1QNLbnkR_AongFt22vMfNzfpjZ0CjpI8QI-w0wBnYA1w/"", ""Инфа!A:AA""), 6, FALSE)"),2024)</f>
        <v>2024</v>
      </c>
      <c r="J2788" s="5">
        <f t="shared" ref="J2788:J2794" ca="1" si="91">ROUND((5000+G2788*30),-2)</f>
        <v>10300</v>
      </c>
      <c r="K2788" s="12" t="s">
        <v>37</v>
      </c>
      <c r="L2788" s="15" t="s">
        <v>10960</v>
      </c>
    </row>
    <row r="2789" spans="1:12" ht="51">
      <c r="A2789" s="8" t="s">
        <v>10961</v>
      </c>
      <c r="B2789" s="9" t="s">
        <v>12</v>
      </c>
      <c r="C2789" s="10" t="s">
        <v>151</v>
      </c>
      <c r="D2789" s="10" t="str">
        <f ca="1">IFERROR(__xludf.DUMMYFUNCTION(" VLOOKUP(A2786, IMPORTRANGE(""https://docs.google.com/spreadsheets/d/1fj_Bhi2XPL3siwIh4sx4VRLAe31yD50oKdj5UlRYW0c/"", ""Сводка!A:AA""), 11, FALSE)"),"978-601-240-522-4")</f>
        <v>978-601-240-522-4</v>
      </c>
      <c r="E2789" s="11" t="s">
        <v>10962</v>
      </c>
      <c r="F2789" s="11" t="s">
        <v>10963</v>
      </c>
      <c r="G2789" s="12">
        <f ca="1">IFERROR(__xludf.DUMMYFUNCTION(" VLOOKUP(A2786, IMPORTRANGE(""https://docs.google.com/spreadsheets/d/1fj_Bhi2XPL3siwIh4sx4VRLAe31yD50oKdj5UlRYW0c/"", ""Сводка!A:AA""), 5, FALSE)"),64)</f>
        <v>64</v>
      </c>
      <c r="H2789" s="12" t="s">
        <v>538</v>
      </c>
      <c r="I2789" s="10">
        <f ca="1">IFERROR(__xludf.DUMMYFUNCTION(" VLOOKUP(A2786, IMPORTRANGE(""https://docs.google.com/spreadsheets/d/1QNLbnkR_AongFt22vMfNzfpjZ0CjpI8QI-w0wBnYA1w/"", ""Инфа!A:AA""), 6, FALSE)"),2024)</f>
        <v>2024</v>
      </c>
      <c r="J2789" s="5">
        <f t="shared" ca="1" si="91"/>
        <v>6900</v>
      </c>
      <c r="K2789" s="9" t="s">
        <v>575</v>
      </c>
      <c r="L2789" s="15"/>
    </row>
    <row r="2790" spans="1:12" ht="25.5">
      <c r="A2790" s="8" t="s">
        <v>10964</v>
      </c>
      <c r="B2790" s="9" t="s">
        <v>12</v>
      </c>
      <c r="C2790" s="10" t="s">
        <v>443</v>
      </c>
      <c r="D2790" s="10" t="str">
        <f ca="1">IFERROR(__xludf.DUMMYFUNCTION(" VLOOKUP(A2787, IMPORTRANGE(""https://docs.google.com/spreadsheets/d/1fj_Bhi2XPL3siwIh4sx4VRLAe31yD50oKdj5UlRYW0c/"", ""Сводка!A:AA""), 11, FALSE)"),"978-601-310-353-3")</f>
        <v>978-601-310-353-3</v>
      </c>
      <c r="E2790" s="25" t="s">
        <v>5461</v>
      </c>
      <c r="F2790" s="25" t="s">
        <v>10965</v>
      </c>
      <c r="G2790" s="12">
        <f ca="1">IFERROR(__xludf.DUMMYFUNCTION(" VLOOKUP(A2787, IMPORTRANGE(""https://docs.google.com/spreadsheets/d/1fj_Bhi2XPL3siwIh4sx4VRLAe31yD50oKdj5UlRYW0c/"", ""Сводка!A:AA""), 5, FALSE)"),256)</f>
        <v>256</v>
      </c>
      <c r="H2790" s="26"/>
      <c r="I2790" s="10">
        <f ca="1">IFERROR(__xludf.DUMMYFUNCTION(" VLOOKUP(A2787, IMPORTRANGE(""https://docs.google.com/spreadsheets/d/1QNLbnkR_AongFt22vMfNzfpjZ0CjpI8QI-w0wBnYA1w/"", ""Инфа!A:AA""), 6, FALSE)"),2024)</f>
        <v>2024</v>
      </c>
      <c r="J2790" s="5">
        <f t="shared" ca="1" si="91"/>
        <v>12700</v>
      </c>
      <c r="K2790" s="9" t="s">
        <v>575</v>
      </c>
      <c r="L2790" s="15"/>
    </row>
    <row r="2791" spans="1:12" ht="76.5">
      <c r="A2791" s="8" t="s">
        <v>10966</v>
      </c>
      <c r="B2791" s="9" t="s">
        <v>12</v>
      </c>
      <c r="C2791" s="10" t="s">
        <v>443</v>
      </c>
      <c r="D2791" s="10" t="str">
        <f ca="1">IFERROR(__xludf.DUMMYFUNCTION(" VLOOKUP(A2788, IMPORTRANGE(""https://docs.google.com/spreadsheets/d/1fj_Bhi2XPL3siwIh4sx4VRLAe31yD50oKdj5UlRYW0c/"", ""Сводка!A:AA""), 11, FALSE)"),"978-601-310-870-4")</f>
        <v>978-601-310-870-4</v>
      </c>
      <c r="E2791" s="25" t="s">
        <v>5461</v>
      </c>
      <c r="F2791" s="25" t="s">
        <v>10967</v>
      </c>
      <c r="G2791" s="12">
        <f ca="1">IFERROR(__xludf.DUMMYFUNCTION(" VLOOKUP(A2788, IMPORTRANGE(""https://docs.google.com/spreadsheets/d/1fj_Bhi2XPL3siwIh4sx4VRLAe31yD50oKdj5UlRYW0c/"", ""Сводка!A:AA""), 5, FALSE)"),124)</f>
        <v>124</v>
      </c>
      <c r="H2791" s="26" t="s">
        <v>4833</v>
      </c>
      <c r="I2791" s="10">
        <f ca="1">IFERROR(__xludf.DUMMYFUNCTION(" VLOOKUP(A2788, IMPORTRANGE(""https://docs.google.com/spreadsheets/d/1QNLbnkR_AongFt22vMfNzfpjZ0CjpI8QI-w0wBnYA1w/"", ""Инфа!A:AA""), 6, FALSE)"),2024)</f>
        <v>2024</v>
      </c>
      <c r="J2791" s="5">
        <f t="shared" ca="1" si="91"/>
        <v>8700</v>
      </c>
      <c r="K2791" s="9" t="s">
        <v>575</v>
      </c>
      <c r="L2791" s="15" t="s">
        <v>10968</v>
      </c>
    </row>
    <row r="2792" spans="1:12" ht="51">
      <c r="A2792" s="8" t="s">
        <v>10969</v>
      </c>
      <c r="B2792" s="9" t="s">
        <v>12</v>
      </c>
      <c r="C2792" s="10" t="s">
        <v>151</v>
      </c>
      <c r="D2792" s="10" t="str">
        <f ca="1">IFERROR(__xludf.DUMMYFUNCTION(" VLOOKUP(A2789, IMPORTRANGE(""https://docs.google.com/spreadsheets/d/1fj_Bhi2XPL3siwIh4sx4VRLAe31yD50oKdj5UlRYW0c/"", ""Сводка!A:AA""), 11, FALSE)"),"978-601-327-179-8")</f>
        <v>978-601-327-179-8</v>
      </c>
      <c r="E2792" s="25" t="s">
        <v>5461</v>
      </c>
      <c r="F2792" s="25" t="s">
        <v>10970</v>
      </c>
      <c r="G2792" s="12">
        <f ca="1">IFERROR(__xludf.DUMMYFUNCTION(" VLOOKUP(A2789, IMPORTRANGE(""https://docs.google.com/spreadsheets/d/1fj_Bhi2XPL3siwIh4sx4VRLAe31yD50oKdj5UlRYW0c/"", ""Сводка!A:AA""), 5, FALSE)"),84)</f>
        <v>84</v>
      </c>
      <c r="H2792" s="26"/>
      <c r="I2792" s="10">
        <f ca="1">IFERROR(__xludf.DUMMYFUNCTION(" VLOOKUP(A2789, IMPORTRANGE(""https://docs.google.com/spreadsheets/d/1QNLbnkR_AongFt22vMfNzfpjZ0CjpI8QI-w0wBnYA1w/"", ""Инфа!A:AA""), 6, FALSE)"),2024)</f>
        <v>2024</v>
      </c>
      <c r="J2792" s="5">
        <f t="shared" ca="1" si="91"/>
        <v>7500</v>
      </c>
      <c r="K2792" s="9" t="s">
        <v>575</v>
      </c>
      <c r="L2792" s="15"/>
    </row>
    <row r="2793" spans="1:12" ht="25.5">
      <c r="A2793" s="8" t="s">
        <v>10971</v>
      </c>
      <c r="B2793" s="9" t="s">
        <v>12</v>
      </c>
      <c r="C2793" s="10" t="s">
        <v>443</v>
      </c>
      <c r="D2793" s="10" t="str">
        <f ca="1">IFERROR(__xludf.DUMMYFUNCTION(" VLOOKUP(A2790, IMPORTRANGE(""https://docs.google.com/spreadsheets/d/1fj_Bhi2XPL3siwIh4sx4VRLAe31yD50oKdj5UlRYW0c/"", ""Сводка!A:AA""), 11, FALSE)"),"978-601-240-630-2")</f>
        <v>978-601-240-630-2</v>
      </c>
      <c r="E2793" s="11" t="s">
        <v>5461</v>
      </c>
      <c r="F2793" s="11" t="s">
        <v>10972</v>
      </c>
      <c r="G2793" s="12">
        <f ca="1">IFERROR(__xludf.DUMMYFUNCTION(" VLOOKUP(A2790, IMPORTRANGE(""https://docs.google.com/spreadsheets/d/1fj_Bhi2XPL3siwIh4sx4VRLAe31yD50oKdj5UlRYW0c/"", ""Сводка!A:AA""), 5, FALSE)"),84)</f>
        <v>84</v>
      </c>
      <c r="H2793" s="12" t="s">
        <v>538</v>
      </c>
      <c r="I2793" s="10">
        <f ca="1">IFERROR(__xludf.DUMMYFUNCTION(" VLOOKUP(A2790, IMPORTRANGE(""https://docs.google.com/spreadsheets/d/1QNLbnkR_AongFt22vMfNzfpjZ0CjpI8QI-w0wBnYA1w/"", ""Инфа!A:AA""), 6, FALSE)"),2024)</f>
        <v>2024</v>
      </c>
      <c r="J2793" s="5">
        <f t="shared" ca="1" si="91"/>
        <v>7500</v>
      </c>
      <c r="K2793" s="12" t="s">
        <v>26</v>
      </c>
      <c r="L2793" s="15"/>
    </row>
    <row r="2794" spans="1:12" ht="25.5">
      <c r="A2794" s="8" t="s">
        <v>10973</v>
      </c>
      <c r="B2794" s="9" t="s">
        <v>12</v>
      </c>
      <c r="C2794" s="10" t="s">
        <v>443</v>
      </c>
      <c r="D2794" s="10" t="str">
        <f ca="1">IFERROR(__xludf.DUMMYFUNCTION(" VLOOKUP(A2791, IMPORTRANGE(""https://docs.google.com/spreadsheets/d/1fj_Bhi2XPL3siwIh4sx4VRLAe31yD50oKdj5UlRYW0c/"", ""Сводка!A:AA""), 11, FALSE)"),"978-601-310-870-4")</f>
        <v>978-601-310-870-4</v>
      </c>
      <c r="E2794" s="25" t="s">
        <v>5461</v>
      </c>
      <c r="F2794" s="25" t="s">
        <v>10974</v>
      </c>
      <c r="G2794" s="12">
        <f ca="1">IFERROR(__xludf.DUMMYFUNCTION(" VLOOKUP(A2791, IMPORTRANGE(""https://docs.google.com/spreadsheets/d/1fj_Bhi2XPL3siwIh4sx4VRLAe31yD50oKdj5UlRYW0c/"", ""Сводка!A:AA""), 5, FALSE)"),124)</f>
        <v>124</v>
      </c>
      <c r="H2794" s="26"/>
      <c r="I2794" s="10">
        <f ca="1">IFERROR(__xludf.DUMMYFUNCTION(" VLOOKUP(A2791, IMPORTRANGE(""https://docs.google.com/spreadsheets/d/1QNLbnkR_AongFt22vMfNzfpjZ0CjpI8QI-w0wBnYA1w/"", ""Инфа!A:AA""), 6, FALSE)"),2024)</f>
        <v>2024</v>
      </c>
      <c r="J2794" s="5">
        <f t="shared" ca="1" si="91"/>
        <v>8700</v>
      </c>
      <c r="K2794" s="9" t="s">
        <v>575</v>
      </c>
      <c r="L2794" s="15"/>
    </row>
    <row r="2795" spans="1:12" ht="63.75">
      <c r="A2795" s="8" t="s">
        <v>10975</v>
      </c>
      <c r="B2795" s="9" t="s">
        <v>12</v>
      </c>
      <c r="C2795" s="10" t="s">
        <v>443</v>
      </c>
      <c r="D2795" s="10" t="str">
        <f ca="1">IFERROR(__xludf.DUMMYFUNCTION(" VLOOKUP(A2792, IMPORTRANGE(""https://docs.google.com/spreadsheets/d/1fj_Bhi2XPL3siwIh4sx4VRLAe31yD50oKdj5UlRYW0c/"", ""Сводка!A:AA""), 11, FALSE)"),"978-601-327-449-2")</f>
        <v>978-601-327-449-2</v>
      </c>
      <c r="E2795" s="25" t="s">
        <v>5461</v>
      </c>
      <c r="F2795" s="25" t="s">
        <v>10976</v>
      </c>
      <c r="G2795" s="12">
        <f ca="1">IFERROR(__xludf.DUMMYFUNCTION(" VLOOKUP(A2792, IMPORTRANGE(""https://docs.google.com/spreadsheets/d/1fj_Bhi2XPL3siwIh4sx4VRLAe31yD50oKdj5UlRYW0c/"", ""Сводка!A:AA""), 5, FALSE)"),156)</f>
        <v>156</v>
      </c>
      <c r="H2795" s="26"/>
      <c r="I2795" s="10">
        <f ca="1">IFERROR(__xludf.DUMMYFUNCTION(" VLOOKUP(A2792, IMPORTRANGE(""https://docs.google.com/spreadsheets/d/1QNLbnkR_AongFt22vMfNzfpjZ0CjpI8QI-w0wBnYA1w/"", ""Инфа!A:AA""), 6, FALSE)"),2024)</f>
        <v>2024</v>
      </c>
      <c r="J2795" s="5">
        <f ca="1">ROUND((5000+G2795*60),-2)</f>
        <v>14400</v>
      </c>
      <c r="K2795" s="9" t="s">
        <v>575</v>
      </c>
      <c r="L2795" s="15"/>
    </row>
    <row r="2796" spans="1:12" ht="123.75">
      <c r="A2796" s="8" t="s">
        <v>10977</v>
      </c>
      <c r="B2796" s="9" t="s">
        <v>12</v>
      </c>
      <c r="C2796" s="10" t="s">
        <v>151</v>
      </c>
      <c r="D2796" s="10" t="str">
        <f ca="1">IFERROR(__xludf.DUMMYFUNCTION(" VLOOKUP(A2793, IMPORTRANGE(""https://docs.google.com/spreadsheets/d/1fj_Bhi2XPL3siwIh4sx4VRLAe31yD50oKdj5UlRYW0c/"", ""Сводка!A:AA""), 11, FALSE)"),"978-601-310-832-6")</f>
        <v>978-601-310-832-6</v>
      </c>
      <c r="E2796" s="25" t="s">
        <v>5461</v>
      </c>
      <c r="F2796" s="25" t="s">
        <v>10978</v>
      </c>
      <c r="G2796" s="12">
        <f ca="1">IFERROR(__xludf.DUMMYFUNCTION(" VLOOKUP(A2793, IMPORTRANGE(""https://docs.google.com/spreadsheets/d/1fj_Bhi2XPL3siwIh4sx4VRLAe31yD50oKdj5UlRYW0c/"", ""Сводка!A:AA""), 5, FALSE)"),288)</f>
        <v>288</v>
      </c>
      <c r="H2796" s="26" t="s">
        <v>106</v>
      </c>
      <c r="I2796" s="10">
        <f ca="1">IFERROR(__xludf.DUMMYFUNCTION(" VLOOKUP(A2793, IMPORTRANGE(""https://docs.google.com/spreadsheets/d/1QNLbnkR_AongFt22vMfNzfpjZ0CjpI8QI-w0wBnYA1w/"", ""Инфа!A:AA""), 6, FALSE)"),2024)</f>
        <v>2024</v>
      </c>
      <c r="J2796" s="5">
        <f ca="1">ROUND((5000+G2796*60),-2)</f>
        <v>22300</v>
      </c>
      <c r="K2796" s="12" t="s">
        <v>26</v>
      </c>
      <c r="L2796" s="15" t="s">
        <v>10979</v>
      </c>
    </row>
    <row r="2797" spans="1:12" ht="51">
      <c r="A2797" s="8" t="s">
        <v>10980</v>
      </c>
      <c r="B2797" s="9" t="s">
        <v>12</v>
      </c>
      <c r="C2797" s="10" t="s">
        <v>443</v>
      </c>
      <c r="D2797" s="10" t="str">
        <f ca="1">IFERROR(__xludf.DUMMYFUNCTION(" VLOOKUP(A2794, IMPORTRANGE(""https://docs.google.com/spreadsheets/d/1fj_Bhi2XPL3siwIh4sx4VRLAe31yD50oKdj5UlRYW0c/"", ""Сводка!A:AA""), 11, FALSE)"),"978-601-310-651-9")</f>
        <v>978-601-310-651-9</v>
      </c>
      <c r="E2797" s="11" t="s">
        <v>5461</v>
      </c>
      <c r="F2797" s="11" t="s">
        <v>10981</v>
      </c>
      <c r="G2797" s="12">
        <f ca="1">IFERROR(__xludf.DUMMYFUNCTION(" VLOOKUP(A2794, IMPORTRANGE(""https://docs.google.com/spreadsheets/d/1fj_Bhi2XPL3siwIh4sx4VRLAe31yD50oKdj5UlRYW0c/"", ""Сводка!A:AA""), 5, FALSE)"),172)</f>
        <v>172</v>
      </c>
      <c r="H2797" s="12" t="s">
        <v>511</v>
      </c>
      <c r="I2797" s="10">
        <f ca="1">IFERROR(__xludf.DUMMYFUNCTION(" VLOOKUP(A2794, IMPORTRANGE(""https://docs.google.com/spreadsheets/d/1QNLbnkR_AongFt22vMfNzfpjZ0CjpI8QI-w0wBnYA1w/"", ""Инфа!A:AA""), 6, FALSE)"),2024)</f>
        <v>2024</v>
      </c>
      <c r="J2797" s="5">
        <f t="shared" ref="J2797:J2810" ca="1" si="92">ROUND((5000+G2797*30),-2)</f>
        <v>10200</v>
      </c>
      <c r="K2797" s="9" t="s">
        <v>575</v>
      </c>
      <c r="L2797" s="15"/>
    </row>
    <row r="2798" spans="1:12" ht="45">
      <c r="A2798" s="8" t="s">
        <v>10982</v>
      </c>
      <c r="B2798" s="9" t="s">
        <v>12</v>
      </c>
      <c r="C2798" s="10" t="s">
        <v>443</v>
      </c>
      <c r="D2798" s="10" t="str">
        <f ca="1">IFERROR(__xludf.DUMMYFUNCTION(" VLOOKUP(A2795, IMPORTRANGE(""https://docs.google.com/spreadsheets/d/1fj_Bhi2XPL3siwIh4sx4VRLAe31yD50oKdj5UlRYW0c/"", ""Сводка!A:AA""), 11, FALSE)"),"978-601-310-831-5")</f>
        <v>978-601-310-831-5</v>
      </c>
      <c r="E2798" s="11" t="s">
        <v>5461</v>
      </c>
      <c r="F2798" s="11" t="s">
        <v>10983</v>
      </c>
      <c r="G2798" s="12">
        <f ca="1">IFERROR(__xludf.DUMMYFUNCTION(" VLOOKUP(A2795, IMPORTRANGE(""https://docs.google.com/spreadsheets/d/1fj_Bhi2XPL3siwIh4sx4VRLAe31yD50oKdj5UlRYW0c/"", ""Сводка!A:AA""), 5, FALSE)"),172)</f>
        <v>172</v>
      </c>
      <c r="H2798" s="12" t="s">
        <v>511</v>
      </c>
      <c r="I2798" s="10">
        <f ca="1">IFERROR(__xludf.DUMMYFUNCTION(" VLOOKUP(A2795, IMPORTRANGE(""https://docs.google.com/spreadsheets/d/1QNLbnkR_AongFt22vMfNzfpjZ0CjpI8QI-w0wBnYA1w/"", ""Инфа!A:AA""), 6, FALSE)"),2024)</f>
        <v>2024</v>
      </c>
      <c r="J2798" s="5">
        <f t="shared" ca="1" si="92"/>
        <v>10200</v>
      </c>
      <c r="K2798" s="9" t="s">
        <v>575</v>
      </c>
      <c r="L2798" s="15" t="s">
        <v>10984</v>
      </c>
    </row>
    <row r="2799" spans="1:12" ht="25.5">
      <c r="A2799" s="8" t="s">
        <v>10985</v>
      </c>
      <c r="B2799" s="9" t="s">
        <v>12</v>
      </c>
      <c r="C2799" s="10" t="s">
        <v>443</v>
      </c>
      <c r="D2799" s="10" t="str">
        <f ca="1">IFERROR(__xludf.DUMMYFUNCTION(" VLOOKUP(A2796, IMPORTRANGE(""https://docs.google.com/spreadsheets/d/1fj_Bhi2XPL3siwIh4sx4VRLAe31yD50oKdj5UlRYW0c/"", ""Сводка!A:AA""), 11, FALSE)"),"978-601-240-521-7")</f>
        <v>978-601-240-521-7</v>
      </c>
      <c r="E2799" s="11" t="s">
        <v>5461</v>
      </c>
      <c r="F2799" s="11" t="s">
        <v>10986</v>
      </c>
      <c r="G2799" s="12">
        <f ca="1">IFERROR(__xludf.DUMMYFUNCTION(" VLOOKUP(A2796, IMPORTRANGE(""https://docs.google.com/spreadsheets/d/1fj_Bhi2XPL3siwIh4sx4VRLAe31yD50oKdj5UlRYW0c/"", ""Сводка!A:AA""), 5, FALSE)"),168)</f>
        <v>168</v>
      </c>
      <c r="H2799" s="12" t="s">
        <v>538</v>
      </c>
      <c r="I2799" s="10">
        <f ca="1">IFERROR(__xludf.DUMMYFUNCTION(" VLOOKUP(A2796, IMPORTRANGE(""https://docs.google.com/spreadsheets/d/1QNLbnkR_AongFt22vMfNzfpjZ0CjpI8QI-w0wBnYA1w/"", ""Инфа!A:AA""), 6, FALSE)"),2024)</f>
        <v>2024</v>
      </c>
      <c r="J2799" s="5">
        <f t="shared" ca="1" si="92"/>
        <v>10000</v>
      </c>
      <c r="K2799" s="12" t="s">
        <v>26</v>
      </c>
      <c r="L2799" s="15"/>
    </row>
    <row r="2800" spans="1:12" ht="101.25">
      <c r="A2800" s="8" t="s">
        <v>10987</v>
      </c>
      <c r="B2800" s="9" t="s">
        <v>12</v>
      </c>
      <c r="C2800" s="10" t="s">
        <v>151</v>
      </c>
      <c r="D2800" s="10" t="str">
        <f ca="1">IFERROR(__xludf.DUMMYFUNCTION(" VLOOKUP(A2797, IMPORTRANGE(""https://docs.google.com/spreadsheets/d/1fj_Bhi2XPL3siwIh4sx4VRLAe31yD50oKdj5UlRYW0c/"", ""Сводка!A:AA""), 11, FALSE)"),"978-601-240-502-1")</f>
        <v>978-601-240-502-1</v>
      </c>
      <c r="E2800" s="25" t="s">
        <v>5461</v>
      </c>
      <c r="F2800" s="25" t="s">
        <v>10988</v>
      </c>
      <c r="G2800" s="12">
        <f ca="1">IFERROR(__xludf.DUMMYFUNCTION(" VLOOKUP(A2797, IMPORTRANGE(""https://docs.google.com/spreadsheets/d/1fj_Bhi2XPL3siwIh4sx4VRLAe31yD50oKdj5UlRYW0c/"", ""Сводка!A:AA""), 5, FALSE)"),56)</f>
        <v>56</v>
      </c>
      <c r="H2800" s="26" t="s">
        <v>10989</v>
      </c>
      <c r="I2800" s="10">
        <f ca="1">IFERROR(__xludf.DUMMYFUNCTION(" VLOOKUP(A2797, IMPORTRANGE(""https://docs.google.com/spreadsheets/d/1QNLbnkR_AongFt22vMfNzfpjZ0CjpI8QI-w0wBnYA1w/"", ""Инфа!A:AA""), 6, FALSE)"),2024)</f>
        <v>2024</v>
      </c>
      <c r="J2800" s="5">
        <f t="shared" ca="1" si="92"/>
        <v>6700</v>
      </c>
      <c r="K2800" s="9" t="s">
        <v>575</v>
      </c>
      <c r="L2800" s="15" t="s">
        <v>10990</v>
      </c>
    </row>
    <row r="2801" spans="1:12" ht="25.5">
      <c r="A2801" s="8" t="s">
        <v>10991</v>
      </c>
      <c r="B2801" s="9" t="s">
        <v>12</v>
      </c>
      <c r="C2801" s="10" t="s">
        <v>151</v>
      </c>
      <c r="D2801" s="10" t="str">
        <f ca="1">IFERROR(__xludf.DUMMYFUNCTION(" VLOOKUP(A2798, IMPORTRANGE(""https://docs.google.com/spreadsheets/d/1fj_Bhi2XPL3siwIh4sx4VRLAe31yD50oKdj5UlRYW0c/"", ""Сводка!A:AA""), 11, FALSE)"),"978-601-240-650-1")</f>
        <v>978-601-240-650-1</v>
      </c>
      <c r="E2801" s="11" t="s">
        <v>5461</v>
      </c>
      <c r="F2801" s="11" t="s">
        <v>10992</v>
      </c>
      <c r="G2801" s="12">
        <f ca="1">IFERROR(__xludf.DUMMYFUNCTION(" VLOOKUP(A2798, IMPORTRANGE(""https://docs.google.com/spreadsheets/d/1fj_Bhi2XPL3siwIh4sx4VRLAe31yD50oKdj5UlRYW0c/"", ""Сводка!A:AA""), 5, FALSE)"),222)</f>
        <v>222</v>
      </c>
      <c r="H2801" s="12" t="s">
        <v>538</v>
      </c>
      <c r="I2801" s="10">
        <f ca="1">IFERROR(__xludf.DUMMYFUNCTION(" VLOOKUP(A2798, IMPORTRANGE(""https://docs.google.com/spreadsheets/d/1QNLbnkR_AongFt22vMfNzfpjZ0CjpI8QI-w0wBnYA1w/"", ""Инфа!A:AA""), 6, FALSE)"),2024)</f>
        <v>2024</v>
      </c>
      <c r="J2801" s="5">
        <f t="shared" ca="1" si="92"/>
        <v>11700</v>
      </c>
      <c r="K2801" s="12" t="s">
        <v>26</v>
      </c>
      <c r="L2801" s="15"/>
    </row>
    <row r="2802" spans="1:12" ht="25.5">
      <c r="A2802" s="8" t="s">
        <v>10993</v>
      </c>
      <c r="B2802" s="9" t="s">
        <v>12</v>
      </c>
      <c r="C2802" s="10" t="s">
        <v>443</v>
      </c>
      <c r="D2802" s="10" t="str">
        <f ca="1">IFERROR(__xludf.DUMMYFUNCTION(" VLOOKUP(A2799, IMPORTRANGE(""https://docs.google.com/spreadsheets/d/1fj_Bhi2XPL3siwIh4sx4VRLAe31yD50oKdj5UlRYW0c/"", ""Сводка!A:AA""), 11, FALSE)"),"978-601-240-524-1")</f>
        <v>978-601-240-524-1</v>
      </c>
      <c r="E2802" s="11" t="s">
        <v>10994</v>
      </c>
      <c r="F2802" s="11" t="s">
        <v>10995</v>
      </c>
      <c r="G2802" s="12">
        <f ca="1">IFERROR(__xludf.DUMMYFUNCTION(" VLOOKUP(A2799, IMPORTRANGE(""https://docs.google.com/spreadsheets/d/1fj_Bhi2XPL3siwIh4sx4VRLAe31yD50oKdj5UlRYW0c/"", ""Сводка!A:AA""), 5, FALSE)"),150)</f>
        <v>150</v>
      </c>
      <c r="H2802" s="12" t="s">
        <v>538</v>
      </c>
      <c r="I2802" s="10">
        <f ca="1">IFERROR(__xludf.DUMMYFUNCTION(" VLOOKUP(A2799, IMPORTRANGE(""https://docs.google.com/spreadsheets/d/1QNLbnkR_AongFt22vMfNzfpjZ0CjpI8QI-w0wBnYA1w/"", ""Инфа!A:AA""), 6, FALSE)"),2024)</f>
        <v>2024</v>
      </c>
      <c r="J2802" s="5">
        <f t="shared" ca="1" si="92"/>
        <v>9500</v>
      </c>
      <c r="K2802" s="12" t="s">
        <v>26</v>
      </c>
      <c r="L2802" s="15"/>
    </row>
    <row r="2803" spans="1:12" ht="38.25">
      <c r="A2803" s="8" t="s">
        <v>10996</v>
      </c>
      <c r="B2803" s="9" t="s">
        <v>12</v>
      </c>
      <c r="C2803" s="10" t="s">
        <v>151</v>
      </c>
      <c r="D2803" s="10" t="str">
        <f ca="1">IFERROR(__xludf.DUMMYFUNCTION(" VLOOKUP(A2800, IMPORTRANGE(""https://docs.google.com/spreadsheets/d/1fj_Bhi2XPL3siwIh4sx4VRLAe31yD50oKdj5UlRYW0c/"", ""Сводка!A:AA""), 11, FALSE)"),"978-601-310-651-9")</f>
        <v>978-601-310-651-9</v>
      </c>
      <c r="E2803" s="11" t="s">
        <v>10997</v>
      </c>
      <c r="F2803" s="11" t="s">
        <v>10998</v>
      </c>
      <c r="G2803" s="12">
        <f ca="1">IFERROR(__xludf.DUMMYFUNCTION(" VLOOKUP(A2800, IMPORTRANGE(""https://docs.google.com/spreadsheets/d/1fj_Bhi2XPL3siwIh4sx4VRLAe31yD50oKdj5UlRYW0c/"", ""Сводка!A:AA""), 5, FALSE)"),200)</f>
        <v>200</v>
      </c>
      <c r="H2803" s="12" t="s">
        <v>106</v>
      </c>
      <c r="I2803" s="10">
        <f ca="1">IFERROR(__xludf.DUMMYFUNCTION(" VLOOKUP(A2800, IMPORTRANGE(""https://docs.google.com/spreadsheets/d/1QNLbnkR_AongFt22vMfNzfpjZ0CjpI8QI-w0wBnYA1w/"", ""Инфа!A:AA""), 6, FALSE)"),2024)</f>
        <v>2024</v>
      </c>
      <c r="J2803" s="5">
        <f t="shared" ca="1" si="92"/>
        <v>11000</v>
      </c>
      <c r="K2803" s="12" t="s">
        <v>160</v>
      </c>
      <c r="L2803" s="15"/>
    </row>
    <row r="2804" spans="1:12" ht="146.25">
      <c r="A2804" s="8" t="s">
        <v>10999</v>
      </c>
      <c r="B2804" s="9" t="s">
        <v>12</v>
      </c>
      <c r="C2804" s="10" t="s">
        <v>151</v>
      </c>
      <c r="D2804" s="10" t="str">
        <f ca="1">IFERROR(__xludf.DUMMYFUNCTION(" VLOOKUP(A2801, IMPORTRANGE(""https://docs.google.com/spreadsheets/d/1fj_Bhi2XPL3siwIh4sx4VRLAe31yD50oKdj5UlRYW0c/"", ""Сводка!A:AA""), 11, FALSE)"),"978-601-310-998-5")</f>
        <v>978-601-310-998-5</v>
      </c>
      <c r="E2804" s="11" t="s">
        <v>11000</v>
      </c>
      <c r="F2804" s="11" t="s">
        <v>11001</v>
      </c>
      <c r="G2804" s="12">
        <f ca="1">IFERROR(__xludf.DUMMYFUNCTION(" VLOOKUP(A2801, IMPORTRANGE(""https://docs.google.com/spreadsheets/d/1fj_Bhi2XPL3siwIh4sx4VRLAe31yD50oKdj5UlRYW0c/"", ""Сводка!A:AA""), 5, FALSE)"),160)</f>
        <v>160</v>
      </c>
      <c r="H2804" s="12" t="s">
        <v>47</v>
      </c>
      <c r="I2804" s="10">
        <f ca="1">IFERROR(__xludf.DUMMYFUNCTION(" VLOOKUP(A2801, IMPORTRANGE(""https://docs.google.com/spreadsheets/d/1QNLbnkR_AongFt22vMfNzfpjZ0CjpI8QI-w0wBnYA1w/"", ""Инфа!A:AA""), 6, FALSE)"),2024)</f>
        <v>2024</v>
      </c>
      <c r="J2804" s="5">
        <f t="shared" ca="1" si="92"/>
        <v>9800</v>
      </c>
      <c r="K2804" s="9" t="s">
        <v>7967</v>
      </c>
      <c r="L2804" s="15" t="s">
        <v>11002</v>
      </c>
    </row>
    <row r="2805" spans="1:12" ht="123.75">
      <c r="A2805" s="8" t="s">
        <v>11003</v>
      </c>
      <c r="B2805" s="9" t="s">
        <v>12</v>
      </c>
      <c r="C2805" s="65" t="s">
        <v>535</v>
      </c>
      <c r="D2805" s="10" t="str">
        <f ca="1">IFERROR(__xludf.DUMMYFUNCTION(" VLOOKUP(A2802, IMPORTRANGE(""https://docs.google.com/spreadsheets/d/1fj_Bhi2XPL3siwIh4sx4VRLAe31yD50oKdj5UlRYW0c/"", ""Сводка!A:AA""), 11, FALSE)"),"978-601-240-136-3")</f>
        <v>978-601-240-136-3</v>
      </c>
      <c r="E2805" s="34" t="s">
        <v>11004</v>
      </c>
      <c r="F2805" s="34" t="s">
        <v>1959</v>
      </c>
      <c r="G2805" s="12">
        <f ca="1">IFERROR(__xludf.DUMMYFUNCTION(" VLOOKUP(A2802, IMPORTRANGE(""https://docs.google.com/spreadsheets/d/1fj_Bhi2XPL3siwIh4sx4VRLAe31yD50oKdj5UlRYW0c/"", ""Сводка!A:AA""), 5, FALSE)"),220)</f>
        <v>220</v>
      </c>
      <c r="H2805" s="35" t="s">
        <v>511</v>
      </c>
      <c r="I2805" s="10">
        <f ca="1">IFERROR(__xludf.DUMMYFUNCTION(" VLOOKUP(A2802, IMPORTRANGE(""https://docs.google.com/spreadsheets/d/1QNLbnkR_AongFt22vMfNzfpjZ0CjpI8QI-w0wBnYA1w/"", ""Инфа!A:AA""), 6, FALSE)"),2024)</f>
        <v>2024</v>
      </c>
      <c r="J2805" s="5">
        <f t="shared" ca="1" si="92"/>
        <v>11600</v>
      </c>
      <c r="K2805" s="12" t="s">
        <v>2520</v>
      </c>
      <c r="L2805" s="66" t="s">
        <v>11005</v>
      </c>
    </row>
    <row r="2806" spans="1:12" ht="101.25">
      <c r="A2806" s="8" t="s">
        <v>11006</v>
      </c>
      <c r="B2806" s="9" t="s">
        <v>12</v>
      </c>
      <c r="C2806" s="13" t="s">
        <v>443</v>
      </c>
      <c r="D2806" s="10" t="str">
        <f ca="1">IFERROR(__xludf.DUMMYFUNCTION(" VLOOKUP(A2803, IMPORTRANGE(""https://docs.google.com/spreadsheets/d/1fj_Bhi2XPL3siwIh4sx4VRLAe31yD50oKdj5UlRYW0c/"", ""Сводка!A:AA""), 11, FALSE)"),"978-601-310-379-2")</f>
        <v>978-601-310-379-2</v>
      </c>
      <c r="E2806" s="19" t="s">
        <v>11007</v>
      </c>
      <c r="F2806" s="19" t="s">
        <v>11008</v>
      </c>
      <c r="G2806" s="12">
        <f ca="1">IFERROR(__xludf.DUMMYFUNCTION(" VLOOKUP(A2803, IMPORTRANGE(""https://docs.google.com/spreadsheets/d/1fj_Bhi2XPL3siwIh4sx4VRLAe31yD50oKdj5UlRYW0c/"", ""Сводка!A:AA""), 5, FALSE)"),124)</f>
        <v>124</v>
      </c>
      <c r="H2806" s="9" t="s">
        <v>538</v>
      </c>
      <c r="I2806" s="10">
        <f ca="1">IFERROR(__xludf.DUMMYFUNCTION(" VLOOKUP(A2803, IMPORTRANGE(""https://docs.google.com/spreadsheets/d/1QNLbnkR_AongFt22vMfNzfpjZ0CjpI8QI-w0wBnYA1w/"", ""Инфа!A:AA""), 6, FALSE)"),2024)</f>
        <v>2024</v>
      </c>
      <c r="J2806" s="5">
        <f t="shared" ca="1" si="92"/>
        <v>8700</v>
      </c>
      <c r="K2806" s="9" t="s">
        <v>37</v>
      </c>
      <c r="L2806" s="21" t="s">
        <v>11009</v>
      </c>
    </row>
    <row r="2807" spans="1:12" ht="146.25">
      <c r="A2807" s="8" t="s">
        <v>11010</v>
      </c>
      <c r="B2807" s="9" t="s">
        <v>12</v>
      </c>
      <c r="C2807" s="10" t="s">
        <v>11011</v>
      </c>
      <c r="D2807" s="10" t="str">
        <f ca="1">IFERROR(__xludf.DUMMYFUNCTION(" VLOOKUP(A2804, IMPORTRANGE(""https://docs.google.com/spreadsheets/d/1fj_Bhi2XPL3siwIh4sx4VRLAe31yD50oKdj5UlRYW0c/"", ""Сводка!A:AA""), 11, FALSE)"),"978-601-313-049-1")</f>
        <v>978-601-313-049-1</v>
      </c>
      <c r="E2807" s="11" t="s">
        <v>11012</v>
      </c>
      <c r="F2807" s="11" t="s">
        <v>11013</v>
      </c>
      <c r="G2807" s="12">
        <f ca="1">IFERROR(__xludf.DUMMYFUNCTION(" VLOOKUP(A2804, IMPORTRANGE(""https://docs.google.com/spreadsheets/d/1fj_Bhi2XPL3siwIh4sx4VRLAe31yD50oKdj5UlRYW0c/"", ""Сводка!A:AA""), 5, FALSE)"),300)</f>
        <v>300</v>
      </c>
      <c r="H2807" s="12" t="s">
        <v>203</v>
      </c>
      <c r="I2807" s="10">
        <f ca="1">IFERROR(__xludf.DUMMYFUNCTION(" VLOOKUP(A2804, IMPORTRANGE(""https://docs.google.com/spreadsheets/d/1QNLbnkR_AongFt22vMfNzfpjZ0CjpI8QI-w0wBnYA1w/"", ""Инфа!A:AA""), 6, FALSE)"),2024)</f>
        <v>2024</v>
      </c>
      <c r="J2807" s="5">
        <f t="shared" ca="1" si="92"/>
        <v>14000</v>
      </c>
      <c r="K2807" s="12" t="s">
        <v>11014</v>
      </c>
      <c r="L2807" s="15" t="s">
        <v>11015</v>
      </c>
    </row>
    <row r="2808" spans="1:12" ht="135">
      <c r="A2808" s="8" t="s">
        <v>11016</v>
      </c>
      <c r="B2808" s="9" t="s">
        <v>12</v>
      </c>
      <c r="C2808" s="10" t="s">
        <v>11011</v>
      </c>
      <c r="D2808" s="10" t="str">
        <f ca="1">IFERROR(__xludf.DUMMYFUNCTION(" VLOOKUP(A2805, IMPORTRANGE(""https://docs.google.com/spreadsheets/d/1fj_Bhi2XPL3siwIh4sx4VRLAe31yD50oKdj5UlRYW0c/"", ""Сводка!A:AA""), 11, FALSE)"),"978-601-248-789-3")</f>
        <v>978-601-248-789-3</v>
      </c>
      <c r="E2808" s="11" t="s">
        <v>11017</v>
      </c>
      <c r="F2808" s="11" t="s">
        <v>11018</v>
      </c>
      <c r="G2808" s="12">
        <f ca="1">IFERROR(__xludf.DUMMYFUNCTION(" VLOOKUP(A2805, IMPORTRANGE(""https://docs.google.com/spreadsheets/d/1fj_Bhi2XPL3siwIh4sx4VRLAe31yD50oKdj5UlRYW0c/"", ""Сводка!A:AA""), 5, FALSE)"),316)</f>
        <v>316</v>
      </c>
      <c r="H2808" s="12" t="s">
        <v>203</v>
      </c>
      <c r="I2808" s="10">
        <f ca="1">IFERROR(__xludf.DUMMYFUNCTION(" VLOOKUP(A2805, IMPORTRANGE(""https://docs.google.com/spreadsheets/d/1QNLbnkR_AongFt22vMfNzfpjZ0CjpI8QI-w0wBnYA1w/"", ""Инфа!A:AA""), 6, FALSE)"),2024)</f>
        <v>2024</v>
      </c>
      <c r="J2808" s="5">
        <f t="shared" ca="1" si="92"/>
        <v>14500</v>
      </c>
      <c r="K2808" s="12" t="s">
        <v>11019</v>
      </c>
      <c r="L2808" s="15" t="s">
        <v>11020</v>
      </c>
    </row>
    <row r="2809" spans="1:12" ht="33.75">
      <c r="A2809" s="8" t="s">
        <v>11021</v>
      </c>
      <c r="B2809" s="9" t="s">
        <v>12</v>
      </c>
      <c r="C2809" s="10" t="s">
        <v>151</v>
      </c>
      <c r="D2809" s="10" t="str">
        <f ca="1">IFERROR(__xludf.DUMMYFUNCTION(" VLOOKUP(A2806, IMPORTRANGE(""https://docs.google.com/spreadsheets/d/1fj_Bhi2XPL3siwIh4sx4VRLAe31yD50oKdj5UlRYW0c/"", ""Сводка!A:AA""), 11, FALSE)"),"978- 9965-31-587-9")</f>
        <v>978- 9965-31-587-9</v>
      </c>
      <c r="E2809" s="11" t="s">
        <v>11022</v>
      </c>
      <c r="F2809" s="11" t="s">
        <v>11023</v>
      </c>
      <c r="G2809" s="12">
        <f ca="1">IFERROR(__xludf.DUMMYFUNCTION(" VLOOKUP(A2806, IMPORTRANGE(""https://docs.google.com/spreadsheets/d/1fj_Bhi2XPL3siwIh4sx4VRLAe31yD50oKdj5UlRYW0c/"", ""Сводка!A:AA""), 5, FALSE)"),152)</f>
        <v>152</v>
      </c>
      <c r="H2809" s="12" t="s">
        <v>47</v>
      </c>
      <c r="I2809" s="10">
        <f ca="1">IFERROR(__xludf.DUMMYFUNCTION(" VLOOKUP(A2806, IMPORTRANGE(""https://docs.google.com/spreadsheets/d/1QNLbnkR_AongFt22vMfNzfpjZ0CjpI8QI-w0wBnYA1w/"", ""Инфа!A:AA""), 6, FALSE)"),2024)</f>
        <v>2024</v>
      </c>
      <c r="J2809" s="5">
        <f t="shared" ca="1" si="92"/>
        <v>9600</v>
      </c>
      <c r="K2809" s="12" t="s">
        <v>740</v>
      </c>
      <c r="L2809" s="15" t="s">
        <v>11024</v>
      </c>
    </row>
    <row r="2810" spans="1:12" ht="112.5">
      <c r="A2810" s="8" t="s">
        <v>11025</v>
      </c>
      <c r="B2810" s="9" t="s">
        <v>12</v>
      </c>
      <c r="C2810" s="10" t="s">
        <v>151</v>
      </c>
      <c r="D2810" s="10" t="str">
        <f ca="1">IFERROR(__xludf.DUMMYFUNCTION(" VLOOKUP(A2807, IMPORTRANGE(""https://docs.google.com/spreadsheets/d/1fj_Bhi2XPL3siwIh4sx4VRLAe31yD50oKdj5UlRYW0c/"", ""Сводка!A:AA""), 11, FALSE)"),"978-9965-31-590-9")</f>
        <v>978-9965-31-590-9</v>
      </c>
      <c r="E2810" s="11" t="s">
        <v>11026</v>
      </c>
      <c r="F2810" s="11" t="s">
        <v>11027</v>
      </c>
      <c r="G2810" s="12">
        <f ca="1">IFERROR(__xludf.DUMMYFUNCTION(" VLOOKUP(A2807, IMPORTRANGE(""https://docs.google.com/spreadsheets/d/1fj_Bhi2XPL3siwIh4sx4VRLAe31yD50oKdj5UlRYW0c/"", ""Сводка!A:AA""), 5, FALSE)"),200)</f>
        <v>200</v>
      </c>
      <c r="H2810" s="12" t="s">
        <v>47</v>
      </c>
      <c r="I2810" s="10">
        <f ca="1">IFERROR(__xludf.DUMMYFUNCTION(" VLOOKUP(A2807, IMPORTRANGE(""https://docs.google.com/spreadsheets/d/1QNLbnkR_AongFt22vMfNzfpjZ0CjpI8QI-w0wBnYA1w/"", ""Инфа!A:AA""), 6, FALSE)"),2024)</f>
        <v>2024</v>
      </c>
      <c r="J2810" s="5">
        <f t="shared" ca="1" si="92"/>
        <v>11000</v>
      </c>
      <c r="K2810" s="12" t="s">
        <v>740</v>
      </c>
      <c r="L2810" s="15" t="s">
        <v>11028</v>
      </c>
    </row>
    <row r="2811" spans="1:12" ht="135">
      <c r="A2811" s="8" t="s">
        <v>11029</v>
      </c>
      <c r="B2811" s="9" t="s">
        <v>12</v>
      </c>
      <c r="C2811" s="10" t="s">
        <v>151</v>
      </c>
      <c r="D2811" s="10" t="str">
        <f ca="1">IFERROR(__xludf.DUMMYFUNCTION(" VLOOKUP(A2808, IMPORTRANGE(""https://docs.google.com/spreadsheets/d/1fj_Bhi2XPL3siwIh4sx4VRLAe31yD50oKdj5UlRYW0c/"", ""Сводка!A:AA""), 11, FALSE)"),"978-601-342-667-9")</f>
        <v>978-601-342-667-9</v>
      </c>
      <c r="E2811" s="11" t="s">
        <v>11030</v>
      </c>
      <c r="F2811" s="11" t="s">
        <v>11031</v>
      </c>
      <c r="G2811" s="12">
        <f ca="1">IFERROR(__xludf.DUMMYFUNCTION(" VLOOKUP(A2808, IMPORTRANGE(""https://docs.google.com/spreadsheets/d/1fj_Bhi2XPL3siwIh4sx4VRLAe31yD50oKdj5UlRYW0c/"", ""Сводка!A:AA""), 5, FALSE)"),196)</f>
        <v>196</v>
      </c>
      <c r="H2811" s="12" t="s">
        <v>6319</v>
      </c>
      <c r="I2811" s="10">
        <f ca="1">IFERROR(__xludf.DUMMYFUNCTION(" VLOOKUP(A2808, IMPORTRANGE(""https://docs.google.com/spreadsheets/d/1QNLbnkR_AongFt22vMfNzfpjZ0CjpI8QI-w0wBnYA1w/"", ""Инфа!A:AA""), 6, FALSE)"),2024)</f>
        <v>2024</v>
      </c>
      <c r="J2811" s="5">
        <f ca="1">ROUND((5000+G2811*60),-2)</f>
        <v>16800</v>
      </c>
      <c r="K2811" s="12" t="s">
        <v>765</v>
      </c>
      <c r="L2811" s="15" t="s">
        <v>11032</v>
      </c>
    </row>
    <row r="2812" spans="1:12" ht="112.5">
      <c r="A2812" s="8" t="s">
        <v>11033</v>
      </c>
      <c r="B2812" s="9" t="s">
        <v>12</v>
      </c>
      <c r="C2812" s="10" t="s">
        <v>443</v>
      </c>
      <c r="D2812" s="10" t="str">
        <f ca="1">IFERROR(__xludf.DUMMYFUNCTION(" VLOOKUP(A2809, IMPORTRANGE(""https://docs.google.com/spreadsheets/d/1fj_Bhi2XPL3siwIh4sx4VRLAe31yD50oKdj5UlRYW0c/"", ""Сводка!A:AA""), 11, FALSE)"),"978-601-342-464-4")</f>
        <v>978-601-342-464-4</v>
      </c>
      <c r="E2812" s="11" t="s">
        <v>11034</v>
      </c>
      <c r="F2812" s="11" t="s">
        <v>11035</v>
      </c>
      <c r="G2812" s="12">
        <f ca="1">IFERROR(__xludf.DUMMYFUNCTION(" VLOOKUP(A2809, IMPORTRANGE(""https://docs.google.com/spreadsheets/d/1fj_Bhi2XPL3siwIh4sx4VRLAe31yD50oKdj5UlRYW0c/"", ""Сводка!A:AA""), 5, FALSE)"),140)</f>
        <v>140</v>
      </c>
      <c r="H2812" s="12" t="s">
        <v>538</v>
      </c>
      <c r="I2812" s="10">
        <f ca="1">IFERROR(__xludf.DUMMYFUNCTION(" VLOOKUP(A2809, IMPORTRANGE(""https://docs.google.com/spreadsheets/d/1QNLbnkR_AongFt22vMfNzfpjZ0CjpI8QI-w0wBnYA1w/"", ""Инфа!A:AA""), 6, FALSE)"),2023)</f>
        <v>2023</v>
      </c>
      <c r="J2812" s="5">
        <f ca="1">ROUND((5000+G2812*60),-2)</f>
        <v>13400</v>
      </c>
      <c r="K2812" s="12" t="s">
        <v>257</v>
      </c>
      <c r="L2812" s="15" t="s">
        <v>11036</v>
      </c>
    </row>
    <row r="2813" spans="1:12" ht="25.5">
      <c r="A2813" s="8" t="s">
        <v>11037</v>
      </c>
      <c r="B2813" s="9" t="s">
        <v>12</v>
      </c>
      <c r="C2813" s="10" t="s">
        <v>443</v>
      </c>
      <c r="D2813" s="10" t="str">
        <f ca="1">IFERROR(__xludf.DUMMYFUNCTION(" VLOOKUP(A2810, IMPORTRANGE(""https://docs.google.com/spreadsheets/d/1fj_Bhi2XPL3siwIh4sx4VRLAe31yD50oKdj5UlRYW0c/"", ""Сводка!A:AA""), 11, FALSE)"),"9965-580-74-Х")</f>
        <v>9965-580-74-Х</v>
      </c>
      <c r="E2813" s="11" t="s">
        <v>11038</v>
      </c>
      <c r="F2813" s="11" t="s">
        <v>5152</v>
      </c>
      <c r="G2813" s="12">
        <f ca="1">IFERROR(__xludf.DUMMYFUNCTION(" VLOOKUP(A2810, IMPORTRANGE(""https://docs.google.com/spreadsheets/d/1fj_Bhi2XPL3siwIh4sx4VRLAe31yD50oKdj5UlRYW0c/"", ""Сводка!A:AA""), 5, FALSE)"),104)</f>
        <v>104</v>
      </c>
      <c r="H2813" s="12" t="s">
        <v>538</v>
      </c>
      <c r="I2813" s="10">
        <f ca="1">IFERROR(__xludf.DUMMYFUNCTION(" VLOOKUP(A2810, IMPORTRANGE(""https://docs.google.com/spreadsheets/d/1QNLbnkR_AongFt22vMfNzfpjZ0CjpI8QI-w0wBnYA1w/"", ""Инфа!A:AA""), 6, FALSE)"),2024)</f>
        <v>2024</v>
      </c>
      <c r="J2813" s="5">
        <f ca="1">ROUND((5000+G2813*30),-2)</f>
        <v>8100</v>
      </c>
      <c r="K2813" s="12" t="s">
        <v>1240</v>
      </c>
      <c r="L2813" s="15"/>
    </row>
    <row r="2814" spans="1:12" ht="270">
      <c r="A2814" s="8" t="s">
        <v>11039</v>
      </c>
      <c r="B2814" s="9" t="s">
        <v>12</v>
      </c>
      <c r="C2814" s="10" t="s">
        <v>443</v>
      </c>
      <c r="D2814" s="10" t="str">
        <f ca="1">IFERROR(__xludf.DUMMYFUNCTION(" VLOOKUP(A2811, IMPORTRANGE(""https://docs.google.com/spreadsheets/d/1fj_Bhi2XPL3siwIh4sx4VRLAe31yD50oKdj5UlRYW0c/"", ""Сводка!A:AA""), 11, FALSE)"),"978-601-327-169-9")</f>
        <v>978-601-327-169-9</v>
      </c>
      <c r="E2814" s="11" t="s">
        <v>11040</v>
      </c>
      <c r="F2814" s="11" t="s">
        <v>11041</v>
      </c>
      <c r="G2814" s="12">
        <f ca="1">IFERROR(__xludf.DUMMYFUNCTION(" VLOOKUP(A2811, IMPORTRANGE(""https://docs.google.com/spreadsheets/d/1fj_Bhi2XPL3siwIh4sx4VRLAe31yD50oKdj5UlRYW0c/"", ""Сводка!A:AA""), 5, FALSE)"),256)</f>
        <v>256</v>
      </c>
      <c r="H2814" s="12" t="s">
        <v>511</v>
      </c>
      <c r="I2814" s="10">
        <f ca="1">IFERROR(__xludf.DUMMYFUNCTION(" VLOOKUP(A2811, IMPORTRANGE(""https://docs.google.com/spreadsheets/d/1QNLbnkR_AongFt22vMfNzfpjZ0CjpI8QI-w0wBnYA1w/"", ""Инфа!A:AA""), 6, FALSE)"),2024)</f>
        <v>2024</v>
      </c>
      <c r="J2814" s="5">
        <f t="shared" ref="J2814:J2820" ca="1" si="93">ROUND((5000+G2814*60),-2)</f>
        <v>20400</v>
      </c>
      <c r="K2814" s="12" t="s">
        <v>302</v>
      </c>
      <c r="L2814" s="15" t="s">
        <v>11042</v>
      </c>
    </row>
    <row r="2815" spans="1:12" ht="303.75">
      <c r="A2815" s="8" t="s">
        <v>11043</v>
      </c>
      <c r="B2815" s="9" t="s">
        <v>12</v>
      </c>
      <c r="C2815" s="10" t="s">
        <v>11044</v>
      </c>
      <c r="D2815" s="10" t="str">
        <f ca="1">IFERROR(__xludf.DUMMYFUNCTION(" VLOOKUP(A2812, IMPORTRANGE(""https://docs.google.com/spreadsheets/d/1fj_Bhi2XPL3siwIh4sx4VRLAe31yD50oKdj5UlRYW0c/"", ""Сводка!A:AA""), 11, FALSE)"),"978–601–7544–68-3")</f>
        <v>978–601–7544–68-3</v>
      </c>
      <c r="E2815" s="11" t="s">
        <v>11045</v>
      </c>
      <c r="F2815" s="11" t="s">
        <v>11046</v>
      </c>
      <c r="G2815" s="12">
        <f ca="1">IFERROR(__xludf.DUMMYFUNCTION(" VLOOKUP(A2812, IMPORTRANGE(""https://docs.google.com/spreadsheets/d/1fj_Bhi2XPL3siwIh4sx4VRLAe31yD50oKdj5UlRYW0c/"", ""Сводка!A:AA""), 5, FALSE)"),232)</f>
        <v>232</v>
      </c>
      <c r="H2815" s="12" t="s">
        <v>11047</v>
      </c>
      <c r="I2815" s="10">
        <f ca="1">IFERROR(__xludf.DUMMYFUNCTION(" VLOOKUP(A2812, IMPORTRANGE(""https://docs.google.com/spreadsheets/d/1QNLbnkR_AongFt22vMfNzfpjZ0CjpI8QI-w0wBnYA1w/"", ""Инфа!A:AA""), 6, FALSE)"),2024)</f>
        <v>2024</v>
      </c>
      <c r="J2815" s="5">
        <f t="shared" ca="1" si="93"/>
        <v>18900</v>
      </c>
      <c r="K2815" s="12" t="s">
        <v>84</v>
      </c>
      <c r="L2815" s="15" t="s">
        <v>11048</v>
      </c>
    </row>
    <row r="2816" spans="1:12" ht="247.5">
      <c r="A2816" s="8" t="s">
        <v>11049</v>
      </c>
      <c r="B2816" s="9" t="s">
        <v>12</v>
      </c>
      <c r="C2816" s="10" t="s">
        <v>443</v>
      </c>
      <c r="D2816" s="10" t="str">
        <f ca="1">IFERROR(__xludf.DUMMYFUNCTION(" VLOOKUP(A2813, IMPORTRANGE(""https://docs.google.com/spreadsheets/d/1fj_Bhi2XPL3siwIh4sx4VRLAe31yD50oKdj5UlRYW0c/"", ""Сводка!A:AA""), 11, FALSE)"),"978-601-342-402-6")</f>
        <v>978-601-342-402-6</v>
      </c>
      <c r="E2816" s="11" t="s">
        <v>11045</v>
      </c>
      <c r="F2816" s="11" t="s">
        <v>11050</v>
      </c>
      <c r="G2816" s="12">
        <f ca="1">IFERROR(__xludf.DUMMYFUNCTION(" VLOOKUP(A2813, IMPORTRANGE(""https://docs.google.com/spreadsheets/d/1fj_Bhi2XPL3siwIh4sx4VRLAe31yD50oKdj5UlRYW0c/"", ""Сводка!A:AA""), 5, FALSE)"),240)</f>
        <v>240</v>
      </c>
      <c r="H2816" s="12" t="s">
        <v>538</v>
      </c>
      <c r="I2816" s="10">
        <f ca="1">IFERROR(__xludf.DUMMYFUNCTION(" VLOOKUP(A2813, IMPORTRANGE(""https://docs.google.com/spreadsheets/d/1QNLbnkR_AongFt22vMfNzfpjZ0CjpI8QI-w0wBnYA1w/"", ""Инфа!A:AA""), 6, FALSE)"),2024)</f>
        <v>2024</v>
      </c>
      <c r="J2816" s="5">
        <f t="shared" ca="1" si="93"/>
        <v>19400</v>
      </c>
      <c r="K2816" s="12" t="s">
        <v>84</v>
      </c>
      <c r="L2816" s="15" t="s">
        <v>11051</v>
      </c>
    </row>
    <row r="2817" spans="1:12" ht="326.25">
      <c r="A2817" s="8" t="s">
        <v>11052</v>
      </c>
      <c r="B2817" s="9" t="s">
        <v>12</v>
      </c>
      <c r="C2817" s="10" t="s">
        <v>151</v>
      </c>
      <c r="D2817" s="10" t="str">
        <f ca="1">IFERROR(__xludf.DUMMYFUNCTION(" VLOOKUP(A2814, IMPORTRANGE(""https://docs.google.com/spreadsheets/d/1fj_Bhi2XPL3siwIh4sx4VRLAe31yD50oKdj5UlRYW0c/"", ""Сводка!A:AA""), 11, FALSE)"),"978-601-327-367-9")</f>
        <v>978-601-327-367-9</v>
      </c>
      <c r="E2817" s="11" t="s">
        <v>11053</v>
      </c>
      <c r="F2817" s="11" t="s">
        <v>11054</v>
      </c>
      <c r="G2817" s="12">
        <f ca="1">IFERROR(__xludf.DUMMYFUNCTION(" VLOOKUP(A2814, IMPORTRANGE(""https://docs.google.com/spreadsheets/d/1fj_Bhi2XPL3siwIh4sx4VRLAe31yD50oKdj5UlRYW0c/"", ""Сводка!A:AA""), 5, FALSE)"),260)</f>
        <v>260</v>
      </c>
      <c r="H2817" s="12" t="s">
        <v>165</v>
      </c>
      <c r="I2817" s="10">
        <f ca="1">IFERROR(__xludf.DUMMYFUNCTION(" VLOOKUP(A2814, IMPORTRANGE(""https://docs.google.com/spreadsheets/d/1QNLbnkR_AongFt22vMfNzfpjZ0CjpI8QI-w0wBnYA1w/"", ""Инфа!A:AA""), 6, FALSE)"),2024)</f>
        <v>2024</v>
      </c>
      <c r="J2817" s="5">
        <f t="shared" ca="1" si="93"/>
        <v>20600</v>
      </c>
      <c r="K2817" s="12" t="s">
        <v>78</v>
      </c>
      <c r="L2817" s="15" t="s">
        <v>11055</v>
      </c>
    </row>
    <row r="2818" spans="1:12" ht="112.5">
      <c r="A2818" s="8" t="s">
        <v>11056</v>
      </c>
      <c r="B2818" s="9" t="s">
        <v>12</v>
      </c>
      <c r="C2818" s="10" t="s">
        <v>443</v>
      </c>
      <c r="D2818" s="10" t="str">
        <f ca="1">IFERROR(__xludf.DUMMYFUNCTION(" VLOOKUP(A2815, IMPORTRANGE(""https://docs.google.com/spreadsheets/d/1fj_Bhi2XPL3siwIh4sx4VRLAe31yD50oKdj5UlRYW0c/"", ""Сводка!A:AA""), 11, FALSE)"),"978-601-342-142-1")</f>
        <v>978-601-342-142-1</v>
      </c>
      <c r="E2818" s="11" t="s">
        <v>6274</v>
      </c>
      <c r="F2818" s="11" t="s">
        <v>11057</v>
      </c>
      <c r="G2818" s="12">
        <f ca="1">IFERROR(__xludf.DUMMYFUNCTION(" VLOOKUP(A2815, IMPORTRANGE(""https://docs.google.com/spreadsheets/d/1fj_Bhi2XPL3siwIh4sx4VRLAe31yD50oKdj5UlRYW0c/"", ""Сводка!A:AA""), 5, FALSE)"),176)</f>
        <v>176</v>
      </c>
      <c r="H2818" s="12" t="s">
        <v>538</v>
      </c>
      <c r="I2818" s="10">
        <f ca="1">IFERROR(__xludf.DUMMYFUNCTION(" VLOOKUP(A2815, IMPORTRANGE(""https://docs.google.com/spreadsheets/d/1QNLbnkR_AongFt22vMfNzfpjZ0CjpI8QI-w0wBnYA1w/"", ""Инфа!A:AA""), 6, FALSE)"),2024)</f>
        <v>2024</v>
      </c>
      <c r="J2818" s="5">
        <f t="shared" ca="1" si="93"/>
        <v>15600</v>
      </c>
      <c r="K2818" s="12" t="s">
        <v>213</v>
      </c>
      <c r="L2818" s="15" t="s">
        <v>11058</v>
      </c>
    </row>
    <row r="2819" spans="1:12" ht="225">
      <c r="A2819" s="8" t="s">
        <v>11059</v>
      </c>
      <c r="B2819" s="9" t="s">
        <v>12</v>
      </c>
      <c r="C2819" s="10" t="s">
        <v>151</v>
      </c>
      <c r="D2819" s="10" t="str">
        <f ca="1">IFERROR(__xludf.DUMMYFUNCTION(" VLOOKUP(A2816, IMPORTRANGE(""https://docs.google.com/spreadsheets/d/1fj_Bhi2XPL3siwIh4sx4VRLAe31yD50oKdj5UlRYW0c/"", ""Сводка!A:AA""), 11, FALSE)"),"978-601-342-143-8")</f>
        <v>978-601-342-143-8</v>
      </c>
      <c r="E2819" s="11" t="s">
        <v>6274</v>
      </c>
      <c r="F2819" s="11" t="s">
        <v>11060</v>
      </c>
      <c r="G2819" s="12">
        <f ca="1">IFERROR(__xludf.DUMMYFUNCTION(" VLOOKUP(A2816, IMPORTRANGE(""https://docs.google.com/spreadsheets/d/1fj_Bhi2XPL3siwIh4sx4VRLAe31yD50oKdj5UlRYW0c/"", ""Сводка!A:AA""), 5, FALSE)"),180)</f>
        <v>180</v>
      </c>
      <c r="H2819" s="12" t="s">
        <v>47</v>
      </c>
      <c r="I2819" s="10">
        <f ca="1">IFERROR(__xludf.DUMMYFUNCTION(" VLOOKUP(A2816, IMPORTRANGE(""https://docs.google.com/spreadsheets/d/1QNLbnkR_AongFt22vMfNzfpjZ0CjpI8QI-w0wBnYA1w/"", ""Инфа!A:AA""), 6, FALSE)"),2024)</f>
        <v>2024</v>
      </c>
      <c r="J2819" s="5">
        <f t="shared" ca="1" si="93"/>
        <v>15800</v>
      </c>
      <c r="K2819" s="12" t="s">
        <v>213</v>
      </c>
      <c r="L2819" s="15" t="s">
        <v>11061</v>
      </c>
    </row>
    <row r="2820" spans="1:12" ht="292.5">
      <c r="A2820" s="8" t="s">
        <v>11062</v>
      </c>
      <c r="B2820" s="9" t="s">
        <v>12</v>
      </c>
      <c r="C2820" s="10" t="s">
        <v>443</v>
      </c>
      <c r="D2820" s="10" t="str">
        <f ca="1">IFERROR(__xludf.DUMMYFUNCTION(" VLOOKUP(A2817, IMPORTRANGE(""https://docs.google.com/spreadsheets/d/1fj_Bhi2XPL3siwIh4sx4VRLAe31yD50oKdj5UlRYW0c/"", ""Сводка!A:AA""), 11, FALSE)"),"978-601-327-403-4")</f>
        <v>978-601-327-403-4</v>
      </c>
      <c r="E2820" s="11" t="s">
        <v>11063</v>
      </c>
      <c r="F2820" s="11" t="s">
        <v>11064</v>
      </c>
      <c r="G2820" s="12">
        <f ca="1">IFERROR(__xludf.DUMMYFUNCTION(" VLOOKUP(A2817, IMPORTRANGE(""https://docs.google.com/spreadsheets/d/1fj_Bhi2XPL3siwIh4sx4VRLAe31yD50oKdj5UlRYW0c/"", ""Сводка!A:AA""), 5, FALSE)"),304)</f>
        <v>304</v>
      </c>
      <c r="H2820" s="12" t="s">
        <v>511</v>
      </c>
      <c r="I2820" s="10">
        <f ca="1">IFERROR(__xludf.DUMMYFUNCTION(" VLOOKUP(A2817, IMPORTRANGE(""https://docs.google.com/spreadsheets/d/1QNLbnkR_AongFt22vMfNzfpjZ0CjpI8QI-w0wBnYA1w/"", ""Инфа!A:AA""), 6, FALSE)"),2024)</f>
        <v>2024</v>
      </c>
      <c r="J2820" s="5">
        <f t="shared" ca="1" si="93"/>
        <v>23200</v>
      </c>
      <c r="K2820" s="12" t="s">
        <v>302</v>
      </c>
      <c r="L2820" s="15" t="s">
        <v>11065</v>
      </c>
    </row>
    <row r="2821" spans="1:12" ht="281.25">
      <c r="A2821" s="8" t="s">
        <v>11066</v>
      </c>
      <c r="B2821" s="9" t="s">
        <v>12</v>
      </c>
      <c r="C2821" s="10" t="s">
        <v>443</v>
      </c>
      <c r="D2821" s="10" t="str">
        <f ca="1">IFERROR(__xludf.DUMMYFUNCTION(" VLOOKUP(A2818, IMPORTRANGE(""https://docs.google.com/spreadsheets/d/1fj_Bhi2XPL3siwIh4sx4VRLAe31yD50oKdj5UlRYW0c/"", ""Сводка!A:AA""), 11, FALSE)"),"978-601-296-608-4")</f>
        <v>978-601-296-608-4</v>
      </c>
      <c r="E2821" s="11" t="s">
        <v>11067</v>
      </c>
      <c r="F2821" s="11" t="s">
        <v>11068</v>
      </c>
      <c r="G2821" s="12">
        <f ca="1">IFERROR(__xludf.DUMMYFUNCTION(" VLOOKUP(A2818, IMPORTRANGE(""https://docs.google.com/spreadsheets/d/1fj_Bhi2XPL3siwIh4sx4VRLAe31yD50oKdj5UlRYW0c/"", ""Сводка!A:AA""), 5, FALSE)"),144)</f>
        <v>144</v>
      </c>
      <c r="H2821" s="12" t="s">
        <v>538</v>
      </c>
      <c r="I2821" s="10">
        <f ca="1">IFERROR(__xludf.DUMMYFUNCTION(" VLOOKUP(A2818, IMPORTRANGE(""https://docs.google.com/spreadsheets/d/1QNLbnkR_AongFt22vMfNzfpjZ0CjpI8QI-w0wBnYA1w/"", ""Инфа!A:AA""), 6, FALSE)"),2024)</f>
        <v>2024</v>
      </c>
      <c r="J2821" s="5">
        <f ca="1">ROUND((5000+G2821*30),-2)</f>
        <v>9300</v>
      </c>
      <c r="K2821" s="12" t="s">
        <v>302</v>
      </c>
      <c r="L2821" s="15" t="s">
        <v>11069</v>
      </c>
    </row>
    <row r="2822" spans="1:12" ht="281.25">
      <c r="A2822" s="8" t="s">
        <v>11070</v>
      </c>
      <c r="B2822" s="9" t="s">
        <v>12</v>
      </c>
      <c r="C2822" s="10" t="s">
        <v>443</v>
      </c>
      <c r="D2822" s="10" t="str">
        <f ca="1">IFERROR(__xludf.DUMMYFUNCTION(" VLOOKUP(A2819, IMPORTRANGE(""https://docs.google.com/spreadsheets/d/1fj_Bhi2XPL3siwIh4sx4VRLAe31yD50oKdj5UlRYW0c/"", ""Сводка!A:AA""), 11, FALSE)"),"978-601-296-608-4")</f>
        <v>978-601-296-608-4</v>
      </c>
      <c r="E2822" s="11" t="s">
        <v>11067</v>
      </c>
      <c r="F2822" s="11" t="s">
        <v>11071</v>
      </c>
      <c r="G2822" s="12">
        <f ca="1">IFERROR(__xludf.DUMMYFUNCTION(" VLOOKUP(A2819, IMPORTRANGE(""https://docs.google.com/spreadsheets/d/1fj_Bhi2XPL3siwIh4sx4VRLAe31yD50oKdj5UlRYW0c/"", ""Сводка!A:AA""), 5, FALSE)"),144)</f>
        <v>144</v>
      </c>
      <c r="H2822" s="12" t="s">
        <v>538</v>
      </c>
      <c r="I2822" s="10">
        <f ca="1">IFERROR(__xludf.DUMMYFUNCTION(" VLOOKUP(A2819, IMPORTRANGE(""https://docs.google.com/spreadsheets/d/1QNLbnkR_AongFt22vMfNzfpjZ0CjpI8QI-w0wBnYA1w/"", ""Инфа!A:AA""), 6, FALSE)"),2024)</f>
        <v>2024</v>
      </c>
      <c r="J2822" s="5">
        <f ca="1">ROUND((5000+G2822*30),-2)</f>
        <v>9300</v>
      </c>
      <c r="K2822" s="12" t="s">
        <v>302</v>
      </c>
      <c r="L2822" s="15" t="s">
        <v>11069</v>
      </c>
    </row>
    <row r="2823" spans="1:12" ht="303.75">
      <c r="A2823" s="8" t="s">
        <v>11072</v>
      </c>
      <c r="B2823" s="9" t="s">
        <v>12</v>
      </c>
      <c r="C2823" s="10" t="s">
        <v>443</v>
      </c>
      <c r="D2823" s="10" t="str">
        <f ca="1">IFERROR(__xludf.DUMMYFUNCTION(" VLOOKUP(A2820, IMPORTRANGE(""https://docs.google.com/spreadsheets/d/1fj_Bhi2XPL3siwIh4sx4VRLAe31yD50oKdj5UlRYW0c/"", ""Сводка!A:AA""), 11, FALSE)"),"978-601-327-189-7")</f>
        <v>978-601-327-189-7</v>
      </c>
      <c r="E2823" s="11" t="s">
        <v>11067</v>
      </c>
      <c r="F2823" s="11" t="s">
        <v>11073</v>
      </c>
      <c r="G2823" s="12">
        <f ca="1">IFERROR(__xludf.DUMMYFUNCTION(" VLOOKUP(A2820, IMPORTRANGE(""https://docs.google.com/spreadsheets/d/1fj_Bhi2XPL3siwIh4sx4VRLAe31yD50oKdj5UlRYW0c/"", ""Сводка!A:AA""), 5, FALSE)"),104)</f>
        <v>104</v>
      </c>
      <c r="H2823" s="12" t="s">
        <v>538</v>
      </c>
      <c r="I2823" s="10">
        <f ca="1">IFERROR(__xludf.DUMMYFUNCTION(" VLOOKUP(A2820, IMPORTRANGE(""https://docs.google.com/spreadsheets/d/1QNLbnkR_AongFt22vMfNzfpjZ0CjpI8QI-w0wBnYA1w/"", ""Инфа!A:AA""), 6, FALSE)"),2024)</f>
        <v>2024</v>
      </c>
      <c r="J2823" s="5">
        <f t="shared" ref="J2823:J2828" ca="1" si="94">ROUND((5000+G2823*60),-2)</f>
        <v>11200</v>
      </c>
      <c r="K2823" s="12" t="s">
        <v>302</v>
      </c>
      <c r="L2823" s="15" t="s">
        <v>11074</v>
      </c>
    </row>
    <row r="2824" spans="1:12" ht="213.75">
      <c r="A2824" s="8" t="s">
        <v>11075</v>
      </c>
      <c r="B2824" s="9" t="s">
        <v>12</v>
      </c>
      <c r="C2824" s="10" t="s">
        <v>333</v>
      </c>
      <c r="D2824" s="10" t="str">
        <f ca="1">IFERROR(__xludf.DUMMYFUNCTION(" VLOOKUP(A2821, IMPORTRANGE(""https://docs.google.com/spreadsheets/d/1fj_Bhi2XPL3siwIh4sx4VRLAe31yD50oKdj5UlRYW0c/"", ""Сводка!A:AA""), 11, FALSE)"),"978-601-327-523-9")</f>
        <v>978-601-327-523-9</v>
      </c>
      <c r="E2824" s="11" t="s">
        <v>11076</v>
      </c>
      <c r="F2824" s="11" t="s">
        <v>11077</v>
      </c>
      <c r="G2824" s="12">
        <f ca="1">IFERROR(__xludf.DUMMYFUNCTION(" VLOOKUP(A2821, IMPORTRANGE(""https://docs.google.com/spreadsheets/d/1fj_Bhi2XPL3siwIh4sx4VRLAe31yD50oKdj5UlRYW0c/"", ""Сводка!A:AA""), 5, FALSE)"),224)</f>
        <v>224</v>
      </c>
      <c r="H2824" s="12" t="s">
        <v>42</v>
      </c>
      <c r="I2824" s="10">
        <f ca="1">IFERROR(__xludf.DUMMYFUNCTION(" VLOOKUP(A2821, IMPORTRANGE(""https://docs.google.com/spreadsheets/d/1QNLbnkR_AongFt22vMfNzfpjZ0CjpI8QI-w0wBnYA1w/"", ""Инфа!A:AA""), 6, FALSE)"),2024)</f>
        <v>2024</v>
      </c>
      <c r="J2824" s="5">
        <f t="shared" ca="1" si="94"/>
        <v>18400</v>
      </c>
      <c r="K2824" s="12" t="s">
        <v>302</v>
      </c>
      <c r="L2824" s="15" t="s">
        <v>11078</v>
      </c>
    </row>
    <row r="2825" spans="1:12" ht="292.5">
      <c r="A2825" s="8" t="s">
        <v>11079</v>
      </c>
      <c r="B2825" s="9" t="s">
        <v>12</v>
      </c>
      <c r="C2825" s="10" t="s">
        <v>151</v>
      </c>
      <c r="D2825" s="10" t="str">
        <f ca="1">IFERROR(__xludf.DUMMYFUNCTION(" VLOOKUP(A2822, IMPORTRANGE(""https://docs.google.com/spreadsheets/d/1fj_Bhi2XPL3siwIh4sx4VRLAe31yD50oKdj5UlRYW0c/"", ""Сводка!A:AA""), 11, FALSE)"),"978-601-296-873-6")</f>
        <v>978-601-296-873-6</v>
      </c>
      <c r="E2825" s="11" t="s">
        <v>11080</v>
      </c>
      <c r="F2825" s="11" t="s">
        <v>11081</v>
      </c>
      <c r="G2825" s="12">
        <f ca="1">IFERROR(__xludf.DUMMYFUNCTION(" VLOOKUP(A2822, IMPORTRANGE(""https://docs.google.com/spreadsheets/d/1fj_Bhi2XPL3siwIh4sx4VRLAe31yD50oKdj5UlRYW0c/"", ""Сводка!A:AA""), 5, FALSE)"),312)</f>
        <v>312</v>
      </c>
      <c r="H2825" s="12" t="s">
        <v>56</v>
      </c>
      <c r="I2825" s="10">
        <f ca="1">IFERROR(__xludf.DUMMYFUNCTION(" VLOOKUP(A2822, IMPORTRANGE(""https://docs.google.com/spreadsheets/d/1QNLbnkR_AongFt22vMfNzfpjZ0CjpI8QI-w0wBnYA1w/"", ""Инфа!A:AA""), 6, FALSE)"),2024)</f>
        <v>2024</v>
      </c>
      <c r="J2825" s="5">
        <f t="shared" ca="1" si="94"/>
        <v>23700</v>
      </c>
      <c r="K2825" s="12" t="s">
        <v>302</v>
      </c>
      <c r="L2825" s="15" t="s">
        <v>11082</v>
      </c>
    </row>
    <row r="2826" spans="1:12" ht="258.75">
      <c r="A2826" s="8" t="s">
        <v>11083</v>
      </c>
      <c r="B2826" s="9" t="s">
        <v>12</v>
      </c>
      <c r="C2826" s="10" t="s">
        <v>151</v>
      </c>
      <c r="D2826" s="10" t="str">
        <f ca="1">IFERROR(__xludf.DUMMYFUNCTION(" VLOOKUP(A2823, IMPORTRANGE(""https://docs.google.com/spreadsheets/d/1fj_Bhi2XPL3siwIh4sx4VRLAe31yD50oKdj5UlRYW0c/"", ""Сводка!A:AA""), 11, FALSE)"),"978-601-310-935-1")</f>
        <v>978-601-310-935-1</v>
      </c>
      <c r="E2826" s="11" t="s">
        <v>11084</v>
      </c>
      <c r="F2826" s="11" t="s">
        <v>11085</v>
      </c>
      <c r="G2826" s="12">
        <f ca="1">IFERROR(__xludf.DUMMYFUNCTION(" VLOOKUP(A2823, IMPORTRANGE(""https://docs.google.com/spreadsheets/d/1fj_Bhi2XPL3siwIh4sx4VRLAe31yD50oKdj5UlRYW0c/"", ""Сводка!A:AA""), 5, FALSE)"),244)</f>
        <v>244</v>
      </c>
      <c r="H2826" s="12" t="s">
        <v>24</v>
      </c>
      <c r="I2826" s="10">
        <f ca="1">IFERROR(__xludf.DUMMYFUNCTION(" VLOOKUP(A2823, IMPORTRANGE(""https://docs.google.com/spreadsheets/d/1QNLbnkR_AongFt22vMfNzfpjZ0CjpI8QI-w0wBnYA1w/"", ""Инфа!A:AA""), 6, FALSE)"),2024)</f>
        <v>2024</v>
      </c>
      <c r="J2826" s="5">
        <f t="shared" ca="1" si="94"/>
        <v>19600</v>
      </c>
      <c r="K2826" s="12" t="s">
        <v>302</v>
      </c>
      <c r="L2826" s="15" t="s">
        <v>11086</v>
      </c>
    </row>
    <row r="2827" spans="1:12" ht="225">
      <c r="A2827" s="8" t="s">
        <v>11087</v>
      </c>
      <c r="B2827" s="9" t="s">
        <v>12</v>
      </c>
      <c r="C2827" s="10" t="s">
        <v>151</v>
      </c>
      <c r="D2827" s="10" t="str">
        <f ca="1">IFERROR(__xludf.DUMMYFUNCTION(" VLOOKUP(A2824, IMPORTRANGE(""https://docs.google.com/spreadsheets/d/1fj_Bhi2XPL3siwIh4sx4VRLAe31yD50oKdj5UlRYW0c/"", ""Сводка!A:AA""), 11, FALSE)"),"978-601-342-594-8")</f>
        <v>978-601-342-594-8</v>
      </c>
      <c r="E2827" s="11" t="s">
        <v>11088</v>
      </c>
      <c r="F2827" s="11" t="s">
        <v>11089</v>
      </c>
      <c r="G2827" s="12">
        <f ca="1">IFERROR(__xludf.DUMMYFUNCTION(" VLOOKUP(A2824, IMPORTRANGE(""https://docs.google.com/spreadsheets/d/1fj_Bhi2XPL3siwIh4sx4VRLAe31yD50oKdj5UlRYW0c/"", ""Сводка!A:AA""), 5, FALSE)"),256)</f>
        <v>256</v>
      </c>
      <c r="H2827" s="12" t="s">
        <v>47</v>
      </c>
      <c r="I2827" s="10">
        <f ca="1">IFERROR(__xludf.DUMMYFUNCTION(" VLOOKUP(A2824, IMPORTRANGE(""https://docs.google.com/spreadsheets/d/1QNLbnkR_AongFt22vMfNzfpjZ0CjpI8QI-w0wBnYA1w/"", ""Инфа!A:AA""), 6, FALSE)"),2024)</f>
        <v>2024</v>
      </c>
      <c r="J2827" s="5">
        <f t="shared" ca="1" si="94"/>
        <v>20400</v>
      </c>
      <c r="K2827" s="12" t="s">
        <v>243</v>
      </c>
      <c r="L2827" s="15" t="s">
        <v>11090</v>
      </c>
    </row>
    <row r="2828" spans="1:12" ht="180">
      <c r="A2828" s="8" t="s">
        <v>11091</v>
      </c>
      <c r="B2828" s="9" t="s">
        <v>12</v>
      </c>
      <c r="C2828" s="10" t="s">
        <v>443</v>
      </c>
      <c r="D2828" s="10" t="str">
        <f ca="1">IFERROR(__xludf.DUMMYFUNCTION(" VLOOKUP(A2825, IMPORTRANGE(""https://docs.google.com/spreadsheets/d/1fj_Bhi2XPL3siwIh4sx4VRLAe31yD50oKdj5UlRYW0c/"", ""Сводка!A:AA""), 11, FALSE)"),"978-601-342-712-6")</f>
        <v>978-601-342-712-6</v>
      </c>
      <c r="E2828" s="11" t="s">
        <v>11092</v>
      </c>
      <c r="F2828" s="11" t="s">
        <v>11093</v>
      </c>
      <c r="G2828" s="12">
        <f ca="1">IFERROR(__xludf.DUMMYFUNCTION(" VLOOKUP(A2825, IMPORTRANGE(""https://docs.google.com/spreadsheets/d/1fj_Bhi2XPL3siwIh4sx4VRLAe31yD50oKdj5UlRYW0c/"", ""Сводка!A:AA""), 5, FALSE)"),320)</f>
        <v>320</v>
      </c>
      <c r="H2828" s="12" t="s">
        <v>106</v>
      </c>
      <c r="I2828" s="10">
        <f ca="1">IFERROR(__xludf.DUMMYFUNCTION(" VLOOKUP(A2825, IMPORTRANGE(""https://docs.google.com/spreadsheets/d/1QNLbnkR_AongFt22vMfNzfpjZ0CjpI8QI-w0wBnYA1w/"", ""Инфа!A:AA""), 6, FALSE)"),2024)</f>
        <v>2024</v>
      </c>
      <c r="J2828" s="5">
        <f t="shared" ca="1" si="94"/>
        <v>24200</v>
      </c>
      <c r="K2828" s="12" t="s">
        <v>243</v>
      </c>
      <c r="L2828" s="15" t="s">
        <v>11094</v>
      </c>
    </row>
    <row r="2829" spans="1:12" ht="78.75">
      <c r="A2829" s="8" t="s">
        <v>11095</v>
      </c>
      <c r="B2829" s="9" t="s">
        <v>12</v>
      </c>
      <c r="C2829" s="10" t="s">
        <v>443</v>
      </c>
      <c r="D2829" s="10" t="str">
        <f ca="1">IFERROR(__xludf.DUMMYFUNCTION(" VLOOKUP(A2826, IMPORTRANGE(""https://docs.google.com/spreadsheets/d/1fj_Bhi2XPL3siwIh4sx4VRLAe31yD50oKdj5UlRYW0c/"", ""Сводка!A:AA""), 11, FALSE)"),"978-601-240-213-1")</f>
        <v>978-601-240-213-1</v>
      </c>
      <c r="E2829" s="11" t="s">
        <v>11096</v>
      </c>
      <c r="F2829" s="11" t="s">
        <v>11097</v>
      </c>
      <c r="G2829" s="12">
        <f ca="1">IFERROR(__xludf.DUMMYFUNCTION(" VLOOKUP(A2826, IMPORTRANGE(""https://docs.google.com/spreadsheets/d/1fj_Bhi2XPL3siwIh4sx4VRLAe31yD50oKdj5UlRYW0c/"", ""Сводка!A:AA""), 5, FALSE)"),88)</f>
        <v>88</v>
      </c>
      <c r="H2829" s="12" t="s">
        <v>165</v>
      </c>
      <c r="I2829" s="10">
        <f ca="1">IFERROR(__xludf.DUMMYFUNCTION(" VLOOKUP(A2826, IMPORTRANGE(""https://docs.google.com/spreadsheets/d/1QNLbnkR_AongFt22vMfNzfpjZ0CjpI8QI-w0wBnYA1w/"", ""Инфа!A:AA""), 6, FALSE)"),2024)</f>
        <v>2024</v>
      </c>
      <c r="J2829" s="5">
        <f ca="1">ROUND((5000+G2829*30),-2)</f>
        <v>7600</v>
      </c>
      <c r="K2829" s="12" t="s">
        <v>166</v>
      </c>
      <c r="L2829" s="15" t="s">
        <v>11098</v>
      </c>
    </row>
    <row r="2830" spans="1:12" ht="78.75">
      <c r="A2830" s="8" t="s">
        <v>11099</v>
      </c>
      <c r="B2830" s="9" t="s">
        <v>12</v>
      </c>
      <c r="C2830" s="10" t="s">
        <v>443</v>
      </c>
      <c r="D2830" s="10" t="str">
        <f ca="1">IFERROR(__xludf.DUMMYFUNCTION(" VLOOKUP(A2827, IMPORTRANGE(""https://docs.google.com/spreadsheets/d/1fj_Bhi2XPL3siwIh4sx4VRLAe31yD50oKdj5UlRYW0c/"", ""Сводка!A:AA""), 11, FALSE)"),"978-601-342-024-0")</f>
        <v>978-601-342-024-0</v>
      </c>
      <c r="E2830" s="11" t="s">
        <v>11100</v>
      </c>
      <c r="F2830" s="11" t="s">
        <v>11101</v>
      </c>
      <c r="G2830" s="12">
        <f ca="1">IFERROR(__xludf.DUMMYFUNCTION(" VLOOKUP(A2827, IMPORTRANGE(""https://docs.google.com/spreadsheets/d/1fj_Bhi2XPL3siwIh4sx4VRLAe31yD50oKdj5UlRYW0c/"", ""Сводка!A:AA""), 5, FALSE)"),112)</f>
        <v>112</v>
      </c>
      <c r="H2830" s="12" t="s">
        <v>11102</v>
      </c>
      <c r="I2830" s="10">
        <f ca="1">IFERROR(__xludf.DUMMYFUNCTION(" VLOOKUP(A2827, IMPORTRANGE(""https://docs.google.com/spreadsheets/d/1QNLbnkR_AongFt22vMfNzfpjZ0CjpI8QI-w0wBnYA1w/"", ""Инфа!A:AA""), 6, FALSE)"),2024)</f>
        <v>2024</v>
      </c>
      <c r="J2830" s="5">
        <f ca="1">ROUND((5000+G2830*30),-2)</f>
        <v>8400</v>
      </c>
      <c r="K2830" s="12" t="s">
        <v>11019</v>
      </c>
      <c r="L2830" s="15" t="s">
        <v>11103</v>
      </c>
    </row>
    <row r="2831" spans="1:12" ht="146.25">
      <c r="A2831" s="8" t="s">
        <v>11104</v>
      </c>
      <c r="B2831" s="9" t="s">
        <v>12</v>
      </c>
      <c r="C2831" s="10" t="s">
        <v>443</v>
      </c>
      <c r="D2831" s="10" t="str">
        <f ca="1">IFERROR(__xludf.DUMMYFUNCTION(" VLOOKUP(A2828, IMPORTRANGE(""https://docs.google.com/spreadsheets/d/1fj_Bhi2XPL3siwIh4sx4VRLAe31yD50oKdj5UlRYW0c/"", ""Сводка!A:AA""), 11, FALSE)"),"978-601-310-368-6")</f>
        <v>978-601-310-368-6</v>
      </c>
      <c r="E2831" s="11" t="s">
        <v>11105</v>
      </c>
      <c r="F2831" s="11" t="s">
        <v>11106</v>
      </c>
      <c r="G2831" s="12">
        <f ca="1">IFERROR(__xludf.DUMMYFUNCTION(" VLOOKUP(A2828, IMPORTRANGE(""https://docs.google.com/spreadsheets/d/1fj_Bhi2XPL3siwIh4sx4VRLAe31yD50oKdj5UlRYW0c/"", ""Сводка!A:AA""), 5, FALSE)"),288)</f>
        <v>288</v>
      </c>
      <c r="H2831" s="12" t="s">
        <v>538</v>
      </c>
      <c r="I2831" s="10">
        <f ca="1">IFERROR(__xludf.DUMMYFUNCTION(" VLOOKUP(A2828, IMPORTRANGE(""https://docs.google.com/spreadsheets/d/1QNLbnkR_AongFt22vMfNzfpjZ0CjpI8QI-w0wBnYA1w/"", ""Инфа!A:AA""), 6, FALSE)"),2024)</f>
        <v>2024</v>
      </c>
      <c r="J2831" s="5">
        <f ca="1">ROUND((5000+G2831*60),-2)</f>
        <v>22300</v>
      </c>
      <c r="K2831" s="12" t="s">
        <v>3304</v>
      </c>
      <c r="L2831" s="15" t="s">
        <v>11107</v>
      </c>
    </row>
    <row r="2832" spans="1:12" ht="25.5">
      <c r="A2832" s="8" t="s">
        <v>11108</v>
      </c>
      <c r="B2832" s="9" t="s">
        <v>12</v>
      </c>
      <c r="C2832" s="10" t="s">
        <v>443</v>
      </c>
      <c r="D2832" s="10" t="str">
        <f ca="1">IFERROR(__xludf.DUMMYFUNCTION(" VLOOKUP(A2829, IMPORTRANGE(""https://docs.google.com/spreadsheets/d/1fj_Bhi2XPL3siwIh4sx4VRLAe31yD50oKdj5UlRYW0c/"", ""Сводка!A:AA""), 11, FALSE)"),"978-601-310-369-3")</f>
        <v>978-601-310-369-3</v>
      </c>
      <c r="E2832" s="11" t="s">
        <v>11105</v>
      </c>
      <c r="F2832" s="11" t="s">
        <v>11109</v>
      </c>
      <c r="G2832" s="12">
        <f ca="1">IFERROR(__xludf.DUMMYFUNCTION(" VLOOKUP(A2829, IMPORTRANGE(""https://docs.google.com/spreadsheets/d/1fj_Bhi2XPL3siwIh4sx4VRLAe31yD50oKdj5UlRYW0c/"", ""Сводка!A:AA""), 5, FALSE)"),215)</f>
        <v>215</v>
      </c>
      <c r="H2832" s="12" t="s">
        <v>538</v>
      </c>
      <c r="I2832" s="10">
        <f ca="1">IFERROR(__xludf.DUMMYFUNCTION(" VLOOKUP(A2829, IMPORTRANGE(""https://docs.google.com/spreadsheets/d/1QNLbnkR_AongFt22vMfNzfpjZ0CjpI8QI-w0wBnYA1w/"", ""Инфа!A:AA""), 6, FALSE)"),2024)</f>
        <v>2024</v>
      </c>
      <c r="J2832" s="5">
        <f ca="1">ROUND((5000+G2832*60),-2)</f>
        <v>17900</v>
      </c>
      <c r="K2832" s="12" t="s">
        <v>3304</v>
      </c>
      <c r="L2832" s="15"/>
    </row>
    <row r="2833" spans="1:12" ht="90">
      <c r="A2833" s="8" t="s">
        <v>11110</v>
      </c>
      <c r="B2833" s="9" t="s">
        <v>12</v>
      </c>
      <c r="C2833" s="10" t="s">
        <v>443</v>
      </c>
      <c r="D2833" s="10" t="str">
        <f ca="1">IFERROR(__xludf.DUMMYFUNCTION(" VLOOKUP(A2830, IMPORTRANGE(""https://docs.google.com/spreadsheets/d/1fj_Bhi2XPL3siwIh4sx4VRLAe31yD50oKdj5UlRYW0c/"", ""Сводка!A:AA""), 11, FALSE)"),"978-601-310-489-8")</f>
        <v>978-601-310-489-8</v>
      </c>
      <c r="E2833" s="11" t="s">
        <v>11111</v>
      </c>
      <c r="F2833" s="11" t="s">
        <v>11112</v>
      </c>
      <c r="G2833" s="12">
        <f ca="1">IFERROR(__xludf.DUMMYFUNCTION(" VLOOKUP(A2830, IMPORTRANGE(""https://docs.google.com/spreadsheets/d/1fj_Bhi2XPL3siwIh4sx4VRLAe31yD50oKdj5UlRYW0c/"", ""Сводка!A:AA""), 5, FALSE)"),144)</f>
        <v>144</v>
      </c>
      <c r="H2833" s="12" t="s">
        <v>538</v>
      </c>
      <c r="I2833" s="10">
        <f ca="1">IFERROR(__xludf.DUMMYFUNCTION(" VLOOKUP(A2830, IMPORTRANGE(""https://docs.google.com/spreadsheets/d/1QNLbnkR_AongFt22vMfNzfpjZ0CjpI8QI-w0wBnYA1w/"", ""Инфа!A:AA""), 6, FALSE)"),2024)</f>
        <v>2024</v>
      </c>
      <c r="J2833" s="5">
        <f ca="1">ROUND((5000+G2833*30),-2)</f>
        <v>9300</v>
      </c>
      <c r="K2833" s="12" t="s">
        <v>257</v>
      </c>
      <c r="L2833" s="15" t="s">
        <v>11113</v>
      </c>
    </row>
    <row r="2834" spans="1:12" ht="191.25">
      <c r="A2834" s="8" t="s">
        <v>11114</v>
      </c>
      <c r="B2834" s="9" t="s">
        <v>12</v>
      </c>
      <c r="C2834" s="10" t="s">
        <v>151</v>
      </c>
      <c r="D2834" s="10" t="str">
        <f ca="1">IFERROR(__xludf.DUMMYFUNCTION(" VLOOKUP(A2831, IMPORTRANGE(""https://docs.google.com/spreadsheets/d/1fj_Bhi2XPL3siwIh4sx4VRLAe31yD50oKdj5UlRYW0c/"", ""Сводка!A:AA""), 11, FALSE)"),"978-601-327-731-8")</f>
        <v>978-601-327-731-8</v>
      </c>
      <c r="E2834" s="11" t="s">
        <v>11115</v>
      </c>
      <c r="F2834" s="11" t="s">
        <v>11116</v>
      </c>
      <c r="G2834" s="12">
        <f ca="1">IFERROR(__xludf.DUMMYFUNCTION(" VLOOKUP(A2831, IMPORTRANGE(""https://docs.google.com/spreadsheets/d/1fj_Bhi2XPL3siwIh4sx4VRLAe31yD50oKdj5UlRYW0c/"", ""Сводка!A:AA""), 5, FALSE)"),120)</f>
        <v>120</v>
      </c>
      <c r="H2834" s="12" t="s">
        <v>47</v>
      </c>
      <c r="I2834" s="10">
        <f ca="1">IFERROR(__xludf.DUMMYFUNCTION(" VLOOKUP(A2831, IMPORTRANGE(""https://docs.google.com/spreadsheets/d/1QNLbnkR_AongFt22vMfNzfpjZ0CjpI8QI-w0wBnYA1w/"", ""Инфа!A:AA""), 6, FALSE)"),2024)</f>
        <v>2024</v>
      </c>
      <c r="J2834" s="5">
        <f ca="1">ROUND((5000+G2834*30),-2)</f>
        <v>8600</v>
      </c>
      <c r="K2834" s="9" t="s">
        <v>619</v>
      </c>
      <c r="L2834" s="15" t="s">
        <v>11117</v>
      </c>
    </row>
    <row r="2835" spans="1:12" ht="315">
      <c r="A2835" s="8" t="s">
        <v>11118</v>
      </c>
      <c r="B2835" s="9" t="s">
        <v>12</v>
      </c>
      <c r="C2835" s="10" t="s">
        <v>151</v>
      </c>
      <c r="D2835" s="10" t="str">
        <f ca="1">IFERROR(__xludf.DUMMYFUNCTION(" VLOOKUP(A2832, IMPORTRANGE(""https://docs.google.com/spreadsheets/d/1fj_Bhi2XPL3siwIh4sx4VRLAe31yD50oKdj5UlRYW0c/"", ""Сводка!A:AA""), 11, FALSE)"),"978-601-327-701-1")</f>
        <v>978-601-327-701-1</v>
      </c>
      <c r="E2835" s="11" t="s">
        <v>11119</v>
      </c>
      <c r="F2835" s="11" t="s">
        <v>11120</v>
      </c>
      <c r="G2835" s="12">
        <f ca="1">IFERROR(__xludf.DUMMYFUNCTION(" VLOOKUP(A2832, IMPORTRANGE(""https://docs.google.com/spreadsheets/d/1fj_Bhi2XPL3siwIh4sx4VRLAe31yD50oKdj5UlRYW0c/"", ""Сводка!A:AA""), 5, FALSE)"),324)</f>
        <v>324</v>
      </c>
      <c r="H2835" s="12" t="s">
        <v>47</v>
      </c>
      <c r="I2835" s="10">
        <f ca="1">IFERROR(__xludf.DUMMYFUNCTION(" VLOOKUP(A2832, IMPORTRANGE(""https://docs.google.com/spreadsheets/d/1QNLbnkR_AongFt22vMfNzfpjZ0CjpI8QI-w0wBnYA1w/"", ""Инфа!A:AA""), 6, FALSE)"),2024)</f>
        <v>2024</v>
      </c>
      <c r="J2835" s="5">
        <f ca="1">ROUND((5000+G2835*60),-2)</f>
        <v>24400</v>
      </c>
      <c r="K2835" s="12" t="s">
        <v>160</v>
      </c>
      <c r="L2835" s="15" t="s">
        <v>11121</v>
      </c>
    </row>
    <row r="2836" spans="1:12" ht="315">
      <c r="A2836" s="8" t="s">
        <v>11122</v>
      </c>
      <c r="B2836" s="9" t="s">
        <v>12</v>
      </c>
      <c r="C2836" s="10" t="s">
        <v>151</v>
      </c>
      <c r="D2836" s="10" t="str">
        <f ca="1">IFERROR(__xludf.DUMMYFUNCTION(" VLOOKUP(A2833, IMPORTRANGE(""https://docs.google.com/spreadsheets/d/1fj_Bhi2XPL3siwIh4sx4VRLAe31yD50oKdj5UlRYW0c/"", ""Сводка!A:AA""), 11, FALSE)"),"978-601-327-701-1")</f>
        <v>978-601-327-701-1</v>
      </c>
      <c r="E2836" s="11" t="s">
        <v>11119</v>
      </c>
      <c r="F2836" s="11" t="s">
        <v>11123</v>
      </c>
      <c r="G2836" s="12">
        <f ca="1">IFERROR(__xludf.DUMMYFUNCTION(" VLOOKUP(A2833, IMPORTRANGE(""https://docs.google.com/spreadsheets/d/1fj_Bhi2XPL3siwIh4sx4VRLAe31yD50oKdj5UlRYW0c/"", ""Сводка!A:AA""), 5, FALSE)"),340)</f>
        <v>340</v>
      </c>
      <c r="H2836" s="12" t="s">
        <v>47</v>
      </c>
      <c r="I2836" s="10">
        <f ca="1">IFERROR(__xludf.DUMMYFUNCTION(" VLOOKUP(A2833, IMPORTRANGE(""https://docs.google.com/spreadsheets/d/1QNLbnkR_AongFt22vMfNzfpjZ0CjpI8QI-w0wBnYA1w/"", ""Инфа!A:AA""), 6, FALSE)"),2024)</f>
        <v>2024</v>
      </c>
      <c r="J2836" s="5">
        <f ca="1">ROUND((5000+G2836*30),-2)</f>
        <v>15200</v>
      </c>
      <c r="K2836" s="12" t="s">
        <v>160</v>
      </c>
      <c r="L2836" s="15" t="s">
        <v>11121</v>
      </c>
    </row>
    <row r="2837" spans="1:12" ht="303.75">
      <c r="A2837" s="8" t="s">
        <v>11124</v>
      </c>
      <c r="B2837" s="9" t="s">
        <v>12</v>
      </c>
      <c r="C2837" s="10" t="s">
        <v>151</v>
      </c>
      <c r="D2837" s="10" t="str">
        <f ca="1">IFERROR(__xludf.DUMMYFUNCTION(" VLOOKUP(A2834, IMPORTRANGE(""https://docs.google.com/spreadsheets/d/1fj_Bhi2XPL3siwIh4sx4VRLAe31yD50oKdj5UlRYW0c/"", ""Сводка!A:AA""), 11, FALSE)"),"978-601-342-094-3")</f>
        <v>978-601-342-094-3</v>
      </c>
      <c r="E2837" s="11" t="s">
        <v>11125</v>
      </c>
      <c r="F2837" s="11" t="s">
        <v>11126</v>
      </c>
      <c r="G2837" s="12">
        <f ca="1">IFERROR(__xludf.DUMMYFUNCTION(" VLOOKUP(A2834, IMPORTRANGE(""https://docs.google.com/spreadsheets/d/1fj_Bhi2XPL3siwIh4sx4VRLAe31yD50oKdj5UlRYW0c/"", ""Сводка!A:AA""), 5, FALSE)"),176)</f>
        <v>176</v>
      </c>
      <c r="H2837" s="12" t="s">
        <v>47</v>
      </c>
      <c r="I2837" s="10">
        <f ca="1">IFERROR(__xludf.DUMMYFUNCTION(" VLOOKUP(A2834, IMPORTRANGE(""https://docs.google.com/spreadsheets/d/1QNLbnkR_AongFt22vMfNzfpjZ0CjpI8QI-w0wBnYA1w/"", ""Инфа!A:AA""), 6, FALSE)"),2024)</f>
        <v>2024</v>
      </c>
      <c r="J2837" s="5">
        <f ca="1">ROUND((5000+G2837*60),-2)</f>
        <v>15600</v>
      </c>
      <c r="K2837" s="12" t="s">
        <v>3445</v>
      </c>
      <c r="L2837" s="21" t="s">
        <v>11127</v>
      </c>
    </row>
    <row r="2838" spans="1:12" ht="247.5">
      <c r="A2838" s="8" t="s">
        <v>11128</v>
      </c>
      <c r="B2838" s="9" t="s">
        <v>12</v>
      </c>
      <c r="C2838" s="10" t="s">
        <v>151</v>
      </c>
      <c r="D2838" s="10" t="str">
        <f ca="1">IFERROR(__xludf.DUMMYFUNCTION(" VLOOKUP(A2835, IMPORTRANGE(""https://docs.google.com/spreadsheets/d/1fj_Bhi2XPL3siwIh4sx4VRLAe31yD50oKdj5UlRYW0c/"", ""Сводка!A:AA""), 11, FALSE)"),"978-601-342-174-2")</f>
        <v>978-601-342-174-2</v>
      </c>
      <c r="E2838" s="11" t="s">
        <v>11129</v>
      </c>
      <c r="F2838" s="11" t="s">
        <v>11130</v>
      </c>
      <c r="G2838" s="12">
        <f ca="1">IFERROR(__xludf.DUMMYFUNCTION(" VLOOKUP(A2835, IMPORTRANGE(""https://docs.google.com/spreadsheets/d/1fj_Bhi2XPL3siwIh4sx4VRLAe31yD50oKdj5UlRYW0c/"", ""Сводка!A:AA""), 5, FALSE)"),204)</f>
        <v>204</v>
      </c>
      <c r="H2838" s="12" t="s">
        <v>282</v>
      </c>
      <c r="I2838" s="10">
        <f ca="1">IFERROR(__xludf.DUMMYFUNCTION(" VLOOKUP(A2835, IMPORTRANGE(""https://docs.google.com/spreadsheets/d/1QNLbnkR_AongFt22vMfNzfpjZ0CjpI8QI-w0wBnYA1w/"", ""Инфа!A:AA""), 6, FALSE)"),2024)</f>
        <v>2024</v>
      </c>
      <c r="J2838" s="5">
        <f ca="1">ROUND((5000+G2838*30),-2)</f>
        <v>11100</v>
      </c>
      <c r="K2838" s="12" t="s">
        <v>3445</v>
      </c>
      <c r="L2838" s="15" t="s">
        <v>11131</v>
      </c>
    </row>
    <row r="2839" spans="1:12" ht="180">
      <c r="A2839" s="8" t="s">
        <v>11132</v>
      </c>
      <c r="B2839" s="9" t="s">
        <v>12</v>
      </c>
      <c r="C2839" s="10" t="s">
        <v>151</v>
      </c>
      <c r="D2839" s="10" t="str">
        <f ca="1">IFERROR(__xludf.DUMMYFUNCTION(" VLOOKUP(A2836, IMPORTRANGE(""https://docs.google.com/spreadsheets/d/1fj_Bhi2XPL3siwIh4sx4VRLAe31yD50oKdj5UlRYW0c/"", ""Сводка!A:AA""), 11, FALSE)"),"978-601-327-336-5")</f>
        <v>978-601-327-336-5</v>
      </c>
      <c r="E2839" s="11" t="s">
        <v>11133</v>
      </c>
      <c r="F2839" s="11" t="s">
        <v>11134</v>
      </c>
      <c r="G2839" s="12">
        <f ca="1">IFERROR(__xludf.DUMMYFUNCTION(" VLOOKUP(A2836, IMPORTRANGE(""https://docs.google.com/spreadsheets/d/1fj_Bhi2XPL3siwIh4sx4VRLAe31yD50oKdj5UlRYW0c/"", ""Сводка!A:AA""), 5, FALSE)"),96)</f>
        <v>96</v>
      </c>
      <c r="H2839" s="12" t="s">
        <v>282</v>
      </c>
      <c r="I2839" s="10">
        <f ca="1">IFERROR(__xludf.DUMMYFUNCTION(" VLOOKUP(A2836, IMPORTRANGE(""https://docs.google.com/spreadsheets/d/1QNLbnkR_AongFt22vMfNzfpjZ0CjpI8QI-w0wBnYA1w/"", ""Инфа!A:AA""), 6, FALSE)"),2024)</f>
        <v>2024</v>
      </c>
      <c r="J2839" s="5">
        <f ca="1">ROUND((5000+G2839*30),-2)</f>
        <v>7900</v>
      </c>
      <c r="K2839" s="12" t="s">
        <v>160</v>
      </c>
      <c r="L2839" s="15" t="s">
        <v>11135</v>
      </c>
    </row>
    <row r="2840" spans="1:12" ht="112.5">
      <c r="A2840" s="8" t="s">
        <v>11136</v>
      </c>
      <c r="B2840" s="9" t="s">
        <v>12</v>
      </c>
      <c r="C2840" s="10" t="s">
        <v>443</v>
      </c>
      <c r="D2840" s="10" t="str">
        <f ca="1">IFERROR(__xludf.DUMMYFUNCTION(" VLOOKUP(A2837, IMPORTRANGE(""https://docs.google.com/spreadsheets/d/1fj_Bhi2XPL3siwIh4sx4VRLAe31yD50oKdj5UlRYW0c/"", ""Сводка!A:AA""), 11, FALSE)"),"978-601-327-321-1")</f>
        <v>978-601-327-321-1</v>
      </c>
      <c r="E2840" s="11" t="s">
        <v>11137</v>
      </c>
      <c r="F2840" s="11" t="s">
        <v>11138</v>
      </c>
      <c r="G2840" s="12">
        <f ca="1">IFERROR(__xludf.DUMMYFUNCTION(" VLOOKUP(A2837, IMPORTRANGE(""https://docs.google.com/spreadsheets/d/1fj_Bhi2XPL3siwIh4sx4VRLAe31yD50oKdj5UlRYW0c/"", ""Сводка!A:AA""), 5, FALSE)"),120)</f>
        <v>120</v>
      </c>
      <c r="H2840" s="12" t="s">
        <v>1908</v>
      </c>
      <c r="I2840" s="10">
        <f ca="1">IFERROR(__xludf.DUMMYFUNCTION(" VLOOKUP(A2837, IMPORTRANGE(""https://docs.google.com/spreadsheets/d/1QNLbnkR_AongFt22vMfNzfpjZ0CjpI8QI-w0wBnYA1w/"", ""Инфа!A:AA""), 6, FALSE)"),2024)</f>
        <v>2024</v>
      </c>
      <c r="J2840" s="5">
        <f ca="1">ROUND((5000+G2840*30),-2)</f>
        <v>8600</v>
      </c>
      <c r="K2840" s="12" t="s">
        <v>160</v>
      </c>
      <c r="L2840" s="15" t="s">
        <v>11139</v>
      </c>
    </row>
    <row r="2841" spans="1:12" ht="303.75">
      <c r="A2841" s="8" t="s">
        <v>11140</v>
      </c>
      <c r="B2841" s="9" t="s">
        <v>12</v>
      </c>
      <c r="C2841" s="10" t="s">
        <v>443</v>
      </c>
      <c r="D2841" s="10" t="str">
        <f ca="1">IFERROR(__xludf.DUMMYFUNCTION(" VLOOKUP(A2838, IMPORTRANGE(""https://docs.google.com/spreadsheets/d/1fj_Bhi2XPL3siwIh4sx4VRLAe31yD50oKdj5UlRYW0c/"", ""Сводка!A:AA""), 11, FALSE)"),"5-222-02848-8")</f>
        <v>5-222-02848-8</v>
      </c>
      <c r="E2841" s="11" t="s">
        <v>11141</v>
      </c>
      <c r="F2841" s="11" t="s">
        <v>11142</v>
      </c>
      <c r="G2841" s="12">
        <f ca="1">IFERROR(__xludf.DUMMYFUNCTION(" VLOOKUP(A2838, IMPORTRANGE(""https://docs.google.com/spreadsheets/d/1fj_Bhi2XPL3siwIh4sx4VRLAe31yD50oKdj5UlRYW0c/"", ""Сводка!A:AA""), 5, FALSE)"),172)</f>
        <v>172</v>
      </c>
      <c r="H2841" s="12" t="s">
        <v>165</v>
      </c>
      <c r="I2841" s="10">
        <f ca="1">IFERROR(__xludf.DUMMYFUNCTION(" VLOOKUP(A2838, IMPORTRANGE(""https://docs.google.com/spreadsheets/d/1QNLbnkR_AongFt22vMfNzfpjZ0CjpI8QI-w0wBnYA1w/"", ""Инфа!A:AA""), 6, FALSE)"),2024)</f>
        <v>2024</v>
      </c>
      <c r="J2841" s="5">
        <f ca="1">ROUND((5000+G2841*60),-2)</f>
        <v>15300</v>
      </c>
      <c r="K2841" s="12" t="s">
        <v>488</v>
      </c>
      <c r="L2841" s="15" t="s">
        <v>11143</v>
      </c>
    </row>
    <row r="2842" spans="1:12" ht="303.75">
      <c r="A2842" s="8" t="s">
        <v>11144</v>
      </c>
      <c r="B2842" s="9" t="s">
        <v>12</v>
      </c>
      <c r="C2842" s="10" t="s">
        <v>151</v>
      </c>
      <c r="D2842" s="10" t="str">
        <f ca="1">IFERROR(__xludf.DUMMYFUNCTION(" VLOOKUP(A2839, IMPORTRANGE(""https://docs.google.com/spreadsheets/d/1fj_Bhi2XPL3siwIh4sx4VRLAe31yD50oKdj5UlRYW0c/"", ""Сводка!A:AA""), 11, FALSE)"),"978-601-327-335-8")</f>
        <v>978-601-327-335-8</v>
      </c>
      <c r="E2842" s="11" t="s">
        <v>11133</v>
      </c>
      <c r="F2842" s="11" t="s">
        <v>11145</v>
      </c>
      <c r="G2842" s="12">
        <f ca="1">IFERROR(__xludf.DUMMYFUNCTION(" VLOOKUP(A2839, IMPORTRANGE(""https://docs.google.com/spreadsheets/d/1fj_Bhi2XPL3siwIh4sx4VRLAe31yD50oKdj5UlRYW0c/"", ""Сводка!A:AA""), 5, FALSE)"),94)</f>
        <v>94</v>
      </c>
      <c r="H2842" s="12" t="s">
        <v>282</v>
      </c>
      <c r="I2842" s="10">
        <f ca="1">IFERROR(__xludf.DUMMYFUNCTION(" VLOOKUP(A2839, IMPORTRANGE(""https://docs.google.com/spreadsheets/d/1QNLbnkR_AongFt22vMfNzfpjZ0CjpI8QI-w0wBnYA1w/"", ""Инфа!A:AA""), 6, FALSE)"),2024)</f>
        <v>2024</v>
      </c>
      <c r="J2842" s="5">
        <f ca="1">ROUND((5000+G2842*30),-2)</f>
        <v>7800</v>
      </c>
      <c r="K2842" s="9" t="s">
        <v>408</v>
      </c>
      <c r="L2842" s="15" t="s">
        <v>11146</v>
      </c>
    </row>
    <row r="2843" spans="1:12" ht="270">
      <c r="A2843" s="8" t="s">
        <v>11147</v>
      </c>
      <c r="B2843" s="9" t="s">
        <v>12</v>
      </c>
      <c r="C2843" s="10" t="s">
        <v>443</v>
      </c>
      <c r="D2843" s="10" t="str">
        <f ca="1">IFERROR(__xludf.DUMMYFUNCTION(" VLOOKUP(A2840, IMPORTRANGE(""https://docs.google.com/spreadsheets/d/1fj_Bhi2XPL3siwIh4sx4VRLAe31yD50oKdj5UlRYW0c/"", ""Сводка!A:AA""), 11, FALSE)"),"978-601-327-888-9")</f>
        <v>978-601-327-888-9</v>
      </c>
      <c r="E2843" s="11" t="s">
        <v>11148</v>
      </c>
      <c r="F2843" s="11" t="s">
        <v>11149</v>
      </c>
      <c r="G2843" s="12">
        <f ca="1">IFERROR(__xludf.DUMMYFUNCTION(" VLOOKUP(A2840, IMPORTRANGE(""https://docs.google.com/spreadsheets/d/1fj_Bhi2XPL3siwIh4sx4VRLAe31yD50oKdj5UlRYW0c/"", ""Сводка!A:AA""), 5, FALSE)"),132)</f>
        <v>132</v>
      </c>
      <c r="H2843" s="12" t="s">
        <v>777</v>
      </c>
      <c r="I2843" s="10">
        <f ca="1">IFERROR(__xludf.DUMMYFUNCTION(" VLOOKUP(A2840, IMPORTRANGE(""https://docs.google.com/spreadsheets/d/1QNLbnkR_AongFt22vMfNzfpjZ0CjpI8QI-w0wBnYA1w/"", ""Инфа!A:AA""), 6, FALSE)"),2024)</f>
        <v>2024</v>
      </c>
      <c r="J2843" s="5">
        <f ca="1">ROUND((5000+G2843*30),-2)</f>
        <v>9000</v>
      </c>
      <c r="K2843" s="9" t="s">
        <v>408</v>
      </c>
      <c r="L2843" s="15" t="s">
        <v>11150</v>
      </c>
    </row>
    <row r="2844" spans="1:12" ht="67.5">
      <c r="A2844" s="8" t="s">
        <v>11151</v>
      </c>
      <c r="B2844" s="9" t="s">
        <v>12</v>
      </c>
      <c r="C2844" s="10" t="s">
        <v>151</v>
      </c>
      <c r="D2844" s="10" t="str">
        <f ca="1">IFERROR(__xludf.DUMMYFUNCTION(" VLOOKUP(A2841, IMPORTRANGE(""https://docs.google.com/spreadsheets/d/1fj_Bhi2XPL3siwIh4sx4VRLAe31yD50oKdj5UlRYW0c/"", ""Сводка!A:AA""), 11, FALSE)"),"978-601-327-642-7")</f>
        <v>978-601-327-642-7</v>
      </c>
      <c r="E2844" s="11" t="s">
        <v>11152</v>
      </c>
      <c r="F2844" s="11" t="s">
        <v>11153</v>
      </c>
      <c r="G2844" s="12">
        <f ca="1">IFERROR(__xludf.DUMMYFUNCTION(" VLOOKUP(A2841, IMPORTRANGE(""https://docs.google.com/spreadsheets/d/1fj_Bhi2XPL3siwIh4sx4VRLAe31yD50oKdj5UlRYW0c/"", ""Сводка!A:AA""), 5, FALSE)"),132)</f>
        <v>132</v>
      </c>
      <c r="H2844" s="12" t="s">
        <v>47</v>
      </c>
      <c r="I2844" s="10">
        <f ca="1">IFERROR(__xludf.DUMMYFUNCTION(" VLOOKUP(A2841, IMPORTRANGE(""https://docs.google.com/spreadsheets/d/1QNLbnkR_AongFt22vMfNzfpjZ0CjpI8QI-w0wBnYA1w/"", ""Инфа!A:AA""), 6, FALSE)"),2024)</f>
        <v>2024</v>
      </c>
      <c r="J2844" s="5">
        <f ca="1">ROUND((5000+G2844*30),-2)</f>
        <v>9000</v>
      </c>
      <c r="K2844" s="12" t="s">
        <v>277</v>
      </c>
      <c r="L2844" s="15" t="s">
        <v>11154</v>
      </c>
    </row>
    <row r="2845" spans="1:12" ht="67.5">
      <c r="A2845" s="8" t="s">
        <v>11155</v>
      </c>
      <c r="B2845" s="9" t="s">
        <v>12</v>
      </c>
      <c r="C2845" s="10" t="s">
        <v>151</v>
      </c>
      <c r="D2845" s="10" t="str">
        <f ca="1">IFERROR(__xludf.DUMMYFUNCTION(" VLOOKUP(A2842, IMPORTRANGE(""https://docs.google.com/spreadsheets/d/1fj_Bhi2XPL3siwIh4sx4VRLAe31yD50oKdj5UlRYW0c/"", ""Сводка!A:AA""), 11, FALSE)"),"978-601-236-052-3")</f>
        <v>978-601-236-052-3</v>
      </c>
      <c r="E2845" s="11" t="s">
        <v>11156</v>
      </c>
      <c r="F2845" s="11" t="s">
        <v>11157</v>
      </c>
      <c r="G2845" s="12">
        <f ca="1">IFERROR(__xludf.DUMMYFUNCTION(" VLOOKUP(A2842, IMPORTRANGE(""https://docs.google.com/spreadsheets/d/1fj_Bhi2XPL3siwIh4sx4VRLAe31yD50oKdj5UlRYW0c/"", ""Сводка!A:AA""), 5, FALSE)"),156)</f>
        <v>156</v>
      </c>
      <c r="H2845" s="12" t="s">
        <v>47</v>
      </c>
      <c r="I2845" s="10">
        <f ca="1">IFERROR(__xludf.DUMMYFUNCTION(" VLOOKUP(A2842, IMPORTRANGE(""https://docs.google.com/spreadsheets/d/1QNLbnkR_AongFt22vMfNzfpjZ0CjpI8QI-w0wBnYA1w/"", ""Инфа!A:AA""), 6, FALSE)"),2024)</f>
        <v>2024</v>
      </c>
      <c r="J2845" s="5">
        <f ca="1">ROUND((5000+G2845*30),-2)</f>
        <v>9700</v>
      </c>
      <c r="K2845" s="12" t="s">
        <v>277</v>
      </c>
      <c r="L2845" s="15" t="s">
        <v>11154</v>
      </c>
    </row>
    <row r="2846" spans="1:12" ht="202.5">
      <c r="A2846" s="8" t="s">
        <v>11158</v>
      </c>
      <c r="B2846" s="9" t="s">
        <v>12</v>
      </c>
      <c r="C2846" s="10" t="s">
        <v>151</v>
      </c>
      <c r="D2846" s="10" t="str">
        <f ca="1">IFERROR(__xludf.DUMMYFUNCTION(" VLOOKUP(A2843, IMPORTRANGE(""https://docs.google.com/spreadsheets/d/1fj_Bhi2XPL3siwIh4sx4VRLAe31yD50oKdj5UlRYW0c/"", ""Сводка!A:AA""), 11, FALSE)"),"978-601-327-337-2")</f>
        <v>978-601-327-337-2</v>
      </c>
      <c r="E2846" s="11" t="s">
        <v>11159</v>
      </c>
      <c r="F2846" s="11" t="s">
        <v>11160</v>
      </c>
      <c r="G2846" s="12">
        <f ca="1">IFERROR(__xludf.DUMMYFUNCTION(" VLOOKUP(A2843, IMPORTRANGE(""https://docs.google.com/spreadsheets/d/1fj_Bhi2XPL3siwIh4sx4VRLAe31yD50oKdj5UlRYW0c/"", ""Сводка!A:AA""), 5, FALSE)"),224)</f>
        <v>224</v>
      </c>
      <c r="H2846" s="12" t="s">
        <v>24</v>
      </c>
      <c r="I2846" s="10">
        <f ca="1">IFERROR(__xludf.DUMMYFUNCTION(" VLOOKUP(A2843, IMPORTRANGE(""https://docs.google.com/spreadsheets/d/1QNLbnkR_AongFt22vMfNzfpjZ0CjpI8QI-w0wBnYA1w/"", ""Инфа!A:AA""), 6, FALSE)"),2024)</f>
        <v>2024</v>
      </c>
      <c r="J2846" s="5">
        <f ca="1">ROUND((5000+G2846*60),-2)</f>
        <v>18400</v>
      </c>
      <c r="K2846" s="12" t="s">
        <v>257</v>
      </c>
      <c r="L2846" s="15" t="s">
        <v>11161</v>
      </c>
    </row>
    <row r="2847" spans="1:12" ht="157.5">
      <c r="A2847" s="8" t="s">
        <v>11162</v>
      </c>
      <c r="B2847" s="9" t="s">
        <v>12</v>
      </c>
      <c r="C2847" s="10" t="s">
        <v>13</v>
      </c>
      <c r="D2847" s="10" t="str">
        <f ca="1">IFERROR(__xludf.DUMMYFUNCTION(" VLOOKUP(A2844, IMPORTRANGE(""https://docs.google.com/spreadsheets/d/1fj_Bhi2XPL3siwIh4sx4VRLAe31yD50oKdj5UlRYW0c/"", ""Сводка!A:AA""), 11, FALSE)"),"978-601-342-561-0")</f>
        <v>978-601-342-561-0</v>
      </c>
      <c r="E2847" s="11" t="s">
        <v>11163</v>
      </c>
      <c r="F2847" s="11" t="s">
        <v>11164</v>
      </c>
      <c r="G2847" s="12">
        <f ca="1">IFERROR(__xludf.DUMMYFUNCTION(" VLOOKUP(A2844, IMPORTRANGE(""https://docs.google.com/spreadsheets/d/1fj_Bhi2XPL3siwIh4sx4VRLAe31yD50oKdj5UlRYW0c/"", ""Сводка!A:AA""), 5, FALSE)"),340)</f>
        <v>340</v>
      </c>
      <c r="H2847" s="12" t="s">
        <v>11165</v>
      </c>
      <c r="I2847" s="10">
        <f ca="1">IFERROR(__xludf.DUMMYFUNCTION(" VLOOKUP(A2844, IMPORTRANGE(""https://docs.google.com/spreadsheets/d/1QNLbnkR_AongFt22vMfNzfpjZ0CjpI8QI-w0wBnYA1w/"", ""Инфа!A:AA""), 6, FALSE)"),2024)</f>
        <v>2024</v>
      </c>
      <c r="J2847" s="5">
        <f ca="1">ROUND((5000+G2847*60),-2)</f>
        <v>25400</v>
      </c>
      <c r="K2847" s="12" t="s">
        <v>48</v>
      </c>
      <c r="L2847" s="15" t="s">
        <v>11166</v>
      </c>
    </row>
    <row r="2848" spans="1:12" ht="213.75">
      <c r="A2848" s="8" t="s">
        <v>11167</v>
      </c>
      <c r="B2848" s="9" t="s">
        <v>12</v>
      </c>
      <c r="C2848" s="10" t="s">
        <v>151</v>
      </c>
      <c r="D2848" s="10" t="str">
        <f ca="1">IFERROR(__xludf.DUMMYFUNCTION(" VLOOKUP(A2845, IMPORTRANGE(""https://docs.google.com/spreadsheets/d/1fj_Bhi2XPL3siwIh4sx4VRLAe31yD50oKdj5UlRYW0c/"", ""Сводка!A:AA""), 11, FALSE)"),"978-601-342-562-7")</f>
        <v>978-601-342-562-7</v>
      </c>
      <c r="E2848" s="11" t="s">
        <v>11163</v>
      </c>
      <c r="F2848" s="11" t="s">
        <v>11168</v>
      </c>
      <c r="G2848" s="12">
        <f ca="1">IFERROR(__xludf.DUMMYFUNCTION(" VLOOKUP(A2845, IMPORTRANGE(""https://docs.google.com/spreadsheets/d/1fj_Bhi2XPL3siwIh4sx4VRLAe31yD50oKdj5UlRYW0c/"", ""Сводка!A:AA""), 5, FALSE)"),324)</f>
        <v>324</v>
      </c>
      <c r="H2848" s="12" t="s">
        <v>47</v>
      </c>
      <c r="I2848" s="10">
        <f ca="1">IFERROR(__xludf.DUMMYFUNCTION(" VLOOKUP(A2845, IMPORTRANGE(""https://docs.google.com/spreadsheets/d/1QNLbnkR_AongFt22vMfNzfpjZ0CjpI8QI-w0wBnYA1w/"", ""Инфа!A:AA""), 6, FALSE)"),2024)</f>
        <v>2024</v>
      </c>
      <c r="J2848" s="5">
        <f ca="1">ROUND((5000+G2848*60),-2)</f>
        <v>24400</v>
      </c>
      <c r="K2848" s="12" t="s">
        <v>11169</v>
      </c>
      <c r="L2848" s="15" t="s">
        <v>11170</v>
      </c>
    </row>
    <row r="2849" spans="1:12" ht="213.75">
      <c r="A2849" s="8" t="s">
        <v>11171</v>
      </c>
      <c r="B2849" s="9" t="s">
        <v>12</v>
      </c>
      <c r="C2849" s="10" t="s">
        <v>151</v>
      </c>
      <c r="D2849" s="10" t="str">
        <f ca="1">IFERROR(__xludf.DUMMYFUNCTION(" VLOOKUP(A2846, IMPORTRANGE(""https://docs.google.com/spreadsheets/d/1fj_Bhi2XPL3siwIh4sx4VRLAe31yD50oKdj5UlRYW0c/"", ""Сводка!A:AA""), 11, FALSE)"),"978-601-342-562-7")</f>
        <v>978-601-342-562-7</v>
      </c>
      <c r="E2849" s="11" t="s">
        <v>11163</v>
      </c>
      <c r="F2849" s="11" t="s">
        <v>11172</v>
      </c>
      <c r="G2849" s="12">
        <f ca="1">IFERROR(__xludf.DUMMYFUNCTION(" VLOOKUP(A2846, IMPORTRANGE(""https://docs.google.com/spreadsheets/d/1fj_Bhi2XPL3siwIh4sx4VRLAe31yD50oKdj5UlRYW0c/"", ""Сводка!A:AA""), 5, FALSE)"),284)</f>
        <v>284</v>
      </c>
      <c r="H2849" s="12" t="s">
        <v>47</v>
      </c>
      <c r="I2849" s="10">
        <f ca="1">IFERROR(__xludf.DUMMYFUNCTION(" VLOOKUP(A2846, IMPORTRANGE(""https://docs.google.com/spreadsheets/d/1QNLbnkR_AongFt22vMfNzfpjZ0CjpI8QI-w0wBnYA1w/"", ""Инфа!A:AA""), 6, FALSE)"),2024)</f>
        <v>2024</v>
      </c>
      <c r="J2849" s="5">
        <f ca="1">ROUND((5000+G2849*30),-2)</f>
        <v>13500</v>
      </c>
      <c r="K2849" s="12" t="s">
        <v>11169</v>
      </c>
      <c r="L2849" s="15" t="s">
        <v>11170</v>
      </c>
    </row>
    <row r="2850" spans="1:12" ht="202.5">
      <c r="A2850" s="8" t="s">
        <v>11173</v>
      </c>
      <c r="B2850" s="9" t="s">
        <v>12</v>
      </c>
      <c r="C2850" s="10" t="s">
        <v>151</v>
      </c>
      <c r="D2850" s="10" t="str">
        <f ca="1">IFERROR(__xludf.DUMMYFUNCTION(" VLOOKUP(A2847, IMPORTRANGE(""https://docs.google.com/spreadsheets/d/1fj_Bhi2XPL3siwIh4sx4VRLAe31yD50oKdj5UlRYW0c/"", ""Сводка!A:AA""), 11, FALSE)"),"978-601-342-560-3")</f>
        <v>978-601-342-560-3</v>
      </c>
      <c r="E2850" s="11" t="s">
        <v>11163</v>
      </c>
      <c r="F2850" s="11" t="s">
        <v>11174</v>
      </c>
      <c r="G2850" s="12">
        <f ca="1">IFERROR(__xludf.DUMMYFUNCTION(" VLOOKUP(A2847, IMPORTRANGE(""https://docs.google.com/spreadsheets/d/1fj_Bhi2XPL3siwIh4sx4VRLAe31yD50oKdj5UlRYW0c/"", ""Сводка!A:AA""), 5, FALSE)"),292)</f>
        <v>292</v>
      </c>
      <c r="H2850" s="12" t="s">
        <v>47</v>
      </c>
      <c r="I2850" s="10">
        <f ca="1">IFERROR(__xludf.DUMMYFUNCTION(" VLOOKUP(A2847, IMPORTRANGE(""https://docs.google.com/spreadsheets/d/1QNLbnkR_AongFt22vMfNzfpjZ0CjpI8QI-w0wBnYA1w/"", ""Инфа!A:AA""), 6, FALSE)"),2024)</f>
        <v>2024</v>
      </c>
      <c r="J2850" s="5">
        <f ca="1">ROUND((5000+G2850*60),-2)</f>
        <v>22500</v>
      </c>
      <c r="K2850" s="12" t="s">
        <v>48</v>
      </c>
      <c r="L2850" s="15" t="s">
        <v>11175</v>
      </c>
    </row>
    <row r="2851" spans="1:12" ht="202.5">
      <c r="A2851" s="8" t="s">
        <v>11176</v>
      </c>
      <c r="B2851" s="9" t="s">
        <v>12</v>
      </c>
      <c r="C2851" s="10" t="s">
        <v>151</v>
      </c>
      <c r="D2851" s="10" t="str">
        <f ca="1">IFERROR(__xludf.DUMMYFUNCTION(" VLOOKUP(A2848, IMPORTRANGE(""https://docs.google.com/spreadsheets/d/1fj_Bhi2XPL3siwIh4sx4VRLAe31yD50oKdj5UlRYW0c/"", ""Сводка!A:AA""), 11, FALSE)"),"978-601-342-560-3")</f>
        <v>978-601-342-560-3</v>
      </c>
      <c r="E2851" s="11" t="s">
        <v>11163</v>
      </c>
      <c r="F2851" s="11" t="s">
        <v>11177</v>
      </c>
      <c r="G2851" s="12">
        <f ca="1">IFERROR(__xludf.DUMMYFUNCTION(" VLOOKUP(A2848, IMPORTRANGE(""https://docs.google.com/spreadsheets/d/1fj_Bhi2XPL3siwIh4sx4VRLAe31yD50oKdj5UlRYW0c/"", ""Сводка!A:AA""), 5, FALSE)"),164)</f>
        <v>164</v>
      </c>
      <c r="H2851" s="12" t="s">
        <v>47</v>
      </c>
      <c r="I2851" s="10">
        <f ca="1">IFERROR(__xludf.DUMMYFUNCTION(" VLOOKUP(A2848, IMPORTRANGE(""https://docs.google.com/spreadsheets/d/1QNLbnkR_AongFt22vMfNzfpjZ0CjpI8QI-w0wBnYA1w/"", ""Инфа!A:AA""), 6, FALSE)"),2024)</f>
        <v>2024</v>
      </c>
      <c r="J2851" s="5">
        <f ca="1">ROUND((5000+G2851*60),-2)</f>
        <v>14800</v>
      </c>
      <c r="K2851" s="12" t="s">
        <v>3769</v>
      </c>
      <c r="L2851" s="15" t="s">
        <v>11175</v>
      </c>
    </row>
    <row r="2852" spans="1:12" ht="247.5">
      <c r="A2852" s="8" t="s">
        <v>11178</v>
      </c>
      <c r="B2852" s="9" t="s">
        <v>12</v>
      </c>
      <c r="C2852" s="10" t="s">
        <v>151</v>
      </c>
      <c r="D2852" s="10" t="str">
        <f ca="1">IFERROR(__xludf.DUMMYFUNCTION(" VLOOKUP(A2849, IMPORTRANGE(""https://docs.google.com/spreadsheets/d/1fj_Bhi2XPL3siwIh4sx4VRLAe31yD50oKdj5UlRYW0c/"", ""Сводка!A:AA""), 11, FALSE)"),"978-601-342-562-7")</f>
        <v>978-601-342-562-7</v>
      </c>
      <c r="E2852" s="11" t="s">
        <v>11163</v>
      </c>
      <c r="F2852" s="11" t="s">
        <v>11179</v>
      </c>
      <c r="G2852" s="12">
        <f ca="1">IFERROR(__xludf.DUMMYFUNCTION(" VLOOKUP(A2849, IMPORTRANGE(""https://docs.google.com/spreadsheets/d/1fj_Bhi2XPL3siwIh4sx4VRLAe31yD50oKdj5UlRYW0c/"", ""Сводка!A:AA""), 5, FALSE)"),244)</f>
        <v>244</v>
      </c>
      <c r="H2852" s="12" t="s">
        <v>47</v>
      </c>
      <c r="I2852" s="10">
        <f ca="1">IFERROR(__xludf.DUMMYFUNCTION(" VLOOKUP(A2849, IMPORTRANGE(""https://docs.google.com/spreadsheets/d/1QNLbnkR_AongFt22vMfNzfpjZ0CjpI8QI-w0wBnYA1w/"", ""Инфа!A:AA""), 6, FALSE)"),2024)</f>
        <v>2024</v>
      </c>
      <c r="J2852" s="5">
        <f ca="1">ROUND((5000+G2852*30),-2)</f>
        <v>12300</v>
      </c>
      <c r="K2852" s="12" t="s">
        <v>139</v>
      </c>
      <c r="L2852" s="15" t="s">
        <v>11180</v>
      </c>
    </row>
    <row r="2853" spans="1:12" ht="247.5">
      <c r="A2853" s="8" t="s">
        <v>11181</v>
      </c>
      <c r="B2853" s="9" t="s">
        <v>12</v>
      </c>
      <c r="C2853" s="10" t="s">
        <v>151</v>
      </c>
      <c r="D2853" s="10" t="str">
        <f ca="1">IFERROR(__xludf.DUMMYFUNCTION(" VLOOKUP(A2850, IMPORTRANGE(""https://docs.google.com/spreadsheets/d/1fj_Bhi2XPL3siwIh4sx4VRLAe31yD50oKdj5UlRYW0c/"", ""Сводка!A:AA""), 11, FALSE)"),"978-601-342-562-7")</f>
        <v>978-601-342-562-7</v>
      </c>
      <c r="E2853" s="11" t="s">
        <v>11163</v>
      </c>
      <c r="F2853" s="11" t="s">
        <v>11182</v>
      </c>
      <c r="G2853" s="12">
        <f ca="1">IFERROR(__xludf.DUMMYFUNCTION(" VLOOKUP(A2850, IMPORTRANGE(""https://docs.google.com/spreadsheets/d/1fj_Bhi2XPL3siwIh4sx4VRLAe31yD50oKdj5UlRYW0c/"", ""Сводка!A:AA""), 5, FALSE)"),268)</f>
        <v>268</v>
      </c>
      <c r="H2853" s="12" t="s">
        <v>47</v>
      </c>
      <c r="I2853" s="10">
        <f ca="1">IFERROR(__xludf.DUMMYFUNCTION(" VLOOKUP(A2850, IMPORTRANGE(""https://docs.google.com/spreadsheets/d/1QNLbnkR_AongFt22vMfNzfpjZ0CjpI8QI-w0wBnYA1w/"", ""Инфа!A:AA""), 6, FALSE)"),2024)</f>
        <v>2024</v>
      </c>
      <c r="J2853" s="5">
        <f ca="1">ROUND((5000+G2853*60),-2)</f>
        <v>21100</v>
      </c>
      <c r="K2853" s="12" t="s">
        <v>139</v>
      </c>
      <c r="L2853" s="15" t="s">
        <v>11180</v>
      </c>
    </row>
    <row r="2854" spans="1:12" ht="51">
      <c r="A2854" s="8" t="s">
        <v>11183</v>
      </c>
      <c r="B2854" s="9" t="s">
        <v>12</v>
      </c>
      <c r="C2854" s="10" t="s">
        <v>443</v>
      </c>
      <c r="D2854" s="10" t="str">
        <f ca="1">IFERROR(__xludf.DUMMYFUNCTION(" VLOOKUP(A2851, IMPORTRANGE(""https://docs.google.com/spreadsheets/d/1fj_Bhi2XPL3siwIh4sx4VRLAe31yD50oKdj5UlRYW0c/"", ""Сводка!A:AA""), 11, FALSE)"),"978-601-310-285-6")</f>
        <v>978-601-310-285-6</v>
      </c>
      <c r="E2854" s="11" t="s">
        <v>11184</v>
      </c>
      <c r="F2854" s="11" t="s">
        <v>11185</v>
      </c>
      <c r="G2854" s="12">
        <f ca="1">IFERROR(__xludf.DUMMYFUNCTION(" VLOOKUP(A2851, IMPORTRANGE(""https://docs.google.com/spreadsheets/d/1fj_Bhi2XPL3siwIh4sx4VRLAe31yD50oKdj5UlRYW0c/"", ""Сводка!A:AA""), 5, FALSE)"),328)</f>
        <v>328</v>
      </c>
      <c r="H2854" s="12" t="s">
        <v>538</v>
      </c>
      <c r="I2854" s="10">
        <f ca="1">IFERROR(__xludf.DUMMYFUNCTION(" VLOOKUP(A2851, IMPORTRANGE(""https://docs.google.com/spreadsheets/d/1QNLbnkR_AongFt22vMfNzfpjZ0CjpI8QI-w0wBnYA1w/"", ""Инфа!A:AA""), 6, FALSE)"),2024)</f>
        <v>2024</v>
      </c>
      <c r="J2854" s="5">
        <f ca="1">ROUND((5000+G2854*30),-2)</f>
        <v>14800</v>
      </c>
      <c r="K2854" s="12" t="s">
        <v>160</v>
      </c>
      <c r="L2854" s="15"/>
    </row>
    <row r="2855" spans="1:12" ht="168.75">
      <c r="A2855" s="8" t="s">
        <v>11186</v>
      </c>
      <c r="B2855" s="9" t="s">
        <v>12</v>
      </c>
      <c r="C2855" s="10" t="s">
        <v>151</v>
      </c>
      <c r="D2855" s="10" t="str">
        <f ca="1">IFERROR(__xludf.DUMMYFUNCTION(" VLOOKUP(A2852, IMPORTRANGE(""https://docs.google.com/spreadsheets/d/1fj_Bhi2XPL3siwIh4sx4VRLAe31yD50oKdj5UlRYW0c/"", ""Сводка!A:AA""), 11, FALSE)"),"978-601-240-868-3")</f>
        <v>978-601-240-868-3</v>
      </c>
      <c r="E2855" s="11" t="s">
        <v>11187</v>
      </c>
      <c r="F2855" s="11" t="s">
        <v>11188</v>
      </c>
      <c r="G2855" s="12">
        <f ca="1">IFERROR(__xludf.DUMMYFUNCTION(" VLOOKUP(A2852, IMPORTRANGE(""https://docs.google.com/spreadsheets/d/1fj_Bhi2XPL3siwIh4sx4VRLAe31yD50oKdj5UlRYW0c/"", ""Сводка!A:AA""), 5, FALSE)"),240)</f>
        <v>240</v>
      </c>
      <c r="H2855" s="12" t="s">
        <v>47</v>
      </c>
      <c r="I2855" s="10">
        <f ca="1">IFERROR(__xludf.DUMMYFUNCTION(" VLOOKUP(A2852, IMPORTRANGE(""https://docs.google.com/spreadsheets/d/1QNLbnkR_AongFt22vMfNzfpjZ0CjpI8QI-w0wBnYA1w/"", ""Инфа!A:AA""), 6, FALSE)"),2024)</f>
        <v>2024</v>
      </c>
      <c r="J2855" s="5">
        <f ca="1">ROUND((5000+G2855*30),-2)</f>
        <v>12200</v>
      </c>
      <c r="K2855" s="12" t="s">
        <v>160</v>
      </c>
      <c r="L2855" s="15" t="s">
        <v>11189</v>
      </c>
    </row>
    <row r="2856" spans="1:12" ht="25.5">
      <c r="A2856" s="8" t="s">
        <v>11190</v>
      </c>
      <c r="B2856" s="9" t="s">
        <v>12</v>
      </c>
      <c r="C2856" s="10" t="s">
        <v>151</v>
      </c>
      <c r="D2856" s="10" t="str">
        <f ca="1">IFERROR(__xludf.DUMMYFUNCTION(" VLOOKUP(A2853, IMPORTRANGE(""https://docs.google.com/spreadsheets/d/1fj_Bhi2XPL3siwIh4sx4VRLAe31yD50oKdj5UlRYW0c/"", ""Сводка!A:AA""), 11, FALSE)"),"978-601-310-866-7")</f>
        <v>978-601-310-866-7</v>
      </c>
      <c r="E2856" s="11" t="s">
        <v>11191</v>
      </c>
      <c r="F2856" s="11" t="s">
        <v>11192</v>
      </c>
      <c r="G2856" s="12">
        <f ca="1">IFERROR(__xludf.DUMMYFUNCTION(" VLOOKUP(A2853, IMPORTRANGE(""https://docs.google.com/spreadsheets/d/1fj_Bhi2XPL3siwIh4sx4VRLAe31yD50oKdj5UlRYW0c/"", ""Сводка!A:AA""), 5, FALSE)"),272)</f>
        <v>272</v>
      </c>
      <c r="H2856" s="12" t="s">
        <v>47</v>
      </c>
      <c r="I2856" s="10">
        <f ca="1">IFERROR(__xludf.DUMMYFUNCTION(" VLOOKUP(A2853, IMPORTRANGE(""https://docs.google.com/spreadsheets/d/1QNLbnkR_AongFt22vMfNzfpjZ0CjpI8QI-w0wBnYA1w/"", ""Инфа!A:AA""), 6, FALSE)"),2024)</f>
        <v>2024</v>
      </c>
      <c r="J2856" s="5">
        <f ca="1">ROUND((5000+G2856*30),-2)</f>
        <v>13200</v>
      </c>
      <c r="K2856" s="12" t="s">
        <v>160</v>
      </c>
      <c r="L2856" s="15"/>
    </row>
    <row r="2857" spans="1:12" ht="236.25">
      <c r="A2857" s="8" t="s">
        <v>11193</v>
      </c>
      <c r="B2857" s="9" t="s">
        <v>12</v>
      </c>
      <c r="C2857" s="10" t="s">
        <v>443</v>
      </c>
      <c r="D2857" s="10" t="str">
        <f ca="1">IFERROR(__xludf.DUMMYFUNCTION(" VLOOKUP(A2854, IMPORTRANGE(""https://docs.google.com/spreadsheets/d/1fj_Bhi2XPL3siwIh4sx4VRLAe31yD50oKdj5UlRYW0c/"", ""Сводка!A:AA""), 11, FALSE)"),"978-601-240-923-9")</f>
        <v>978-601-240-923-9</v>
      </c>
      <c r="E2857" s="11" t="s">
        <v>11194</v>
      </c>
      <c r="F2857" s="11" t="s">
        <v>11195</v>
      </c>
      <c r="G2857" s="12">
        <f ca="1">IFERROR(__xludf.DUMMYFUNCTION(" VLOOKUP(A2854, IMPORTRANGE(""https://docs.google.com/spreadsheets/d/1fj_Bhi2XPL3siwIh4sx4VRLAe31yD50oKdj5UlRYW0c/"", ""Сводка!A:AA""), 5, FALSE)"),160)</f>
        <v>160</v>
      </c>
      <c r="H2857" s="12" t="s">
        <v>538</v>
      </c>
      <c r="I2857" s="10">
        <f ca="1">IFERROR(__xludf.DUMMYFUNCTION(" VLOOKUP(A2854, IMPORTRANGE(""https://docs.google.com/spreadsheets/d/1QNLbnkR_AongFt22vMfNzfpjZ0CjpI8QI-w0wBnYA1w/"", ""Инфа!A:AA""), 6, FALSE)"),2024)</f>
        <v>2024</v>
      </c>
      <c r="J2857" s="5">
        <f ca="1">ROUND(((5000+G2857*60)*1.3),-2)</f>
        <v>19000</v>
      </c>
      <c r="K2857" s="12" t="s">
        <v>248</v>
      </c>
      <c r="L2857" s="15" t="s">
        <v>11196</v>
      </c>
    </row>
    <row r="2858" spans="1:12" ht="225">
      <c r="A2858" s="8" t="s">
        <v>11197</v>
      </c>
      <c r="B2858" s="9" t="s">
        <v>12</v>
      </c>
      <c r="C2858" s="10" t="s">
        <v>151</v>
      </c>
      <c r="D2858" s="10" t="str">
        <f ca="1">IFERROR(__xludf.DUMMYFUNCTION(" VLOOKUP(A2855, IMPORTRANGE(""https://docs.google.com/spreadsheets/d/1fj_Bhi2XPL3siwIh4sx4VRLAe31yD50oKdj5UlRYW0c/"", ""Сводка!A:AA""), 11, FALSE)"),"978-601-327-227-6")</f>
        <v>978-601-327-227-6</v>
      </c>
      <c r="E2858" s="11" t="s">
        <v>11198</v>
      </c>
      <c r="F2858" s="11" t="s">
        <v>11199</v>
      </c>
      <c r="G2858" s="12">
        <f ca="1">IFERROR(__xludf.DUMMYFUNCTION(" VLOOKUP(A2855, IMPORTRANGE(""https://docs.google.com/spreadsheets/d/1fj_Bhi2XPL3siwIh4sx4VRLAe31yD50oKdj5UlRYW0c/"", ""Сводка!A:AA""), 5, FALSE)"),328)</f>
        <v>328</v>
      </c>
      <c r="H2858" s="12" t="s">
        <v>165</v>
      </c>
      <c r="I2858" s="10">
        <f ca="1">IFERROR(__xludf.DUMMYFUNCTION(" VLOOKUP(A2855, IMPORTRANGE(""https://docs.google.com/spreadsheets/d/1QNLbnkR_AongFt22vMfNzfpjZ0CjpI8QI-w0wBnYA1w/"", ""Инфа!A:AA""), 6, FALSE)"),2024)</f>
        <v>2024</v>
      </c>
      <c r="J2858" s="5">
        <f t="shared" ref="J2858:J2863" ca="1" si="95">ROUND((5000+G2858*60),-2)</f>
        <v>24700</v>
      </c>
      <c r="K2858" s="12" t="s">
        <v>160</v>
      </c>
      <c r="L2858" s="15" t="s">
        <v>11200</v>
      </c>
    </row>
    <row r="2859" spans="1:12" ht="168.75">
      <c r="A2859" s="8" t="s">
        <v>11201</v>
      </c>
      <c r="B2859" s="9" t="s">
        <v>12</v>
      </c>
      <c r="C2859" s="10" t="s">
        <v>151</v>
      </c>
      <c r="D2859" s="10" t="str">
        <f ca="1">IFERROR(__xludf.DUMMYFUNCTION(" VLOOKUP(A2856, IMPORTRANGE(""https://docs.google.com/spreadsheets/d/1fj_Bhi2XPL3siwIh4sx4VRLAe31yD50oKdj5UlRYW0c/"", ""Сводка!A:AA""), 11, FALSE)"),"978-601-310-284-9")</f>
        <v>978-601-310-284-9</v>
      </c>
      <c r="E2859" s="11" t="s">
        <v>11202</v>
      </c>
      <c r="F2859" s="11" t="s">
        <v>11203</v>
      </c>
      <c r="G2859" s="12">
        <f ca="1">IFERROR(__xludf.DUMMYFUNCTION(" VLOOKUP(A2856, IMPORTRANGE(""https://docs.google.com/spreadsheets/d/1fj_Bhi2XPL3siwIh4sx4VRLAe31yD50oKdj5UlRYW0c/"", ""Сводка!A:AA""), 5, FALSE)"),296)</f>
        <v>296</v>
      </c>
      <c r="H2859" s="12" t="s">
        <v>47</v>
      </c>
      <c r="I2859" s="10">
        <f ca="1">IFERROR(__xludf.DUMMYFUNCTION(" VLOOKUP(A2856, IMPORTRANGE(""https://docs.google.com/spreadsheets/d/1QNLbnkR_AongFt22vMfNzfpjZ0CjpI8QI-w0wBnYA1w/"", ""Инфа!A:AA""), 6, FALSE)"),2024)</f>
        <v>2024</v>
      </c>
      <c r="J2859" s="5">
        <f t="shared" ca="1" si="95"/>
        <v>22800</v>
      </c>
      <c r="K2859" s="12" t="s">
        <v>1491</v>
      </c>
      <c r="L2859" s="15" t="s">
        <v>11204</v>
      </c>
    </row>
    <row r="2860" spans="1:12" ht="135">
      <c r="A2860" s="8" t="s">
        <v>11205</v>
      </c>
      <c r="B2860" s="9" t="s">
        <v>12</v>
      </c>
      <c r="C2860" s="10" t="s">
        <v>151</v>
      </c>
      <c r="D2860" s="10" t="str">
        <f ca="1">IFERROR(__xludf.DUMMYFUNCTION(" VLOOKUP(A2857, IMPORTRANGE(""https://docs.google.com/spreadsheets/d/1fj_Bhi2XPL3siwIh4sx4VRLAe31yD50oKdj5UlRYW0c/"", ""Сводка!A:AA""), 11, FALSE)"),"978-601-342-112-4")</f>
        <v>978-601-342-112-4</v>
      </c>
      <c r="E2860" s="11" t="s">
        <v>11206</v>
      </c>
      <c r="F2860" s="11" t="s">
        <v>11207</v>
      </c>
      <c r="G2860" s="12">
        <f ca="1">IFERROR(__xludf.DUMMYFUNCTION(" VLOOKUP(A2857, IMPORTRANGE(""https://docs.google.com/spreadsheets/d/1fj_Bhi2XPL3siwIh4sx4VRLAe31yD50oKdj5UlRYW0c/"", ""Сводка!A:AA""), 5, FALSE)"),304)</f>
        <v>304</v>
      </c>
      <c r="H2860" s="12" t="s">
        <v>47</v>
      </c>
      <c r="I2860" s="10">
        <f ca="1">IFERROR(__xludf.DUMMYFUNCTION(" VLOOKUP(A2857, IMPORTRANGE(""https://docs.google.com/spreadsheets/d/1QNLbnkR_AongFt22vMfNzfpjZ0CjpI8QI-w0wBnYA1w/"", ""Инфа!A:AA""), 6, FALSE)"),2024)</f>
        <v>2024</v>
      </c>
      <c r="J2860" s="5">
        <f t="shared" ca="1" si="95"/>
        <v>23200</v>
      </c>
      <c r="K2860" s="12" t="s">
        <v>11208</v>
      </c>
      <c r="L2860" s="15" t="s">
        <v>11209</v>
      </c>
    </row>
    <row r="2861" spans="1:12" ht="146.25">
      <c r="A2861" s="8" t="s">
        <v>11210</v>
      </c>
      <c r="B2861" s="9" t="s">
        <v>12</v>
      </c>
      <c r="C2861" s="10" t="s">
        <v>151</v>
      </c>
      <c r="D2861" s="10" t="str">
        <f ca="1">IFERROR(__xludf.DUMMYFUNCTION(" VLOOKUP(A2858, IMPORTRANGE(""https://docs.google.com/spreadsheets/d/1fj_Bhi2XPL3siwIh4sx4VRLAe31yD50oKdj5UlRYW0c/"", ""Сводка!A:AA""), 11, FALSE)"),"9965-888-14-104-0")</f>
        <v>9965-888-14-104-0</v>
      </c>
      <c r="E2861" s="11" t="s">
        <v>11206</v>
      </c>
      <c r="F2861" s="11" t="s">
        <v>11211</v>
      </c>
      <c r="G2861" s="12">
        <f ca="1">IFERROR(__xludf.DUMMYFUNCTION(" VLOOKUP(A2858, IMPORTRANGE(""https://docs.google.com/spreadsheets/d/1fj_Bhi2XPL3siwIh4sx4VRLAe31yD50oKdj5UlRYW0c/"", ""Сводка!A:AA""), 5, FALSE)"),248)</f>
        <v>248</v>
      </c>
      <c r="H2861" s="12" t="s">
        <v>47</v>
      </c>
      <c r="I2861" s="10">
        <f ca="1">IFERROR(__xludf.DUMMYFUNCTION(" VLOOKUP(A2858, IMPORTRANGE(""https://docs.google.com/spreadsheets/d/1QNLbnkR_AongFt22vMfNzfpjZ0CjpI8QI-w0wBnYA1w/"", ""Инфа!A:AA""), 6, FALSE)"),2024)</f>
        <v>2024</v>
      </c>
      <c r="J2861" s="5">
        <f t="shared" ca="1" si="95"/>
        <v>19900</v>
      </c>
      <c r="K2861" s="12" t="s">
        <v>11212</v>
      </c>
      <c r="L2861" s="15" t="s">
        <v>11213</v>
      </c>
    </row>
    <row r="2862" spans="1:12" ht="146.25">
      <c r="A2862" s="8" t="s">
        <v>11214</v>
      </c>
      <c r="B2862" s="9" t="s">
        <v>12</v>
      </c>
      <c r="C2862" s="10" t="s">
        <v>151</v>
      </c>
      <c r="D2862" s="10" t="str">
        <f ca="1">IFERROR(__xludf.DUMMYFUNCTION(" VLOOKUP(A2859, IMPORTRANGE(""https://docs.google.com/spreadsheets/d/1fj_Bhi2XPL3siwIh4sx4VRLAe31yD50oKdj5UlRYW0c/"", ""Сводка!A:AA""), 11, FALSE)"),"9965-888-14-104-1")</f>
        <v>9965-888-14-104-1</v>
      </c>
      <c r="E2862" s="11" t="s">
        <v>11206</v>
      </c>
      <c r="F2862" s="11" t="s">
        <v>11215</v>
      </c>
      <c r="G2862" s="12">
        <f ca="1">IFERROR(__xludf.DUMMYFUNCTION(" VLOOKUP(A2859, IMPORTRANGE(""https://docs.google.com/spreadsheets/d/1fj_Bhi2XPL3siwIh4sx4VRLAe31yD50oKdj5UlRYW0c/"", ""Сводка!A:AA""), 5, FALSE)"),200)</f>
        <v>200</v>
      </c>
      <c r="H2862" s="12" t="s">
        <v>47</v>
      </c>
      <c r="I2862" s="10">
        <f ca="1">IFERROR(__xludf.DUMMYFUNCTION(" VLOOKUP(A2859, IMPORTRANGE(""https://docs.google.com/spreadsheets/d/1QNLbnkR_AongFt22vMfNzfpjZ0CjpI8QI-w0wBnYA1w/"", ""Инфа!A:AA""), 6, FALSE)"),2024)</f>
        <v>2024</v>
      </c>
      <c r="J2862" s="5">
        <f t="shared" ca="1" si="95"/>
        <v>17000</v>
      </c>
      <c r="K2862" s="12" t="s">
        <v>11216</v>
      </c>
      <c r="L2862" s="15" t="s">
        <v>11217</v>
      </c>
    </row>
    <row r="2863" spans="1:12" ht="146.25">
      <c r="A2863" s="8" t="s">
        <v>11218</v>
      </c>
      <c r="B2863" s="9" t="s">
        <v>12</v>
      </c>
      <c r="C2863" s="10" t="s">
        <v>151</v>
      </c>
      <c r="D2863" s="10" t="str">
        <f ca="1">IFERROR(__xludf.DUMMYFUNCTION(" VLOOKUP(A2860, IMPORTRANGE(""https://docs.google.com/spreadsheets/d/1fj_Bhi2XPL3siwIh4sx4VRLAe31yD50oKdj5UlRYW0c/"", ""Сводка!A:AA""), 11, FALSE)"),"978-601-342-169-8")</f>
        <v>978-601-342-169-8</v>
      </c>
      <c r="E2863" s="11" t="s">
        <v>11206</v>
      </c>
      <c r="F2863" s="11" t="s">
        <v>11219</v>
      </c>
      <c r="G2863" s="12">
        <f ca="1">IFERROR(__xludf.DUMMYFUNCTION(" VLOOKUP(A2860, IMPORTRANGE(""https://docs.google.com/spreadsheets/d/1fj_Bhi2XPL3siwIh4sx4VRLAe31yD50oKdj5UlRYW0c/"", ""Сводка!A:AA""), 5, FALSE)"),282)</f>
        <v>282</v>
      </c>
      <c r="H2863" s="12" t="s">
        <v>47</v>
      </c>
      <c r="I2863" s="10">
        <f ca="1">IFERROR(__xludf.DUMMYFUNCTION(" VLOOKUP(A2860, IMPORTRANGE(""https://docs.google.com/spreadsheets/d/1QNLbnkR_AongFt22vMfNzfpjZ0CjpI8QI-w0wBnYA1w/"", ""Инфа!A:AA""), 6, FALSE)"),2024)</f>
        <v>2024</v>
      </c>
      <c r="J2863" s="5">
        <f t="shared" ca="1" si="95"/>
        <v>21900</v>
      </c>
      <c r="K2863" s="12" t="s">
        <v>11220</v>
      </c>
      <c r="L2863" s="15" t="s">
        <v>11221</v>
      </c>
    </row>
    <row r="2864" spans="1:12" ht="146.25">
      <c r="A2864" s="8" t="s">
        <v>11222</v>
      </c>
      <c r="B2864" s="9" t="s">
        <v>12</v>
      </c>
      <c r="C2864" s="10" t="s">
        <v>151</v>
      </c>
      <c r="D2864" s="10" t="str">
        <f ca="1">IFERROR(__xludf.DUMMYFUNCTION(" VLOOKUP(A2861, IMPORTRANGE(""https://docs.google.com/spreadsheets/d/1fj_Bhi2XPL3siwIh4sx4VRLAe31yD50oKdj5UlRYW0c/"", ""Сводка!A:AA""), 11, FALSE)"),"978-601-342-168-1")</f>
        <v>978-601-342-168-1</v>
      </c>
      <c r="E2864" s="11" t="s">
        <v>11223</v>
      </c>
      <c r="F2864" s="11" t="s">
        <v>11224</v>
      </c>
      <c r="G2864" s="12">
        <f ca="1">IFERROR(__xludf.DUMMYFUNCTION(" VLOOKUP(A2861, IMPORTRANGE(""https://docs.google.com/spreadsheets/d/1fj_Bhi2XPL3siwIh4sx4VRLAe31yD50oKdj5UlRYW0c/"", ""Сводка!A:AA""), 5, FALSE)"),178)</f>
        <v>178</v>
      </c>
      <c r="H2864" s="12" t="s">
        <v>47</v>
      </c>
      <c r="I2864" s="10">
        <f ca="1">IFERROR(__xludf.DUMMYFUNCTION(" VLOOKUP(A2861, IMPORTRANGE(""https://docs.google.com/spreadsheets/d/1QNLbnkR_AongFt22vMfNzfpjZ0CjpI8QI-w0wBnYA1w/"", ""Инфа!A:AA""), 6, FALSE)"),2024)</f>
        <v>2024</v>
      </c>
      <c r="J2864" s="5">
        <f ca="1">ROUND((5000+G2864*30),-2)</f>
        <v>10300</v>
      </c>
      <c r="K2864" s="12" t="s">
        <v>11225</v>
      </c>
      <c r="L2864" s="15" t="s">
        <v>11226</v>
      </c>
    </row>
    <row r="2865" spans="1:12" ht="270">
      <c r="A2865" s="8" t="s">
        <v>11227</v>
      </c>
      <c r="B2865" s="9" t="s">
        <v>12</v>
      </c>
      <c r="C2865" s="10" t="s">
        <v>151</v>
      </c>
      <c r="D2865" s="10" t="str">
        <f ca="1">IFERROR(__xludf.DUMMYFUNCTION(" VLOOKUP(A2862, IMPORTRANGE(""https://docs.google.com/spreadsheets/d/1fj_Bhi2XPL3siwIh4sx4VRLAe31yD50oKdj5UlRYW0c/"", ""Сводка!A:AA""), 11, FALSE)"),"978-601-342-598-6")</f>
        <v>978-601-342-598-6</v>
      </c>
      <c r="E2865" s="11" t="s">
        <v>11228</v>
      </c>
      <c r="F2865" s="11" t="s">
        <v>11229</v>
      </c>
      <c r="G2865" s="12">
        <f ca="1">IFERROR(__xludf.DUMMYFUNCTION(" VLOOKUP(A2862, IMPORTRANGE(""https://docs.google.com/spreadsheets/d/1fj_Bhi2XPL3siwIh4sx4VRLAe31yD50oKdj5UlRYW0c/"", ""Сводка!A:AA""), 5, FALSE)"),136)</f>
        <v>136</v>
      </c>
      <c r="H2865" s="12" t="s">
        <v>47</v>
      </c>
      <c r="I2865" s="10">
        <f ca="1">IFERROR(__xludf.DUMMYFUNCTION(" VLOOKUP(A2862, IMPORTRANGE(""https://docs.google.com/spreadsheets/d/1QNLbnkR_AongFt22vMfNzfpjZ0CjpI8QI-w0wBnYA1w/"", ""Инфа!A:AA""), 6, FALSE)"),2024)</f>
        <v>2024</v>
      </c>
      <c r="J2865" s="5">
        <f ca="1">ROUND(((5000+G2865*60)*1.3),-2)</f>
        <v>17100</v>
      </c>
      <c r="K2865" s="12" t="s">
        <v>2283</v>
      </c>
      <c r="L2865" s="15" t="s">
        <v>11230</v>
      </c>
    </row>
    <row r="2866" spans="1:12" ht="101.25">
      <c r="A2866" s="8" t="s">
        <v>11231</v>
      </c>
      <c r="B2866" s="9" t="s">
        <v>12</v>
      </c>
      <c r="C2866" s="10" t="s">
        <v>443</v>
      </c>
      <c r="D2866" s="10" t="str">
        <f ca="1">IFERROR(__xludf.DUMMYFUNCTION(" VLOOKUP(A2863, IMPORTRANGE(""https://docs.google.com/spreadsheets/d/1fj_Bhi2XPL3siwIh4sx4VRLAe31yD50oKdj5UlRYW0c/"", ""Сводка!A:AA""), 11, FALSE)"),"978-601-327-643-4")</f>
        <v>978-601-327-643-4</v>
      </c>
      <c r="E2866" s="11" t="s">
        <v>11232</v>
      </c>
      <c r="F2866" s="11" t="s">
        <v>11233</v>
      </c>
      <c r="G2866" s="12">
        <f ca="1">IFERROR(__xludf.DUMMYFUNCTION(" VLOOKUP(A2863, IMPORTRANGE(""https://docs.google.com/spreadsheets/d/1fj_Bhi2XPL3siwIh4sx4VRLAe31yD50oKdj5UlRYW0c/"", ""Сводка!A:AA""), 5, FALSE)"),212)</f>
        <v>212</v>
      </c>
      <c r="H2866" s="12" t="s">
        <v>1908</v>
      </c>
      <c r="I2866" s="10">
        <f ca="1">IFERROR(__xludf.DUMMYFUNCTION(" VLOOKUP(A2863, IMPORTRANGE(""https://docs.google.com/spreadsheets/d/1QNLbnkR_AongFt22vMfNzfpjZ0CjpI8QI-w0wBnYA1w/"", ""Инфа!A:AA""), 6, FALSE)"),2024)</f>
        <v>2024</v>
      </c>
      <c r="J2866" s="5">
        <f t="shared" ref="J2866:J2877" ca="1" si="96">ROUND((5000+G2866*30),-2)</f>
        <v>11400</v>
      </c>
      <c r="K2866" s="12" t="s">
        <v>127</v>
      </c>
      <c r="L2866" s="15" t="s">
        <v>11234</v>
      </c>
    </row>
    <row r="2867" spans="1:12" ht="191.25">
      <c r="A2867" s="8" t="s">
        <v>11235</v>
      </c>
      <c r="B2867" s="9" t="s">
        <v>12</v>
      </c>
      <c r="C2867" s="10" t="s">
        <v>443</v>
      </c>
      <c r="D2867" s="10" t="str">
        <f ca="1">IFERROR(__xludf.DUMMYFUNCTION(" VLOOKUP(A2864, IMPORTRANGE(""https://docs.google.com/spreadsheets/d/1fj_Bhi2XPL3siwIh4sx4VRLAe31yD50oKdj5UlRYW0c/"", ""Сводка!A:AA""), 11, FALSE)"),"978-601-240-453-1")</f>
        <v>978-601-240-453-1</v>
      </c>
      <c r="E2867" s="11" t="s">
        <v>11236</v>
      </c>
      <c r="F2867" s="11" t="s">
        <v>11237</v>
      </c>
      <c r="G2867" s="12">
        <f ca="1">IFERROR(__xludf.DUMMYFUNCTION(" VLOOKUP(A2864, IMPORTRANGE(""https://docs.google.com/spreadsheets/d/1fj_Bhi2XPL3siwIh4sx4VRLAe31yD50oKdj5UlRYW0c/"", ""Сводка!A:AA""), 5, FALSE)"),248)</f>
        <v>248</v>
      </c>
      <c r="H2867" s="12" t="s">
        <v>106</v>
      </c>
      <c r="I2867" s="10">
        <f ca="1">IFERROR(__xludf.DUMMYFUNCTION(" VLOOKUP(A2864, IMPORTRANGE(""https://docs.google.com/spreadsheets/d/1QNLbnkR_AongFt22vMfNzfpjZ0CjpI8QI-w0wBnYA1w/"", ""Инфа!A:AA""), 6, FALSE)"),2024)</f>
        <v>2024</v>
      </c>
      <c r="J2867" s="5">
        <f t="shared" ca="1" si="96"/>
        <v>12400</v>
      </c>
      <c r="K2867" s="9" t="s">
        <v>7967</v>
      </c>
      <c r="L2867" s="15" t="s">
        <v>11238</v>
      </c>
    </row>
    <row r="2868" spans="1:12" ht="38.25">
      <c r="A2868" s="8" t="s">
        <v>11239</v>
      </c>
      <c r="B2868" s="9" t="s">
        <v>12</v>
      </c>
      <c r="C2868" s="10" t="s">
        <v>443</v>
      </c>
      <c r="D2868" s="10" t="str">
        <f ca="1">IFERROR(__xludf.DUMMYFUNCTION(" VLOOKUP(A2865, IMPORTRANGE(""https://docs.google.com/spreadsheets/d/1fj_Bhi2XPL3siwIh4sx4VRLAe31yD50oKdj5UlRYW0c/"", ""Сводка!A:AA""), 11, FALSE)"),"978-601-240-402-9")</f>
        <v>978-601-240-402-9</v>
      </c>
      <c r="E2868" s="11" t="s">
        <v>11240</v>
      </c>
      <c r="F2868" s="11" t="s">
        <v>11241</v>
      </c>
      <c r="G2868" s="12">
        <f ca="1">IFERROR(__xludf.DUMMYFUNCTION(" VLOOKUP(A2865, IMPORTRANGE(""https://docs.google.com/spreadsheets/d/1fj_Bhi2XPL3siwIh4sx4VRLAe31yD50oKdj5UlRYW0c/"", ""Сводка!A:AA""), 5, FALSE)"),168)</f>
        <v>168</v>
      </c>
      <c r="H2868" s="12" t="s">
        <v>538</v>
      </c>
      <c r="I2868" s="10">
        <f ca="1">IFERROR(__xludf.DUMMYFUNCTION(" VLOOKUP(A2865, IMPORTRANGE(""https://docs.google.com/spreadsheets/d/1QNLbnkR_AongFt22vMfNzfpjZ0CjpI8QI-w0wBnYA1w/"", ""Инфа!A:AA""), 6, FALSE)"),2024)</f>
        <v>2024</v>
      </c>
      <c r="J2868" s="5">
        <f t="shared" ca="1" si="96"/>
        <v>10000</v>
      </c>
      <c r="K2868" s="9" t="s">
        <v>539</v>
      </c>
      <c r="L2868" s="15"/>
    </row>
    <row r="2869" spans="1:12" ht="38.25">
      <c r="A2869" s="8" t="s">
        <v>11242</v>
      </c>
      <c r="B2869" s="9" t="s">
        <v>12</v>
      </c>
      <c r="C2869" s="10" t="s">
        <v>443</v>
      </c>
      <c r="D2869" s="10" t="str">
        <f ca="1">IFERROR(__xludf.DUMMYFUNCTION(" VLOOKUP(A2866, IMPORTRANGE(""https://docs.google.com/spreadsheets/d/1fj_Bhi2XPL3siwIh4sx4VRLAe31yD50oKdj5UlRYW0c/"", ""Сводка!A:AA""), 11, FALSE)"),"978-601-7816-65-0")</f>
        <v>978-601-7816-65-0</v>
      </c>
      <c r="E2869" s="11" t="s">
        <v>11243</v>
      </c>
      <c r="F2869" s="11" t="s">
        <v>11244</v>
      </c>
      <c r="G2869" s="12">
        <f ca="1">IFERROR(__xludf.DUMMYFUNCTION(" VLOOKUP(A2866, IMPORTRANGE(""https://docs.google.com/spreadsheets/d/1fj_Bhi2XPL3siwIh4sx4VRLAe31yD50oKdj5UlRYW0c/"", ""Сводка!A:AA""), 5, FALSE)"),172)</f>
        <v>172</v>
      </c>
      <c r="H2869" s="12" t="s">
        <v>538</v>
      </c>
      <c r="I2869" s="10">
        <f ca="1">IFERROR(__xludf.DUMMYFUNCTION(" VLOOKUP(A2866, IMPORTRANGE(""https://docs.google.com/spreadsheets/d/1QNLbnkR_AongFt22vMfNzfpjZ0CjpI8QI-w0wBnYA1w/"", ""Инфа!A:AA""), 6, FALSE)"),2024)</f>
        <v>2024</v>
      </c>
      <c r="J2869" s="5">
        <f t="shared" ca="1" si="96"/>
        <v>10200</v>
      </c>
      <c r="K2869" s="9" t="s">
        <v>7967</v>
      </c>
      <c r="L2869" s="15"/>
    </row>
    <row r="2870" spans="1:12" ht="157.5">
      <c r="A2870" s="8" t="s">
        <v>11245</v>
      </c>
      <c r="B2870" s="9" t="s">
        <v>12</v>
      </c>
      <c r="C2870" s="10" t="s">
        <v>151</v>
      </c>
      <c r="D2870" s="10" t="str">
        <f ca="1">IFERROR(__xludf.DUMMYFUNCTION(" VLOOKUP(A2867, IMPORTRANGE(""https://docs.google.com/spreadsheets/d/1fj_Bhi2XPL3siwIh4sx4VRLAe31yD50oKdj5UlRYW0c/"", ""Сводка!A:AA""), 11, FALSE)"),"978-601-7816-62-9")</f>
        <v>978-601-7816-62-9</v>
      </c>
      <c r="E2870" s="11" t="s">
        <v>11243</v>
      </c>
      <c r="F2870" s="11" t="s">
        <v>11246</v>
      </c>
      <c r="G2870" s="12">
        <f ca="1">IFERROR(__xludf.DUMMYFUNCTION(" VLOOKUP(A2867, IMPORTRANGE(""https://docs.google.com/spreadsheets/d/1fj_Bhi2XPL3siwIh4sx4VRLAe31yD50oKdj5UlRYW0c/"", ""Сводка!A:AA""), 5, FALSE)"),168)</f>
        <v>168</v>
      </c>
      <c r="H2870" s="12" t="s">
        <v>47</v>
      </c>
      <c r="I2870" s="10">
        <f ca="1">IFERROR(__xludf.DUMMYFUNCTION(" VLOOKUP(A2867, IMPORTRANGE(""https://docs.google.com/spreadsheets/d/1QNLbnkR_AongFt22vMfNzfpjZ0CjpI8QI-w0wBnYA1w/"", ""Инфа!A:AA""), 6, FALSE)"),2024)</f>
        <v>2024</v>
      </c>
      <c r="J2870" s="5">
        <f t="shared" ca="1" si="96"/>
        <v>10000</v>
      </c>
      <c r="K2870" s="9" t="s">
        <v>7967</v>
      </c>
      <c r="L2870" s="15" t="s">
        <v>11247</v>
      </c>
    </row>
    <row r="2871" spans="1:12" ht="112.5">
      <c r="A2871" s="8" t="s">
        <v>11248</v>
      </c>
      <c r="B2871" s="9" t="s">
        <v>12</v>
      </c>
      <c r="C2871" s="10" t="s">
        <v>151</v>
      </c>
      <c r="D2871" s="10" t="str">
        <f ca="1">IFERROR(__xludf.DUMMYFUNCTION(" VLOOKUP(A2868, IMPORTRANGE(""https://docs.google.com/spreadsheets/d/1fj_Bhi2XPL3siwIh4sx4VRLAe31yD50oKdj5UlRYW0c/"", ""Сводка!A:AA""), 11, FALSE)"),"978-601-240-329-9")</f>
        <v>978-601-240-329-9</v>
      </c>
      <c r="E2871" s="11" t="s">
        <v>11249</v>
      </c>
      <c r="F2871" s="11" t="s">
        <v>11250</v>
      </c>
      <c r="G2871" s="12">
        <f ca="1">IFERROR(__xludf.DUMMYFUNCTION(" VLOOKUP(A2868, IMPORTRANGE(""https://docs.google.com/spreadsheets/d/1fj_Bhi2XPL3siwIh4sx4VRLAe31yD50oKdj5UlRYW0c/"", ""Сводка!A:AA""), 5, FALSE)"),156)</f>
        <v>156</v>
      </c>
      <c r="H2871" s="12" t="s">
        <v>47</v>
      </c>
      <c r="I2871" s="10">
        <f ca="1">IFERROR(__xludf.DUMMYFUNCTION(" VLOOKUP(A2868, IMPORTRANGE(""https://docs.google.com/spreadsheets/d/1QNLbnkR_AongFt22vMfNzfpjZ0CjpI8QI-w0wBnYA1w/"", ""Инфа!A:AA""), 6, FALSE)"),2024)</f>
        <v>2024</v>
      </c>
      <c r="J2871" s="5">
        <f t="shared" ca="1" si="96"/>
        <v>9700</v>
      </c>
      <c r="K2871" s="9" t="s">
        <v>7967</v>
      </c>
      <c r="L2871" s="15" t="s">
        <v>11251</v>
      </c>
    </row>
    <row r="2872" spans="1:12" ht="112.5">
      <c r="A2872" s="8" t="s">
        <v>11252</v>
      </c>
      <c r="B2872" s="9" t="s">
        <v>12</v>
      </c>
      <c r="C2872" s="10" t="s">
        <v>151</v>
      </c>
      <c r="D2872" s="10" t="str">
        <f ca="1">IFERROR(__xludf.DUMMYFUNCTION(" VLOOKUP(A2869, IMPORTRANGE(""https://docs.google.com/spreadsheets/d/1fj_Bhi2XPL3siwIh4sx4VRLAe31yD50oKdj5UlRYW0c/"", ""Сводка!A:AA""), 11, FALSE)"),"9965-567-74-3")</f>
        <v>9965-567-74-3</v>
      </c>
      <c r="E2872" s="11" t="s">
        <v>11253</v>
      </c>
      <c r="F2872" s="11" t="s">
        <v>11254</v>
      </c>
      <c r="G2872" s="12">
        <f ca="1">IFERROR(__xludf.DUMMYFUNCTION(" VLOOKUP(A2869, IMPORTRANGE(""https://docs.google.com/spreadsheets/d/1fj_Bhi2XPL3siwIh4sx4VRLAe31yD50oKdj5UlRYW0c/"", ""Сводка!A:AA""), 5, FALSE)"),328)</f>
        <v>328</v>
      </c>
      <c r="H2872" s="12" t="s">
        <v>165</v>
      </c>
      <c r="I2872" s="10">
        <f ca="1">IFERROR(__xludf.DUMMYFUNCTION(" VLOOKUP(A2869, IMPORTRANGE(""https://docs.google.com/spreadsheets/d/1QNLbnkR_AongFt22vMfNzfpjZ0CjpI8QI-w0wBnYA1w/"", ""Инфа!A:AA""), 6, FALSE)"),2024)</f>
        <v>2024</v>
      </c>
      <c r="J2872" s="5">
        <f t="shared" ca="1" si="96"/>
        <v>14800</v>
      </c>
      <c r="K2872" s="12" t="s">
        <v>2421</v>
      </c>
      <c r="L2872" s="15" t="s">
        <v>11255</v>
      </c>
    </row>
    <row r="2873" spans="1:12" ht="90">
      <c r="A2873" s="8" t="s">
        <v>11256</v>
      </c>
      <c r="B2873" s="9" t="s">
        <v>12</v>
      </c>
      <c r="C2873" s="10" t="s">
        <v>151</v>
      </c>
      <c r="D2873" s="10" t="str">
        <f ca="1">IFERROR(__xludf.DUMMYFUNCTION(" VLOOKUP(A2870, IMPORTRANGE(""https://docs.google.com/spreadsheets/d/1fj_Bhi2XPL3siwIh4sx4VRLAe31yD50oKdj5UlRYW0c/"", ""Сводка!A:AA""), 11, FALSE)"),"978-601-327-922-0")</f>
        <v>978-601-327-922-0</v>
      </c>
      <c r="E2873" s="11" t="s">
        <v>11257</v>
      </c>
      <c r="F2873" s="11" t="s">
        <v>11258</v>
      </c>
      <c r="G2873" s="12">
        <f ca="1">IFERROR(__xludf.DUMMYFUNCTION(" VLOOKUP(A2870, IMPORTRANGE(""https://docs.google.com/spreadsheets/d/1fj_Bhi2XPL3siwIh4sx4VRLAe31yD50oKdj5UlRYW0c/"", ""Сводка!A:AA""), 5, FALSE)"),80)</f>
        <v>80</v>
      </c>
      <c r="H2873" s="12" t="s">
        <v>301</v>
      </c>
      <c r="I2873" s="10">
        <f ca="1">IFERROR(__xludf.DUMMYFUNCTION(" VLOOKUP(A2870, IMPORTRANGE(""https://docs.google.com/spreadsheets/d/1QNLbnkR_AongFt22vMfNzfpjZ0CjpI8QI-w0wBnYA1w/"", ""Инфа!A:AA""), 6, FALSE)"),2024)</f>
        <v>2024</v>
      </c>
      <c r="J2873" s="5">
        <f t="shared" ca="1" si="96"/>
        <v>7400</v>
      </c>
      <c r="K2873" s="12" t="s">
        <v>1240</v>
      </c>
      <c r="L2873" s="15" t="s">
        <v>11259</v>
      </c>
    </row>
    <row r="2874" spans="1:12" ht="180">
      <c r="A2874" s="8" t="s">
        <v>11260</v>
      </c>
      <c r="B2874" s="9" t="s">
        <v>12</v>
      </c>
      <c r="C2874" s="10" t="s">
        <v>151</v>
      </c>
      <c r="D2874" s="10" t="str">
        <f ca="1">IFERROR(__xludf.DUMMYFUNCTION(" VLOOKUP(A2871, IMPORTRANGE(""https://docs.google.com/spreadsheets/d/1fj_Bhi2XPL3siwIh4sx4VRLAe31yD50oKdj5UlRYW0c/"", ""Сводка!A:AA""), 11, FALSE)"),"978-601-327-208-5")</f>
        <v>978-601-327-208-5</v>
      </c>
      <c r="E2874" s="11" t="s">
        <v>11261</v>
      </c>
      <c r="F2874" s="11" t="s">
        <v>11262</v>
      </c>
      <c r="G2874" s="12">
        <f ca="1">IFERROR(__xludf.DUMMYFUNCTION(" VLOOKUP(A2871, IMPORTRANGE(""https://docs.google.com/spreadsheets/d/1fj_Bhi2XPL3siwIh4sx4VRLAe31yD50oKdj5UlRYW0c/"", ""Сводка!A:AA""), 5, FALSE)"),108)</f>
        <v>108</v>
      </c>
      <c r="H2874" s="12" t="s">
        <v>165</v>
      </c>
      <c r="I2874" s="10">
        <f ca="1">IFERROR(__xludf.DUMMYFUNCTION(" VLOOKUP(A2871, IMPORTRANGE(""https://docs.google.com/spreadsheets/d/1QNLbnkR_AongFt22vMfNzfpjZ0CjpI8QI-w0wBnYA1w/"", ""Инфа!A:AA""), 6, FALSE)"),2024)</f>
        <v>2024</v>
      </c>
      <c r="J2874" s="5">
        <f t="shared" ca="1" si="96"/>
        <v>8200</v>
      </c>
      <c r="K2874" s="12" t="s">
        <v>1240</v>
      </c>
      <c r="L2874" s="15" t="s">
        <v>11263</v>
      </c>
    </row>
    <row r="2875" spans="1:12" ht="213.75">
      <c r="A2875" s="8" t="s">
        <v>11264</v>
      </c>
      <c r="B2875" s="9" t="s">
        <v>12</v>
      </c>
      <c r="C2875" s="10" t="s">
        <v>151</v>
      </c>
      <c r="D2875" s="10" t="str">
        <f ca="1">IFERROR(__xludf.DUMMYFUNCTION(" VLOOKUP(A2872, IMPORTRANGE(""https://docs.google.com/spreadsheets/d/1fj_Bhi2XPL3siwIh4sx4VRLAe31yD50oKdj5UlRYW0c/"", ""Сводка!A:AA""), 11, FALSE)"),"978-601-327-205-4")</f>
        <v>978-601-327-205-4</v>
      </c>
      <c r="E2875" s="11" t="s">
        <v>11265</v>
      </c>
      <c r="F2875" s="11" t="s">
        <v>11266</v>
      </c>
      <c r="G2875" s="12">
        <f ca="1">IFERROR(__xludf.DUMMYFUNCTION(" VLOOKUP(A2872, IMPORTRANGE(""https://docs.google.com/spreadsheets/d/1fj_Bhi2XPL3siwIh4sx4VRLAe31yD50oKdj5UlRYW0c/"", ""Сводка!A:AA""), 5, FALSE)"),108)</f>
        <v>108</v>
      </c>
      <c r="H2875" s="12" t="s">
        <v>1577</v>
      </c>
      <c r="I2875" s="10">
        <f ca="1">IFERROR(__xludf.DUMMYFUNCTION(" VLOOKUP(A2872, IMPORTRANGE(""https://docs.google.com/spreadsheets/d/1QNLbnkR_AongFt22vMfNzfpjZ0CjpI8QI-w0wBnYA1w/"", ""Инфа!A:AA""), 6, FALSE)"),2024)</f>
        <v>2024</v>
      </c>
      <c r="J2875" s="5">
        <f t="shared" ca="1" si="96"/>
        <v>8200</v>
      </c>
      <c r="K2875" s="9" t="s">
        <v>619</v>
      </c>
      <c r="L2875" s="15" t="s">
        <v>11267</v>
      </c>
    </row>
    <row r="2876" spans="1:12" ht="236.25">
      <c r="A2876" s="8" t="s">
        <v>11268</v>
      </c>
      <c r="B2876" s="9" t="s">
        <v>12</v>
      </c>
      <c r="C2876" s="10" t="s">
        <v>443</v>
      </c>
      <c r="D2876" s="10" t="str">
        <f ca="1">IFERROR(__xludf.DUMMYFUNCTION(" VLOOKUP(A2873, IMPORTRANGE(""https://docs.google.com/spreadsheets/d/1fj_Bhi2XPL3siwIh4sx4VRLAe31yD50oKdj5UlRYW0c/"", ""Сводка!A:AA""), 11, FALSE)"),"978-601-240-117-2")</f>
        <v>978-601-240-117-2</v>
      </c>
      <c r="E2876" s="11" t="s">
        <v>11269</v>
      </c>
      <c r="F2876" s="11" t="s">
        <v>11270</v>
      </c>
      <c r="G2876" s="12">
        <f ca="1">IFERROR(__xludf.DUMMYFUNCTION(" VLOOKUP(A2873, IMPORTRANGE(""https://docs.google.com/spreadsheets/d/1fj_Bhi2XPL3siwIh4sx4VRLAe31yD50oKdj5UlRYW0c/"", ""Сводка!A:AA""), 5, FALSE)"),172)</f>
        <v>172</v>
      </c>
      <c r="H2876" s="12" t="s">
        <v>538</v>
      </c>
      <c r="I2876" s="10">
        <f ca="1">IFERROR(__xludf.DUMMYFUNCTION(" VLOOKUP(A2873, IMPORTRANGE(""https://docs.google.com/spreadsheets/d/1QNLbnkR_AongFt22vMfNzfpjZ0CjpI8QI-w0wBnYA1w/"", ""Инфа!A:AA""), 6, FALSE)"),2024)</f>
        <v>2024</v>
      </c>
      <c r="J2876" s="5">
        <f t="shared" ca="1" si="96"/>
        <v>10200</v>
      </c>
      <c r="K2876" s="12" t="s">
        <v>447</v>
      </c>
      <c r="L2876" s="15" t="s">
        <v>11271</v>
      </c>
    </row>
    <row r="2877" spans="1:12" ht="123.75">
      <c r="A2877" s="8" t="s">
        <v>11272</v>
      </c>
      <c r="B2877" s="9" t="s">
        <v>12</v>
      </c>
      <c r="C2877" s="10" t="s">
        <v>443</v>
      </c>
      <c r="D2877" s="10" t="str">
        <f ca="1">IFERROR(__xludf.DUMMYFUNCTION(" VLOOKUP(A2874, IMPORTRANGE(""https://docs.google.com/spreadsheets/d/1fj_Bhi2XPL3siwIh4sx4VRLAe31yD50oKdj5UlRYW0c/"", ""Сводка!A:AA""), 11, FALSE)"),"9965-00-591-5")</f>
        <v>9965-00-591-5</v>
      </c>
      <c r="E2877" s="25" t="s">
        <v>11269</v>
      </c>
      <c r="F2877" s="25" t="s">
        <v>11273</v>
      </c>
      <c r="G2877" s="12">
        <f ca="1">IFERROR(__xludf.DUMMYFUNCTION(" VLOOKUP(A2874, IMPORTRANGE(""https://docs.google.com/spreadsheets/d/1fj_Bhi2XPL3siwIh4sx4VRLAe31yD50oKdj5UlRYW0c/"", ""Сводка!A:AA""), 5, FALSE)"),332)</f>
        <v>332</v>
      </c>
      <c r="H2877" s="26" t="s">
        <v>511</v>
      </c>
      <c r="I2877" s="10">
        <f ca="1">IFERROR(__xludf.DUMMYFUNCTION(" VLOOKUP(A2874, IMPORTRANGE(""https://docs.google.com/spreadsheets/d/1QNLbnkR_AongFt22vMfNzfpjZ0CjpI8QI-w0wBnYA1w/"", ""Инфа!A:AA""), 6, FALSE)"),2024)</f>
        <v>2024</v>
      </c>
      <c r="J2877" s="5">
        <f t="shared" ca="1" si="96"/>
        <v>15000</v>
      </c>
      <c r="K2877" s="12" t="s">
        <v>447</v>
      </c>
      <c r="L2877" s="15" t="s">
        <v>11274</v>
      </c>
    </row>
    <row r="2878" spans="1:12" ht="168.75">
      <c r="A2878" s="8" t="s">
        <v>11275</v>
      </c>
      <c r="B2878" s="9" t="s">
        <v>12</v>
      </c>
      <c r="C2878" s="10" t="s">
        <v>443</v>
      </c>
      <c r="D2878" s="10" t="str">
        <f ca="1">IFERROR(__xludf.DUMMYFUNCTION(" VLOOKUP(A2875, IMPORTRANGE(""https://docs.google.com/spreadsheets/d/1fj_Bhi2XPL3siwIh4sx4VRLAe31yD50oKdj5UlRYW0c/"", ""Сводка!A:AA""), 11, FALSE)"),"978-601-240-288-8")</f>
        <v>978-601-240-288-8</v>
      </c>
      <c r="E2878" s="11" t="s">
        <v>11276</v>
      </c>
      <c r="F2878" s="11" t="s">
        <v>11277</v>
      </c>
      <c r="G2878" s="12">
        <f ca="1">IFERROR(__xludf.DUMMYFUNCTION(" VLOOKUP(A2875, IMPORTRANGE(""https://docs.google.com/spreadsheets/d/1fj_Bhi2XPL3siwIh4sx4VRLAe31yD50oKdj5UlRYW0c/"", ""Сводка!A:AA""), 5, FALSE)"),224)</f>
        <v>224</v>
      </c>
      <c r="H2878" s="12" t="s">
        <v>538</v>
      </c>
      <c r="I2878" s="10">
        <f ca="1">IFERROR(__xludf.DUMMYFUNCTION(" VLOOKUP(A2875, IMPORTRANGE(""https://docs.google.com/spreadsheets/d/1QNLbnkR_AongFt22vMfNzfpjZ0CjpI8QI-w0wBnYA1w/"", ""Инфа!A:AA""), 6, FALSE)"),2024)</f>
        <v>2024</v>
      </c>
      <c r="J2878" s="5">
        <f ca="1">ROUND((5000+G2878*60),-2)</f>
        <v>18400</v>
      </c>
      <c r="K2878" s="9" t="s">
        <v>69</v>
      </c>
      <c r="L2878" s="15" t="s">
        <v>11278</v>
      </c>
    </row>
    <row r="2879" spans="1:12" ht="303.75">
      <c r="A2879" s="8" t="s">
        <v>11279</v>
      </c>
      <c r="B2879" s="9" t="s">
        <v>12</v>
      </c>
      <c r="C2879" s="10" t="s">
        <v>443</v>
      </c>
      <c r="D2879" s="10" t="str">
        <f ca="1">IFERROR(__xludf.DUMMYFUNCTION(" VLOOKUP(A2876, IMPORTRANGE(""https://docs.google.com/spreadsheets/d/1fj_Bhi2XPL3siwIh4sx4VRLAe31yD50oKdj5UlRYW0c/"", ""Сводка!A:AA""), 11, FALSE)"),"978-601-327-728-8")</f>
        <v>978-601-327-728-8</v>
      </c>
      <c r="E2879" s="11" t="s">
        <v>11280</v>
      </c>
      <c r="F2879" s="11" t="s">
        <v>11281</v>
      </c>
      <c r="G2879" s="12">
        <f ca="1">IFERROR(__xludf.DUMMYFUNCTION(" VLOOKUP(A2876, IMPORTRANGE(""https://docs.google.com/spreadsheets/d/1fj_Bhi2XPL3siwIh4sx4VRLAe31yD50oKdj5UlRYW0c/"", ""Сводка!A:AA""), 5, FALSE)"),280)</f>
        <v>280</v>
      </c>
      <c r="H2879" s="12" t="s">
        <v>498</v>
      </c>
      <c r="I2879" s="10">
        <f ca="1">IFERROR(__xludf.DUMMYFUNCTION(" VLOOKUP(A2876, IMPORTRANGE(""https://docs.google.com/spreadsheets/d/1QNLbnkR_AongFt22vMfNzfpjZ0CjpI8QI-w0wBnYA1w/"", ""Инфа!A:AA""), 6, FALSE)"),2024)</f>
        <v>2024</v>
      </c>
      <c r="J2879" s="5">
        <f ca="1">ROUND((5000+G2879*60),-2)</f>
        <v>21800</v>
      </c>
      <c r="K2879" s="12" t="s">
        <v>1581</v>
      </c>
      <c r="L2879" s="15" t="s">
        <v>11282</v>
      </c>
    </row>
    <row r="2880" spans="1:12" ht="326.25">
      <c r="A2880" s="8" t="s">
        <v>11283</v>
      </c>
      <c r="B2880" s="9" t="s">
        <v>12</v>
      </c>
      <c r="C2880" s="10" t="s">
        <v>151</v>
      </c>
      <c r="D2880" s="10" t="str">
        <f ca="1">IFERROR(__xludf.DUMMYFUNCTION(" VLOOKUP(A2877, IMPORTRANGE(""https://docs.google.com/spreadsheets/d/1fj_Bhi2XPL3siwIh4sx4VRLAe31yD50oKdj5UlRYW0c/"", ""Сводка!A:AA""), 11, FALSE)"),"978-601-327-727-1")</f>
        <v>978-601-327-727-1</v>
      </c>
      <c r="E2880" s="11" t="s">
        <v>11280</v>
      </c>
      <c r="F2880" s="11" t="s">
        <v>11284</v>
      </c>
      <c r="G2880" s="12">
        <f ca="1">IFERROR(__xludf.DUMMYFUNCTION(" VLOOKUP(A2877, IMPORTRANGE(""https://docs.google.com/spreadsheets/d/1fj_Bhi2XPL3siwIh4sx4VRLAe31yD50oKdj5UlRYW0c/"", ""Сводка!A:AA""), 5, FALSE)"),264)</f>
        <v>264</v>
      </c>
      <c r="H2880" s="12" t="s">
        <v>498</v>
      </c>
      <c r="I2880" s="10">
        <f ca="1">IFERROR(__xludf.DUMMYFUNCTION(" VLOOKUP(A2877, IMPORTRANGE(""https://docs.google.com/spreadsheets/d/1QNLbnkR_AongFt22vMfNzfpjZ0CjpI8QI-w0wBnYA1w/"", ""Инфа!A:AA""), 6, FALSE)"),2024)</f>
        <v>2024</v>
      </c>
      <c r="J2880" s="5">
        <f ca="1">ROUND((5000+G2880*60),-2)</f>
        <v>20800</v>
      </c>
      <c r="K2880" s="12" t="s">
        <v>1581</v>
      </c>
      <c r="L2880" s="15" t="s">
        <v>11285</v>
      </c>
    </row>
    <row r="2881" spans="1:12" ht="123.75">
      <c r="A2881" s="8" t="s">
        <v>11286</v>
      </c>
      <c r="B2881" s="9" t="s">
        <v>12</v>
      </c>
      <c r="C2881" s="10" t="s">
        <v>443</v>
      </c>
      <c r="D2881" s="10" t="str">
        <f ca="1">IFERROR(__xludf.DUMMYFUNCTION(" VLOOKUP(A2878, IMPORTRANGE(""https://docs.google.com/spreadsheets/d/1fj_Bhi2XPL3siwIh4sx4VRLAe31yD50oKdj5UlRYW0c/"", ""Сводка!A:AA""), 11, FALSE)"),"978-601-327-563-5")</f>
        <v>978-601-327-563-5</v>
      </c>
      <c r="E2881" s="11" t="s">
        <v>11287</v>
      </c>
      <c r="F2881" s="11" t="s">
        <v>11288</v>
      </c>
      <c r="G2881" s="12">
        <f ca="1">IFERROR(__xludf.DUMMYFUNCTION(" VLOOKUP(A2878, IMPORTRANGE(""https://docs.google.com/spreadsheets/d/1fj_Bhi2XPL3siwIh4sx4VRLAe31yD50oKdj5UlRYW0c/"", ""Сводка!A:AA""), 5, FALSE)"),92)</f>
        <v>92</v>
      </c>
      <c r="H2881" s="12" t="s">
        <v>11289</v>
      </c>
      <c r="I2881" s="10">
        <f ca="1">IFERROR(__xludf.DUMMYFUNCTION(" VLOOKUP(A2878, IMPORTRANGE(""https://docs.google.com/spreadsheets/d/1QNLbnkR_AongFt22vMfNzfpjZ0CjpI8QI-w0wBnYA1w/"", ""Инфа!A:AA""), 6, FALSE)"),2024)</f>
        <v>2024</v>
      </c>
      <c r="J2881" s="5">
        <f ca="1">ROUND((5000+G2881*30),-2)</f>
        <v>7800</v>
      </c>
      <c r="K2881" s="74" t="s">
        <v>18</v>
      </c>
      <c r="L2881" s="15" t="s">
        <v>11290</v>
      </c>
    </row>
    <row r="2882" spans="1:12" ht="135">
      <c r="A2882" s="8" t="s">
        <v>11291</v>
      </c>
      <c r="B2882" s="9" t="s">
        <v>12</v>
      </c>
      <c r="C2882" s="10" t="s">
        <v>151</v>
      </c>
      <c r="D2882" s="10" t="str">
        <f ca="1">IFERROR(__xludf.DUMMYFUNCTION(" VLOOKUP(A2879, IMPORTRANGE(""https://docs.google.com/spreadsheets/d/1fj_Bhi2XPL3siwIh4sx4VRLAe31yD50oKdj5UlRYW0c/"", ""Сводка!A:AA""), 11, FALSE)"),"978-601-327-745-5")</f>
        <v>978-601-327-745-5</v>
      </c>
      <c r="E2882" s="11" t="s">
        <v>11292</v>
      </c>
      <c r="F2882" s="11" t="s">
        <v>11293</v>
      </c>
      <c r="G2882" s="12">
        <f ca="1">IFERROR(__xludf.DUMMYFUNCTION(" VLOOKUP(A2879, IMPORTRANGE(""https://docs.google.com/spreadsheets/d/1fj_Bhi2XPL3siwIh4sx4VRLAe31yD50oKdj5UlRYW0c/"", ""Сводка!A:AA""), 5, FALSE)"),96)</f>
        <v>96</v>
      </c>
      <c r="H2882" s="12" t="s">
        <v>165</v>
      </c>
      <c r="I2882" s="10">
        <f ca="1">IFERROR(__xludf.DUMMYFUNCTION(" VLOOKUP(A2879, IMPORTRANGE(""https://docs.google.com/spreadsheets/d/1QNLbnkR_AongFt22vMfNzfpjZ0CjpI8QI-w0wBnYA1w/"", ""Инфа!A:AA""), 6, FALSE)"),2024)</f>
        <v>2024</v>
      </c>
      <c r="J2882" s="5">
        <f ca="1">ROUND((5000+G2882*30),-2)</f>
        <v>7900</v>
      </c>
      <c r="K2882" s="74" t="s">
        <v>18</v>
      </c>
      <c r="L2882" s="15" t="s">
        <v>11294</v>
      </c>
    </row>
    <row r="2883" spans="1:12" ht="247.5">
      <c r="A2883" s="8" t="s">
        <v>11295</v>
      </c>
      <c r="B2883" s="9" t="s">
        <v>12</v>
      </c>
      <c r="C2883" s="10" t="s">
        <v>443</v>
      </c>
      <c r="D2883" s="10" t="str">
        <f ca="1">IFERROR(__xludf.DUMMYFUNCTION(" VLOOKUP(A2880, IMPORTRANGE(""https://docs.google.com/spreadsheets/d/1fj_Bhi2XPL3siwIh4sx4VRLAe31yD50oKdj5UlRYW0c/"", ""Сводка!A:AA""), 11, FALSE)"),"978-601-241-759-3")</f>
        <v>978-601-241-759-3</v>
      </c>
      <c r="E2883" s="11" t="s">
        <v>11296</v>
      </c>
      <c r="F2883" s="11" t="s">
        <v>11297</v>
      </c>
      <c r="G2883" s="12">
        <f ca="1">IFERROR(__xludf.DUMMYFUNCTION(" VLOOKUP(A2880, IMPORTRANGE(""https://docs.google.com/spreadsheets/d/1fj_Bhi2XPL3siwIh4sx4VRLAe31yD50oKdj5UlRYW0c/"", ""Сводка!A:AA""), 5, FALSE)"),296)</f>
        <v>296</v>
      </c>
      <c r="H2883" s="12" t="s">
        <v>511</v>
      </c>
      <c r="I2883" s="10">
        <f ca="1">IFERROR(__xludf.DUMMYFUNCTION(" VLOOKUP(A2880, IMPORTRANGE(""https://docs.google.com/spreadsheets/d/1QNLbnkR_AongFt22vMfNzfpjZ0CjpI8QI-w0wBnYA1w/"", ""Инфа!A:AA""), 6, FALSE)"),2024)</f>
        <v>2024</v>
      </c>
      <c r="J2883" s="5">
        <f ca="1">ROUND((5000+G2883*60),-2)</f>
        <v>22800</v>
      </c>
      <c r="K2883" s="12" t="s">
        <v>11298</v>
      </c>
      <c r="L2883" s="15" t="s">
        <v>11299</v>
      </c>
    </row>
    <row r="2884" spans="1:12" ht="225">
      <c r="A2884" s="8" t="s">
        <v>11300</v>
      </c>
      <c r="B2884" s="9" t="s">
        <v>12</v>
      </c>
      <c r="C2884" s="10" t="s">
        <v>151</v>
      </c>
      <c r="D2884" s="10" t="str">
        <f ca="1">IFERROR(__xludf.DUMMYFUNCTION(" VLOOKUP(A2881, IMPORTRANGE(""https://docs.google.com/spreadsheets/d/1fj_Bhi2XPL3siwIh4sx4VRLAe31yD50oKdj5UlRYW0c/"", ""Сводка!A:AA""), 11, FALSE)"),"978-601-241-760-9")</f>
        <v>978-601-241-760-9</v>
      </c>
      <c r="E2884" s="11" t="s">
        <v>11296</v>
      </c>
      <c r="F2884" s="11" t="s">
        <v>11301</v>
      </c>
      <c r="G2884" s="12">
        <f ca="1">IFERROR(__xludf.DUMMYFUNCTION(" VLOOKUP(A2881, IMPORTRANGE(""https://docs.google.com/spreadsheets/d/1fj_Bhi2XPL3siwIh4sx4VRLAe31yD50oKdj5UlRYW0c/"", ""Сводка!A:AA""), 5, FALSE)"),292)</f>
        <v>292</v>
      </c>
      <c r="H2884" s="12" t="s">
        <v>498</v>
      </c>
      <c r="I2884" s="10">
        <f ca="1">IFERROR(__xludf.DUMMYFUNCTION(" VLOOKUP(A2881, IMPORTRANGE(""https://docs.google.com/spreadsheets/d/1QNLbnkR_AongFt22vMfNzfpjZ0CjpI8QI-w0wBnYA1w/"", ""Инфа!A:AA""), 6, FALSE)"),2024)</f>
        <v>2024</v>
      </c>
      <c r="J2884" s="5">
        <f ca="1">ROUND((5000+G2884*60),-2)</f>
        <v>22500</v>
      </c>
      <c r="K2884" s="12" t="s">
        <v>11298</v>
      </c>
      <c r="L2884" s="15" t="s">
        <v>11302</v>
      </c>
    </row>
    <row r="2885" spans="1:12" ht="101.25">
      <c r="A2885" s="8" t="s">
        <v>11303</v>
      </c>
      <c r="B2885" s="9" t="s">
        <v>12</v>
      </c>
      <c r="C2885" s="13" t="s">
        <v>443</v>
      </c>
      <c r="D2885" s="10" t="str">
        <f ca="1">IFERROR(__xludf.DUMMYFUNCTION(" VLOOKUP(A2882, IMPORTRANGE(""https://docs.google.com/spreadsheets/d/1fj_Bhi2XPL3siwIh4sx4VRLAe31yD50oKdj5UlRYW0c/"", ""Сводка!A:AA""), 11, FALSE)"),"978-601-310-600-7")</f>
        <v>978-601-310-600-7</v>
      </c>
      <c r="E2885" s="19" t="s">
        <v>11304</v>
      </c>
      <c r="F2885" s="19" t="s">
        <v>11305</v>
      </c>
      <c r="G2885" s="12">
        <f ca="1">IFERROR(__xludf.DUMMYFUNCTION(" VLOOKUP(A2882, IMPORTRANGE(""https://docs.google.com/spreadsheets/d/1fj_Bhi2XPL3siwIh4sx4VRLAe31yD50oKdj5UlRYW0c/"", ""Сводка!A:AA""), 5, FALSE)"),320)</f>
        <v>320</v>
      </c>
      <c r="H2885" s="9" t="s">
        <v>511</v>
      </c>
      <c r="I2885" s="10">
        <f ca="1">IFERROR(__xludf.DUMMYFUNCTION(" VLOOKUP(A2882, IMPORTRANGE(""https://docs.google.com/spreadsheets/d/1QNLbnkR_AongFt22vMfNzfpjZ0CjpI8QI-w0wBnYA1w/"", ""Инфа!A:AA""), 6, FALSE)"),2024)</f>
        <v>2024</v>
      </c>
      <c r="J2885" s="5">
        <f ca="1">ROUND((5000+G2885*60),-2)</f>
        <v>24200</v>
      </c>
      <c r="K2885" s="12" t="s">
        <v>548</v>
      </c>
      <c r="L2885" s="21" t="s">
        <v>11306</v>
      </c>
    </row>
    <row r="2886" spans="1:12" ht="157.5">
      <c r="A2886" s="8" t="s">
        <v>11307</v>
      </c>
      <c r="B2886" s="9" t="s">
        <v>12</v>
      </c>
      <c r="C2886" s="13" t="s">
        <v>151</v>
      </c>
      <c r="D2886" s="10" t="str">
        <f ca="1">IFERROR(__xludf.DUMMYFUNCTION(" VLOOKUP(A2883, IMPORTRANGE(""https://docs.google.com/spreadsheets/d/1fj_Bhi2XPL3siwIh4sx4VRLAe31yD50oKdj5UlRYW0c/"", ""Сводка!A:AA""), 11, FALSE)"),"978-601-310-601-4")</f>
        <v>978-601-310-601-4</v>
      </c>
      <c r="E2886" s="19" t="s">
        <v>11308</v>
      </c>
      <c r="F2886" s="19" t="s">
        <v>11309</v>
      </c>
      <c r="G2886" s="12">
        <f ca="1">IFERROR(__xludf.DUMMYFUNCTION(" VLOOKUP(A2883, IMPORTRANGE(""https://docs.google.com/spreadsheets/d/1fj_Bhi2XPL3siwIh4sx4VRLAe31yD50oKdj5UlRYW0c/"", ""Сводка!A:AA""), 5, FALSE)"),144)</f>
        <v>144</v>
      </c>
      <c r="H2886" s="9" t="s">
        <v>47</v>
      </c>
      <c r="I2886" s="10">
        <f ca="1">IFERROR(__xludf.DUMMYFUNCTION(" VLOOKUP(A2883, IMPORTRANGE(""https://docs.google.com/spreadsheets/d/1QNLbnkR_AongFt22vMfNzfpjZ0CjpI8QI-w0wBnYA1w/"", ""Инфа!A:AA""), 6, FALSE)"),2024)</f>
        <v>2024</v>
      </c>
      <c r="J2886" s="5">
        <f ca="1">ROUND((5000+G2886*60),-2)</f>
        <v>13600</v>
      </c>
      <c r="K2886" s="12" t="s">
        <v>548</v>
      </c>
      <c r="L2886" s="21" t="s">
        <v>11310</v>
      </c>
    </row>
    <row r="2887" spans="1:12" ht="157.5">
      <c r="A2887" s="8" t="s">
        <v>11311</v>
      </c>
      <c r="B2887" s="9" t="s">
        <v>12</v>
      </c>
      <c r="C2887" s="10" t="s">
        <v>151</v>
      </c>
      <c r="D2887" s="10" t="str">
        <f ca="1">IFERROR(__xludf.DUMMYFUNCTION(" VLOOKUP(A2884, IMPORTRANGE(""https://docs.google.com/spreadsheets/d/1fj_Bhi2XPL3siwIh4sx4VRLAe31yD50oKdj5UlRYW0c/"", ""Сводка!A:AA""), 11, FALSE)"),"978-601-248-656-8")</f>
        <v>978-601-248-656-8</v>
      </c>
      <c r="E2887" s="11" t="s">
        <v>11312</v>
      </c>
      <c r="F2887" s="11" t="s">
        <v>11313</v>
      </c>
      <c r="G2887" s="12">
        <f ca="1">IFERROR(__xludf.DUMMYFUNCTION(" VLOOKUP(A2884, IMPORTRANGE(""https://docs.google.com/spreadsheets/d/1fj_Bhi2XPL3siwIh4sx4VRLAe31yD50oKdj5UlRYW0c/"", ""Сводка!A:AA""), 5, FALSE)"),128)</f>
        <v>128</v>
      </c>
      <c r="H2887" s="12" t="s">
        <v>165</v>
      </c>
      <c r="I2887" s="10">
        <f ca="1">IFERROR(__xludf.DUMMYFUNCTION(" VLOOKUP(A2884, IMPORTRANGE(""https://docs.google.com/spreadsheets/d/1QNLbnkR_AongFt22vMfNzfpjZ0CjpI8QI-w0wBnYA1w/"", ""Инфа!A:AA""), 6, FALSE)"),2024)</f>
        <v>2024</v>
      </c>
      <c r="J2887" s="5">
        <f ca="1">ROUND((5000+G2887*60),-2)</f>
        <v>12700</v>
      </c>
      <c r="K2887" s="12" t="s">
        <v>1603</v>
      </c>
      <c r="L2887" s="15" t="s">
        <v>11314</v>
      </c>
    </row>
    <row r="2888" spans="1:12" ht="303.75">
      <c r="A2888" s="8" t="s">
        <v>11315</v>
      </c>
      <c r="B2888" s="9" t="s">
        <v>12</v>
      </c>
      <c r="C2888" s="10" t="s">
        <v>13</v>
      </c>
      <c r="D2888" s="10" t="str">
        <f ca="1">IFERROR(__xludf.DUMMYFUNCTION(" VLOOKUP(A2885, IMPORTRANGE(""https://docs.google.com/spreadsheets/d/1fj_Bhi2XPL3siwIh4sx4VRLAe31yD50oKdj5UlRYW0c/"", ""Сводка!A:AA""), 11, FALSE)"),"978-601-310-692-9")</f>
        <v>978-601-310-692-9</v>
      </c>
      <c r="E2888" s="11" t="s">
        <v>11316</v>
      </c>
      <c r="F2888" s="11" t="s">
        <v>11317</v>
      </c>
      <c r="G2888" s="12">
        <f ca="1">IFERROR(__xludf.DUMMYFUNCTION(" VLOOKUP(A2885, IMPORTRANGE(""https://docs.google.com/spreadsheets/d/1fj_Bhi2XPL3siwIh4sx4VRLAe31yD50oKdj5UlRYW0c/"", ""Сводка!A:AA""), 5, FALSE)"),120)</f>
        <v>120</v>
      </c>
      <c r="H2888" s="12" t="s">
        <v>11318</v>
      </c>
      <c r="I2888" s="10">
        <f ca="1">IFERROR(__xludf.DUMMYFUNCTION(" VLOOKUP(A2885, IMPORTRANGE(""https://docs.google.com/spreadsheets/d/1QNLbnkR_AongFt22vMfNzfpjZ0CjpI8QI-w0wBnYA1w/"", ""Инфа!A:AA""), 6, FALSE)"),2024)</f>
        <v>2024</v>
      </c>
      <c r="J2888" s="5">
        <f t="shared" ref="J2888:J2894" ca="1" si="97">ROUND((5000+G2888*30),-2)</f>
        <v>8600</v>
      </c>
      <c r="K2888" s="12" t="s">
        <v>243</v>
      </c>
      <c r="L2888" s="15" t="s">
        <v>11319</v>
      </c>
    </row>
    <row r="2889" spans="1:12" ht="281.25">
      <c r="A2889" s="8" t="s">
        <v>11320</v>
      </c>
      <c r="B2889" s="9" t="s">
        <v>12</v>
      </c>
      <c r="C2889" s="10" t="s">
        <v>443</v>
      </c>
      <c r="D2889" s="10" t="str">
        <f ca="1">IFERROR(__xludf.DUMMYFUNCTION(" VLOOKUP(A2886, IMPORTRANGE(""https://docs.google.com/spreadsheets/d/1fj_Bhi2XPL3siwIh4sx4VRLAe31yD50oKdj5UlRYW0c/"", ""Сводка!A:AA""), 11, FALSE)"),"978-601-342-690-7")</f>
        <v>978-601-342-690-7</v>
      </c>
      <c r="E2889" s="11" t="s">
        <v>11321</v>
      </c>
      <c r="F2889" s="11" t="s">
        <v>11322</v>
      </c>
      <c r="G2889" s="12">
        <f ca="1">IFERROR(__xludf.DUMMYFUNCTION(" VLOOKUP(A2886, IMPORTRANGE(""https://docs.google.com/spreadsheets/d/1fj_Bhi2XPL3siwIh4sx4VRLAe31yD50oKdj5UlRYW0c/"", ""Сводка!A:AA""), 5, FALSE)"),132)</f>
        <v>132</v>
      </c>
      <c r="H2889" s="12" t="s">
        <v>538</v>
      </c>
      <c r="I2889" s="10">
        <f ca="1">IFERROR(__xludf.DUMMYFUNCTION(" VLOOKUP(A2886, IMPORTRANGE(""https://docs.google.com/spreadsheets/d/1QNLbnkR_AongFt22vMfNzfpjZ0CjpI8QI-w0wBnYA1w/"", ""Инфа!A:AA""), 6, FALSE)"),2024)</f>
        <v>2024</v>
      </c>
      <c r="J2889" s="5">
        <f t="shared" ca="1" si="97"/>
        <v>9000</v>
      </c>
      <c r="K2889" s="12" t="s">
        <v>765</v>
      </c>
      <c r="L2889" s="15" t="s">
        <v>11323</v>
      </c>
    </row>
    <row r="2890" spans="1:12" ht="315">
      <c r="A2890" s="8" t="s">
        <v>11324</v>
      </c>
      <c r="B2890" s="9" t="s">
        <v>12</v>
      </c>
      <c r="C2890" s="10" t="s">
        <v>151</v>
      </c>
      <c r="D2890" s="10" t="str">
        <f ca="1">IFERROR(__xludf.DUMMYFUNCTION(" VLOOKUP(A2887, IMPORTRANGE(""https://docs.google.com/spreadsheets/d/1fj_Bhi2XPL3siwIh4sx4VRLAe31yD50oKdj5UlRYW0c/"", ""Сводка!A:AA""), 11, FALSE)"),"978-601-240-632-0")</f>
        <v>978-601-240-632-0</v>
      </c>
      <c r="E2890" s="11" t="s">
        <v>11325</v>
      </c>
      <c r="F2890" s="11" t="s">
        <v>11326</v>
      </c>
      <c r="G2890" s="12">
        <f ca="1">IFERROR(__xludf.DUMMYFUNCTION(" VLOOKUP(A2887, IMPORTRANGE(""https://docs.google.com/spreadsheets/d/1fj_Bhi2XPL3siwIh4sx4VRLAe31yD50oKdj5UlRYW0c/"", ""Сводка!A:AA""), 5, FALSE)"),240)</f>
        <v>240</v>
      </c>
      <c r="H2890" s="12" t="s">
        <v>106</v>
      </c>
      <c r="I2890" s="10">
        <f ca="1">IFERROR(__xludf.DUMMYFUNCTION(" VLOOKUP(A2887, IMPORTRANGE(""https://docs.google.com/spreadsheets/d/1QNLbnkR_AongFt22vMfNzfpjZ0CjpI8QI-w0wBnYA1w/"", ""Инфа!A:AA""), 6, FALSE)"),2024)</f>
        <v>2024</v>
      </c>
      <c r="J2890" s="5">
        <f t="shared" ca="1" si="97"/>
        <v>12200</v>
      </c>
      <c r="K2890" s="12" t="s">
        <v>277</v>
      </c>
      <c r="L2890" s="15" t="s">
        <v>11327</v>
      </c>
    </row>
    <row r="2891" spans="1:12" ht="225">
      <c r="A2891" s="8" t="s">
        <v>11328</v>
      </c>
      <c r="B2891" s="9" t="s">
        <v>12</v>
      </c>
      <c r="C2891" s="10" t="s">
        <v>151</v>
      </c>
      <c r="D2891" s="10" t="str">
        <f ca="1">IFERROR(__xludf.DUMMYFUNCTION(" VLOOKUP(A2888, IMPORTRANGE(""https://docs.google.com/spreadsheets/d/1fj_Bhi2XPL3siwIh4sx4VRLAe31yD50oKdj5UlRYW0c/"", ""Сводка!A:AA""), 11, FALSE)"),"978-601-240-632-0")</f>
        <v>978-601-240-632-0</v>
      </c>
      <c r="E2891" s="11" t="s">
        <v>11329</v>
      </c>
      <c r="F2891" s="11" t="s">
        <v>11330</v>
      </c>
      <c r="G2891" s="12">
        <f ca="1">IFERROR(__xludf.DUMMYFUNCTION(" VLOOKUP(A2888, IMPORTRANGE(""https://docs.google.com/spreadsheets/d/1fj_Bhi2XPL3siwIh4sx4VRLAe31yD50oKdj5UlRYW0c/"", ""Сводка!A:AA""), 5, FALSE)"),196)</f>
        <v>196</v>
      </c>
      <c r="H2891" s="12" t="s">
        <v>498</v>
      </c>
      <c r="I2891" s="10">
        <f ca="1">IFERROR(__xludf.DUMMYFUNCTION(" VLOOKUP(A2888, IMPORTRANGE(""https://docs.google.com/spreadsheets/d/1QNLbnkR_AongFt22vMfNzfpjZ0CjpI8QI-w0wBnYA1w/"", ""Инфа!A:AA""), 6, FALSE)"),2024)</f>
        <v>2024</v>
      </c>
      <c r="J2891" s="5">
        <f t="shared" ca="1" si="97"/>
        <v>10900</v>
      </c>
      <c r="K2891" s="12" t="s">
        <v>277</v>
      </c>
      <c r="L2891" s="15" t="s">
        <v>11331</v>
      </c>
    </row>
    <row r="2892" spans="1:12" ht="225">
      <c r="A2892" s="8" t="s">
        <v>11332</v>
      </c>
      <c r="B2892" s="9" t="s">
        <v>12</v>
      </c>
      <c r="C2892" s="10" t="s">
        <v>151</v>
      </c>
      <c r="D2892" s="10" t="str">
        <f ca="1">IFERROR(__xludf.DUMMYFUNCTION(" VLOOKUP(A2889, IMPORTRANGE(""https://docs.google.com/spreadsheets/d/1fj_Bhi2XPL3siwIh4sx4VRLAe31yD50oKdj5UlRYW0c/"", ""Сводка!A:AA""), 11, FALSE)"),"978-601-240-632-0")</f>
        <v>978-601-240-632-0</v>
      </c>
      <c r="E2892" s="11" t="s">
        <v>11329</v>
      </c>
      <c r="F2892" s="11" t="s">
        <v>11333</v>
      </c>
      <c r="G2892" s="12">
        <f ca="1">IFERROR(__xludf.DUMMYFUNCTION(" VLOOKUP(A2889, IMPORTRANGE(""https://docs.google.com/spreadsheets/d/1fj_Bhi2XPL3siwIh4sx4VRLAe31yD50oKdj5UlRYW0c/"", ""Сводка!A:AA""), 5, FALSE)"),248)</f>
        <v>248</v>
      </c>
      <c r="H2892" s="12" t="s">
        <v>498</v>
      </c>
      <c r="I2892" s="10">
        <f ca="1">IFERROR(__xludf.DUMMYFUNCTION(" VLOOKUP(A2889, IMPORTRANGE(""https://docs.google.com/spreadsheets/d/1QNLbnkR_AongFt22vMfNzfpjZ0CjpI8QI-w0wBnYA1w/"", ""Инфа!A:AA""), 6, FALSE)"),2024)</f>
        <v>2024</v>
      </c>
      <c r="J2892" s="5">
        <f t="shared" ca="1" si="97"/>
        <v>12400</v>
      </c>
      <c r="K2892" s="12" t="s">
        <v>277</v>
      </c>
      <c r="L2892" s="15" t="s">
        <v>11331</v>
      </c>
    </row>
    <row r="2893" spans="1:12" ht="236.25">
      <c r="A2893" s="8" t="s">
        <v>11334</v>
      </c>
      <c r="B2893" s="9" t="s">
        <v>12</v>
      </c>
      <c r="C2893" s="10" t="s">
        <v>151</v>
      </c>
      <c r="D2893" s="10" t="str">
        <f ca="1">IFERROR(__xludf.DUMMYFUNCTION(" VLOOKUP(A2890, IMPORTRANGE(""https://docs.google.com/spreadsheets/d/1fj_Bhi2XPL3siwIh4sx4VRLAe31yD50oKdj5UlRYW0c/"", ""Сводка!A:AA""), 11, FALSE)"),"978-601-240-632-0")</f>
        <v>978-601-240-632-0</v>
      </c>
      <c r="E2893" s="11" t="s">
        <v>11329</v>
      </c>
      <c r="F2893" s="11" t="s">
        <v>11335</v>
      </c>
      <c r="G2893" s="12">
        <f ca="1">IFERROR(__xludf.DUMMYFUNCTION(" VLOOKUP(A2890, IMPORTRANGE(""https://docs.google.com/spreadsheets/d/1fj_Bhi2XPL3siwIh4sx4VRLAe31yD50oKdj5UlRYW0c/"", ""Сводка!A:AA""), 5, FALSE)"),228)</f>
        <v>228</v>
      </c>
      <c r="H2893" s="12" t="s">
        <v>498</v>
      </c>
      <c r="I2893" s="10">
        <f ca="1">IFERROR(__xludf.DUMMYFUNCTION(" VLOOKUP(A2890, IMPORTRANGE(""https://docs.google.com/spreadsheets/d/1QNLbnkR_AongFt22vMfNzfpjZ0CjpI8QI-w0wBnYA1w/"", ""Инфа!A:AA""), 6, FALSE)"),2024)</f>
        <v>2024</v>
      </c>
      <c r="J2893" s="5">
        <f t="shared" ca="1" si="97"/>
        <v>11800</v>
      </c>
      <c r="K2893" s="12" t="s">
        <v>277</v>
      </c>
      <c r="L2893" s="15" t="s">
        <v>11336</v>
      </c>
    </row>
    <row r="2894" spans="1:12" ht="258.75">
      <c r="A2894" s="8" t="s">
        <v>11337</v>
      </c>
      <c r="B2894" s="9" t="s">
        <v>12</v>
      </c>
      <c r="C2894" s="10" t="s">
        <v>151</v>
      </c>
      <c r="D2894" s="10" t="str">
        <f ca="1">IFERROR(__xludf.DUMMYFUNCTION(" VLOOKUP(A2891, IMPORTRANGE(""https://docs.google.com/spreadsheets/d/1fj_Bhi2XPL3siwIh4sx4VRLAe31yD50oKdj5UlRYW0c/"", ""Сводка!A:AA""), 11, FALSE)"),"978-601-240-632-0")</f>
        <v>978-601-240-632-0</v>
      </c>
      <c r="E2894" s="11" t="s">
        <v>11329</v>
      </c>
      <c r="F2894" s="11" t="s">
        <v>11338</v>
      </c>
      <c r="G2894" s="12">
        <f ca="1">IFERROR(__xludf.DUMMYFUNCTION(" VLOOKUP(A2891, IMPORTRANGE(""https://docs.google.com/spreadsheets/d/1fj_Bhi2XPL3siwIh4sx4VRLAe31yD50oKdj5UlRYW0c/"", ""Сводка!A:AA""), 5, FALSE)"),184)</f>
        <v>184</v>
      </c>
      <c r="H2894" s="12" t="s">
        <v>498</v>
      </c>
      <c r="I2894" s="10">
        <f ca="1">IFERROR(__xludf.DUMMYFUNCTION(" VLOOKUP(A2891, IMPORTRANGE(""https://docs.google.com/spreadsheets/d/1QNLbnkR_AongFt22vMfNzfpjZ0CjpI8QI-w0wBnYA1w/"", ""Инфа!A:AA""), 6, FALSE)"),2024)</f>
        <v>2024</v>
      </c>
      <c r="J2894" s="5">
        <f t="shared" ca="1" si="97"/>
        <v>10500</v>
      </c>
      <c r="K2894" s="12" t="s">
        <v>277</v>
      </c>
      <c r="L2894" s="15" t="s">
        <v>11339</v>
      </c>
    </row>
    <row r="2895" spans="1:12" ht="191.25">
      <c r="A2895" s="8" t="s">
        <v>11340</v>
      </c>
      <c r="B2895" s="9" t="s">
        <v>12</v>
      </c>
      <c r="C2895" s="10" t="s">
        <v>151</v>
      </c>
      <c r="D2895" s="10" t="str">
        <f ca="1">IFERROR(__xludf.DUMMYFUNCTION(" VLOOKUP(A2892, IMPORTRANGE(""https://docs.google.com/spreadsheets/d/1fj_Bhi2XPL3siwIh4sx4VRLAe31yD50oKdj5UlRYW0c/"", ""Сводка!A:AA""), 11, FALSE)"),"978-601-310-921-3")</f>
        <v>978-601-310-921-3</v>
      </c>
      <c r="E2895" s="11" t="s">
        <v>11341</v>
      </c>
      <c r="F2895" s="11" t="s">
        <v>11342</v>
      </c>
      <c r="G2895" s="12">
        <f ca="1">IFERROR(__xludf.DUMMYFUNCTION(" VLOOKUP(A2892, IMPORTRANGE(""https://docs.google.com/spreadsheets/d/1fj_Bhi2XPL3siwIh4sx4VRLAe31yD50oKdj5UlRYW0c/"", ""Сводка!A:AA""), 5, FALSE)"),324)</f>
        <v>324</v>
      </c>
      <c r="H2895" s="12" t="s">
        <v>165</v>
      </c>
      <c r="I2895" s="10">
        <f ca="1">IFERROR(__xludf.DUMMYFUNCTION(" VLOOKUP(A2892, IMPORTRANGE(""https://docs.google.com/spreadsheets/d/1QNLbnkR_AongFt22vMfNzfpjZ0CjpI8QI-w0wBnYA1w/"", ""Инфа!A:AA""), 6, FALSE)"),2024)</f>
        <v>2024</v>
      </c>
      <c r="J2895" s="5">
        <f ca="1">ROUND((5000+G2895*60),-2)</f>
        <v>24400</v>
      </c>
      <c r="K2895" s="12" t="s">
        <v>277</v>
      </c>
      <c r="L2895" s="15" t="s">
        <v>11343</v>
      </c>
    </row>
    <row r="2896" spans="1:12" ht="202.5">
      <c r="A2896" s="8" t="s">
        <v>11344</v>
      </c>
      <c r="B2896" s="9" t="s">
        <v>12</v>
      </c>
      <c r="C2896" s="10" t="s">
        <v>151</v>
      </c>
      <c r="D2896" s="10" t="str">
        <f ca="1">IFERROR(__xludf.DUMMYFUNCTION(" VLOOKUP(A2893, IMPORTRANGE(""https://docs.google.com/spreadsheets/d/1fj_Bhi2XPL3siwIh4sx4VRLAe31yD50oKdj5UlRYW0c/"", ""Сводка!A:AA""), 11, FALSE)"),"978-601-310-921-3")</f>
        <v>978-601-310-921-3</v>
      </c>
      <c r="E2896" s="11" t="s">
        <v>11341</v>
      </c>
      <c r="F2896" s="11" t="s">
        <v>11345</v>
      </c>
      <c r="G2896" s="12">
        <f ca="1">IFERROR(__xludf.DUMMYFUNCTION(" VLOOKUP(A2893, IMPORTRANGE(""https://docs.google.com/spreadsheets/d/1fj_Bhi2XPL3siwIh4sx4VRLAe31yD50oKdj5UlRYW0c/"", ""Сводка!A:AA""), 5, FALSE)"),324)</f>
        <v>324</v>
      </c>
      <c r="H2896" s="12" t="s">
        <v>165</v>
      </c>
      <c r="I2896" s="10">
        <f ca="1">IFERROR(__xludf.DUMMYFUNCTION(" VLOOKUP(A2893, IMPORTRANGE(""https://docs.google.com/spreadsheets/d/1QNLbnkR_AongFt22vMfNzfpjZ0CjpI8QI-w0wBnYA1w/"", ""Инфа!A:AA""), 6, FALSE)"),2024)</f>
        <v>2024</v>
      </c>
      <c r="J2896" s="5">
        <f ca="1">ROUND((5000+G2896*60),-2)</f>
        <v>24400</v>
      </c>
      <c r="K2896" s="12" t="s">
        <v>277</v>
      </c>
      <c r="L2896" s="15" t="s">
        <v>11346</v>
      </c>
    </row>
    <row r="2897" spans="1:12" ht="146.25">
      <c r="A2897" s="8" t="s">
        <v>11347</v>
      </c>
      <c r="B2897" s="9" t="s">
        <v>12</v>
      </c>
      <c r="C2897" s="10" t="s">
        <v>443</v>
      </c>
      <c r="D2897" s="10" t="str">
        <f ca="1">IFERROR(__xludf.DUMMYFUNCTION(" VLOOKUP(A2894, IMPORTRANGE(""https://docs.google.com/spreadsheets/d/1fj_Bhi2XPL3siwIh4sx4VRLAe31yD50oKdj5UlRYW0c/"", ""Сводка!A:AA""), 11, FALSE)"),"978-601-310-957-2")</f>
        <v>978-601-310-957-2</v>
      </c>
      <c r="E2897" s="11" t="s">
        <v>11348</v>
      </c>
      <c r="F2897" s="11" t="s">
        <v>11349</v>
      </c>
      <c r="G2897" s="12">
        <f ca="1">IFERROR(__xludf.DUMMYFUNCTION(" VLOOKUP(A2894, IMPORTRANGE(""https://docs.google.com/spreadsheets/d/1fj_Bhi2XPL3siwIh4sx4VRLAe31yD50oKdj5UlRYW0c/"", ""Сводка!A:AA""), 5, FALSE)"),208)</f>
        <v>208</v>
      </c>
      <c r="H2897" s="12" t="s">
        <v>106</v>
      </c>
      <c r="I2897" s="10">
        <f ca="1">IFERROR(__xludf.DUMMYFUNCTION(" VLOOKUP(A2894, IMPORTRANGE(""https://docs.google.com/spreadsheets/d/1QNLbnkR_AongFt22vMfNzfpjZ0CjpI8QI-w0wBnYA1w/"", ""Инфа!A:AA""), 6, FALSE)"),2024)</f>
        <v>2024</v>
      </c>
      <c r="J2897" s="5">
        <f ca="1">ROUND((5000+G2897*30),-2)</f>
        <v>11200</v>
      </c>
      <c r="K2897" s="12" t="s">
        <v>277</v>
      </c>
      <c r="L2897" s="15" t="s">
        <v>11350</v>
      </c>
    </row>
    <row r="2898" spans="1:12" ht="315">
      <c r="A2898" s="8" t="s">
        <v>11351</v>
      </c>
      <c r="B2898" s="9" t="s">
        <v>12</v>
      </c>
      <c r="C2898" s="13" t="s">
        <v>443</v>
      </c>
      <c r="D2898" s="10" t="str">
        <f ca="1">IFERROR(__xludf.DUMMYFUNCTION(" VLOOKUP(A2895, IMPORTRANGE(""https://docs.google.com/spreadsheets/d/1fj_Bhi2XPL3siwIh4sx4VRLAe31yD50oKdj5UlRYW0c/"", ""Сводка!A:AA""), 11, FALSE)"),"978-5-98109-109-4")</f>
        <v>978-5-98109-109-4</v>
      </c>
      <c r="E2898" s="22" t="s">
        <v>11352</v>
      </c>
      <c r="F2898" s="22" t="s">
        <v>11353</v>
      </c>
      <c r="G2898" s="12">
        <f ca="1">IFERROR(__xludf.DUMMYFUNCTION(" VLOOKUP(A2895, IMPORTRANGE(""https://docs.google.com/spreadsheets/d/1fj_Bhi2XPL3siwIh4sx4VRLAe31yD50oKdj5UlRYW0c/"", ""Сводка!A:AA""), 5, FALSE)"),212)</f>
        <v>212</v>
      </c>
      <c r="H2898" s="10" t="s">
        <v>511</v>
      </c>
      <c r="I2898" s="10">
        <f ca="1">IFERROR(__xludf.DUMMYFUNCTION(" VLOOKUP(A2895, IMPORTRANGE(""https://docs.google.com/spreadsheets/d/1QNLbnkR_AongFt22vMfNzfpjZ0CjpI8QI-w0wBnYA1w/"", ""Инфа!A:AA""), 6, FALSE)"),2024)</f>
        <v>2024</v>
      </c>
      <c r="J2898" s="5">
        <f t="shared" ref="J2898:J2904" ca="1" si="98">ROUND(((5000+G2898*30)*1.3),-2)</f>
        <v>14800</v>
      </c>
      <c r="K2898" s="10" t="s">
        <v>11354</v>
      </c>
      <c r="L2898" s="23" t="s">
        <v>11355</v>
      </c>
    </row>
    <row r="2899" spans="1:12" ht="38.25">
      <c r="A2899" s="8" t="s">
        <v>11356</v>
      </c>
      <c r="B2899" s="9" t="s">
        <v>12</v>
      </c>
      <c r="C2899" s="10" t="s">
        <v>151</v>
      </c>
      <c r="D2899" s="10" t="str">
        <f ca="1">IFERROR(__xludf.DUMMYFUNCTION(" VLOOKUP(A2896, IMPORTRANGE(""https://docs.google.com/spreadsheets/d/1fj_Bhi2XPL3siwIh4sx4VRLAe31yD50oKdj5UlRYW0c/"", ""Сводка!A:AA""), 11, FALSE)"),"978-5-98109-099-8")</f>
        <v>978-5-98109-099-8</v>
      </c>
      <c r="E2899" s="25" t="s">
        <v>11357</v>
      </c>
      <c r="F2899" s="25" t="s">
        <v>11358</v>
      </c>
      <c r="G2899" s="12">
        <f ca="1">IFERROR(__xludf.DUMMYFUNCTION(" VLOOKUP(A2896, IMPORTRANGE(""https://docs.google.com/spreadsheets/d/1fj_Bhi2XPL3siwIh4sx4VRLAe31yD50oKdj5UlRYW0c/"", ""Сводка!A:AA""), 5, FALSE)"),264)</f>
        <v>264</v>
      </c>
      <c r="H2899" s="26"/>
      <c r="I2899" s="10">
        <f ca="1">IFERROR(__xludf.DUMMYFUNCTION(" VLOOKUP(A2896, IMPORTRANGE(""https://docs.google.com/spreadsheets/d/1QNLbnkR_AongFt22vMfNzfpjZ0CjpI8QI-w0wBnYA1w/"", ""Инфа!A:AA""), 6, FALSE)"),2024)</f>
        <v>2024</v>
      </c>
      <c r="J2899" s="5">
        <f t="shared" ca="1" si="98"/>
        <v>16800</v>
      </c>
      <c r="K2899" s="12" t="s">
        <v>1219</v>
      </c>
      <c r="L2899" s="15"/>
    </row>
    <row r="2900" spans="1:12" ht="38.25">
      <c r="A2900" s="8" t="s">
        <v>11359</v>
      </c>
      <c r="B2900" s="9" t="s">
        <v>12</v>
      </c>
      <c r="C2900" s="10" t="s">
        <v>151</v>
      </c>
      <c r="D2900" s="10" t="str">
        <f ca="1">IFERROR(__xludf.DUMMYFUNCTION(" VLOOKUP(A2897, IMPORTRANGE(""https://docs.google.com/spreadsheets/d/1fj_Bhi2XPL3siwIh4sx4VRLAe31yD50oKdj5UlRYW0c/"", ""Сводка!A:AA""), 11, FALSE)"),"978-5-98109-099-8")</f>
        <v>978-5-98109-099-8</v>
      </c>
      <c r="E2900" s="25" t="s">
        <v>11357</v>
      </c>
      <c r="F2900" s="25" t="s">
        <v>11360</v>
      </c>
      <c r="G2900" s="12">
        <f ca="1">IFERROR(__xludf.DUMMYFUNCTION(" VLOOKUP(A2897, IMPORTRANGE(""https://docs.google.com/spreadsheets/d/1fj_Bhi2XPL3siwIh4sx4VRLAe31yD50oKdj5UlRYW0c/"", ""Сводка!A:AA""), 5, FALSE)"),200)</f>
        <v>200</v>
      </c>
      <c r="H2900" s="26"/>
      <c r="I2900" s="10">
        <f ca="1">IFERROR(__xludf.DUMMYFUNCTION(" VLOOKUP(A2897, IMPORTRANGE(""https://docs.google.com/spreadsheets/d/1QNLbnkR_AongFt22vMfNzfpjZ0CjpI8QI-w0wBnYA1w/"", ""Инфа!A:AA""), 6, FALSE)"),2024)</f>
        <v>2024</v>
      </c>
      <c r="J2900" s="5">
        <f t="shared" ca="1" si="98"/>
        <v>14300</v>
      </c>
      <c r="K2900" s="12" t="s">
        <v>1219</v>
      </c>
      <c r="L2900" s="15"/>
    </row>
    <row r="2901" spans="1:12" ht="51">
      <c r="A2901" s="8" t="s">
        <v>11361</v>
      </c>
      <c r="B2901" s="9" t="s">
        <v>12</v>
      </c>
      <c r="C2901" s="10" t="s">
        <v>443</v>
      </c>
      <c r="D2901" s="10" t="str">
        <f ca="1">IFERROR(__xludf.DUMMYFUNCTION(" VLOOKUP(A2898, IMPORTRANGE(""https://docs.google.com/spreadsheets/d/1fj_Bhi2XPL3siwIh4sx4VRLAe31yD50oKdj5UlRYW0c/"", ""Сводка!A:AA""), 11, FALSE)"),"978-5-98109-099-8")</f>
        <v>978-5-98109-099-8</v>
      </c>
      <c r="E2901" s="25" t="s">
        <v>11362</v>
      </c>
      <c r="F2901" s="25" t="s">
        <v>11363</v>
      </c>
      <c r="G2901" s="12">
        <f ca="1">IFERROR(__xludf.DUMMYFUNCTION(" VLOOKUP(A2898, IMPORTRANGE(""https://docs.google.com/spreadsheets/d/1fj_Bhi2XPL3siwIh4sx4VRLAe31yD50oKdj5UlRYW0c/"", ""Сводка!A:AA""), 5, FALSE)"),264)</f>
        <v>264</v>
      </c>
      <c r="H2901" s="26"/>
      <c r="I2901" s="10">
        <f ca="1">IFERROR(__xludf.DUMMYFUNCTION(" VLOOKUP(A2898, IMPORTRANGE(""https://docs.google.com/spreadsheets/d/1QNLbnkR_AongFt22vMfNzfpjZ0CjpI8QI-w0wBnYA1w/"", ""Инфа!A:AA""), 6, FALSE)"),2024)</f>
        <v>2024</v>
      </c>
      <c r="J2901" s="5">
        <f t="shared" ca="1" si="98"/>
        <v>16800</v>
      </c>
      <c r="K2901" s="12" t="s">
        <v>1219</v>
      </c>
      <c r="L2901" s="15"/>
    </row>
    <row r="2902" spans="1:12" ht="51">
      <c r="A2902" s="8" t="s">
        <v>11364</v>
      </c>
      <c r="B2902" s="9" t="s">
        <v>12</v>
      </c>
      <c r="C2902" s="10" t="s">
        <v>443</v>
      </c>
      <c r="D2902" s="10" t="str">
        <f ca="1">IFERROR(__xludf.DUMMYFUNCTION(" VLOOKUP(A2899, IMPORTRANGE(""https://docs.google.com/spreadsheets/d/1fj_Bhi2XPL3siwIh4sx4VRLAe31yD50oKdj5UlRYW0c/"", ""Сводка!A:AA""), 11, FALSE)"),"978-5-98109-099-8")</f>
        <v>978-5-98109-099-8</v>
      </c>
      <c r="E2902" s="25" t="s">
        <v>11362</v>
      </c>
      <c r="F2902" s="25" t="s">
        <v>11365</v>
      </c>
      <c r="G2902" s="12">
        <f ca="1">IFERROR(__xludf.DUMMYFUNCTION(" VLOOKUP(A2899, IMPORTRANGE(""https://docs.google.com/spreadsheets/d/1fj_Bhi2XPL3siwIh4sx4VRLAe31yD50oKdj5UlRYW0c/"", ""Сводка!A:AA""), 5, FALSE)"),200)</f>
        <v>200</v>
      </c>
      <c r="H2902" s="26"/>
      <c r="I2902" s="10">
        <f ca="1">IFERROR(__xludf.DUMMYFUNCTION(" VLOOKUP(A2899, IMPORTRANGE(""https://docs.google.com/spreadsheets/d/1QNLbnkR_AongFt22vMfNzfpjZ0CjpI8QI-w0wBnYA1w/"", ""Инфа!A:AA""), 6, FALSE)"),2024)</f>
        <v>2024</v>
      </c>
      <c r="J2902" s="5">
        <f t="shared" ca="1" si="98"/>
        <v>14300</v>
      </c>
      <c r="K2902" s="12" t="s">
        <v>1219</v>
      </c>
      <c r="L2902" s="15"/>
    </row>
    <row r="2903" spans="1:12" ht="303.75">
      <c r="A2903" s="8" t="s">
        <v>11366</v>
      </c>
      <c r="B2903" s="9" t="s">
        <v>12</v>
      </c>
      <c r="C2903" s="10" t="s">
        <v>443</v>
      </c>
      <c r="D2903" s="10" t="str">
        <f ca="1">IFERROR(__xludf.DUMMYFUNCTION(" VLOOKUP(A2900, IMPORTRANGE(""https://docs.google.com/spreadsheets/d/1fj_Bhi2XPL3siwIh4sx4VRLAe31yD50oKdj5UlRYW0c/"", ""Сводка!A:AA""), 11, FALSE)"),"978 -5-9532-0826-0")</f>
        <v>978 -5-9532-0826-0</v>
      </c>
      <c r="E2903" s="11" t="s">
        <v>11367</v>
      </c>
      <c r="F2903" s="11" t="s">
        <v>11368</v>
      </c>
      <c r="G2903" s="12">
        <f ca="1">IFERROR(__xludf.DUMMYFUNCTION(" VLOOKUP(A2900, IMPORTRANGE(""https://docs.google.com/spreadsheets/d/1fj_Bhi2XPL3siwIh4sx4VRLAe31yD50oKdj5UlRYW0c/"", ""Сводка!A:AA""), 5, FALSE)"),236)</f>
        <v>236</v>
      </c>
      <c r="H2903" s="12" t="s">
        <v>511</v>
      </c>
      <c r="I2903" s="10">
        <f ca="1">IFERROR(__xludf.DUMMYFUNCTION(" VLOOKUP(A2900, IMPORTRANGE(""https://docs.google.com/spreadsheets/d/1QNLbnkR_AongFt22vMfNzfpjZ0CjpI8QI-w0wBnYA1w/"", ""Инфа!A:AA""), 6, FALSE)"),2024)</f>
        <v>2024</v>
      </c>
      <c r="J2903" s="5">
        <f t="shared" ca="1" si="98"/>
        <v>15700</v>
      </c>
      <c r="K2903" s="9" t="s">
        <v>1219</v>
      </c>
      <c r="L2903" s="15" t="s">
        <v>11369</v>
      </c>
    </row>
    <row r="2904" spans="1:12" ht="303.75">
      <c r="A2904" s="8" t="s">
        <v>11370</v>
      </c>
      <c r="B2904" s="9" t="s">
        <v>12</v>
      </c>
      <c r="C2904" s="10" t="s">
        <v>443</v>
      </c>
      <c r="D2904" s="10" t="str">
        <f ca="1">IFERROR(__xludf.DUMMYFUNCTION(" VLOOKUP(A2901, IMPORTRANGE(""https://docs.google.com/spreadsheets/d/1fj_Bhi2XPL3siwIh4sx4VRLAe31yD50oKdj5UlRYW0c/"", ""Сводка!A:AA""), 11, FALSE)"),"979 -5-9532-0826-0")</f>
        <v>979 -5-9532-0826-0</v>
      </c>
      <c r="E2904" s="11" t="s">
        <v>11367</v>
      </c>
      <c r="F2904" s="11" t="s">
        <v>11371</v>
      </c>
      <c r="G2904" s="12">
        <f ca="1">IFERROR(__xludf.DUMMYFUNCTION(" VLOOKUP(A2901, IMPORTRANGE(""https://docs.google.com/spreadsheets/d/1fj_Bhi2XPL3siwIh4sx4VRLAe31yD50oKdj5UlRYW0c/"", ""Сводка!A:AA""), 5, FALSE)"),264)</f>
        <v>264</v>
      </c>
      <c r="H2904" s="12" t="s">
        <v>511</v>
      </c>
      <c r="I2904" s="10">
        <f ca="1">IFERROR(__xludf.DUMMYFUNCTION(" VLOOKUP(A2901, IMPORTRANGE(""https://docs.google.com/spreadsheets/d/1QNLbnkR_AongFt22vMfNzfpjZ0CjpI8QI-w0wBnYA1w/"", ""Инфа!A:AA""), 6, FALSE)"),2024)</f>
        <v>2024</v>
      </c>
      <c r="J2904" s="5">
        <f t="shared" ca="1" si="98"/>
        <v>16800</v>
      </c>
      <c r="K2904" s="9" t="s">
        <v>1219</v>
      </c>
      <c r="L2904" s="15" t="s">
        <v>11369</v>
      </c>
    </row>
    <row r="2905" spans="1:12" ht="247.5">
      <c r="A2905" s="8" t="s">
        <v>11372</v>
      </c>
      <c r="B2905" s="9" t="s">
        <v>12</v>
      </c>
      <c r="C2905" s="10" t="s">
        <v>151</v>
      </c>
      <c r="D2905" s="10" t="str">
        <f ca="1">IFERROR(__xludf.DUMMYFUNCTION(" VLOOKUP(A2902, IMPORTRANGE(""https://docs.google.com/spreadsheets/d/1fj_Bhi2XPL3siwIh4sx4VRLAe31yD50oKdj5UlRYW0c/"", ""Сводка!A:AA""), 11, FALSE)"),"978-601-327-378-5")</f>
        <v>978-601-327-378-5</v>
      </c>
      <c r="E2905" s="11" t="s">
        <v>11373</v>
      </c>
      <c r="F2905" s="11" t="s">
        <v>11374</v>
      </c>
      <c r="G2905" s="12">
        <f ca="1">IFERROR(__xludf.DUMMYFUNCTION(" VLOOKUP(A2902, IMPORTRANGE(""https://docs.google.com/spreadsheets/d/1fj_Bhi2XPL3siwIh4sx4VRLAe31yD50oKdj5UlRYW0c/"", ""Сводка!A:AA""), 5, FALSE)"),124)</f>
        <v>124</v>
      </c>
      <c r="H2905" s="12" t="s">
        <v>165</v>
      </c>
      <c r="I2905" s="10">
        <f ca="1">IFERROR(__xludf.DUMMYFUNCTION(" VLOOKUP(A2902, IMPORTRANGE(""https://docs.google.com/spreadsheets/d/1QNLbnkR_AongFt22vMfNzfpjZ0CjpI8QI-w0wBnYA1w/"", ""Инфа!A:AA""), 6, FALSE)"),2024)</f>
        <v>2024</v>
      </c>
      <c r="J2905" s="5">
        <f t="shared" ref="J2905:J2912" ca="1" si="99">ROUND((5000+G2905*30),-2)</f>
        <v>8700</v>
      </c>
      <c r="K2905" s="9" t="s">
        <v>619</v>
      </c>
      <c r="L2905" s="15" t="s">
        <v>11375</v>
      </c>
    </row>
    <row r="2906" spans="1:12" ht="157.5">
      <c r="A2906" s="8" t="s">
        <v>11376</v>
      </c>
      <c r="B2906" s="9" t="s">
        <v>12</v>
      </c>
      <c r="C2906" s="10" t="s">
        <v>151</v>
      </c>
      <c r="D2906" s="10" t="s">
        <v>11377</v>
      </c>
      <c r="E2906" s="11" t="s">
        <v>11378</v>
      </c>
      <c r="F2906" s="11" t="s">
        <v>11379</v>
      </c>
      <c r="G2906" s="12">
        <f ca="1">IFERROR(__xludf.DUMMYFUNCTION(" VLOOKUP(A2903, IMPORTRANGE(""https://docs.google.com/spreadsheets/d/1fj_Bhi2XPL3siwIh4sx4VRLAe31yD50oKdj5UlRYW0c/"", ""Сводка!A:AA""), 5, FALSE)"),112)</f>
        <v>112</v>
      </c>
      <c r="H2906" s="12" t="s">
        <v>47</v>
      </c>
      <c r="I2906" s="10">
        <f ca="1">IFERROR(__xludf.DUMMYFUNCTION(" VLOOKUP(A2903, IMPORTRANGE(""https://docs.google.com/spreadsheets/d/1QNLbnkR_AongFt22vMfNzfpjZ0CjpI8QI-w0wBnYA1w/"", ""Инфа!A:AA""), 6, FALSE)"),2024)</f>
        <v>2024</v>
      </c>
      <c r="J2906" s="5">
        <f t="shared" ca="1" si="99"/>
        <v>8400</v>
      </c>
      <c r="K2906" s="9" t="s">
        <v>619</v>
      </c>
      <c r="L2906" s="15" t="s">
        <v>11380</v>
      </c>
    </row>
    <row r="2907" spans="1:12" ht="157.5">
      <c r="A2907" s="8" t="s">
        <v>11381</v>
      </c>
      <c r="B2907" s="9" t="s">
        <v>12</v>
      </c>
      <c r="C2907" s="10" t="s">
        <v>151</v>
      </c>
      <c r="D2907" s="10" t="str">
        <f ca="1">IFERROR(__xludf.DUMMYFUNCTION(" VLOOKUP(A2904, IMPORTRANGE(""https://docs.google.com/spreadsheets/d/1fj_Bhi2XPL3siwIh4sx4VRLAe31yD50oKdj5UlRYW0c/"", ""Сводка!A:AA""), 11, FALSE)"),"978-601-327-257-3")</f>
        <v>978-601-327-257-3</v>
      </c>
      <c r="E2907" s="11" t="s">
        <v>11378</v>
      </c>
      <c r="F2907" s="11" t="s">
        <v>11382</v>
      </c>
      <c r="G2907" s="12">
        <f ca="1">IFERROR(__xludf.DUMMYFUNCTION(" VLOOKUP(A2904, IMPORTRANGE(""https://docs.google.com/spreadsheets/d/1fj_Bhi2XPL3siwIh4sx4VRLAe31yD50oKdj5UlRYW0c/"", ""Сводка!A:AA""), 5, FALSE)"),156)</f>
        <v>156</v>
      </c>
      <c r="H2907" s="12" t="s">
        <v>47</v>
      </c>
      <c r="I2907" s="10">
        <f ca="1">IFERROR(__xludf.DUMMYFUNCTION(" VLOOKUP(A2904, IMPORTRANGE(""https://docs.google.com/spreadsheets/d/1QNLbnkR_AongFt22vMfNzfpjZ0CjpI8QI-w0wBnYA1w/"", ""Инфа!A:AA""), 6, FALSE)"),2024)</f>
        <v>2024</v>
      </c>
      <c r="J2907" s="5">
        <f t="shared" ca="1" si="99"/>
        <v>9700</v>
      </c>
      <c r="K2907" s="9" t="s">
        <v>619</v>
      </c>
      <c r="L2907" s="15" t="s">
        <v>11383</v>
      </c>
    </row>
    <row r="2908" spans="1:12" ht="168.75">
      <c r="A2908" s="8" t="s">
        <v>11384</v>
      </c>
      <c r="B2908" s="9" t="s">
        <v>12</v>
      </c>
      <c r="C2908" s="10" t="s">
        <v>151</v>
      </c>
      <c r="D2908" s="10" t="str">
        <f ca="1">IFERROR(__xludf.DUMMYFUNCTION(" VLOOKUP(A2905, IMPORTRANGE(""https://docs.google.com/spreadsheets/d/1fj_Bhi2XPL3siwIh4sx4VRLAe31yD50oKdj5UlRYW0c/"", ""Сводка!A:AA""), 11, FALSE)"),"978-601-327-361-7")</f>
        <v>978-601-327-361-7</v>
      </c>
      <c r="E2908" s="11" t="s">
        <v>11378</v>
      </c>
      <c r="F2908" s="11" t="s">
        <v>11385</v>
      </c>
      <c r="G2908" s="12">
        <f ca="1">IFERROR(__xludf.DUMMYFUNCTION(" VLOOKUP(A2905, IMPORTRANGE(""https://docs.google.com/spreadsheets/d/1fj_Bhi2XPL3siwIh4sx4VRLAe31yD50oKdj5UlRYW0c/"", ""Сводка!A:AA""), 5, FALSE)"),160)</f>
        <v>160</v>
      </c>
      <c r="H2908" s="12" t="s">
        <v>47</v>
      </c>
      <c r="I2908" s="10">
        <f ca="1">IFERROR(__xludf.DUMMYFUNCTION(" VLOOKUP(A2905, IMPORTRANGE(""https://docs.google.com/spreadsheets/d/1QNLbnkR_AongFt22vMfNzfpjZ0CjpI8QI-w0wBnYA1w/"", ""Инфа!A:AA""), 6, FALSE)"),2024)</f>
        <v>2024</v>
      </c>
      <c r="J2908" s="5">
        <f t="shared" ca="1" si="99"/>
        <v>9800</v>
      </c>
      <c r="K2908" s="9" t="s">
        <v>619</v>
      </c>
      <c r="L2908" s="15" t="s">
        <v>11386</v>
      </c>
    </row>
    <row r="2909" spans="1:12" ht="157.5">
      <c r="A2909" s="8" t="s">
        <v>11387</v>
      </c>
      <c r="B2909" s="9" t="s">
        <v>12</v>
      </c>
      <c r="C2909" s="10" t="s">
        <v>443</v>
      </c>
      <c r="D2909" s="10" t="str">
        <f ca="1">IFERROR(__xludf.DUMMYFUNCTION(" VLOOKUP(A2906, IMPORTRANGE(""https://docs.google.com/spreadsheets/d/1fj_Bhi2XPL3siwIh4sx4VRLAe31yD50oKdj5UlRYW0c/"", ""Сводка!A:AA""), 11, FALSE)"),"978-601-342-445-3")</f>
        <v>978-601-342-445-3</v>
      </c>
      <c r="E2909" s="11" t="s">
        <v>11378</v>
      </c>
      <c r="F2909" s="11" t="s">
        <v>11388</v>
      </c>
      <c r="G2909" s="12">
        <f ca="1">IFERROR(__xludf.DUMMYFUNCTION(" VLOOKUP(A2906, IMPORTRANGE(""https://docs.google.com/spreadsheets/d/1fj_Bhi2XPL3siwIh4sx4VRLAe31yD50oKdj5UlRYW0c/"", ""Сводка!A:AA""), 5, FALSE)"),104)</f>
        <v>104</v>
      </c>
      <c r="H2909" s="12" t="s">
        <v>446</v>
      </c>
      <c r="I2909" s="10">
        <f ca="1">IFERROR(__xludf.DUMMYFUNCTION(" VLOOKUP(A2906, IMPORTRANGE(""https://docs.google.com/spreadsheets/d/1QNLbnkR_AongFt22vMfNzfpjZ0CjpI8QI-w0wBnYA1w/"", ""Инфа!A:AA""), 6, FALSE)"),2024)</f>
        <v>2024</v>
      </c>
      <c r="J2909" s="5">
        <f t="shared" ca="1" si="99"/>
        <v>8100</v>
      </c>
      <c r="K2909" s="9" t="s">
        <v>619</v>
      </c>
      <c r="L2909" s="15" t="s">
        <v>11389</v>
      </c>
    </row>
    <row r="2910" spans="1:12" ht="146.25">
      <c r="A2910" s="8" t="s">
        <v>11390</v>
      </c>
      <c r="B2910" s="9" t="s">
        <v>12</v>
      </c>
      <c r="C2910" s="10" t="s">
        <v>443</v>
      </c>
      <c r="D2910" s="10" t="str">
        <f ca="1">IFERROR(__xludf.DUMMYFUNCTION(" VLOOKUP(A2907, IMPORTRANGE(""https://docs.google.com/spreadsheets/d/1fj_Bhi2XPL3siwIh4sx4VRLAe31yD50oKdj5UlRYW0c/"", ""Сводка!A:AA""), 11, FALSE)"),"978-601-342-446-0")</f>
        <v>978-601-342-446-0</v>
      </c>
      <c r="E2910" s="11" t="s">
        <v>11378</v>
      </c>
      <c r="F2910" s="11" t="s">
        <v>11391</v>
      </c>
      <c r="G2910" s="12">
        <f ca="1">IFERROR(__xludf.DUMMYFUNCTION(" VLOOKUP(A2907, IMPORTRANGE(""https://docs.google.com/spreadsheets/d/1fj_Bhi2XPL3siwIh4sx4VRLAe31yD50oKdj5UlRYW0c/"", ""Сводка!A:AA""), 5, FALSE)"),156)</f>
        <v>156</v>
      </c>
      <c r="H2910" s="12" t="s">
        <v>446</v>
      </c>
      <c r="I2910" s="10">
        <f ca="1">IFERROR(__xludf.DUMMYFUNCTION(" VLOOKUP(A2907, IMPORTRANGE(""https://docs.google.com/spreadsheets/d/1QNLbnkR_AongFt22vMfNzfpjZ0CjpI8QI-w0wBnYA1w/"", ""Инфа!A:AA""), 6, FALSE)"),2024)</f>
        <v>2024</v>
      </c>
      <c r="J2910" s="5">
        <f t="shared" ca="1" si="99"/>
        <v>9700</v>
      </c>
      <c r="K2910" s="9" t="s">
        <v>619</v>
      </c>
      <c r="L2910" s="15" t="s">
        <v>11392</v>
      </c>
    </row>
    <row r="2911" spans="1:12" ht="51">
      <c r="A2911" s="8" t="s">
        <v>11393</v>
      </c>
      <c r="B2911" s="9" t="s">
        <v>12</v>
      </c>
      <c r="C2911" s="10" t="s">
        <v>151</v>
      </c>
      <c r="D2911" s="10" t="str">
        <f ca="1">IFERROR(__xludf.DUMMYFUNCTION(" VLOOKUP(A2908, IMPORTRANGE(""https://docs.google.com/spreadsheets/d/1fj_Bhi2XPL3siwIh4sx4VRLAe31yD50oKdj5UlRYW0c/"", ""Сводка!A:AA""), 11, FALSE)"),"978-601-7816-09-4")</f>
        <v>978-601-7816-09-4</v>
      </c>
      <c r="E2911" s="11" t="s">
        <v>11394</v>
      </c>
      <c r="F2911" s="11" t="s">
        <v>11395</v>
      </c>
      <c r="G2911" s="12">
        <f ca="1">IFERROR(__xludf.DUMMYFUNCTION(" VLOOKUP(A2908, IMPORTRANGE(""https://docs.google.com/spreadsheets/d/1fj_Bhi2XPL3siwIh4sx4VRLAe31yD50oKdj5UlRYW0c/"", ""Сводка!A:AA""), 5, FALSE)"),108)</f>
        <v>108</v>
      </c>
      <c r="H2911" s="12" t="s">
        <v>47</v>
      </c>
      <c r="I2911" s="10">
        <f ca="1">IFERROR(__xludf.DUMMYFUNCTION(" VLOOKUP(A2908, IMPORTRANGE(""https://docs.google.com/spreadsheets/d/1QNLbnkR_AongFt22vMfNzfpjZ0CjpI8QI-w0wBnYA1w/"", ""Инфа!A:AA""), 6, FALSE)"),2024)</f>
        <v>2024</v>
      </c>
      <c r="J2911" s="5">
        <f t="shared" ca="1" si="99"/>
        <v>8200</v>
      </c>
      <c r="K2911" s="12" t="s">
        <v>26</v>
      </c>
      <c r="L2911" s="15"/>
    </row>
    <row r="2912" spans="1:12" ht="135">
      <c r="A2912" s="8" t="s">
        <v>11396</v>
      </c>
      <c r="B2912" s="9" t="s">
        <v>12</v>
      </c>
      <c r="C2912" s="10" t="s">
        <v>443</v>
      </c>
      <c r="D2912" s="10" t="str">
        <f ca="1">IFERROR(__xludf.DUMMYFUNCTION(" VLOOKUP(A2909, IMPORTRANGE(""https://docs.google.com/spreadsheets/d/1fj_Bhi2XPL3siwIh4sx4VRLAe31yD50oKdj5UlRYW0c/"", ""Сводка!A:AA""), 11, FALSE)"),"978-601-240-841-6")</f>
        <v>978-601-240-841-6</v>
      </c>
      <c r="E2912" s="11" t="s">
        <v>11397</v>
      </c>
      <c r="F2912" s="11" t="s">
        <v>11398</v>
      </c>
      <c r="G2912" s="12">
        <f ca="1">IFERROR(__xludf.DUMMYFUNCTION(" VLOOKUP(A2909, IMPORTRANGE(""https://docs.google.com/spreadsheets/d/1fj_Bhi2XPL3siwIh4sx4VRLAe31yD50oKdj5UlRYW0c/"", ""Сводка!A:AA""), 5, FALSE)"),126)</f>
        <v>126</v>
      </c>
      <c r="H2912" s="12" t="s">
        <v>47</v>
      </c>
      <c r="I2912" s="10">
        <f ca="1">IFERROR(__xludf.DUMMYFUNCTION(" VLOOKUP(A2909, IMPORTRANGE(""https://docs.google.com/spreadsheets/d/1QNLbnkR_AongFt22vMfNzfpjZ0CjpI8QI-w0wBnYA1w/"", ""Инфа!A:AA""), 6, FALSE)"),2024)</f>
        <v>2024</v>
      </c>
      <c r="J2912" s="5">
        <f t="shared" ca="1" si="99"/>
        <v>8800</v>
      </c>
      <c r="K2912" s="12" t="s">
        <v>447</v>
      </c>
      <c r="L2912" s="15" t="s">
        <v>11399</v>
      </c>
    </row>
    <row r="2913" spans="1:12" ht="135">
      <c r="A2913" s="8" t="s">
        <v>11400</v>
      </c>
      <c r="B2913" s="9" t="s">
        <v>12</v>
      </c>
      <c r="C2913" s="10" t="s">
        <v>443</v>
      </c>
      <c r="D2913" s="10" t="str">
        <f ca="1">IFERROR(__xludf.DUMMYFUNCTION(" VLOOKUP(A2910, IMPORTRANGE(""https://docs.google.com/spreadsheets/d/1fj_Bhi2XPL3siwIh4sx4VRLAe31yD50oKdj5UlRYW0c/"", ""Сводка!A:AA""), 11, FALSE)"),"978-601-240-842-3")</f>
        <v>978-601-240-842-3</v>
      </c>
      <c r="E2913" s="11" t="s">
        <v>11397</v>
      </c>
      <c r="F2913" s="11" t="s">
        <v>11401</v>
      </c>
      <c r="G2913" s="12">
        <f ca="1">IFERROR(__xludf.DUMMYFUNCTION(" VLOOKUP(A2910, IMPORTRANGE(""https://docs.google.com/spreadsheets/d/1fj_Bhi2XPL3siwIh4sx4VRLAe31yD50oKdj5UlRYW0c/"", ""Сводка!A:AA""), 5, FALSE)"),132)</f>
        <v>132</v>
      </c>
      <c r="H2913" s="12" t="s">
        <v>47</v>
      </c>
      <c r="I2913" s="10">
        <f ca="1">IFERROR(__xludf.DUMMYFUNCTION(" VLOOKUP(A2910, IMPORTRANGE(""https://docs.google.com/spreadsheets/d/1QNLbnkR_AongFt22vMfNzfpjZ0CjpI8QI-w0wBnYA1w/"", ""Инфа!A:AA""), 6, FALSE)"),2024)</f>
        <v>2024</v>
      </c>
      <c r="J2913" s="5">
        <f ca="1">ROUND((5000+G2913*60),-2)</f>
        <v>12900</v>
      </c>
      <c r="K2913" s="9" t="s">
        <v>447</v>
      </c>
      <c r="L2913" s="15" t="s">
        <v>11402</v>
      </c>
    </row>
    <row r="2914" spans="1:12" ht="123.75">
      <c r="A2914" s="8" t="s">
        <v>11403</v>
      </c>
      <c r="B2914" s="9" t="s">
        <v>12</v>
      </c>
      <c r="C2914" s="10" t="s">
        <v>151</v>
      </c>
      <c r="D2914" s="10" t="str">
        <f ca="1">IFERROR(__xludf.DUMMYFUNCTION(" VLOOKUP(A2911, IMPORTRANGE(""https://docs.google.com/spreadsheets/d/1fj_Bhi2XPL3siwIh4sx4VRLAe31yD50oKdj5UlRYW0c/"", ""Сводка!A:AA""), 11, FALSE)"),"978-601-242-068-0")</f>
        <v>978-601-242-068-0</v>
      </c>
      <c r="E2914" s="11" t="s">
        <v>11404</v>
      </c>
      <c r="F2914" s="11" t="s">
        <v>11405</v>
      </c>
      <c r="G2914" s="12">
        <f ca="1">IFERROR(__xludf.DUMMYFUNCTION(" VLOOKUP(A2911, IMPORTRANGE(""https://docs.google.com/spreadsheets/d/1fj_Bhi2XPL3siwIh4sx4VRLAe31yD50oKdj5UlRYW0c/"", ""Сводка!A:AA""), 5, FALSE)"),280)</f>
        <v>280</v>
      </c>
      <c r="H2914" s="12" t="s">
        <v>47</v>
      </c>
      <c r="I2914" s="10">
        <f ca="1">IFERROR(__xludf.DUMMYFUNCTION(" VLOOKUP(A2911, IMPORTRANGE(""https://docs.google.com/spreadsheets/d/1QNLbnkR_AongFt22vMfNzfpjZ0CjpI8QI-w0wBnYA1w/"", ""Инфа!A:AA""), 6, FALSE)"),2024)</f>
        <v>2024</v>
      </c>
      <c r="J2914" s="5">
        <f ca="1">ROUND((5000+G2914*30),-2)</f>
        <v>13400</v>
      </c>
      <c r="K2914" s="12" t="s">
        <v>160</v>
      </c>
      <c r="L2914" s="15" t="s">
        <v>11406</v>
      </c>
    </row>
    <row r="2915" spans="1:12" ht="123.75">
      <c r="A2915" s="8" t="s">
        <v>11407</v>
      </c>
      <c r="B2915" s="9" t="s">
        <v>12</v>
      </c>
      <c r="C2915" s="10" t="s">
        <v>151</v>
      </c>
      <c r="D2915" s="10" t="str">
        <f ca="1">IFERROR(__xludf.DUMMYFUNCTION(" VLOOKUP(A2912, IMPORTRANGE(""https://docs.google.com/spreadsheets/d/1fj_Bhi2XPL3siwIh4sx4VRLAe31yD50oKdj5UlRYW0c/"", ""Сводка!A:AA""), 11, FALSE)"),"978-601-242-068-0")</f>
        <v>978-601-242-068-0</v>
      </c>
      <c r="E2915" s="11" t="s">
        <v>11404</v>
      </c>
      <c r="F2915" s="11" t="s">
        <v>11408</v>
      </c>
      <c r="G2915" s="12">
        <f ca="1">IFERROR(__xludf.DUMMYFUNCTION(" VLOOKUP(A2912, IMPORTRANGE(""https://docs.google.com/spreadsheets/d/1fj_Bhi2XPL3siwIh4sx4VRLAe31yD50oKdj5UlRYW0c/"", ""Сводка!A:AA""), 5, FALSE)"),236)</f>
        <v>236</v>
      </c>
      <c r="H2915" s="12" t="s">
        <v>47</v>
      </c>
      <c r="I2915" s="10">
        <f ca="1">IFERROR(__xludf.DUMMYFUNCTION(" VLOOKUP(A2912, IMPORTRANGE(""https://docs.google.com/spreadsheets/d/1QNLbnkR_AongFt22vMfNzfpjZ0CjpI8QI-w0wBnYA1w/"", ""Инфа!A:AA""), 6, FALSE)"),2024)</f>
        <v>2024</v>
      </c>
      <c r="J2915" s="5">
        <f ca="1">ROUND((5000+G2915*30),-2)</f>
        <v>12100</v>
      </c>
      <c r="K2915" s="12" t="s">
        <v>160</v>
      </c>
      <c r="L2915" s="15" t="s">
        <v>11406</v>
      </c>
    </row>
    <row r="2916" spans="1:12" ht="101.25">
      <c r="A2916" s="8" t="s">
        <v>11409</v>
      </c>
      <c r="B2916" s="9" t="s">
        <v>12</v>
      </c>
      <c r="C2916" s="10" t="s">
        <v>443</v>
      </c>
      <c r="D2916" s="10" t="str">
        <f ca="1">IFERROR(__xludf.DUMMYFUNCTION(" VLOOKUP(A2913, IMPORTRANGE(""https://docs.google.com/spreadsheets/d/1fj_Bhi2XPL3siwIh4sx4VRLAe31yD50oKdj5UlRYW0c/"", ""Сводка!A:AA""), 11, FALSE)"),"9965-19-636-2")</f>
        <v>9965-19-636-2</v>
      </c>
      <c r="E2916" s="11" t="s">
        <v>4890</v>
      </c>
      <c r="F2916" s="11" t="s">
        <v>11410</v>
      </c>
      <c r="G2916" s="12">
        <f ca="1">IFERROR(__xludf.DUMMYFUNCTION(" VLOOKUP(A2913, IMPORTRANGE(""https://docs.google.com/spreadsheets/d/1fj_Bhi2XPL3siwIh4sx4VRLAe31yD50oKdj5UlRYW0c/"", ""Сводка!A:AA""), 5, FALSE)"),216)</f>
        <v>216</v>
      </c>
      <c r="H2916" s="12" t="s">
        <v>538</v>
      </c>
      <c r="I2916" s="10">
        <f ca="1">IFERROR(__xludf.DUMMYFUNCTION(" VLOOKUP(A2913, IMPORTRANGE(""https://docs.google.com/spreadsheets/d/1QNLbnkR_AongFt22vMfNzfpjZ0CjpI8QI-w0wBnYA1w/"", ""Инфа!A:AA""), 6, FALSE)"),2024)</f>
        <v>2024</v>
      </c>
      <c r="J2916" s="5">
        <f ca="1">ROUND((5000+G2916*30),-2)</f>
        <v>11500</v>
      </c>
      <c r="K2916" s="9" t="s">
        <v>139</v>
      </c>
      <c r="L2916" s="15" t="s">
        <v>11411</v>
      </c>
    </row>
    <row r="2917" spans="1:12" ht="101.25">
      <c r="A2917" s="8" t="s">
        <v>11412</v>
      </c>
      <c r="B2917" s="9" t="s">
        <v>12</v>
      </c>
      <c r="C2917" s="10" t="s">
        <v>443</v>
      </c>
      <c r="D2917" s="10" t="str">
        <f ca="1">IFERROR(__xludf.DUMMYFUNCTION(" VLOOKUP(A2914, IMPORTRANGE(""https://docs.google.com/spreadsheets/d/1fj_Bhi2XPL3siwIh4sx4VRLAe31yD50oKdj5UlRYW0c/"", ""Сводка!A:AA""), 11, FALSE)"),"9965-19-636-2")</f>
        <v>9965-19-636-2</v>
      </c>
      <c r="E2917" s="11" t="s">
        <v>4890</v>
      </c>
      <c r="F2917" s="11" t="s">
        <v>11413</v>
      </c>
      <c r="G2917" s="12">
        <f ca="1">IFERROR(__xludf.DUMMYFUNCTION(" VLOOKUP(A2914, IMPORTRANGE(""https://docs.google.com/spreadsheets/d/1fj_Bhi2XPL3siwIh4sx4VRLAe31yD50oKdj5UlRYW0c/"", ""Сводка!A:AA""), 5, FALSE)"),292)</f>
        <v>292</v>
      </c>
      <c r="H2917" s="12" t="s">
        <v>538</v>
      </c>
      <c r="I2917" s="10">
        <f ca="1">IFERROR(__xludf.DUMMYFUNCTION(" VLOOKUP(A2914, IMPORTRANGE(""https://docs.google.com/spreadsheets/d/1QNLbnkR_AongFt22vMfNzfpjZ0CjpI8QI-w0wBnYA1w/"", ""Инфа!A:AA""), 6, FALSE)"),2024)</f>
        <v>2024</v>
      </c>
      <c r="J2917" s="5">
        <f ca="1">ROUND((5000+G2917*30),-2)</f>
        <v>13800</v>
      </c>
      <c r="K2917" s="9" t="s">
        <v>139</v>
      </c>
      <c r="L2917" s="15" t="s">
        <v>11411</v>
      </c>
    </row>
    <row r="2918" spans="1:12" ht="38.25">
      <c r="A2918" s="8" t="s">
        <v>11414</v>
      </c>
      <c r="B2918" s="9" t="s">
        <v>12</v>
      </c>
      <c r="C2918" s="10" t="s">
        <v>443</v>
      </c>
      <c r="D2918" s="10" t="str">
        <f ca="1">IFERROR(__xludf.DUMMYFUNCTION(" VLOOKUP(A2915, IMPORTRANGE(""https://docs.google.com/spreadsheets/d/1fj_Bhi2XPL3siwIh4sx4VRLAe31yD50oKdj5UlRYW0c/"", ""Сводка!A:AA""), 11, FALSE)"),"978-601-240-259-9")</f>
        <v>978-601-240-259-9</v>
      </c>
      <c r="E2918" s="11" t="s">
        <v>11415</v>
      </c>
      <c r="F2918" s="11" t="s">
        <v>11416</v>
      </c>
      <c r="G2918" s="12">
        <f ca="1">IFERROR(__xludf.DUMMYFUNCTION(" VLOOKUP(A2915, IMPORTRANGE(""https://docs.google.com/spreadsheets/d/1fj_Bhi2XPL3siwIh4sx4VRLAe31yD50oKdj5UlRYW0c/"", ""Сводка!A:AA""), 5, FALSE)"),250)</f>
        <v>250</v>
      </c>
      <c r="H2918" s="12" t="s">
        <v>538</v>
      </c>
      <c r="I2918" s="10">
        <f ca="1">IFERROR(__xludf.DUMMYFUNCTION(" VLOOKUP(A2915, IMPORTRANGE(""https://docs.google.com/spreadsheets/d/1QNLbnkR_AongFt22vMfNzfpjZ0CjpI8QI-w0wBnYA1w/"", ""Инфа!A:AA""), 6, FALSE)"),2024)</f>
        <v>2024</v>
      </c>
      <c r="J2918" s="5">
        <f ca="1">ROUND((5000+G2918*30),-2)</f>
        <v>12500</v>
      </c>
      <c r="K2918" s="9" t="s">
        <v>271</v>
      </c>
      <c r="L2918" s="15"/>
    </row>
    <row r="2919" spans="1:12" ht="146.25">
      <c r="A2919" s="8" t="s">
        <v>11417</v>
      </c>
      <c r="B2919" s="9" t="s">
        <v>12</v>
      </c>
      <c r="C2919" s="10" t="s">
        <v>13</v>
      </c>
      <c r="D2919" s="10" t="str">
        <f ca="1">IFERROR(__xludf.DUMMYFUNCTION(" VLOOKUP(A2916, IMPORTRANGE(""https://docs.google.com/spreadsheets/d/1fj_Bhi2XPL3siwIh4sx4VRLAe31yD50oKdj5UlRYW0c/"", ""Сводка!A:AA""), 11, FALSE)"),"9965-39-340-0")</f>
        <v>9965-39-340-0</v>
      </c>
      <c r="E2919" s="11" t="s">
        <v>11418</v>
      </c>
      <c r="F2919" s="11" t="s">
        <v>11419</v>
      </c>
      <c r="G2919" s="12">
        <f ca="1">IFERROR(__xludf.DUMMYFUNCTION(" VLOOKUP(A2916, IMPORTRANGE(""https://docs.google.com/spreadsheets/d/1fj_Bhi2XPL3siwIh4sx4VRLAe31yD50oKdj5UlRYW0c/"", ""Сводка!A:AA""), 5, FALSE)"),164)</f>
        <v>164</v>
      </c>
      <c r="H2919" s="12"/>
      <c r="I2919" s="10">
        <f ca="1">IFERROR(__xludf.DUMMYFUNCTION(" VLOOKUP(A2916, IMPORTRANGE(""https://docs.google.com/spreadsheets/d/1QNLbnkR_AongFt22vMfNzfpjZ0CjpI8QI-w0wBnYA1w/"", ""Инфа!A:AA""), 6, FALSE)"),2024)</f>
        <v>2024</v>
      </c>
      <c r="J2919" s="5">
        <f ca="1">ROUND(((5000+G2919*30)*1.3),-2)</f>
        <v>12900</v>
      </c>
      <c r="K2919" s="12" t="s">
        <v>26</v>
      </c>
      <c r="L2919" s="15" t="s">
        <v>11420</v>
      </c>
    </row>
    <row r="2920" spans="1:12" ht="51">
      <c r="A2920" s="8" t="s">
        <v>11421</v>
      </c>
      <c r="B2920" s="9" t="s">
        <v>12</v>
      </c>
      <c r="C2920" s="10" t="s">
        <v>443</v>
      </c>
      <c r="D2920" s="10" t="str">
        <f ca="1">IFERROR(__xludf.DUMMYFUNCTION(" VLOOKUP(A2917, IMPORTRANGE(""https://docs.google.com/spreadsheets/d/1fj_Bhi2XPL3siwIh4sx4VRLAe31yD50oKdj5UlRYW0c/"", ""Сводка!A:AA""), 11, FALSE)"),"978-601-310-836-0")</f>
        <v>978-601-310-836-0</v>
      </c>
      <c r="E2920" s="11" t="s">
        <v>11422</v>
      </c>
      <c r="F2920" s="11" t="s">
        <v>11423</v>
      </c>
      <c r="G2920" s="12">
        <f ca="1">IFERROR(__xludf.DUMMYFUNCTION(" VLOOKUP(A2917, IMPORTRANGE(""https://docs.google.com/spreadsheets/d/1fj_Bhi2XPL3siwIh4sx4VRLAe31yD50oKdj5UlRYW0c/"", ""Сводка!A:AA""), 5, FALSE)"),184)</f>
        <v>184</v>
      </c>
      <c r="H2920" s="12" t="s">
        <v>11424</v>
      </c>
      <c r="I2920" s="10">
        <f ca="1">IFERROR(__xludf.DUMMYFUNCTION(" VLOOKUP(A2917, IMPORTRANGE(""https://docs.google.com/spreadsheets/d/1QNLbnkR_AongFt22vMfNzfpjZ0CjpI8QI-w0wBnYA1w/"", ""Инфа!A:AA""), 6, FALSE)"),2024)</f>
        <v>2024</v>
      </c>
      <c r="J2920" s="5">
        <f ca="1">ROUND(((5000+G2920*30)*1.3),-2)</f>
        <v>13700</v>
      </c>
      <c r="K2920" s="12" t="s">
        <v>26</v>
      </c>
      <c r="L2920" s="15"/>
    </row>
    <row r="2921" spans="1:12" ht="344.25">
      <c r="A2921" s="8" t="s">
        <v>11425</v>
      </c>
      <c r="B2921" s="9" t="s">
        <v>12</v>
      </c>
      <c r="C2921" s="10" t="s">
        <v>11426</v>
      </c>
      <c r="D2921" s="10" t="str">
        <f ca="1">IFERROR(__xludf.DUMMYFUNCTION(" VLOOKUP(A2918, IMPORTRANGE(""https://docs.google.com/spreadsheets/d/1fj_Bhi2XPL3siwIh4sx4VRLAe31yD50oKdj5UlRYW0c/"", ""Сводка!A:AA""), 11, FALSE)"),"978-601-310-716-5")</f>
        <v>978-601-310-716-5</v>
      </c>
      <c r="E2921" s="11" t="s">
        <v>11427</v>
      </c>
      <c r="F2921" s="11" t="s">
        <v>11428</v>
      </c>
      <c r="G2921" s="12">
        <f ca="1">IFERROR(__xludf.DUMMYFUNCTION(" VLOOKUP(A2918, IMPORTRANGE(""https://docs.google.com/spreadsheets/d/1fj_Bhi2XPL3siwIh4sx4VRLAe31yD50oKdj5UlRYW0c/"", ""Сводка!A:AA""), 5, FALSE)"),280)</f>
        <v>280</v>
      </c>
      <c r="H2921" s="12" t="s">
        <v>11429</v>
      </c>
      <c r="I2921" s="10">
        <f ca="1">IFERROR(__xludf.DUMMYFUNCTION(" VLOOKUP(A2918, IMPORTRANGE(""https://docs.google.com/spreadsheets/d/1QNLbnkR_AongFt22vMfNzfpjZ0CjpI8QI-w0wBnYA1w/"", ""Инфа!A:AA""), 6, FALSE)"),2024)</f>
        <v>2024</v>
      </c>
      <c r="J2921" s="5">
        <f ca="1">ROUND((5000+G2921*30),-2)</f>
        <v>13400</v>
      </c>
      <c r="K2921" s="9" t="s">
        <v>575</v>
      </c>
      <c r="L2921" s="15"/>
    </row>
    <row r="2922" spans="1:12" ht="344.25">
      <c r="A2922" s="8" t="s">
        <v>11430</v>
      </c>
      <c r="B2922" s="9" t="s">
        <v>12</v>
      </c>
      <c r="C2922" s="10" t="s">
        <v>11426</v>
      </c>
      <c r="D2922" s="10" t="str">
        <f ca="1">IFERROR(__xludf.DUMMYFUNCTION(" VLOOKUP(A2919, IMPORTRANGE(""https://docs.google.com/spreadsheets/d/1fj_Bhi2XPL3siwIh4sx4VRLAe31yD50oKdj5UlRYW0c/"", ""Сводка!A:AA""), 11, FALSE)"),"978-601-310-716-5")</f>
        <v>978-601-310-716-5</v>
      </c>
      <c r="E2922" s="11" t="s">
        <v>11427</v>
      </c>
      <c r="F2922" s="11" t="s">
        <v>11431</v>
      </c>
      <c r="G2922" s="12">
        <f ca="1">IFERROR(__xludf.DUMMYFUNCTION(" VLOOKUP(A2919, IMPORTRANGE(""https://docs.google.com/spreadsheets/d/1fj_Bhi2XPL3siwIh4sx4VRLAe31yD50oKdj5UlRYW0c/"", ""Сводка!A:AA""), 5, FALSE)"),260)</f>
        <v>260</v>
      </c>
      <c r="H2922" s="12" t="s">
        <v>11429</v>
      </c>
      <c r="I2922" s="10">
        <f ca="1">IFERROR(__xludf.DUMMYFUNCTION(" VLOOKUP(A2919, IMPORTRANGE(""https://docs.google.com/spreadsheets/d/1QNLbnkR_AongFt22vMfNzfpjZ0CjpI8QI-w0wBnYA1w/"", ""Инфа!A:AA""), 6, FALSE)"),2024)</f>
        <v>2024</v>
      </c>
      <c r="J2922" s="5">
        <f ca="1">ROUND((5000+G2922*30),-2)</f>
        <v>12800</v>
      </c>
      <c r="K2922" s="9" t="s">
        <v>575</v>
      </c>
      <c r="L2922" s="15"/>
    </row>
    <row r="2923" spans="1:12" ht="78.75">
      <c r="A2923" s="8" t="s">
        <v>11432</v>
      </c>
      <c r="B2923" s="9" t="s">
        <v>12</v>
      </c>
      <c r="C2923" s="10" t="s">
        <v>443</v>
      </c>
      <c r="D2923" s="10" t="str">
        <f ca="1">IFERROR(__xludf.DUMMYFUNCTION(" VLOOKUP(A2920, IMPORTRANGE(""https://docs.google.com/spreadsheets/d/1fj_Bhi2XPL3siwIh4sx4VRLAe31yD50oKdj5UlRYW0c/"", ""Сводка!A:AA""), 11, FALSE)"),"978-601-310-917-6")</f>
        <v>978-601-310-917-6</v>
      </c>
      <c r="E2923" s="11" t="s">
        <v>11433</v>
      </c>
      <c r="F2923" s="11" t="s">
        <v>11434</v>
      </c>
      <c r="G2923" s="12">
        <f ca="1">IFERROR(__xludf.DUMMYFUNCTION(" VLOOKUP(A2920, IMPORTRANGE(""https://docs.google.com/spreadsheets/d/1fj_Bhi2XPL3siwIh4sx4VRLAe31yD50oKdj5UlRYW0c/"", ""Сводка!A:AA""), 5, FALSE)"),168)</f>
        <v>168</v>
      </c>
      <c r="H2923" s="12" t="s">
        <v>446</v>
      </c>
      <c r="I2923" s="10">
        <f ca="1">IFERROR(__xludf.DUMMYFUNCTION(" VLOOKUP(A2920, IMPORTRANGE(""https://docs.google.com/spreadsheets/d/1QNLbnkR_AongFt22vMfNzfpjZ0CjpI8QI-w0wBnYA1w/"", ""Инфа!A:AA""), 6, FALSE)"),2024)</f>
        <v>2024</v>
      </c>
      <c r="J2923" s="5">
        <f ca="1">ROUND((5000+G2923*60),-2)</f>
        <v>15100</v>
      </c>
      <c r="K2923" s="9" t="s">
        <v>408</v>
      </c>
      <c r="L2923" s="15" t="s">
        <v>11435</v>
      </c>
    </row>
    <row r="2924" spans="1:12" ht="135">
      <c r="A2924" s="8" t="s">
        <v>11436</v>
      </c>
      <c r="B2924" s="9" t="s">
        <v>12</v>
      </c>
      <c r="C2924" s="10" t="s">
        <v>443</v>
      </c>
      <c r="D2924" s="10" t="str">
        <f ca="1">IFERROR(__xludf.DUMMYFUNCTION(" VLOOKUP(A2921, IMPORTRANGE(""https://docs.google.com/spreadsheets/d/1fj_Bhi2XPL3siwIh4sx4VRLAe31yD50oKdj5UlRYW0c/"", ""Сводка!A:AA""), 11, FALSE)"),"978-601-342-039-4")</f>
        <v>978-601-342-039-4</v>
      </c>
      <c r="E2924" s="11" t="s">
        <v>11437</v>
      </c>
      <c r="F2924" s="11" t="s">
        <v>213</v>
      </c>
      <c r="G2924" s="12">
        <f ca="1">IFERROR(__xludf.DUMMYFUNCTION(" VLOOKUP(A2921, IMPORTRANGE(""https://docs.google.com/spreadsheets/d/1fj_Bhi2XPL3siwIh4sx4VRLAe31yD50oKdj5UlRYW0c/"", ""Сводка!A:AA""), 5, FALSE)"),128)</f>
        <v>128</v>
      </c>
      <c r="H2924" s="12" t="s">
        <v>538</v>
      </c>
      <c r="I2924" s="10">
        <f ca="1">IFERROR(__xludf.DUMMYFUNCTION(" VLOOKUP(A2921, IMPORTRANGE(""https://docs.google.com/spreadsheets/d/1QNLbnkR_AongFt22vMfNzfpjZ0CjpI8QI-w0wBnYA1w/"", ""Инфа!A:AA""), 6, FALSE)"),2024)</f>
        <v>2024</v>
      </c>
      <c r="J2924" s="5">
        <f ca="1">ROUND((5000+G2924*60),-2)</f>
        <v>12700</v>
      </c>
      <c r="K2924" s="12" t="s">
        <v>213</v>
      </c>
      <c r="L2924" s="15" t="s">
        <v>11438</v>
      </c>
    </row>
    <row r="2925" spans="1:12" ht="135">
      <c r="A2925" s="8" t="s">
        <v>11439</v>
      </c>
      <c r="B2925" s="9" t="s">
        <v>12</v>
      </c>
      <c r="C2925" s="10" t="s">
        <v>151</v>
      </c>
      <c r="D2925" s="10" t="str">
        <f ca="1">IFERROR(__xludf.DUMMYFUNCTION(" VLOOKUP(A2922, IMPORTRANGE(""https://docs.google.com/spreadsheets/d/1fj_Bhi2XPL3siwIh4sx4VRLAe31yD50oKdj5UlRYW0c/"", ""Сводка!A:AA""), 11, FALSE)"),"978-601-342-395-1")</f>
        <v>978-601-342-395-1</v>
      </c>
      <c r="E2925" s="45" t="s">
        <v>11440</v>
      </c>
      <c r="F2925" s="11" t="s">
        <v>4346</v>
      </c>
      <c r="G2925" s="12">
        <f ca="1">IFERROR(__xludf.DUMMYFUNCTION(" VLOOKUP(A2922, IMPORTRANGE(""https://docs.google.com/spreadsheets/d/1fj_Bhi2XPL3siwIh4sx4VRLAe31yD50oKdj5UlRYW0c/"", ""Сводка!A:AA""), 5, FALSE)"),264)</f>
        <v>264</v>
      </c>
      <c r="H2925" s="12" t="s">
        <v>47</v>
      </c>
      <c r="I2925" s="10">
        <f ca="1">IFERROR(__xludf.DUMMYFUNCTION(" VLOOKUP(A2922, IMPORTRANGE(""https://docs.google.com/spreadsheets/d/1QNLbnkR_AongFt22vMfNzfpjZ0CjpI8QI-w0wBnYA1w/"", ""Инфа!A:AA""), 6, FALSE)"),2024)</f>
        <v>2024</v>
      </c>
      <c r="J2925" s="5">
        <f ca="1">ROUND((5000+G2925*60),-2)</f>
        <v>20800</v>
      </c>
      <c r="K2925" s="12" t="s">
        <v>160</v>
      </c>
      <c r="L2925" s="16" t="s">
        <v>11441</v>
      </c>
    </row>
    <row r="2926" spans="1:12" ht="168.75">
      <c r="A2926" s="8" t="s">
        <v>11442</v>
      </c>
      <c r="B2926" s="9" t="s">
        <v>12</v>
      </c>
      <c r="C2926" s="10" t="s">
        <v>443</v>
      </c>
      <c r="D2926" s="10" t="str">
        <f ca="1">IFERROR(__xludf.DUMMYFUNCTION(" VLOOKUP(A2923, IMPORTRANGE(""https://docs.google.com/spreadsheets/d/1fj_Bhi2XPL3siwIh4sx4VRLAe31yD50oKdj5UlRYW0c/"", ""Сводка!A:AA""), 11, FALSE)"),"978-601-310-300-6")</f>
        <v>978-601-310-300-6</v>
      </c>
      <c r="E2926" s="11" t="s">
        <v>11443</v>
      </c>
      <c r="F2926" s="11" t="s">
        <v>11444</v>
      </c>
      <c r="G2926" s="12">
        <f ca="1">IFERROR(__xludf.DUMMYFUNCTION(" VLOOKUP(A2923, IMPORTRANGE(""https://docs.google.com/spreadsheets/d/1fj_Bhi2XPL3siwIh4sx4VRLAe31yD50oKdj5UlRYW0c/"", ""Сводка!A:AA""), 5, FALSE)"),176)</f>
        <v>176</v>
      </c>
      <c r="H2926" s="12" t="s">
        <v>538</v>
      </c>
      <c r="I2926" s="10">
        <f ca="1">IFERROR(__xludf.DUMMYFUNCTION(" VLOOKUP(A2923, IMPORTRANGE(""https://docs.google.com/spreadsheets/d/1QNLbnkR_AongFt22vMfNzfpjZ0CjpI8QI-w0wBnYA1w/"", ""Инфа!A:AA""), 6, FALSE)"),2024)</f>
        <v>2024</v>
      </c>
      <c r="J2926" s="5">
        <f ca="1">ROUND((5000+G2926*30),-2)</f>
        <v>10300</v>
      </c>
      <c r="K2926" s="12" t="s">
        <v>1450</v>
      </c>
      <c r="L2926" s="15" t="s">
        <v>11445</v>
      </c>
    </row>
    <row r="2927" spans="1:12" ht="213.75">
      <c r="A2927" s="8" t="s">
        <v>11446</v>
      </c>
      <c r="B2927" s="9" t="s">
        <v>12</v>
      </c>
      <c r="C2927" s="10" t="s">
        <v>443</v>
      </c>
      <c r="D2927" s="10" t="str">
        <f ca="1">IFERROR(__xludf.DUMMYFUNCTION(" VLOOKUP(A2924, IMPORTRANGE(""https://docs.google.com/spreadsheets/d/1fj_Bhi2XPL3siwIh4sx4VRLAe31yD50oKdj5UlRYW0c/"", ""Сводка!A:AA""), 11, FALSE)"),"978-601-310-464-5")</f>
        <v>978-601-310-464-5</v>
      </c>
      <c r="E2927" s="11" t="s">
        <v>11443</v>
      </c>
      <c r="F2927" s="11" t="s">
        <v>11447</v>
      </c>
      <c r="G2927" s="12">
        <f ca="1">IFERROR(__xludf.DUMMYFUNCTION(" VLOOKUP(A2924, IMPORTRANGE(""https://docs.google.com/spreadsheets/d/1fj_Bhi2XPL3siwIh4sx4VRLAe31yD50oKdj5UlRYW0c/"", ""Сводка!A:AA""), 5, FALSE)"),104)</f>
        <v>104</v>
      </c>
      <c r="H2927" s="12" t="s">
        <v>106</v>
      </c>
      <c r="I2927" s="10">
        <f ca="1">IFERROR(__xludf.DUMMYFUNCTION(" VLOOKUP(A2924, IMPORTRANGE(""https://docs.google.com/spreadsheets/d/1QNLbnkR_AongFt22vMfNzfpjZ0CjpI8QI-w0wBnYA1w/"", ""Инфа!A:AA""), 6, FALSE)"),2024)</f>
        <v>2024</v>
      </c>
      <c r="J2927" s="5">
        <f ca="1">ROUND((5000+G2927*30),-2)</f>
        <v>8100</v>
      </c>
      <c r="K2927" s="12" t="s">
        <v>368</v>
      </c>
      <c r="L2927" s="15" t="s">
        <v>11448</v>
      </c>
    </row>
    <row r="2928" spans="1:12" ht="168.75">
      <c r="A2928" s="8" t="s">
        <v>11449</v>
      </c>
      <c r="B2928" s="9" t="s">
        <v>12</v>
      </c>
      <c r="C2928" s="10" t="s">
        <v>151</v>
      </c>
      <c r="D2928" s="10" t="str">
        <f ca="1">IFERROR(__xludf.DUMMYFUNCTION(" VLOOKUP(A2925, IMPORTRANGE(""https://docs.google.com/spreadsheets/d/1fj_Bhi2XPL3siwIh4sx4VRLAe31yD50oKdj5UlRYW0c/"", ""Сводка!A:AA""), 11, FALSE)"),"978-601-327-839-1")</f>
        <v>978-601-327-839-1</v>
      </c>
      <c r="E2928" s="11" t="s">
        <v>11443</v>
      </c>
      <c r="F2928" s="11" t="s">
        <v>11450</v>
      </c>
      <c r="G2928" s="12">
        <f ca="1">IFERROR(__xludf.DUMMYFUNCTION(" VLOOKUP(A2925, IMPORTRANGE(""https://docs.google.com/spreadsheets/d/1fj_Bhi2XPL3siwIh4sx4VRLAe31yD50oKdj5UlRYW0c/"", ""Сводка!A:AA""), 5, FALSE)"),140)</f>
        <v>140</v>
      </c>
      <c r="H2928" s="12" t="s">
        <v>106</v>
      </c>
      <c r="I2928" s="10">
        <f ca="1">IFERROR(__xludf.DUMMYFUNCTION(" VLOOKUP(A2925, IMPORTRANGE(""https://docs.google.com/spreadsheets/d/1QNLbnkR_AongFt22vMfNzfpjZ0CjpI8QI-w0wBnYA1w/"", ""Инфа!A:AA""), 6, FALSE)"),2024)</f>
        <v>2024</v>
      </c>
      <c r="J2928" s="5">
        <f ca="1">ROUND((5000+G2928*30),-2)</f>
        <v>9200</v>
      </c>
      <c r="K2928" s="12" t="s">
        <v>368</v>
      </c>
      <c r="L2928" s="15" t="s">
        <v>11451</v>
      </c>
    </row>
    <row r="2929" spans="1:12" ht="191.25">
      <c r="A2929" s="8" t="s">
        <v>11452</v>
      </c>
      <c r="B2929" s="9" t="s">
        <v>12</v>
      </c>
      <c r="C2929" s="10" t="s">
        <v>443</v>
      </c>
      <c r="D2929" s="10" t="str">
        <f ca="1">IFERROR(__xludf.DUMMYFUNCTION(" VLOOKUP(A2926, IMPORTRANGE(""https://docs.google.com/spreadsheets/d/1fj_Bhi2XPL3siwIh4sx4VRLAe31yD50oKdj5UlRYW0c/"", ""Сводка!A:AA""), 11, FALSE)"),"978-601-310-212-2")</f>
        <v>978-601-310-212-2</v>
      </c>
      <c r="E2929" s="11" t="s">
        <v>11453</v>
      </c>
      <c r="F2929" s="11" t="s">
        <v>11454</v>
      </c>
      <c r="G2929" s="12">
        <f ca="1">IFERROR(__xludf.DUMMYFUNCTION(" VLOOKUP(A2926, IMPORTRANGE(""https://docs.google.com/spreadsheets/d/1fj_Bhi2XPL3siwIh4sx4VRLAe31yD50oKdj5UlRYW0c/"", ""Сводка!A:AA""), 5, FALSE)"),260)</f>
        <v>260</v>
      </c>
      <c r="H2929" s="12" t="s">
        <v>538</v>
      </c>
      <c r="I2929" s="10">
        <f ca="1">IFERROR(__xludf.DUMMYFUNCTION(" VLOOKUP(A2926, IMPORTRANGE(""https://docs.google.com/spreadsheets/d/1QNLbnkR_AongFt22vMfNzfpjZ0CjpI8QI-w0wBnYA1w/"", ""Инфа!A:AA""), 6, FALSE)"),2024)</f>
        <v>2024</v>
      </c>
      <c r="J2929" s="5">
        <f ca="1">ROUND((5000+G2929*60),-2)</f>
        <v>20600</v>
      </c>
      <c r="K2929" s="12" t="s">
        <v>368</v>
      </c>
      <c r="L2929" s="15" t="s">
        <v>11455</v>
      </c>
    </row>
    <row r="2930" spans="1:12" ht="112.5">
      <c r="A2930" s="8" t="s">
        <v>11456</v>
      </c>
      <c r="B2930" s="9" t="s">
        <v>12</v>
      </c>
      <c r="C2930" s="10" t="s">
        <v>151</v>
      </c>
      <c r="D2930" s="10" t="str">
        <f ca="1">IFERROR(__xludf.DUMMYFUNCTION(" VLOOKUP(A2927, IMPORTRANGE(""https://docs.google.com/spreadsheets/d/1fj_Bhi2XPL3siwIh4sx4VRLAe31yD50oKdj5UlRYW0c/"", ""Сводка!A:AA""), 11, FALSE)"),"978-601-310-299-3")</f>
        <v>978-601-310-299-3</v>
      </c>
      <c r="E2930" s="11" t="s">
        <v>11457</v>
      </c>
      <c r="F2930" s="11" t="s">
        <v>11458</v>
      </c>
      <c r="G2930" s="12">
        <f ca="1">IFERROR(__xludf.DUMMYFUNCTION(" VLOOKUP(A2927, IMPORTRANGE(""https://docs.google.com/spreadsheets/d/1fj_Bhi2XPL3siwIh4sx4VRLAe31yD50oKdj5UlRYW0c/"", ""Сводка!A:AA""), 5, FALSE)"),188)</f>
        <v>188</v>
      </c>
      <c r="H2930" s="12" t="s">
        <v>106</v>
      </c>
      <c r="I2930" s="10">
        <f ca="1">IFERROR(__xludf.DUMMYFUNCTION(" VLOOKUP(A2927, IMPORTRANGE(""https://docs.google.com/spreadsheets/d/1QNLbnkR_AongFt22vMfNzfpjZ0CjpI8QI-w0wBnYA1w/"", ""Инфа!A:AA""), 6, FALSE)"),2024)</f>
        <v>2024</v>
      </c>
      <c r="J2930" s="5">
        <f ca="1">ROUND((5000+G2930*60),-2)</f>
        <v>16300</v>
      </c>
      <c r="K2930" s="9" t="s">
        <v>619</v>
      </c>
      <c r="L2930" s="15" t="s">
        <v>11459</v>
      </c>
    </row>
    <row r="2931" spans="1:12" ht="25.5">
      <c r="A2931" s="8" t="s">
        <v>11460</v>
      </c>
      <c r="B2931" s="9" t="s">
        <v>12</v>
      </c>
      <c r="C2931" s="10" t="s">
        <v>443</v>
      </c>
      <c r="D2931" s="10" t="str">
        <f ca="1">IFERROR(__xludf.DUMMYFUNCTION(" VLOOKUP(A2928, IMPORTRANGE(""https://docs.google.com/spreadsheets/d/1fj_Bhi2XPL3siwIh4sx4VRLAe31yD50oKdj5UlRYW0c/"", ""Сводка!A:AA""), 11, FALSE)"),"978-601-310-681-6")</f>
        <v>978-601-310-681-6</v>
      </c>
      <c r="E2931" s="11" t="s">
        <v>11461</v>
      </c>
      <c r="F2931" s="11" t="s">
        <v>11462</v>
      </c>
      <c r="G2931" s="12">
        <f ca="1">IFERROR(__xludf.DUMMYFUNCTION(" VLOOKUP(A2928, IMPORTRANGE(""https://docs.google.com/spreadsheets/d/1fj_Bhi2XPL3siwIh4sx4VRLAe31yD50oKdj5UlRYW0c/"", ""Сводка!A:AA""), 5, FALSE)"),104)</f>
        <v>104</v>
      </c>
      <c r="H2931" s="12" t="s">
        <v>538</v>
      </c>
      <c r="I2931" s="10">
        <f ca="1">IFERROR(__xludf.DUMMYFUNCTION(" VLOOKUP(A2928, IMPORTRANGE(""https://docs.google.com/spreadsheets/d/1QNLbnkR_AongFt22vMfNzfpjZ0CjpI8QI-w0wBnYA1w/"", ""Инфа!A:AA""), 6, FALSE)"),2024)</f>
        <v>2024</v>
      </c>
      <c r="J2931" s="5">
        <f ca="1">ROUND((5000+G2931*30),-2)</f>
        <v>8100</v>
      </c>
      <c r="K2931" s="12" t="s">
        <v>213</v>
      </c>
      <c r="L2931" s="15"/>
    </row>
    <row r="2932" spans="1:12" ht="123.75">
      <c r="A2932" s="8" t="s">
        <v>11463</v>
      </c>
      <c r="B2932" s="9" t="s">
        <v>12</v>
      </c>
      <c r="C2932" s="10" t="s">
        <v>151</v>
      </c>
      <c r="D2932" s="10" t="str">
        <f ca="1">IFERROR(__xludf.DUMMYFUNCTION(" VLOOKUP(A2929, IMPORTRANGE(""https://docs.google.com/spreadsheets/d/1fj_Bhi2XPL3siwIh4sx4VRLAe31yD50oKdj5UlRYW0c/"", ""Сводка!A:AA""), 11, FALSE)"),"978-601-327-719-6")</f>
        <v>978-601-327-719-6</v>
      </c>
      <c r="E2932" s="11" t="s">
        <v>11464</v>
      </c>
      <c r="F2932" s="11" t="s">
        <v>11465</v>
      </c>
      <c r="G2932" s="12">
        <f ca="1">IFERROR(__xludf.DUMMYFUNCTION(" VLOOKUP(A2929, IMPORTRANGE(""https://docs.google.com/spreadsheets/d/1fj_Bhi2XPL3siwIh4sx4VRLAe31yD50oKdj5UlRYW0c/"", ""Сводка!A:AA""), 5, FALSE)"),208)</f>
        <v>208</v>
      </c>
      <c r="H2932" s="12" t="s">
        <v>1870</v>
      </c>
      <c r="I2932" s="10">
        <f ca="1">IFERROR(__xludf.DUMMYFUNCTION(" VLOOKUP(A2929, IMPORTRANGE(""https://docs.google.com/spreadsheets/d/1QNLbnkR_AongFt22vMfNzfpjZ0CjpI8QI-w0wBnYA1w/"", ""Инфа!A:AA""), 6, FALSE)"),2024)</f>
        <v>2024</v>
      </c>
      <c r="J2932" s="5">
        <f ca="1">ROUND((5000+G2932*30),-2)</f>
        <v>11200</v>
      </c>
      <c r="K2932" s="12" t="s">
        <v>26</v>
      </c>
      <c r="L2932" s="15" t="s">
        <v>11466</v>
      </c>
    </row>
    <row r="2933" spans="1:12" ht="180">
      <c r="A2933" s="8" t="s">
        <v>11467</v>
      </c>
      <c r="B2933" s="9" t="s">
        <v>12</v>
      </c>
      <c r="C2933" s="10" t="s">
        <v>151</v>
      </c>
      <c r="D2933" s="10" t="str">
        <f ca="1">IFERROR(__xludf.DUMMYFUNCTION(" VLOOKUP(A2930, IMPORTRANGE(""https://docs.google.com/spreadsheets/d/1fj_Bhi2XPL3siwIh4sx4VRLAe31yD50oKdj5UlRYW0c/"", ""Сводка!A:AA""), 11, FALSE)"),"978-601-327-717-2")</f>
        <v>978-601-327-717-2</v>
      </c>
      <c r="E2933" s="11" t="s">
        <v>11468</v>
      </c>
      <c r="F2933" s="11" t="s">
        <v>11469</v>
      </c>
      <c r="G2933" s="12">
        <f ca="1">IFERROR(__xludf.DUMMYFUNCTION(" VLOOKUP(A2930, IMPORTRANGE(""https://docs.google.com/spreadsheets/d/1fj_Bhi2XPL3siwIh4sx4VRLAe31yD50oKdj5UlRYW0c/"", ""Сводка!A:AA""), 5, FALSE)"),213)</f>
        <v>213</v>
      </c>
      <c r="H2933" s="10" t="s">
        <v>106</v>
      </c>
      <c r="I2933" s="10">
        <f ca="1">IFERROR(__xludf.DUMMYFUNCTION(" VLOOKUP(A2930, IMPORTRANGE(""https://docs.google.com/spreadsheets/d/1QNLbnkR_AongFt22vMfNzfpjZ0CjpI8QI-w0wBnYA1w/"", ""Инфа!A:AA""), 6, FALSE)"),2024)</f>
        <v>2024</v>
      </c>
      <c r="J2933" s="5">
        <f ca="1">ROUND((5000+G2933*30),-2)</f>
        <v>11400</v>
      </c>
      <c r="K2933" s="10" t="s">
        <v>26</v>
      </c>
      <c r="L2933" s="23" t="s">
        <v>11470</v>
      </c>
    </row>
    <row r="2934" spans="1:12" ht="180">
      <c r="A2934" s="8" t="s">
        <v>11471</v>
      </c>
      <c r="B2934" s="9" t="s">
        <v>12</v>
      </c>
      <c r="C2934" s="10" t="s">
        <v>151</v>
      </c>
      <c r="D2934" s="10" t="str">
        <f ca="1">IFERROR(__xludf.DUMMYFUNCTION(" VLOOKUP(A2931, IMPORTRANGE(""https://docs.google.com/spreadsheets/d/1fj_Bhi2XPL3siwIh4sx4VRLAe31yD50oKdj5UlRYW0c/"", ""Сводка!A:AA""), 11, FALSE)"),"978-601-327-717-2")</f>
        <v>978-601-327-717-2</v>
      </c>
      <c r="E2934" s="11" t="s">
        <v>11468</v>
      </c>
      <c r="F2934" s="11" t="s">
        <v>11472</v>
      </c>
      <c r="G2934" s="12">
        <f ca="1">IFERROR(__xludf.DUMMYFUNCTION(" VLOOKUP(A2931, IMPORTRANGE(""https://docs.google.com/spreadsheets/d/1fj_Bhi2XPL3siwIh4sx4VRLAe31yD50oKdj5UlRYW0c/"", ""Сводка!A:AA""), 5, FALSE)"),298)</f>
        <v>298</v>
      </c>
      <c r="H2934" s="10" t="s">
        <v>106</v>
      </c>
      <c r="I2934" s="10">
        <f ca="1">IFERROR(__xludf.DUMMYFUNCTION(" VLOOKUP(A2931, IMPORTRANGE(""https://docs.google.com/spreadsheets/d/1QNLbnkR_AongFt22vMfNzfpjZ0CjpI8QI-w0wBnYA1w/"", ""Инфа!A:AA""), 6, FALSE)"),2024)</f>
        <v>2024</v>
      </c>
      <c r="J2934" s="5">
        <f ca="1">ROUND((5000+G2934*60),-2)</f>
        <v>22900</v>
      </c>
      <c r="K2934" s="10" t="s">
        <v>26</v>
      </c>
      <c r="L2934" s="23" t="s">
        <v>11473</v>
      </c>
    </row>
    <row r="2935" spans="1:12" ht="135">
      <c r="A2935" s="8" t="s">
        <v>11474</v>
      </c>
      <c r="B2935" s="9" t="s">
        <v>12</v>
      </c>
      <c r="C2935" s="10" t="s">
        <v>11475</v>
      </c>
      <c r="D2935" s="10" t="str">
        <f ca="1">IFERROR(__xludf.DUMMYFUNCTION(" VLOOKUP(A2932, IMPORTRANGE(""https://docs.google.com/spreadsheets/d/1fj_Bhi2XPL3siwIh4sx4VRLAe31yD50oKdj5UlRYW0c/"", ""Сводка!A:AA""), 11, FALSE)"),"978-601-310-507-9")</f>
        <v>978-601-310-507-9</v>
      </c>
      <c r="E2935" s="11" t="s">
        <v>11476</v>
      </c>
      <c r="F2935" s="11" t="s">
        <v>11477</v>
      </c>
      <c r="G2935" s="12">
        <f ca="1">IFERROR(__xludf.DUMMYFUNCTION(" VLOOKUP(A2932, IMPORTRANGE(""https://docs.google.com/spreadsheets/d/1fj_Bhi2XPL3siwIh4sx4VRLAe31yD50oKdj5UlRYW0c/"", ""Сводка!A:AA""), 5, FALSE)"),112)</f>
        <v>112</v>
      </c>
      <c r="H2935" s="12" t="s">
        <v>11478</v>
      </c>
      <c r="I2935" s="10">
        <f ca="1">IFERROR(__xludf.DUMMYFUNCTION(" VLOOKUP(A2932, IMPORTRANGE(""https://docs.google.com/spreadsheets/d/1QNLbnkR_AongFt22vMfNzfpjZ0CjpI8QI-w0wBnYA1w/"", ""Инфа!A:AA""), 6, FALSE)"),2024)</f>
        <v>2024</v>
      </c>
      <c r="J2935" s="5">
        <f ca="1">ROUND((5000+G2935*30),-2)</f>
        <v>8400</v>
      </c>
      <c r="K2935" s="9" t="s">
        <v>101</v>
      </c>
      <c r="L2935" s="15" t="s">
        <v>11479</v>
      </c>
    </row>
    <row r="2936" spans="1:12" ht="101.25">
      <c r="A2936" s="8" t="s">
        <v>11480</v>
      </c>
      <c r="B2936" s="9" t="s">
        <v>12</v>
      </c>
      <c r="C2936" s="10" t="s">
        <v>151</v>
      </c>
      <c r="D2936" s="10" t="str">
        <f ca="1">IFERROR(__xludf.DUMMYFUNCTION(" VLOOKUP(A2933, IMPORTRANGE(""https://docs.google.com/spreadsheets/d/1fj_Bhi2XPL3siwIh4sx4VRLAe31yD50oKdj5UlRYW0c/"", ""Сводка!A:AA""), 11, FALSE)"),"978-601-310-506-2")</f>
        <v>978-601-310-506-2</v>
      </c>
      <c r="E2936" s="11" t="s">
        <v>11481</v>
      </c>
      <c r="F2936" s="11" t="s">
        <v>11482</v>
      </c>
      <c r="G2936" s="12">
        <f ca="1">IFERROR(__xludf.DUMMYFUNCTION(" VLOOKUP(A2933, IMPORTRANGE(""https://docs.google.com/spreadsheets/d/1fj_Bhi2XPL3siwIh4sx4VRLAe31yD50oKdj5UlRYW0c/"", ""Сводка!A:AA""), 5, FALSE)"),344)</f>
        <v>344</v>
      </c>
      <c r="H2936" s="12" t="s">
        <v>1633</v>
      </c>
      <c r="I2936" s="10">
        <f ca="1">IFERROR(__xludf.DUMMYFUNCTION(" VLOOKUP(A2933, IMPORTRANGE(""https://docs.google.com/spreadsheets/d/1QNLbnkR_AongFt22vMfNzfpjZ0CjpI8QI-w0wBnYA1w/"", ""Инфа!A:AA""), 6, FALSE)"),2024)</f>
        <v>2024</v>
      </c>
      <c r="J2936" s="5">
        <f ca="1">ROUND((5000+G2936*60),-2)</f>
        <v>25600</v>
      </c>
      <c r="K2936" s="12" t="s">
        <v>740</v>
      </c>
      <c r="L2936" s="15" t="s">
        <v>11483</v>
      </c>
    </row>
    <row r="2937" spans="1:12" ht="213.75">
      <c r="A2937" s="8" t="s">
        <v>11484</v>
      </c>
      <c r="B2937" s="9" t="s">
        <v>12</v>
      </c>
      <c r="C2937" s="10" t="s">
        <v>443</v>
      </c>
      <c r="D2937" s="10" t="str">
        <f ca="1">IFERROR(__xludf.DUMMYFUNCTION(" VLOOKUP(A2934, IMPORTRANGE(""https://docs.google.com/spreadsheets/d/1fj_Bhi2XPL3siwIh4sx4VRLAe31yD50oKdj5UlRYW0c/"", ""Сводка!A:AA""), 11, FALSE)"),"978-601-342-011-0")</f>
        <v>978-601-342-011-0</v>
      </c>
      <c r="E2937" s="11" t="s">
        <v>11485</v>
      </c>
      <c r="F2937" s="11" t="s">
        <v>11486</v>
      </c>
      <c r="G2937" s="12">
        <f ca="1">IFERROR(__xludf.DUMMYFUNCTION(" VLOOKUP(A2934, IMPORTRANGE(""https://docs.google.com/spreadsheets/d/1fj_Bhi2XPL3siwIh4sx4VRLAe31yD50oKdj5UlRYW0c/"", ""Сводка!A:AA""), 5, FALSE)"),256)</f>
        <v>256</v>
      </c>
      <c r="H2937" s="12" t="s">
        <v>538</v>
      </c>
      <c r="I2937" s="10">
        <f ca="1">IFERROR(__xludf.DUMMYFUNCTION(" VLOOKUP(A2934, IMPORTRANGE(""https://docs.google.com/spreadsheets/d/1QNLbnkR_AongFt22vMfNzfpjZ0CjpI8QI-w0wBnYA1w/"", ""Инфа!A:AA""), 6, FALSE)"),2023)</f>
        <v>2023</v>
      </c>
      <c r="J2937" s="5">
        <f ca="1">ROUND(((5000+G2937*60)*1.3),-2)</f>
        <v>26500</v>
      </c>
      <c r="K2937" s="12" t="s">
        <v>11487</v>
      </c>
      <c r="L2937" s="15" t="s">
        <v>11488</v>
      </c>
    </row>
    <row r="2938" spans="1:12" ht="213.75">
      <c r="A2938" s="8" t="s">
        <v>11489</v>
      </c>
      <c r="B2938" s="9" t="s">
        <v>12</v>
      </c>
      <c r="C2938" s="10" t="s">
        <v>443</v>
      </c>
      <c r="D2938" s="10" t="s">
        <v>11490</v>
      </c>
      <c r="E2938" s="11" t="s">
        <v>11485</v>
      </c>
      <c r="F2938" s="11" t="s">
        <v>11491</v>
      </c>
      <c r="G2938" s="12">
        <f ca="1">IFERROR(__xludf.DUMMYFUNCTION(" VLOOKUP(A2935, IMPORTRANGE(""https://docs.google.com/spreadsheets/d/1fj_Bhi2XPL3siwIh4sx4VRLAe31yD50oKdj5UlRYW0c/"", ""Сводка!A:AA""), 5, FALSE)"),252)</f>
        <v>252</v>
      </c>
      <c r="H2938" s="12" t="s">
        <v>538</v>
      </c>
      <c r="I2938" s="10">
        <f ca="1">IFERROR(__xludf.DUMMYFUNCTION(" VLOOKUP(A2935, IMPORTRANGE(""https://docs.google.com/spreadsheets/d/1QNLbnkR_AongFt22vMfNzfpjZ0CjpI8QI-w0wBnYA1w/"", ""Инфа!A:AA""), 6, FALSE)"),2023)</f>
        <v>2023</v>
      </c>
      <c r="J2938" s="5">
        <f ca="1">ROUND(((5000+G2938*60)*1.3),-2)</f>
        <v>26200</v>
      </c>
      <c r="K2938" s="12" t="s">
        <v>11487</v>
      </c>
      <c r="L2938" s="15" t="s">
        <v>11488</v>
      </c>
    </row>
    <row r="2939" spans="1:12" ht="202.5">
      <c r="A2939" s="8" t="s">
        <v>11492</v>
      </c>
      <c r="B2939" s="9" t="s">
        <v>12</v>
      </c>
      <c r="C2939" s="10" t="s">
        <v>443</v>
      </c>
      <c r="D2939" s="10" t="str">
        <f ca="1">IFERROR(__xludf.DUMMYFUNCTION(" VLOOKUP(A2936, IMPORTRANGE(""https://docs.google.com/spreadsheets/d/1fj_Bhi2XPL3siwIh4sx4VRLAe31yD50oKdj5UlRYW0c/"", ""Сводка!A:AA""), 11, FALSE)"),"978-601-7799-49-6")</f>
        <v>978-601-7799-49-6</v>
      </c>
      <c r="E2939" s="11" t="s">
        <v>11493</v>
      </c>
      <c r="F2939" s="11" t="s">
        <v>11494</v>
      </c>
      <c r="G2939" s="12">
        <f ca="1">IFERROR(__xludf.DUMMYFUNCTION(" VLOOKUP(A2936, IMPORTRANGE(""https://docs.google.com/spreadsheets/d/1fj_Bhi2XPL3siwIh4sx4VRLAe31yD50oKdj5UlRYW0c/"", ""Сводка!A:AA""), 5, FALSE)"),232)</f>
        <v>232</v>
      </c>
      <c r="H2939" s="12" t="s">
        <v>24</v>
      </c>
      <c r="I2939" s="10">
        <f ca="1">IFERROR(__xludf.DUMMYFUNCTION(" VLOOKUP(A2936, IMPORTRANGE(""https://docs.google.com/spreadsheets/d/1QNLbnkR_AongFt22vMfNzfpjZ0CjpI8QI-w0wBnYA1w/"", ""Инфа!A:AA""), 6, FALSE)"),2024)</f>
        <v>2024</v>
      </c>
      <c r="J2939" s="5">
        <f ca="1">ROUND(((5000+G2939*60)*1.3),-2)</f>
        <v>24600</v>
      </c>
      <c r="K2939" s="12" t="s">
        <v>2217</v>
      </c>
      <c r="L2939" s="15" t="s">
        <v>11495</v>
      </c>
    </row>
    <row r="2940" spans="1:12" ht="101.25">
      <c r="A2940" s="8" t="s">
        <v>11496</v>
      </c>
      <c r="B2940" s="9" t="s">
        <v>12</v>
      </c>
      <c r="C2940" s="10" t="s">
        <v>443</v>
      </c>
      <c r="D2940" s="10" t="str">
        <f ca="1">IFERROR(__xludf.DUMMYFUNCTION(" VLOOKUP(A2937, IMPORTRANGE(""https://docs.google.com/spreadsheets/d/1fj_Bhi2XPL3siwIh4sx4VRLAe31yD50oKdj5UlRYW0c/"", ""Сводка!A:AA""), 11, FALSE)"),"978-601-342-008-0")</f>
        <v>978-601-342-008-0</v>
      </c>
      <c r="E2940" s="11" t="s">
        <v>11497</v>
      </c>
      <c r="F2940" s="11" t="s">
        <v>11498</v>
      </c>
      <c r="G2940" s="12">
        <f ca="1">IFERROR(__xludf.DUMMYFUNCTION(" VLOOKUP(A2937, IMPORTRANGE(""https://docs.google.com/spreadsheets/d/1fj_Bhi2XPL3siwIh4sx4VRLAe31yD50oKdj5UlRYW0c/"", ""Сводка!A:AA""), 5, FALSE)"),116)</f>
        <v>116</v>
      </c>
      <c r="H2940" s="12" t="s">
        <v>6319</v>
      </c>
      <c r="I2940" s="10">
        <f ca="1">IFERROR(__xludf.DUMMYFUNCTION(" VLOOKUP(A2937, IMPORTRANGE(""https://docs.google.com/spreadsheets/d/1QNLbnkR_AongFt22vMfNzfpjZ0CjpI8QI-w0wBnYA1w/"", ""Инфа!A:AA""), 6, FALSE)"),2024)</f>
        <v>2024</v>
      </c>
      <c r="J2940" s="5">
        <f ca="1">ROUND((5000+G2940*60),-2)</f>
        <v>12000</v>
      </c>
      <c r="K2940" s="12" t="s">
        <v>11499</v>
      </c>
      <c r="L2940" s="15" t="s">
        <v>11500</v>
      </c>
    </row>
    <row r="2941" spans="1:12" ht="123.75">
      <c r="A2941" s="8" t="s">
        <v>11501</v>
      </c>
      <c r="B2941" s="9" t="s">
        <v>12</v>
      </c>
      <c r="C2941" s="10" t="s">
        <v>151</v>
      </c>
      <c r="D2941" s="10" t="str">
        <f ca="1">IFERROR(__xludf.DUMMYFUNCTION(" VLOOKUP(A2938, IMPORTRANGE(""https://docs.google.com/spreadsheets/d/1fj_Bhi2XPL3siwIh4sx4VRLAe31yD50oKdj5UlRYW0c/"", ""Сводка!A:AA""), 11, FALSE)"),"978-601-342-132-2")</f>
        <v>978-601-342-132-2</v>
      </c>
      <c r="E2941" s="11" t="s">
        <v>11502</v>
      </c>
      <c r="F2941" s="11" t="s">
        <v>11503</v>
      </c>
      <c r="G2941" s="12">
        <f ca="1">IFERROR(__xludf.DUMMYFUNCTION(" VLOOKUP(A2938, IMPORTRANGE(""https://docs.google.com/spreadsheets/d/1fj_Bhi2XPL3siwIh4sx4VRLAe31yD50oKdj5UlRYW0c/"", ""Сводка!A:AA""), 5, FALSE)"),248)</f>
        <v>248</v>
      </c>
      <c r="H2941" s="12" t="s">
        <v>11504</v>
      </c>
      <c r="I2941" s="10">
        <f ca="1">IFERROR(__xludf.DUMMYFUNCTION(" VLOOKUP(A2938, IMPORTRANGE(""https://docs.google.com/spreadsheets/d/1QNLbnkR_AongFt22vMfNzfpjZ0CjpI8QI-w0wBnYA1w/"", ""Инфа!A:AA""), 6, FALSE)"),2023)</f>
        <v>2023</v>
      </c>
      <c r="J2941" s="5">
        <f ca="1">ROUND(((5000+G2941*60)*1.3),-2)</f>
        <v>25800</v>
      </c>
      <c r="K2941" s="12" t="s">
        <v>171</v>
      </c>
      <c r="L2941" s="15" t="s">
        <v>11505</v>
      </c>
    </row>
    <row r="2942" spans="1:12" ht="112.5">
      <c r="A2942" s="8" t="s">
        <v>11506</v>
      </c>
      <c r="B2942" s="9" t="s">
        <v>12</v>
      </c>
      <c r="C2942" s="10" t="s">
        <v>151</v>
      </c>
      <c r="D2942" s="10" t="str">
        <f ca="1">IFERROR(__xludf.DUMMYFUNCTION(" VLOOKUP(A2939, IMPORTRANGE(""https://docs.google.com/spreadsheets/d/1fj_Bhi2XPL3siwIh4sx4VRLAe31yD50oKdj5UlRYW0c/"", ""Сводка!A:AA""), 11, FALSE)"),"978-601-342-666-2")</f>
        <v>978-601-342-666-2</v>
      </c>
      <c r="E2942" s="11" t="s">
        <v>11507</v>
      </c>
      <c r="F2942" s="11" t="s">
        <v>11508</v>
      </c>
      <c r="G2942" s="12">
        <f ca="1">IFERROR(__xludf.DUMMYFUNCTION(" VLOOKUP(A2939, IMPORTRANGE(""https://docs.google.com/spreadsheets/d/1fj_Bhi2XPL3siwIh4sx4VRLAe31yD50oKdj5UlRYW0c/"", ""Сводка!A:AA""), 5, FALSE)"),168)</f>
        <v>168</v>
      </c>
      <c r="H2942" s="12" t="s">
        <v>47</v>
      </c>
      <c r="I2942" s="10">
        <f ca="1">IFERROR(__xludf.DUMMYFUNCTION(" VLOOKUP(A2939, IMPORTRANGE(""https://docs.google.com/spreadsheets/d/1QNLbnkR_AongFt22vMfNzfpjZ0CjpI8QI-w0wBnYA1w/"", ""Инфа!A:AA""), 6, FALSE)"),2024)</f>
        <v>2024</v>
      </c>
      <c r="J2942" s="5">
        <f ca="1">ROUND((5000+G2942*60),-2)</f>
        <v>15100</v>
      </c>
      <c r="K2942" s="12" t="s">
        <v>2600</v>
      </c>
      <c r="L2942" s="15" t="s">
        <v>11509</v>
      </c>
    </row>
    <row r="2943" spans="1:12" ht="258.75">
      <c r="A2943" s="8" t="s">
        <v>11510</v>
      </c>
      <c r="B2943" s="9" t="s">
        <v>12</v>
      </c>
      <c r="C2943" s="10" t="s">
        <v>151</v>
      </c>
      <c r="D2943" s="10" t="str">
        <f ca="1">IFERROR(__xludf.DUMMYFUNCTION(" VLOOKUP(A2940, IMPORTRANGE(""https://docs.google.com/spreadsheets/d/1fj_Bhi2XPL3siwIh4sx4VRLAe31yD50oKdj5UlRYW0c/"", ""Сводка!A:AA""), 11, FALSE)"),"978-601-310-037-1")</f>
        <v>978-601-310-037-1</v>
      </c>
      <c r="E2943" s="11" t="s">
        <v>11511</v>
      </c>
      <c r="F2943" s="11" t="s">
        <v>11512</v>
      </c>
      <c r="G2943" s="12">
        <f ca="1">IFERROR(__xludf.DUMMYFUNCTION(" VLOOKUP(A2940, IMPORTRANGE(""https://docs.google.com/spreadsheets/d/1fj_Bhi2XPL3siwIh4sx4VRLAe31yD50oKdj5UlRYW0c/"", ""Сводка!A:AA""), 5, FALSE)"),208)</f>
        <v>208</v>
      </c>
      <c r="H2943" s="12" t="s">
        <v>47</v>
      </c>
      <c r="I2943" s="10">
        <f ca="1">IFERROR(__xludf.DUMMYFUNCTION(" VLOOKUP(A2940, IMPORTRANGE(""https://docs.google.com/spreadsheets/d/1QNLbnkR_AongFt22vMfNzfpjZ0CjpI8QI-w0wBnYA1w/"", ""Инфа!A:AA""), 6, FALSE)"),2024)</f>
        <v>2024</v>
      </c>
      <c r="J2943" s="5">
        <f ca="1">ROUND((5000+G2943*60),-2)</f>
        <v>17500</v>
      </c>
      <c r="K2943" s="12" t="s">
        <v>69</v>
      </c>
      <c r="L2943" s="15" t="s">
        <v>11513</v>
      </c>
    </row>
    <row r="2944" spans="1:12" ht="292.5">
      <c r="A2944" s="8" t="s">
        <v>11514</v>
      </c>
      <c r="B2944" s="9" t="s">
        <v>12</v>
      </c>
      <c r="C2944" s="10" t="s">
        <v>151</v>
      </c>
      <c r="D2944" s="10" t="str">
        <f ca="1">IFERROR(__xludf.DUMMYFUNCTION(" VLOOKUP(A2941, IMPORTRANGE(""https://docs.google.com/spreadsheets/d/1fj_Bhi2XPL3siwIh4sx4VRLAe31yD50oKdj5UlRYW0c/"", ""Сводка!A:AA""), 11, FALSE)"),"978-601-240-858-4")</f>
        <v>978-601-240-858-4</v>
      </c>
      <c r="E2944" s="11" t="s">
        <v>11511</v>
      </c>
      <c r="F2944" s="11" t="s">
        <v>11515</v>
      </c>
      <c r="G2944" s="12">
        <f ca="1">IFERROR(__xludf.DUMMYFUNCTION(" VLOOKUP(A2941, IMPORTRANGE(""https://docs.google.com/spreadsheets/d/1fj_Bhi2XPL3siwIh4sx4VRLAe31yD50oKdj5UlRYW0c/"", ""Сводка!A:AA""), 5, FALSE)"),96)</f>
        <v>96</v>
      </c>
      <c r="H2944" s="12" t="s">
        <v>47</v>
      </c>
      <c r="I2944" s="10">
        <f ca="1">IFERROR(__xludf.DUMMYFUNCTION(" VLOOKUP(A2941, IMPORTRANGE(""https://docs.google.com/spreadsheets/d/1QNLbnkR_AongFt22vMfNzfpjZ0CjpI8QI-w0wBnYA1w/"", ""Инфа!A:AA""), 6, FALSE)"),2024)</f>
        <v>2024</v>
      </c>
      <c r="J2944" s="5">
        <f ca="1">ROUND((5000+G2944*30),-2)</f>
        <v>7900</v>
      </c>
      <c r="K2944" s="12" t="s">
        <v>548</v>
      </c>
      <c r="L2944" s="15" t="s">
        <v>11516</v>
      </c>
    </row>
    <row r="2945" spans="1:12" ht="157.5">
      <c r="A2945" s="8" t="s">
        <v>11517</v>
      </c>
      <c r="B2945" s="9" t="s">
        <v>12</v>
      </c>
      <c r="C2945" s="10" t="s">
        <v>151</v>
      </c>
      <c r="D2945" s="10" t="str">
        <f ca="1">IFERROR(__xludf.DUMMYFUNCTION(" VLOOKUP(A2942, IMPORTRANGE(""https://docs.google.com/spreadsheets/d/1fj_Bhi2XPL3siwIh4sx4VRLAe31yD50oKdj5UlRYW0c/"", ""Сводка!A:AA""), 11, FALSE)"),"978-9965-875-50-2")</f>
        <v>978-9965-875-50-2</v>
      </c>
      <c r="E2945" s="11" t="s">
        <v>11518</v>
      </c>
      <c r="F2945" s="11" t="s">
        <v>11519</v>
      </c>
      <c r="G2945" s="12">
        <f ca="1">IFERROR(__xludf.DUMMYFUNCTION(" VLOOKUP(A2942, IMPORTRANGE(""https://docs.google.com/spreadsheets/d/1fj_Bhi2XPL3siwIh4sx4VRLAe31yD50oKdj5UlRYW0c/"", ""Сводка!A:AA""), 5, FALSE)"),244)</f>
        <v>244</v>
      </c>
      <c r="H2945" s="12" t="s">
        <v>282</v>
      </c>
      <c r="I2945" s="10">
        <f ca="1">IFERROR(__xludf.DUMMYFUNCTION(" VLOOKUP(A2942, IMPORTRANGE(""https://docs.google.com/spreadsheets/d/1QNLbnkR_AongFt22vMfNzfpjZ0CjpI8QI-w0wBnYA1w/"", ""Инфа!A:AA""), 6, FALSE)"),2024)</f>
        <v>2024</v>
      </c>
      <c r="J2945" s="5">
        <f ca="1">ROUND((5000+G2945*60),-2)</f>
        <v>19600</v>
      </c>
      <c r="K2945" s="12" t="s">
        <v>2185</v>
      </c>
      <c r="L2945" s="15" t="s">
        <v>11520</v>
      </c>
    </row>
    <row r="2946" spans="1:12" ht="90">
      <c r="A2946" s="8" t="s">
        <v>11521</v>
      </c>
      <c r="B2946" s="9" t="s">
        <v>12</v>
      </c>
      <c r="C2946" s="65" t="s">
        <v>2517</v>
      </c>
      <c r="D2946" s="10" t="str">
        <f ca="1">IFERROR(__xludf.DUMMYFUNCTION(" VLOOKUP(A2943, IMPORTRANGE(""https://docs.google.com/spreadsheets/d/1fj_Bhi2XPL3siwIh4sx4VRLAe31yD50oKdj5UlRYW0c/"", ""Сводка!A:AA""), 11, FALSE)"),"978-601-310-974-9")</f>
        <v>978-601-310-974-9</v>
      </c>
      <c r="E2946" s="34" t="s">
        <v>11522</v>
      </c>
      <c r="F2946" s="34" t="s">
        <v>11523</v>
      </c>
      <c r="G2946" s="12">
        <f ca="1">IFERROR(__xludf.DUMMYFUNCTION(" VLOOKUP(A2943, IMPORTRANGE(""https://docs.google.com/spreadsheets/d/1fj_Bhi2XPL3siwIh4sx4VRLAe31yD50oKdj5UlRYW0c/"", ""Сводка!A:AA""), 5, FALSE)"),100)</f>
        <v>100</v>
      </c>
      <c r="H2946" s="35" t="s">
        <v>165</v>
      </c>
      <c r="I2946" s="10">
        <f ca="1">IFERROR(__xludf.DUMMYFUNCTION(" VLOOKUP(A2943, IMPORTRANGE(""https://docs.google.com/spreadsheets/d/1QNLbnkR_AongFt22vMfNzfpjZ0CjpI8QI-w0wBnYA1w/"", ""Инфа!A:AA""), 6, FALSE)"),2024)</f>
        <v>2024</v>
      </c>
      <c r="J2946" s="5">
        <f t="shared" ref="J2946:J2960" ca="1" si="100">ROUND((5000+G2946*30),-2)</f>
        <v>8000</v>
      </c>
      <c r="K2946" s="35" t="s">
        <v>37</v>
      </c>
      <c r="L2946" s="66" t="s">
        <v>11524</v>
      </c>
    </row>
    <row r="2947" spans="1:12" ht="123.75">
      <c r="A2947" s="8" t="s">
        <v>11525</v>
      </c>
      <c r="B2947" s="9" t="s">
        <v>12</v>
      </c>
      <c r="C2947" s="10" t="s">
        <v>443</v>
      </c>
      <c r="D2947" s="10" t="str">
        <f ca="1">IFERROR(__xludf.DUMMYFUNCTION(" VLOOKUP(A2944, IMPORTRANGE(""https://docs.google.com/spreadsheets/d/1fj_Bhi2XPL3siwIh4sx4VRLAe31yD50oKdj5UlRYW0c/"", ""Сводка!A:AA""), 11, FALSE)"),"978-601-310-170-5")</f>
        <v>978-601-310-170-5</v>
      </c>
      <c r="E2947" s="11" t="s">
        <v>2540</v>
      </c>
      <c r="F2947" s="11" t="s">
        <v>708</v>
      </c>
      <c r="G2947" s="12">
        <f ca="1">IFERROR(__xludf.DUMMYFUNCTION(" VLOOKUP(A2944, IMPORTRANGE(""https://docs.google.com/spreadsheets/d/1fj_Bhi2XPL3siwIh4sx4VRLAe31yD50oKdj5UlRYW0c/"", ""Сводка!A:AA""), 5, FALSE)"),272)</f>
        <v>272</v>
      </c>
      <c r="H2947" s="12" t="s">
        <v>538</v>
      </c>
      <c r="I2947" s="10">
        <f ca="1">IFERROR(__xludf.DUMMYFUNCTION(" VLOOKUP(A2944, IMPORTRANGE(""https://docs.google.com/spreadsheets/d/1QNLbnkR_AongFt22vMfNzfpjZ0CjpI8QI-w0wBnYA1w/"", ""Инфа!A:AA""), 6, FALSE)"),2024)</f>
        <v>2024</v>
      </c>
      <c r="J2947" s="5">
        <f t="shared" ca="1" si="100"/>
        <v>13200</v>
      </c>
      <c r="K2947" s="9" t="s">
        <v>539</v>
      </c>
      <c r="L2947" s="15" t="s">
        <v>11526</v>
      </c>
    </row>
    <row r="2948" spans="1:12" ht="135">
      <c r="A2948" s="8" t="s">
        <v>11527</v>
      </c>
      <c r="B2948" s="9" t="s">
        <v>12</v>
      </c>
      <c r="C2948" s="10" t="s">
        <v>443</v>
      </c>
      <c r="D2948" s="10" t="str">
        <f ca="1">IFERROR(__xludf.DUMMYFUNCTION(" VLOOKUP(A2945, IMPORTRANGE(""https://docs.google.com/spreadsheets/d/1fj_Bhi2XPL3siwIh4sx4VRLAe31yD50oKdj5UlRYW0c/"", ""Сводка!A:AA""), 11, FALSE)"),"978-601-310-366-2")</f>
        <v>978-601-310-366-2</v>
      </c>
      <c r="E2948" s="11" t="s">
        <v>11528</v>
      </c>
      <c r="F2948" s="11" t="s">
        <v>11529</v>
      </c>
      <c r="G2948" s="12">
        <f ca="1">IFERROR(__xludf.DUMMYFUNCTION(" VLOOKUP(A2945, IMPORTRANGE(""https://docs.google.com/spreadsheets/d/1fj_Bhi2XPL3siwIh4sx4VRLAe31yD50oKdj5UlRYW0c/"", ""Сводка!A:AA""), 5, FALSE)"),168)</f>
        <v>168</v>
      </c>
      <c r="H2948" s="12" t="s">
        <v>106</v>
      </c>
      <c r="I2948" s="10">
        <f ca="1">IFERROR(__xludf.DUMMYFUNCTION(" VLOOKUP(A2945, IMPORTRANGE(""https://docs.google.com/spreadsheets/d/1QNLbnkR_AongFt22vMfNzfpjZ0CjpI8QI-w0wBnYA1w/"", ""Инфа!A:AA""), 6, FALSE)"),2024)</f>
        <v>2024</v>
      </c>
      <c r="J2948" s="5">
        <f t="shared" ca="1" si="100"/>
        <v>10000</v>
      </c>
      <c r="K2948" s="9" t="s">
        <v>539</v>
      </c>
      <c r="L2948" s="15" t="s">
        <v>11530</v>
      </c>
    </row>
    <row r="2949" spans="1:12" ht="168.75">
      <c r="A2949" s="8" t="s">
        <v>11531</v>
      </c>
      <c r="B2949" s="9" t="s">
        <v>12</v>
      </c>
      <c r="C2949" s="10" t="s">
        <v>151</v>
      </c>
      <c r="D2949" s="10" t="str">
        <f ca="1">IFERROR(__xludf.DUMMYFUNCTION(" VLOOKUP(A2946, IMPORTRANGE(""https://docs.google.com/spreadsheets/d/1fj_Bhi2XPL3siwIh4sx4VRLAe31yD50oKdj5UlRYW0c/"", ""Сводка!A:AA""), 11, FALSE)"),"978-601-310-594-9")</f>
        <v>978-601-310-594-9</v>
      </c>
      <c r="E2949" s="11" t="s">
        <v>11532</v>
      </c>
      <c r="F2949" s="11" t="s">
        <v>11533</v>
      </c>
      <c r="G2949" s="12">
        <f ca="1">IFERROR(__xludf.DUMMYFUNCTION(" VLOOKUP(A2946, IMPORTRANGE(""https://docs.google.com/spreadsheets/d/1fj_Bhi2XPL3siwIh4sx4VRLAe31yD50oKdj5UlRYW0c/"", ""Сводка!A:AA""), 5, FALSE)"),92)</f>
        <v>92</v>
      </c>
      <c r="H2949" s="12" t="s">
        <v>556</v>
      </c>
      <c r="I2949" s="10">
        <f ca="1">IFERROR(__xludf.DUMMYFUNCTION(" VLOOKUP(A2946, IMPORTRANGE(""https://docs.google.com/spreadsheets/d/1QNLbnkR_AongFt22vMfNzfpjZ0CjpI8QI-w0wBnYA1w/"", ""Инфа!A:AA""), 6, FALSE)"),2024)</f>
        <v>2024</v>
      </c>
      <c r="J2949" s="5">
        <f t="shared" ca="1" si="100"/>
        <v>7800</v>
      </c>
      <c r="K2949" s="12" t="s">
        <v>160</v>
      </c>
      <c r="L2949" s="15" t="s">
        <v>11534</v>
      </c>
    </row>
    <row r="2950" spans="1:12" ht="78.75">
      <c r="A2950" s="8" t="s">
        <v>11535</v>
      </c>
      <c r="B2950" s="9" t="s">
        <v>12</v>
      </c>
      <c r="C2950" s="13" t="s">
        <v>535</v>
      </c>
      <c r="D2950" s="10" t="str">
        <f ca="1">IFERROR(__xludf.DUMMYFUNCTION(" VLOOKUP(A2947, IMPORTRANGE(""https://docs.google.com/spreadsheets/d/1fj_Bhi2XPL3siwIh4sx4VRLAe31yD50oKdj5UlRYW0c/"", ""Сводка!A:AA""), 11, FALSE)"),"978-601-310-946-6")</f>
        <v>978-601-310-946-6</v>
      </c>
      <c r="E2950" s="19" t="s">
        <v>11536</v>
      </c>
      <c r="F2950" s="19" t="s">
        <v>11537</v>
      </c>
      <c r="G2950" s="12">
        <f ca="1">IFERROR(__xludf.DUMMYFUNCTION(" VLOOKUP(A2947, IMPORTRANGE(""https://docs.google.com/spreadsheets/d/1fj_Bhi2XPL3siwIh4sx4VRLAe31yD50oKdj5UlRYW0c/"", ""Сводка!A:AA""), 5, FALSE)"),120)</f>
        <v>120</v>
      </c>
      <c r="H2950" s="9" t="s">
        <v>446</v>
      </c>
      <c r="I2950" s="10">
        <f ca="1">IFERROR(__xludf.DUMMYFUNCTION(" VLOOKUP(A2947, IMPORTRANGE(""https://docs.google.com/spreadsheets/d/1QNLbnkR_AongFt22vMfNzfpjZ0CjpI8QI-w0wBnYA1w/"", ""Инфа!A:AA""), 6, FALSE)"),2024)</f>
        <v>2024</v>
      </c>
      <c r="J2950" s="5">
        <f t="shared" ca="1" si="100"/>
        <v>8600</v>
      </c>
      <c r="K2950" s="9" t="s">
        <v>961</v>
      </c>
      <c r="L2950" s="21" t="s">
        <v>11538</v>
      </c>
    </row>
    <row r="2951" spans="1:12" ht="135">
      <c r="A2951" s="8" t="s">
        <v>11539</v>
      </c>
      <c r="B2951" s="9" t="s">
        <v>12</v>
      </c>
      <c r="C2951" s="10" t="s">
        <v>151</v>
      </c>
      <c r="D2951" s="10" t="str">
        <f ca="1">IFERROR(__xludf.DUMMYFUNCTION(" VLOOKUP(A2948, IMPORTRANGE(""https://docs.google.com/spreadsheets/d/1fj_Bhi2XPL3siwIh4sx4VRLAe31yD50oKdj5UlRYW0c/"", ""Сводка!A:AA""), 11, FALSE)"),"978-601-298-573-3")</f>
        <v>978-601-298-573-3</v>
      </c>
      <c r="E2951" s="11" t="s">
        <v>11540</v>
      </c>
      <c r="F2951" s="11" t="s">
        <v>11541</v>
      </c>
      <c r="G2951" s="12">
        <f ca="1">IFERROR(__xludf.DUMMYFUNCTION(" VLOOKUP(A2948, IMPORTRANGE(""https://docs.google.com/spreadsheets/d/1fj_Bhi2XPL3siwIh4sx4VRLAe31yD50oKdj5UlRYW0c/"", ""Сводка!A:AA""), 5, FALSE)"),196)</f>
        <v>196</v>
      </c>
      <c r="H2951" s="12" t="s">
        <v>47</v>
      </c>
      <c r="I2951" s="10">
        <f ca="1">IFERROR(__xludf.DUMMYFUNCTION(" VLOOKUP(A2948, IMPORTRANGE(""https://docs.google.com/spreadsheets/d/1QNLbnkR_AongFt22vMfNzfpjZ0CjpI8QI-w0wBnYA1w/"", ""Инфа!A:AA""), 6, FALSE)"),2024)</f>
        <v>2024</v>
      </c>
      <c r="J2951" s="5">
        <f t="shared" ca="1" si="100"/>
        <v>10900</v>
      </c>
      <c r="K2951" s="12" t="s">
        <v>3752</v>
      </c>
      <c r="L2951" s="15" t="s">
        <v>11542</v>
      </c>
    </row>
    <row r="2952" spans="1:12" ht="236.25">
      <c r="A2952" s="8" t="s">
        <v>11543</v>
      </c>
      <c r="B2952" s="9" t="s">
        <v>12</v>
      </c>
      <c r="C2952" s="10" t="s">
        <v>443</v>
      </c>
      <c r="D2952" s="10" t="str">
        <f ca="1">IFERROR(__xludf.DUMMYFUNCTION(" VLOOKUP(A2949, IMPORTRANGE(""https://docs.google.com/spreadsheets/d/1fj_Bhi2XPL3siwIh4sx4VRLAe31yD50oKdj5UlRYW0c/"", ""Сводка!A:AA""), 11, FALSE)"),"978-601-04-3566-7")</f>
        <v>978-601-04-3566-7</v>
      </c>
      <c r="E2952" s="11" t="s">
        <v>11544</v>
      </c>
      <c r="F2952" s="11" t="s">
        <v>11545</v>
      </c>
      <c r="G2952" s="12">
        <f ca="1">IFERROR(__xludf.DUMMYFUNCTION(" VLOOKUP(A2949, IMPORTRANGE(""https://docs.google.com/spreadsheets/d/1fj_Bhi2XPL3siwIh4sx4VRLAe31yD50oKdj5UlRYW0c/"", ""Сводка!A:AA""), 5, FALSE)"),244)</f>
        <v>244</v>
      </c>
      <c r="H2952" s="12" t="s">
        <v>446</v>
      </c>
      <c r="I2952" s="10">
        <f ca="1">IFERROR(__xludf.DUMMYFUNCTION(" VLOOKUP(A2949, IMPORTRANGE(""https://docs.google.com/spreadsheets/d/1QNLbnkR_AongFt22vMfNzfpjZ0CjpI8QI-w0wBnYA1w/"", ""Инфа!A:AA""), 6, FALSE)"),2024)</f>
        <v>2024</v>
      </c>
      <c r="J2952" s="5">
        <f t="shared" ca="1" si="100"/>
        <v>12300</v>
      </c>
      <c r="K2952" s="12" t="s">
        <v>3752</v>
      </c>
      <c r="L2952" s="16" t="s">
        <v>11546</v>
      </c>
    </row>
    <row r="2953" spans="1:12" ht="191.25">
      <c r="A2953" s="8" t="s">
        <v>11547</v>
      </c>
      <c r="B2953" s="9" t="s">
        <v>12</v>
      </c>
      <c r="C2953" s="10" t="s">
        <v>443</v>
      </c>
      <c r="D2953" s="10" t="str">
        <f ca="1">IFERROR(__xludf.DUMMYFUNCTION(" VLOOKUP(A2950, IMPORTRANGE(""https://docs.google.com/spreadsheets/d/1fj_Bhi2XPL3siwIh4sx4VRLAe31yD50oKdj5UlRYW0c/"", ""Сводка!A:AA""), 11, FALSE)"),"978-601-326-166-9")</f>
        <v>978-601-326-166-9</v>
      </c>
      <c r="E2953" s="11" t="s">
        <v>11548</v>
      </c>
      <c r="F2953" s="11" t="s">
        <v>11549</v>
      </c>
      <c r="G2953" s="12">
        <f ca="1">IFERROR(__xludf.DUMMYFUNCTION(" VLOOKUP(A2950, IMPORTRANGE(""https://docs.google.com/spreadsheets/d/1fj_Bhi2XPL3siwIh4sx4VRLAe31yD50oKdj5UlRYW0c/"", ""Сводка!A:AA""), 5, FALSE)"),220)</f>
        <v>220</v>
      </c>
      <c r="H2953" s="12" t="s">
        <v>1908</v>
      </c>
      <c r="I2953" s="10">
        <f ca="1">IFERROR(__xludf.DUMMYFUNCTION(" VLOOKUP(A2950, IMPORTRANGE(""https://docs.google.com/spreadsheets/d/1QNLbnkR_AongFt22vMfNzfpjZ0CjpI8QI-w0wBnYA1w/"", ""Инфа!A:AA""), 6, FALSE)"),2024)</f>
        <v>2024</v>
      </c>
      <c r="J2953" s="5">
        <f t="shared" ca="1" si="100"/>
        <v>11600</v>
      </c>
      <c r="K2953" s="12" t="s">
        <v>2046</v>
      </c>
      <c r="L2953" s="15" t="s">
        <v>11550</v>
      </c>
    </row>
    <row r="2954" spans="1:12" ht="236.25">
      <c r="A2954" s="8" t="s">
        <v>11551</v>
      </c>
      <c r="B2954" s="9" t="s">
        <v>12</v>
      </c>
      <c r="C2954" s="10" t="s">
        <v>151</v>
      </c>
      <c r="D2954" s="10" t="str">
        <f ca="1">IFERROR(__xludf.DUMMYFUNCTION(" VLOOKUP(A2951, IMPORTRANGE(""https://docs.google.com/spreadsheets/d/1fj_Bhi2XPL3siwIh4sx4VRLAe31yD50oKdj5UlRYW0c/"", ""Сводка!A:AA""), 11, FALSE)"),"978-601-327-362-4")</f>
        <v>978-601-327-362-4</v>
      </c>
      <c r="E2954" s="11" t="s">
        <v>5207</v>
      </c>
      <c r="F2954" s="11" t="s">
        <v>11552</v>
      </c>
      <c r="G2954" s="12">
        <f ca="1">IFERROR(__xludf.DUMMYFUNCTION(" VLOOKUP(A2951, IMPORTRANGE(""https://docs.google.com/spreadsheets/d/1fj_Bhi2XPL3siwIh4sx4VRLAe31yD50oKdj5UlRYW0c/"", ""Сводка!A:AA""), 5, FALSE)"),124)</f>
        <v>124</v>
      </c>
      <c r="H2954" s="12" t="s">
        <v>106</v>
      </c>
      <c r="I2954" s="10">
        <f ca="1">IFERROR(__xludf.DUMMYFUNCTION(" VLOOKUP(A2951, IMPORTRANGE(""https://docs.google.com/spreadsheets/d/1QNLbnkR_AongFt22vMfNzfpjZ0CjpI8QI-w0wBnYA1w/"", ""Инфа!A:AA""), 6, FALSE)"),2024)</f>
        <v>2024</v>
      </c>
      <c r="J2954" s="5">
        <f t="shared" ca="1" si="100"/>
        <v>8700</v>
      </c>
      <c r="K2954" s="12" t="s">
        <v>11553</v>
      </c>
      <c r="L2954" s="15" t="s">
        <v>11554</v>
      </c>
    </row>
    <row r="2955" spans="1:12" ht="202.5">
      <c r="A2955" s="8" t="s">
        <v>11555</v>
      </c>
      <c r="B2955" s="9" t="s">
        <v>12</v>
      </c>
      <c r="C2955" s="10" t="s">
        <v>443</v>
      </c>
      <c r="D2955" s="10" t="str">
        <f ca="1">IFERROR(__xludf.DUMMYFUNCTION(" VLOOKUP(A2952, IMPORTRANGE(""https://docs.google.com/spreadsheets/d/1fj_Bhi2XPL3siwIh4sx4VRLAe31yD50oKdj5UlRYW0c/"", ""Сводка!A:AA""), 11, FALSE)"),"978-601-327-181-1")</f>
        <v>978-601-327-181-1</v>
      </c>
      <c r="E2955" s="11" t="s">
        <v>5207</v>
      </c>
      <c r="F2955" s="11" t="s">
        <v>11556</v>
      </c>
      <c r="G2955" s="12">
        <f ca="1">IFERROR(__xludf.DUMMYFUNCTION(" VLOOKUP(A2952, IMPORTRANGE(""https://docs.google.com/spreadsheets/d/1fj_Bhi2XPL3siwIh4sx4VRLAe31yD50oKdj5UlRYW0c/"", ""Сводка!A:AA""), 5, FALSE)"),64)</f>
        <v>64</v>
      </c>
      <c r="H2955" s="12" t="s">
        <v>538</v>
      </c>
      <c r="I2955" s="10">
        <f ca="1">IFERROR(__xludf.DUMMYFUNCTION(" VLOOKUP(A2952, IMPORTRANGE(""https://docs.google.com/spreadsheets/d/1QNLbnkR_AongFt22vMfNzfpjZ0CjpI8QI-w0wBnYA1w/"", ""Инфа!A:AA""), 6, FALSE)"),2024)</f>
        <v>2024</v>
      </c>
      <c r="J2955" s="5">
        <f t="shared" ca="1" si="100"/>
        <v>6900</v>
      </c>
      <c r="K2955" s="12" t="s">
        <v>11553</v>
      </c>
      <c r="L2955" s="15" t="s">
        <v>11557</v>
      </c>
    </row>
    <row r="2956" spans="1:12" ht="247.5">
      <c r="A2956" s="8" t="s">
        <v>11558</v>
      </c>
      <c r="B2956" s="9" t="s">
        <v>12</v>
      </c>
      <c r="C2956" s="10" t="s">
        <v>151</v>
      </c>
      <c r="D2956" s="10" t="str">
        <f ca="1">IFERROR(__xludf.DUMMYFUNCTION(" VLOOKUP(A2953, IMPORTRANGE(""https://docs.google.com/spreadsheets/d/1fj_Bhi2XPL3siwIh4sx4VRLAe31yD50oKdj5UlRYW0c/"", ""Сводка!A:AA""), 11, FALSE)"),"978-601-327-185-9")</f>
        <v>978-601-327-185-9</v>
      </c>
      <c r="E2956" s="11" t="s">
        <v>5207</v>
      </c>
      <c r="F2956" s="11" t="s">
        <v>11559</v>
      </c>
      <c r="G2956" s="12">
        <f ca="1">IFERROR(__xludf.DUMMYFUNCTION(" VLOOKUP(A2953, IMPORTRANGE(""https://docs.google.com/spreadsheets/d/1fj_Bhi2XPL3siwIh4sx4VRLAe31yD50oKdj5UlRYW0c/"", ""Сводка!A:AA""), 5, FALSE)"),72)</f>
        <v>72</v>
      </c>
      <c r="H2956" s="12" t="s">
        <v>47</v>
      </c>
      <c r="I2956" s="10">
        <f ca="1">IFERROR(__xludf.DUMMYFUNCTION(" VLOOKUP(A2953, IMPORTRANGE(""https://docs.google.com/spreadsheets/d/1QNLbnkR_AongFt22vMfNzfpjZ0CjpI8QI-w0wBnYA1w/"", ""Инфа!A:AA""), 6, FALSE)"),2024)</f>
        <v>2024</v>
      </c>
      <c r="J2956" s="5">
        <f t="shared" ca="1" si="100"/>
        <v>7200</v>
      </c>
      <c r="K2956" s="12" t="s">
        <v>11553</v>
      </c>
      <c r="L2956" s="15" t="s">
        <v>11560</v>
      </c>
    </row>
    <row r="2957" spans="1:12" ht="315">
      <c r="A2957" s="8" t="s">
        <v>11561</v>
      </c>
      <c r="B2957" s="9" t="s">
        <v>12</v>
      </c>
      <c r="C2957" s="10" t="s">
        <v>151</v>
      </c>
      <c r="D2957" s="10" t="str">
        <f ca="1">IFERROR(__xludf.DUMMYFUNCTION(" VLOOKUP(A2954, IMPORTRANGE(""https://docs.google.com/spreadsheets/d/1fj_Bhi2XPL3siwIh4sx4VRLAe31yD50oKdj5UlRYW0c/"", ""Сводка!A:AA""), 11, FALSE)"),"978-601-327-188-0")</f>
        <v>978-601-327-188-0</v>
      </c>
      <c r="E2957" s="11" t="s">
        <v>5207</v>
      </c>
      <c r="F2957" s="11" t="s">
        <v>11562</v>
      </c>
      <c r="G2957" s="12">
        <f ca="1">IFERROR(__xludf.DUMMYFUNCTION(" VLOOKUP(A2954, IMPORTRANGE(""https://docs.google.com/spreadsheets/d/1fj_Bhi2XPL3siwIh4sx4VRLAe31yD50oKdj5UlRYW0c/"", ""Сводка!A:AA""), 5, FALSE)"),96)</f>
        <v>96</v>
      </c>
      <c r="H2957" s="12" t="s">
        <v>47</v>
      </c>
      <c r="I2957" s="10">
        <f ca="1">IFERROR(__xludf.DUMMYFUNCTION(" VLOOKUP(A2954, IMPORTRANGE(""https://docs.google.com/spreadsheets/d/1QNLbnkR_AongFt22vMfNzfpjZ0CjpI8QI-w0wBnYA1w/"", ""Инфа!A:AA""), 6, FALSE)"),2024)</f>
        <v>2024</v>
      </c>
      <c r="J2957" s="5">
        <f t="shared" ca="1" si="100"/>
        <v>7900</v>
      </c>
      <c r="K2957" s="12" t="s">
        <v>11553</v>
      </c>
      <c r="L2957" s="15" t="s">
        <v>11563</v>
      </c>
    </row>
    <row r="2958" spans="1:12" ht="258.75">
      <c r="A2958" s="8" t="s">
        <v>11564</v>
      </c>
      <c r="B2958" s="9" t="s">
        <v>12</v>
      </c>
      <c r="C2958" s="10" t="s">
        <v>443</v>
      </c>
      <c r="D2958" s="10" t="str">
        <f ca="1">IFERROR(__xludf.DUMMYFUNCTION(" VLOOKUP(A2955, IMPORTRANGE(""https://docs.google.com/spreadsheets/d/1fj_Bhi2XPL3siwIh4sx4VRLAe31yD50oKdj5UlRYW0c/"", ""Сводка!A:AA""), 11, FALSE)"),"978-601-327-184-2")</f>
        <v>978-601-327-184-2</v>
      </c>
      <c r="E2958" s="11" t="s">
        <v>5207</v>
      </c>
      <c r="F2958" s="11" t="s">
        <v>11565</v>
      </c>
      <c r="G2958" s="12">
        <f ca="1">IFERROR(__xludf.DUMMYFUNCTION(" VLOOKUP(A2955, IMPORTRANGE(""https://docs.google.com/spreadsheets/d/1fj_Bhi2XPL3siwIh4sx4VRLAe31yD50oKdj5UlRYW0c/"", ""Сводка!A:AA""), 5, FALSE)"),340)</f>
        <v>340</v>
      </c>
      <c r="H2958" s="12" t="s">
        <v>671</v>
      </c>
      <c r="I2958" s="10">
        <f ca="1">IFERROR(__xludf.DUMMYFUNCTION(" VLOOKUP(A2955, IMPORTRANGE(""https://docs.google.com/spreadsheets/d/1QNLbnkR_AongFt22vMfNzfpjZ0CjpI8QI-w0wBnYA1w/"", ""Инфа!A:AA""), 6, FALSE)"),2024)</f>
        <v>2024</v>
      </c>
      <c r="J2958" s="5">
        <f t="shared" ca="1" si="100"/>
        <v>15200</v>
      </c>
      <c r="K2958" s="12" t="s">
        <v>11553</v>
      </c>
      <c r="L2958" s="15" t="s">
        <v>11566</v>
      </c>
    </row>
    <row r="2959" spans="1:12" ht="202.5">
      <c r="A2959" s="8" t="s">
        <v>11567</v>
      </c>
      <c r="B2959" s="9" t="s">
        <v>12</v>
      </c>
      <c r="C2959" s="10" t="s">
        <v>443</v>
      </c>
      <c r="D2959" s="10" t="str">
        <f ca="1">IFERROR(__xludf.DUMMYFUNCTION(" VLOOKUP(A2956, IMPORTRANGE(""https://docs.google.com/spreadsheets/d/1fj_Bhi2XPL3siwIh4sx4VRLAe31yD50oKdj5UlRYW0c/"", ""Сводка!A:AA""), 11, FALSE)"),"978-601-327-201-6")</f>
        <v>978-601-327-201-6</v>
      </c>
      <c r="E2959" s="11" t="s">
        <v>11568</v>
      </c>
      <c r="F2959" s="11" t="s">
        <v>11569</v>
      </c>
      <c r="G2959" s="12">
        <f ca="1">IFERROR(__xludf.DUMMYFUNCTION(" VLOOKUP(A2956, IMPORTRANGE(""https://docs.google.com/spreadsheets/d/1fj_Bhi2XPL3siwIh4sx4VRLAe31yD50oKdj5UlRYW0c/"", ""Сводка!A:AA""), 5, FALSE)"),100)</f>
        <v>100</v>
      </c>
      <c r="H2959" s="12" t="s">
        <v>538</v>
      </c>
      <c r="I2959" s="10">
        <f ca="1">IFERROR(__xludf.DUMMYFUNCTION(" VLOOKUP(A2956, IMPORTRANGE(""https://docs.google.com/spreadsheets/d/1QNLbnkR_AongFt22vMfNzfpjZ0CjpI8QI-w0wBnYA1w/"", ""Инфа!A:AA""), 6, FALSE)"),2024)</f>
        <v>2024</v>
      </c>
      <c r="J2959" s="5">
        <f t="shared" ca="1" si="100"/>
        <v>8000</v>
      </c>
      <c r="K2959" s="12" t="s">
        <v>2520</v>
      </c>
      <c r="L2959" s="15" t="s">
        <v>11570</v>
      </c>
    </row>
    <row r="2960" spans="1:12" ht="38.25">
      <c r="A2960" s="8" t="s">
        <v>11571</v>
      </c>
      <c r="B2960" s="9" t="s">
        <v>12</v>
      </c>
      <c r="C2960" s="10" t="s">
        <v>443</v>
      </c>
      <c r="D2960" s="10" t="str">
        <f ca="1">IFERROR(__xludf.DUMMYFUNCTION(" VLOOKUP(A2957, IMPORTRANGE(""https://docs.google.com/spreadsheets/d/1fj_Bhi2XPL3siwIh4sx4VRLAe31yD50oKdj5UlRYW0c/"", ""Сводка!A:AA""), 11, FALSE)"),"978-601-240-963-5")</f>
        <v>978-601-240-963-5</v>
      </c>
      <c r="E2960" s="11" t="s">
        <v>11572</v>
      </c>
      <c r="F2960" s="11" t="s">
        <v>11573</v>
      </c>
      <c r="G2960" s="12">
        <f ca="1">IFERROR(__xludf.DUMMYFUNCTION(" VLOOKUP(A2957, IMPORTRANGE(""https://docs.google.com/spreadsheets/d/1fj_Bhi2XPL3siwIh4sx4VRLAe31yD50oKdj5UlRYW0c/"", ""Сводка!A:AA""), 5, FALSE)"),140)</f>
        <v>140</v>
      </c>
      <c r="H2960" s="12" t="s">
        <v>538</v>
      </c>
      <c r="I2960" s="10">
        <f ca="1">IFERROR(__xludf.DUMMYFUNCTION(" VLOOKUP(A2957, IMPORTRANGE(""https://docs.google.com/spreadsheets/d/1QNLbnkR_AongFt22vMfNzfpjZ0CjpI8QI-w0wBnYA1w/"", ""Инфа!A:AA""), 6, FALSE)"),2024)</f>
        <v>2024</v>
      </c>
      <c r="J2960" s="5">
        <f t="shared" ca="1" si="100"/>
        <v>9200</v>
      </c>
      <c r="K2960" s="9" t="s">
        <v>619</v>
      </c>
      <c r="L2960" s="15"/>
    </row>
    <row r="2961" spans="1:12" ht="180">
      <c r="A2961" s="8" t="s">
        <v>11574</v>
      </c>
      <c r="B2961" s="9" t="s">
        <v>12</v>
      </c>
      <c r="C2961" s="10" t="s">
        <v>151</v>
      </c>
      <c r="D2961" s="10" t="str">
        <f ca="1">IFERROR(__xludf.DUMMYFUNCTION(" VLOOKUP(A2958, IMPORTRANGE(""https://docs.google.com/spreadsheets/d/1fj_Bhi2XPL3siwIh4sx4VRLAe31yD50oKdj5UlRYW0c/"", ""Сводка!A:AA""), 11, FALSE)"),"978-601-310-169-9")</f>
        <v>978-601-310-169-9</v>
      </c>
      <c r="E2961" s="11" t="s">
        <v>11575</v>
      </c>
      <c r="F2961" s="11" t="s">
        <v>11576</v>
      </c>
      <c r="G2961" s="12">
        <f ca="1">IFERROR(__xludf.DUMMYFUNCTION(" VLOOKUP(A2958, IMPORTRANGE(""https://docs.google.com/spreadsheets/d/1fj_Bhi2XPL3siwIh4sx4VRLAe31yD50oKdj5UlRYW0c/"", ""Сводка!A:AA""), 5, FALSE)"),160)</f>
        <v>160</v>
      </c>
      <c r="H2961" s="12" t="s">
        <v>47</v>
      </c>
      <c r="I2961" s="10">
        <f ca="1">IFERROR(__xludf.DUMMYFUNCTION(" VLOOKUP(A2958, IMPORTRANGE(""https://docs.google.com/spreadsheets/d/1QNLbnkR_AongFt22vMfNzfpjZ0CjpI8QI-w0wBnYA1w/"", ""Инфа!A:AA""), 6, FALSE)"),2024)</f>
        <v>2024</v>
      </c>
      <c r="J2961" s="5">
        <f ca="1">ROUND((5000+G2961*60),-2)</f>
        <v>14600</v>
      </c>
      <c r="K2961" s="9" t="s">
        <v>619</v>
      </c>
      <c r="L2961" s="15" t="s">
        <v>11577</v>
      </c>
    </row>
    <row r="2962" spans="1:12" ht="168.75">
      <c r="A2962" s="8" t="s">
        <v>11578</v>
      </c>
      <c r="B2962" s="9" t="s">
        <v>12</v>
      </c>
      <c r="C2962" s="10" t="s">
        <v>443</v>
      </c>
      <c r="D2962" s="10" t="str">
        <f ca="1">IFERROR(__xludf.DUMMYFUNCTION(" VLOOKUP(A2959, IMPORTRANGE(""https://docs.google.com/spreadsheets/d/1fj_Bhi2XPL3siwIh4sx4VRLAe31yD50oKdj5UlRYW0c/"", ""Сводка!A:AA""), 11, FALSE)"),"978-601-240-780-8")</f>
        <v>978-601-240-780-8</v>
      </c>
      <c r="E2962" s="11" t="s">
        <v>11579</v>
      </c>
      <c r="F2962" s="11" t="s">
        <v>11580</v>
      </c>
      <c r="G2962" s="12">
        <f ca="1">IFERROR(__xludf.DUMMYFUNCTION(" VLOOKUP(A2959, IMPORTRANGE(""https://docs.google.com/spreadsheets/d/1fj_Bhi2XPL3siwIh4sx4VRLAe31yD50oKdj5UlRYW0c/"", ""Сводка!A:AA""), 5, FALSE)"),160)</f>
        <v>160</v>
      </c>
      <c r="H2962" s="12" t="s">
        <v>47</v>
      </c>
      <c r="I2962" s="10">
        <f ca="1">IFERROR(__xludf.DUMMYFUNCTION(" VLOOKUP(A2959, IMPORTRANGE(""https://docs.google.com/spreadsheets/d/1QNLbnkR_AongFt22vMfNzfpjZ0CjpI8QI-w0wBnYA1w/"", ""Инфа!A:AA""), 6, FALSE)"),2024)</f>
        <v>2024</v>
      </c>
      <c r="J2962" s="5">
        <f ca="1">ROUND((5000+G2962*30),-2)</f>
        <v>9800</v>
      </c>
      <c r="K2962" s="9" t="s">
        <v>758</v>
      </c>
      <c r="L2962" s="15" t="s">
        <v>11581</v>
      </c>
    </row>
    <row r="2963" spans="1:12" ht="101.25">
      <c r="A2963" s="8" t="s">
        <v>11582</v>
      </c>
      <c r="B2963" s="9" t="s">
        <v>12</v>
      </c>
      <c r="C2963" s="10" t="s">
        <v>443</v>
      </c>
      <c r="D2963" s="10" t="str">
        <f ca="1">IFERROR(__xludf.DUMMYFUNCTION(" VLOOKUP(A2960, IMPORTRANGE(""https://docs.google.com/spreadsheets/d/1fj_Bhi2XPL3siwIh4sx4VRLAe31yD50oKdj5UlRYW0c/"", ""Сводка!A:AA""), 11, FALSE)"),"978-601-327-338-9")</f>
        <v>978-601-327-338-9</v>
      </c>
      <c r="E2963" s="11" t="s">
        <v>11583</v>
      </c>
      <c r="F2963" s="11" t="s">
        <v>11584</v>
      </c>
      <c r="G2963" s="12">
        <f ca="1">IFERROR(__xludf.DUMMYFUNCTION(" VLOOKUP(A2960, IMPORTRANGE(""https://docs.google.com/spreadsheets/d/1fj_Bhi2XPL3siwIh4sx4VRLAe31yD50oKdj5UlRYW0c/"", ""Сводка!A:AA""), 5, FALSE)"),156)</f>
        <v>156</v>
      </c>
      <c r="H2963" s="12" t="s">
        <v>446</v>
      </c>
      <c r="I2963" s="10">
        <f ca="1">IFERROR(__xludf.DUMMYFUNCTION(" VLOOKUP(A2960, IMPORTRANGE(""https://docs.google.com/spreadsheets/d/1QNLbnkR_AongFt22vMfNzfpjZ0CjpI8QI-w0wBnYA1w/"", ""Инфа!A:AA""), 6, FALSE)"),2024)</f>
        <v>2024</v>
      </c>
      <c r="J2963" s="5">
        <f ca="1">ROUND((5000+G2963*60),-2)</f>
        <v>14400</v>
      </c>
      <c r="K2963" s="9" t="s">
        <v>619</v>
      </c>
      <c r="L2963" s="15" t="s">
        <v>11585</v>
      </c>
    </row>
    <row r="2964" spans="1:12" ht="180">
      <c r="A2964" s="8" t="s">
        <v>11586</v>
      </c>
      <c r="B2964" s="9" t="s">
        <v>12</v>
      </c>
      <c r="C2964" s="10" t="s">
        <v>151</v>
      </c>
      <c r="D2964" s="10" t="str">
        <f ca="1">IFERROR(__xludf.DUMMYFUNCTION(" VLOOKUP(A2961, IMPORTRANGE(""https://docs.google.com/spreadsheets/d/1fj_Bhi2XPL3siwIh4sx4VRLAe31yD50oKdj5UlRYW0c/"", ""Сводка!A:AA""), 11, FALSE)"),"978-601-327-801-8")</f>
        <v>978-601-327-801-8</v>
      </c>
      <c r="E2964" s="11" t="s">
        <v>11587</v>
      </c>
      <c r="F2964" s="11" t="s">
        <v>11588</v>
      </c>
      <c r="G2964" s="12">
        <f ca="1">IFERROR(__xludf.DUMMYFUNCTION(" VLOOKUP(A2961, IMPORTRANGE(""https://docs.google.com/spreadsheets/d/1fj_Bhi2XPL3siwIh4sx4VRLAe31yD50oKdj5UlRYW0c/"", ""Сводка!A:AA""), 5, FALSE)"),328)</f>
        <v>328</v>
      </c>
      <c r="H2964" s="12" t="s">
        <v>47</v>
      </c>
      <c r="I2964" s="10">
        <f ca="1">IFERROR(__xludf.DUMMYFUNCTION(" VLOOKUP(A2961, IMPORTRANGE(""https://docs.google.com/spreadsheets/d/1QNLbnkR_AongFt22vMfNzfpjZ0CjpI8QI-w0wBnYA1w/"", ""Инфа!A:AA""), 6, FALSE)"),2024)</f>
        <v>2024</v>
      </c>
      <c r="J2964" s="5">
        <f ca="1">ROUND((5000+G2964*30),-2)</f>
        <v>14800</v>
      </c>
      <c r="K2964" s="12" t="s">
        <v>1603</v>
      </c>
      <c r="L2964" s="15" t="s">
        <v>11589</v>
      </c>
    </row>
    <row r="2965" spans="1:12" ht="213.75">
      <c r="A2965" s="8" t="s">
        <v>11590</v>
      </c>
      <c r="B2965" s="9" t="s">
        <v>12</v>
      </c>
      <c r="C2965" s="10" t="s">
        <v>535</v>
      </c>
      <c r="D2965" s="10" t="str">
        <f ca="1">IFERROR(__xludf.DUMMYFUNCTION(" VLOOKUP(A2962, IMPORTRANGE(""https://docs.google.com/spreadsheets/d/1fj_Bhi2XPL3siwIh4sx4VRLAe31yD50oKdj5UlRYW0c/"", ""Сводка!A:AA""), 11, FALSE)"),"978-601-327-740-0")</f>
        <v>978-601-327-740-0</v>
      </c>
      <c r="E2965" s="11" t="s">
        <v>11591</v>
      </c>
      <c r="F2965" s="11" t="s">
        <v>11592</v>
      </c>
      <c r="G2965" s="12">
        <f ca="1">IFERROR(__xludf.DUMMYFUNCTION(" VLOOKUP(A2962, IMPORTRANGE(""https://docs.google.com/spreadsheets/d/1fj_Bhi2XPL3siwIh4sx4VRLAe31yD50oKdj5UlRYW0c/"", ""Сводка!A:AA""), 5, FALSE)"),164)</f>
        <v>164</v>
      </c>
      <c r="H2965" s="12" t="s">
        <v>538</v>
      </c>
      <c r="I2965" s="10">
        <f ca="1">IFERROR(__xludf.DUMMYFUNCTION(" VLOOKUP(A2962, IMPORTRANGE(""https://docs.google.com/spreadsheets/d/1QNLbnkR_AongFt22vMfNzfpjZ0CjpI8QI-w0wBnYA1w/"", ""Инфа!A:AA""), 6, FALSE)"),2024)</f>
        <v>2024</v>
      </c>
      <c r="J2965" s="5">
        <f ca="1">ROUND((5000+G2965*30),-2)</f>
        <v>9900</v>
      </c>
      <c r="K2965" s="12" t="s">
        <v>1603</v>
      </c>
      <c r="L2965" s="15" t="s">
        <v>11593</v>
      </c>
    </row>
    <row r="2966" spans="1:12" ht="202.5">
      <c r="A2966" s="8" t="s">
        <v>11594</v>
      </c>
      <c r="B2966" s="9" t="s">
        <v>12</v>
      </c>
      <c r="C2966" s="10" t="s">
        <v>443</v>
      </c>
      <c r="D2966" s="10" t="s">
        <v>11595</v>
      </c>
      <c r="E2966" s="22" t="s">
        <v>11596</v>
      </c>
      <c r="F2966" s="22" t="s">
        <v>11597</v>
      </c>
      <c r="G2966" s="12">
        <f ca="1">IFERROR(__xludf.DUMMYFUNCTION(" VLOOKUP(A2963, IMPORTRANGE(""https://docs.google.com/spreadsheets/d/1fj_Bhi2XPL3siwIh4sx4VRLAe31yD50oKdj5UlRYW0c/"", ""Сводка!A:AA""), 5, FALSE)"),180)</f>
        <v>180</v>
      </c>
      <c r="H2966" s="10" t="s">
        <v>446</v>
      </c>
      <c r="I2966" s="10">
        <f ca="1">IFERROR(__xludf.DUMMYFUNCTION(" VLOOKUP(A2963, IMPORTRANGE(""https://docs.google.com/spreadsheets/d/1QNLbnkR_AongFt22vMfNzfpjZ0CjpI8QI-w0wBnYA1w/"", ""Инфа!A:AA""), 6, FALSE)"),2024)</f>
        <v>2024</v>
      </c>
      <c r="J2966" s="5">
        <f ca="1">ROUND((5000+G2966*60),-2)</f>
        <v>15800</v>
      </c>
      <c r="K2966" s="10" t="s">
        <v>488</v>
      </c>
      <c r="L2966" s="23" t="s">
        <v>11598</v>
      </c>
    </row>
    <row r="2967" spans="1:12" ht="191.25">
      <c r="A2967" s="8" t="s">
        <v>11599</v>
      </c>
      <c r="B2967" s="9" t="s">
        <v>12</v>
      </c>
      <c r="C2967" s="10" t="s">
        <v>151</v>
      </c>
      <c r="D2967" s="10" t="str">
        <f ca="1">IFERROR(__xludf.DUMMYFUNCTION(" VLOOKUP(A2964, IMPORTRANGE(""https://docs.google.com/spreadsheets/d/1fj_Bhi2XPL3siwIh4sx4VRLAe31yD50oKdj5UlRYW0c/"", ""Сводка!A:AA""), 11, FALSE)"),"978-601-342-016-5")</f>
        <v>978-601-342-016-5</v>
      </c>
      <c r="E2967" s="11" t="s">
        <v>11600</v>
      </c>
      <c r="F2967" s="11" t="s">
        <v>11601</v>
      </c>
      <c r="G2967" s="12">
        <f ca="1">IFERROR(__xludf.DUMMYFUNCTION(" VLOOKUP(A2964, IMPORTRANGE(""https://docs.google.com/spreadsheets/d/1fj_Bhi2XPL3siwIh4sx4VRLAe31yD50oKdj5UlRYW0c/"", ""Сводка!A:AA""), 5, FALSE)"),264)</f>
        <v>264</v>
      </c>
      <c r="H2967" s="12" t="s">
        <v>165</v>
      </c>
      <c r="I2967" s="10">
        <f ca="1">IFERROR(__xludf.DUMMYFUNCTION(" VLOOKUP(A2964, IMPORTRANGE(""https://docs.google.com/spreadsheets/d/1QNLbnkR_AongFt22vMfNzfpjZ0CjpI8QI-w0wBnYA1w/"", ""Инфа!A:AA""), 6, FALSE)"),2024)</f>
        <v>2024</v>
      </c>
      <c r="J2967" s="5">
        <f ca="1">ROUND((5000+G2967*60),-2)</f>
        <v>20800</v>
      </c>
      <c r="K2967" s="12" t="s">
        <v>6067</v>
      </c>
      <c r="L2967" s="15" t="s">
        <v>11602</v>
      </c>
    </row>
    <row r="2968" spans="1:12" ht="112.5">
      <c r="A2968" s="8" t="s">
        <v>11603</v>
      </c>
      <c r="B2968" s="9" t="s">
        <v>12</v>
      </c>
      <c r="C2968" s="10" t="s">
        <v>443</v>
      </c>
      <c r="D2968" s="10" t="str">
        <f ca="1">IFERROR(__xludf.DUMMYFUNCTION(" VLOOKUP(A2965, IMPORTRANGE(""https://docs.google.com/spreadsheets/d/1fj_Bhi2XPL3siwIh4sx4VRLAe31yD50oKdj5UlRYW0c/"", ""Сводка!A:AA""), 11, FALSE)"),"978-601-310-574-1")</f>
        <v>978-601-310-574-1</v>
      </c>
      <c r="E2968" s="11" t="s">
        <v>11604</v>
      </c>
      <c r="F2968" s="11" t="s">
        <v>11605</v>
      </c>
      <c r="G2968" s="12">
        <f ca="1">IFERROR(__xludf.DUMMYFUNCTION(" VLOOKUP(A2965, IMPORTRANGE(""https://docs.google.com/spreadsheets/d/1fj_Bhi2XPL3siwIh4sx4VRLAe31yD50oKdj5UlRYW0c/"", ""Сводка!A:AA""), 5, FALSE)"),140)</f>
        <v>140</v>
      </c>
      <c r="H2968" s="12" t="s">
        <v>538</v>
      </c>
      <c r="I2968" s="10">
        <f ca="1">IFERROR(__xludf.DUMMYFUNCTION(" VLOOKUP(A2965, IMPORTRANGE(""https://docs.google.com/spreadsheets/d/1QNLbnkR_AongFt22vMfNzfpjZ0CjpI8QI-w0wBnYA1w/"", ""Инфа!A:AA""), 6, FALSE)"),2024)</f>
        <v>2024</v>
      </c>
      <c r="J2968" s="5">
        <f ca="1">ROUND((5000+G2968*30),-2)</f>
        <v>9200</v>
      </c>
      <c r="K2968" s="12" t="s">
        <v>8250</v>
      </c>
      <c r="L2968" s="15" t="s">
        <v>11606</v>
      </c>
    </row>
    <row r="2969" spans="1:12" ht="157.5">
      <c r="A2969" s="8" t="s">
        <v>11607</v>
      </c>
      <c r="B2969" s="9" t="s">
        <v>12</v>
      </c>
      <c r="C2969" s="10" t="s">
        <v>443</v>
      </c>
      <c r="D2969" s="10" t="str">
        <f ca="1">IFERROR(__xludf.DUMMYFUNCTION(" VLOOKUP(A2966, IMPORTRANGE(""https://docs.google.com/spreadsheets/d/1fj_Bhi2XPL3siwIh4sx4VRLAe31yD50oKdj5UlRYW0c/"", ""Сводка!A:AA""), 11, FALSE)"),"978-601-310-574-1")</f>
        <v>978-601-310-574-1</v>
      </c>
      <c r="E2969" s="11" t="s">
        <v>11608</v>
      </c>
      <c r="F2969" s="11" t="s">
        <v>11609</v>
      </c>
      <c r="G2969" s="12">
        <f ca="1">IFERROR(__xludf.DUMMYFUNCTION(" VLOOKUP(A2966, IMPORTRANGE(""https://docs.google.com/spreadsheets/d/1fj_Bhi2XPL3siwIh4sx4VRLAe31yD50oKdj5UlRYW0c/"", ""Сводка!A:AA""), 5, FALSE)"),172)</f>
        <v>172</v>
      </c>
      <c r="H2969" s="12" t="s">
        <v>538</v>
      </c>
      <c r="I2969" s="10">
        <f ca="1">IFERROR(__xludf.DUMMYFUNCTION(" VLOOKUP(A2966, IMPORTRANGE(""https://docs.google.com/spreadsheets/d/1QNLbnkR_AongFt22vMfNzfpjZ0CjpI8QI-w0wBnYA1w/"", ""Инфа!A:AA""), 6, FALSE)"),2024)</f>
        <v>2024</v>
      </c>
      <c r="J2969" s="5">
        <f ca="1">ROUND((5000+G2969*30),-2)</f>
        <v>10200</v>
      </c>
      <c r="K2969" s="12" t="s">
        <v>3304</v>
      </c>
      <c r="L2969" s="15" t="s">
        <v>11610</v>
      </c>
    </row>
    <row r="2970" spans="1:12" ht="90">
      <c r="A2970" s="8" t="s">
        <v>11611</v>
      </c>
      <c r="B2970" s="9" t="s">
        <v>12</v>
      </c>
      <c r="C2970" s="10" t="s">
        <v>443</v>
      </c>
      <c r="D2970" s="10" t="str">
        <f ca="1">IFERROR(__xludf.DUMMYFUNCTION(" VLOOKUP(A2967, IMPORTRANGE(""https://docs.google.com/spreadsheets/d/1fj_Bhi2XPL3siwIh4sx4VRLAe31yD50oKdj5UlRYW0c/"", ""Сводка!A:AA""), 11, FALSE)"),"978-601-7816-14-8")</f>
        <v>978-601-7816-14-8</v>
      </c>
      <c r="E2970" s="11" t="s">
        <v>11612</v>
      </c>
      <c r="F2970" s="11" t="s">
        <v>11613</v>
      </c>
      <c r="G2970" s="12">
        <f ca="1">IFERROR(__xludf.DUMMYFUNCTION(" VLOOKUP(A2967, IMPORTRANGE(""https://docs.google.com/spreadsheets/d/1fj_Bhi2XPL3siwIh4sx4VRLAe31yD50oKdj5UlRYW0c/"", ""Сводка!A:AA""), 5, FALSE)"),84)</f>
        <v>84</v>
      </c>
      <c r="H2970" s="12" t="s">
        <v>11614</v>
      </c>
      <c r="I2970" s="10">
        <f ca="1">IFERROR(__xludf.DUMMYFUNCTION(" VLOOKUP(A2967, IMPORTRANGE(""https://docs.google.com/spreadsheets/d/1QNLbnkR_AongFt22vMfNzfpjZ0CjpI8QI-w0wBnYA1w/"", ""Инфа!A:AA""), 6, FALSE)"),2024)</f>
        <v>2024</v>
      </c>
      <c r="J2970" s="5">
        <f ca="1">ROUND((5000+G2970*30),-2)</f>
        <v>7500</v>
      </c>
      <c r="K2970" s="9" t="s">
        <v>539</v>
      </c>
      <c r="L2970" s="15" t="s">
        <v>11615</v>
      </c>
    </row>
    <row r="2971" spans="1:12" ht="157.5">
      <c r="A2971" s="8" t="s">
        <v>11616</v>
      </c>
      <c r="B2971" s="9" t="s">
        <v>12</v>
      </c>
      <c r="C2971" s="10" t="s">
        <v>443</v>
      </c>
      <c r="D2971" s="10" t="str">
        <f ca="1">IFERROR(__xludf.DUMMYFUNCTION(" VLOOKUP(A2968, IMPORTRANGE(""https://docs.google.com/spreadsheets/d/1fj_Bhi2XPL3siwIh4sx4VRLAe31yD50oKdj5UlRYW0c/"", ""Сводка!A:AA""), 11, FALSE)"),"978-601-327-875-9")</f>
        <v>978-601-327-875-9</v>
      </c>
      <c r="E2971" s="11" t="s">
        <v>11617</v>
      </c>
      <c r="F2971" s="11" t="s">
        <v>11618</v>
      </c>
      <c r="G2971" s="12">
        <f ca="1">IFERROR(__xludf.DUMMYFUNCTION(" VLOOKUP(A2968, IMPORTRANGE(""https://docs.google.com/spreadsheets/d/1fj_Bhi2XPL3siwIh4sx4VRLAe31yD50oKdj5UlRYW0c/"", ""Сводка!A:AA""), 5, FALSE)"),284)</f>
        <v>284</v>
      </c>
      <c r="H2971" s="12" t="s">
        <v>538</v>
      </c>
      <c r="I2971" s="10">
        <f ca="1">IFERROR(__xludf.DUMMYFUNCTION(" VLOOKUP(A2968, IMPORTRANGE(""https://docs.google.com/spreadsheets/d/1QNLbnkR_AongFt22vMfNzfpjZ0CjpI8QI-w0wBnYA1w/"", ""Инфа!A:AA""), 6, FALSE)"),2024)</f>
        <v>2024</v>
      </c>
      <c r="J2971" s="5">
        <f ca="1">ROUND((5000+G2971*60),-2)</f>
        <v>22000</v>
      </c>
      <c r="K2971" s="9" t="s">
        <v>408</v>
      </c>
      <c r="L2971" s="15" t="s">
        <v>11619</v>
      </c>
    </row>
    <row r="2972" spans="1:12" ht="281.25">
      <c r="A2972" s="8" t="s">
        <v>11620</v>
      </c>
      <c r="B2972" s="9" t="s">
        <v>12</v>
      </c>
      <c r="C2972" s="10" t="s">
        <v>443</v>
      </c>
      <c r="D2972" s="10" t="str">
        <f ca="1">IFERROR(__xludf.DUMMYFUNCTION(" VLOOKUP(A2969, IMPORTRANGE(""https://docs.google.com/spreadsheets/d/1fj_Bhi2XPL3siwIh4sx4VRLAe31yD50oKdj5UlRYW0c/"", ""Сводка!A:AA""), 11, FALSE)"),"978-601-342-650-1")</f>
        <v>978-601-342-650-1</v>
      </c>
      <c r="E2972" s="11" t="s">
        <v>11621</v>
      </c>
      <c r="F2972" s="11" t="s">
        <v>11622</v>
      </c>
      <c r="G2972" s="12">
        <f ca="1">IFERROR(__xludf.DUMMYFUNCTION(" VLOOKUP(A2969, IMPORTRANGE(""https://docs.google.com/spreadsheets/d/1fj_Bhi2XPL3siwIh4sx4VRLAe31yD50oKdj5UlRYW0c/"", ""Сводка!A:AA""), 5, FALSE)"),236)</f>
        <v>236</v>
      </c>
      <c r="H2972" s="12" t="s">
        <v>511</v>
      </c>
      <c r="I2972" s="10">
        <f ca="1">IFERROR(__xludf.DUMMYFUNCTION(" VLOOKUP(A2969, IMPORTRANGE(""https://docs.google.com/spreadsheets/d/1QNLbnkR_AongFt22vMfNzfpjZ0CjpI8QI-w0wBnYA1w/"", ""Инфа!A:AA""), 6, FALSE)"),2024)</f>
        <v>2024</v>
      </c>
      <c r="J2972" s="5">
        <f ca="1">ROUND((5000+G2972*60),-2)</f>
        <v>19200</v>
      </c>
      <c r="K2972" s="12" t="s">
        <v>548</v>
      </c>
      <c r="L2972" s="15" t="s">
        <v>11623</v>
      </c>
    </row>
    <row r="2973" spans="1:12" ht="281.25">
      <c r="A2973" s="8" t="s">
        <v>11624</v>
      </c>
      <c r="B2973" s="9" t="s">
        <v>12</v>
      </c>
      <c r="C2973" s="10" t="s">
        <v>443</v>
      </c>
      <c r="D2973" s="10" t="str">
        <f ca="1">IFERROR(__xludf.DUMMYFUNCTION(" VLOOKUP(A2970, IMPORTRANGE(""https://docs.google.com/spreadsheets/d/1fj_Bhi2XPL3siwIh4sx4VRLAe31yD50oKdj5UlRYW0c/"", ""Сводка!A:AA""), 11, FALSE)"),"978-601-342-650-1")</f>
        <v>978-601-342-650-1</v>
      </c>
      <c r="E2973" s="11" t="s">
        <v>11621</v>
      </c>
      <c r="F2973" s="11" t="s">
        <v>11625</v>
      </c>
      <c r="G2973" s="12">
        <f ca="1">IFERROR(__xludf.DUMMYFUNCTION(" VLOOKUP(A2970, IMPORTRANGE(""https://docs.google.com/spreadsheets/d/1fj_Bhi2XPL3siwIh4sx4VRLAe31yD50oKdj5UlRYW0c/"", ""Сводка!A:AA""), 5, FALSE)"),208)</f>
        <v>208</v>
      </c>
      <c r="H2973" s="12" t="s">
        <v>511</v>
      </c>
      <c r="I2973" s="10">
        <f ca="1">IFERROR(__xludf.DUMMYFUNCTION(" VLOOKUP(A2970, IMPORTRANGE(""https://docs.google.com/spreadsheets/d/1QNLbnkR_AongFt22vMfNzfpjZ0CjpI8QI-w0wBnYA1w/"", ""Инфа!A:AA""), 6, FALSE)"),2024)</f>
        <v>2024</v>
      </c>
      <c r="J2973" s="5">
        <f ca="1">ROUND((5000+G2973*30),-2)</f>
        <v>11200</v>
      </c>
      <c r="K2973" s="12" t="s">
        <v>548</v>
      </c>
      <c r="L2973" s="15" t="s">
        <v>11623</v>
      </c>
    </row>
    <row r="2974" spans="1:12" ht="180">
      <c r="A2974" s="8" t="s">
        <v>11626</v>
      </c>
      <c r="B2974" s="9" t="s">
        <v>12</v>
      </c>
      <c r="C2974" s="10" t="s">
        <v>443</v>
      </c>
      <c r="D2974" s="10" t="str">
        <f ca="1">IFERROR(__xludf.DUMMYFUNCTION(" VLOOKUP(A2971, IMPORTRANGE(""https://docs.google.com/spreadsheets/d/1fj_Bhi2XPL3siwIh4sx4VRLAe31yD50oKdj5UlRYW0c/"", ""Сводка!A:AA""), 11, FALSE)"),"978-601-342-649-5")</f>
        <v>978-601-342-649-5</v>
      </c>
      <c r="E2974" s="11" t="s">
        <v>11627</v>
      </c>
      <c r="F2974" s="11" t="s">
        <v>11628</v>
      </c>
      <c r="G2974" s="12">
        <f ca="1">IFERROR(__xludf.DUMMYFUNCTION(" VLOOKUP(A2971, IMPORTRANGE(""https://docs.google.com/spreadsheets/d/1fj_Bhi2XPL3siwIh4sx4VRLAe31yD50oKdj5UlRYW0c/"", ""Сводка!A:AA""), 5, FALSE)"),312)</f>
        <v>312</v>
      </c>
      <c r="H2974" s="12" t="s">
        <v>511</v>
      </c>
      <c r="I2974" s="10">
        <f ca="1">IFERROR(__xludf.DUMMYFUNCTION(" VLOOKUP(A2971, IMPORTRANGE(""https://docs.google.com/spreadsheets/d/1QNLbnkR_AongFt22vMfNzfpjZ0CjpI8QI-w0wBnYA1w/"", ""Инфа!A:AA""), 6, FALSE)"),2024)</f>
        <v>2024</v>
      </c>
      <c r="J2974" s="5">
        <f ca="1">ROUND((5000+G2974*60),-2)</f>
        <v>23700</v>
      </c>
      <c r="K2974" s="12" t="s">
        <v>548</v>
      </c>
      <c r="L2974" s="15" t="s">
        <v>11629</v>
      </c>
    </row>
    <row r="2975" spans="1:12" ht="25.5">
      <c r="A2975" s="8" t="s">
        <v>11630</v>
      </c>
      <c r="B2975" s="9" t="s">
        <v>12</v>
      </c>
      <c r="C2975" s="10" t="s">
        <v>443</v>
      </c>
      <c r="D2975" s="10" t="str">
        <f ca="1">IFERROR(__xludf.DUMMYFUNCTION(" VLOOKUP(A2972, IMPORTRANGE(""https://docs.google.com/spreadsheets/d/1fj_Bhi2XPL3siwIh4sx4VRLAe31yD50oKdj5UlRYW0c/"", ""Сводка!A:AA""), 11, FALSE)"),"978-601-240-246-9")</f>
        <v>978-601-240-246-9</v>
      </c>
      <c r="E2975" s="11" t="s">
        <v>11631</v>
      </c>
      <c r="F2975" s="11" t="s">
        <v>11632</v>
      </c>
      <c r="G2975" s="12">
        <f ca="1">IFERROR(__xludf.DUMMYFUNCTION(" VLOOKUP(A2972, IMPORTRANGE(""https://docs.google.com/spreadsheets/d/1fj_Bhi2XPL3siwIh4sx4VRLAe31yD50oKdj5UlRYW0c/"", ""Сводка!A:AA""), 5, FALSE)"),256)</f>
        <v>256</v>
      </c>
      <c r="H2975" s="12" t="s">
        <v>538</v>
      </c>
      <c r="I2975" s="10">
        <f ca="1">IFERROR(__xludf.DUMMYFUNCTION(" VLOOKUP(A2972, IMPORTRANGE(""https://docs.google.com/spreadsheets/d/1QNLbnkR_AongFt22vMfNzfpjZ0CjpI8QI-w0wBnYA1w/"", ""Инфа!A:AA""), 6, FALSE)"),2024)</f>
        <v>2024</v>
      </c>
      <c r="J2975" s="5">
        <f ca="1">ROUND((5000+G2975*60),-2)</f>
        <v>20400</v>
      </c>
      <c r="K2975" s="12" t="s">
        <v>271</v>
      </c>
      <c r="L2975" s="15"/>
    </row>
    <row r="2976" spans="1:12" ht="38.25">
      <c r="A2976" s="8" t="s">
        <v>11633</v>
      </c>
      <c r="B2976" s="9" t="s">
        <v>12</v>
      </c>
      <c r="C2976" s="10" t="s">
        <v>151</v>
      </c>
      <c r="D2976" s="10" t="str">
        <f ca="1">IFERROR(__xludf.DUMMYFUNCTION(" VLOOKUP(A2973, IMPORTRANGE(""https://docs.google.com/spreadsheets/d/1fj_Bhi2XPL3siwIh4sx4VRLAe31yD50oKdj5UlRYW0c/"", ""Сводка!A:AA""), 11, FALSE)"),"9965-748-38-1")</f>
        <v>9965-748-38-1</v>
      </c>
      <c r="E2976" s="11" t="s">
        <v>11631</v>
      </c>
      <c r="F2976" s="11" t="s">
        <v>11634</v>
      </c>
      <c r="G2976" s="12">
        <f ca="1">IFERROR(__xludf.DUMMYFUNCTION(" VLOOKUP(A2973, IMPORTRANGE(""https://docs.google.com/spreadsheets/d/1fj_Bhi2XPL3siwIh4sx4VRLAe31yD50oKdj5UlRYW0c/"", ""Сводка!A:AA""), 5, FALSE)"),252)</f>
        <v>252</v>
      </c>
      <c r="H2976" s="12" t="s">
        <v>538</v>
      </c>
      <c r="I2976" s="10">
        <f ca="1">IFERROR(__xludf.DUMMYFUNCTION(" VLOOKUP(A2973, IMPORTRANGE(""https://docs.google.com/spreadsheets/d/1QNLbnkR_AongFt22vMfNzfpjZ0CjpI8QI-w0wBnYA1w/"", ""Инфа!A:AA""), 6, FALSE)"),2024)</f>
        <v>2024</v>
      </c>
      <c r="J2976" s="5">
        <f ca="1">ROUND((5000+G2976*30),-2)</f>
        <v>12600</v>
      </c>
      <c r="K2976" s="9" t="s">
        <v>619</v>
      </c>
      <c r="L2976" s="15"/>
    </row>
    <row r="2977" spans="1:12" ht="213.75">
      <c r="A2977" s="8" t="s">
        <v>11635</v>
      </c>
      <c r="B2977" s="9" t="s">
        <v>12</v>
      </c>
      <c r="C2977" s="10" t="s">
        <v>443</v>
      </c>
      <c r="D2977" s="10" t="str">
        <f ca="1">IFERROR(__xludf.DUMMYFUNCTION(" VLOOKUP(A2974, IMPORTRANGE(""https://docs.google.com/spreadsheets/d/1fj_Bhi2XPL3siwIh4sx4VRLAe31yD50oKdj5UlRYW0c/"", ""Сводка!A:AA""), 11, FALSE)"),"978-601-342-175-9")</f>
        <v>978-601-342-175-9</v>
      </c>
      <c r="E2977" s="11" t="s">
        <v>11631</v>
      </c>
      <c r="F2977" s="11" t="s">
        <v>11636</v>
      </c>
      <c r="G2977" s="12">
        <f ca="1">IFERROR(__xludf.DUMMYFUNCTION(" VLOOKUP(A2974, IMPORTRANGE(""https://docs.google.com/spreadsheets/d/1fj_Bhi2XPL3siwIh4sx4VRLAe31yD50oKdj5UlRYW0c/"", ""Сводка!A:AA""), 5, FALSE)"),148)</f>
        <v>148</v>
      </c>
      <c r="H2977" s="12" t="s">
        <v>538</v>
      </c>
      <c r="I2977" s="10">
        <f ca="1">IFERROR(__xludf.DUMMYFUNCTION(" VLOOKUP(A2974, IMPORTRANGE(""https://docs.google.com/spreadsheets/d/1QNLbnkR_AongFt22vMfNzfpjZ0CjpI8QI-w0wBnYA1w/"", ""Инфа!A:AA""), 6, FALSE)"),2024)</f>
        <v>2024</v>
      </c>
      <c r="J2977" s="5">
        <f ca="1">ROUND((5000+G2977*60),-2)</f>
        <v>13900</v>
      </c>
      <c r="K2977" s="12" t="s">
        <v>271</v>
      </c>
      <c r="L2977" s="15" t="s">
        <v>11637</v>
      </c>
    </row>
    <row r="2978" spans="1:12" ht="247.5">
      <c r="A2978" s="8" t="s">
        <v>11638</v>
      </c>
      <c r="B2978" s="9" t="s">
        <v>12</v>
      </c>
      <c r="C2978" s="10" t="s">
        <v>443</v>
      </c>
      <c r="D2978" s="10" t="str">
        <f ca="1">IFERROR(__xludf.DUMMYFUNCTION(" VLOOKUP(A2975, IMPORTRANGE(""https://docs.google.com/spreadsheets/d/1fj_Bhi2XPL3siwIh4sx4VRLAe31yD50oKdj5UlRYW0c/"", ""Сводка!A:AA""), 11, FALSE)"),"978-601-310-985-5")</f>
        <v>978-601-310-985-5</v>
      </c>
      <c r="E2978" s="11" t="s">
        <v>11631</v>
      </c>
      <c r="F2978" s="11" t="s">
        <v>11639</v>
      </c>
      <c r="G2978" s="12">
        <f ca="1">IFERROR(__xludf.DUMMYFUNCTION(" VLOOKUP(A2975, IMPORTRANGE(""https://docs.google.com/spreadsheets/d/1fj_Bhi2XPL3siwIh4sx4VRLAe31yD50oKdj5UlRYW0c/"", ""Сводка!A:AA""), 5, FALSE)"),300)</f>
        <v>300</v>
      </c>
      <c r="H2978" s="12" t="s">
        <v>498</v>
      </c>
      <c r="I2978" s="10">
        <f ca="1">IFERROR(__xludf.DUMMYFUNCTION(" VLOOKUP(A2975, IMPORTRANGE(""https://docs.google.com/spreadsheets/d/1QNLbnkR_AongFt22vMfNzfpjZ0CjpI8QI-w0wBnYA1w/"", ""Инфа!A:AA""), 6, FALSE)"),2024)</f>
        <v>2024</v>
      </c>
      <c r="J2978" s="5">
        <f ca="1">ROUND((5000+G2978*30),-2)</f>
        <v>14000</v>
      </c>
      <c r="K2978" s="12" t="s">
        <v>271</v>
      </c>
      <c r="L2978" s="15" t="s">
        <v>11640</v>
      </c>
    </row>
    <row r="2979" spans="1:12" ht="25.5">
      <c r="A2979" s="8" t="s">
        <v>11641</v>
      </c>
      <c r="B2979" s="9" t="s">
        <v>12</v>
      </c>
      <c r="C2979" s="10" t="s">
        <v>443</v>
      </c>
      <c r="D2979" s="10" t="str">
        <f ca="1">IFERROR(__xludf.DUMMYFUNCTION(" VLOOKUP(A2976, IMPORTRANGE(""https://docs.google.com/spreadsheets/d/1fj_Bhi2XPL3siwIh4sx4VRLAe31yD50oKdj5UlRYW0c/"", ""Сводка!A:AA""), 11, FALSE)"),"978-588-238-275-7")</f>
        <v>978-588-238-275-7</v>
      </c>
      <c r="E2979" s="11" t="s">
        <v>11642</v>
      </c>
      <c r="F2979" s="11" t="s">
        <v>11643</v>
      </c>
      <c r="G2979" s="12">
        <f ca="1">IFERROR(__xludf.DUMMYFUNCTION(" VLOOKUP(A2976, IMPORTRANGE(""https://docs.google.com/spreadsheets/d/1fj_Bhi2XPL3siwIh4sx4VRLAe31yD50oKdj5UlRYW0c/"", ""Сводка!A:AA""), 5, FALSE)"),276)</f>
        <v>276</v>
      </c>
      <c r="H2979" s="12" t="s">
        <v>538</v>
      </c>
      <c r="I2979" s="10">
        <f ca="1">IFERROR(__xludf.DUMMYFUNCTION(" VLOOKUP(A2976, IMPORTRANGE(""https://docs.google.com/spreadsheets/d/1QNLbnkR_AongFt22vMfNzfpjZ0CjpI8QI-w0wBnYA1w/"", ""Инфа!A:AA""), 6, FALSE)"),2024)</f>
        <v>2024</v>
      </c>
      <c r="J2979" s="5">
        <f ca="1">ROUND((5000+G2979*30),-2)</f>
        <v>13300</v>
      </c>
      <c r="K2979" s="9" t="s">
        <v>271</v>
      </c>
      <c r="L2979" s="15"/>
    </row>
    <row r="2980" spans="1:12" ht="270">
      <c r="A2980" s="8" t="s">
        <v>11644</v>
      </c>
      <c r="B2980" s="9" t="s">
        <v>12</v>
      </c>
      <c r="C2980" s="10" t="s">
        <v>443</v>
      </c>
      <c r="D2980" s="10" t="str">
        <f ca="1">IFERROR(__xludf.DUMMYFUNCTION(" VLOOKUP(A2977, IMPORTRANGE(""https://docs.google.com/spreadsheets/d/1fj_Bhi2XPL3siwIh4sx4VRLAe31yD50oKdj5UlRYW0c/"", ""Сводка!A:AA""), 11, FALSE)"),"978-601-310-833-9")</f>
        <v>978-601-310-833-9</v>
      </c>
      <c r="E2980" s="25" t="s">
        <v>11645</v>
      </c>
      <c r="F2980" s="25" t="s">
        <v>11646</v>
      </c>
      <c r="G2980" s="12">
        <f ca="1">IFERROR(__xludf.DUMMYFUNCTION(" VLOOKUP(A2977, IMPORTRANGE(""https://docs.google.com/spreadsheets/d/1fj_Bhi2XPL3siwIh4sx4VRLAe31yD50oKdj5UlRYW0c/"", ""Сводка!A:AA""), 5, FALSE)"),256)</f>
        <v>256</v>
      </c>
      <c r="H2980" s="26" t="s">
        <v>106</v>
      </c>
      <c r="I2980" s="10">
        <f ca="1">IFERROR(__xludf.DUMMYFUNCTION(" VLOOKUP(A2977, IMPORTRANGE(""https://docs.google.com/spreadsheets/d/1QNLbnkR_AongFt22vMfNzfpjZ0CjpI8QI-w0wBnYA1w/"", ""Инфа!A:AA""), 6, FALSE)"),2024)</f>
        <v>2024</v>
      </c>
      <c r="J2980" s="5">
        <f ca="1">ROUND((5000+G2980*30),-2)</f>
        <v>12700</v>
      </c>
      <c r="K2980" s="9" t="s">
        <v>539</v>
      </c>
      <c r="L2980" s="83" t="s">
        <v>11647</v>
      </c>
    </row>
    <row r="2981" spans="1:12" ht="191.25">
      <c r="A2981" s="8" t="s">
        <v>11648</v>
      </c>
      <c r="B2981" s="9" t="s">
        <v>12</v>
      </c>
      <c r="C2981" s="10" t="s">
        <v>443</v>
      </c>
      <c r="D2981" s="10" t="str">
        <f ca="1">IFERROR(__xludf.DUMMYFUNCTION(" VLOOKUP(A2978, IMPORTRANGE(""https://docs.google.com/spreadsheets/d/1fj_Bhi2XPL3siwIh4sx4VRLAe31yD50oKdj5UlRYW0c/"", ""Сводка!A:AA""), 11, FALSE)"),"978-601-310-834-6")</f>
        <v>978-601-310-834-6</v>
      </c>
      <c r="E2981" s="25" t="s">
        <v>11645</v>
      </c>
      <c r="F2981" s="25" t="s">
        <v>11649</v>
      </c>
      <c r="G2981" s="12">
        <f ca="1">IFERROR(__xludf.DUMMYFUNCTION(" VLOOKUP(A2978, IMPORTRANGE(""https://docs.google.com/spreadsheets/d/1fj_Bhi2XPL3siwIh4sx4VRLAe31yD50oKdj5UlRYW0c/"", ""Сводка!A:AA""), 5, FALSE)"),100)</f>
        <v>100</v>
      </c>
      <c r="H2981" s="26" t="s">
        <v>777</v>
      </c>
      <c r="I2981" s="10">
        <f ca="1">IFERROR(__xludf.DUMMYFUNCTION(" VLOOKUP(A2978, IMPORTRANGE(""https://docs.google.com/spreadsheets/d/1QNLbnkR_AongFt22vMfNzfpjZ0CjpI8QI-w0wBnYA1w/"", ""Инфа!A:AA""), 6, FALSE)"),2024)</f>
        <v>2024</v>
      </c>
      <c r="J2981" s="5">
        <f ca="1">ROUND((5000+G2981*30),-2)</f>
        <v>8000</v>
      </c>
      <c r="K2981" s="9" t="s">
        <v>539</v>
      </c>
      <c r="L2981" s="15" t="s">
        <v>11650</v>
      </c>
    </row>
    <row r="2982" spans="1:12" ht="213.75">
      <c r="A2982" s="8" t="s">
        <v>11651</v>
      </c>
      <c r="B2982" s="9" t="s">
        <v>12</v>
      </c>
      <c r="C2982" s="10" t="s">
        <v>443</v>
      </c>
      <c r="D2982" s="10" t="str">
        <f ca="1">IFERROR(__xludf.DUMMYFUNCTION(" VLOOKUP(A2979, IMPORTRANGE(""https://docs.google.com/spreadsheets/d/1fj_Bhi2XPL3siwIh4sx4VRLAe31yD50oKdj5UlRYW0c/"", ""Сводка!A:AA""), 11, FALSE)"),"978-601-240-410-4")</f>
        <v>978-601-240-410-4</v>
      </c>
      <c r="E2982" s="11" t="s">
        <v>11652</v>
      </c>
      <c r="F2982" s="11" t="s">
        <v>3282</v>
      </c>
      <c r="G2982" s="12">
        <f ca="1">IFERROR(__xludf.DUMMYFUNCTION(" VLOOKUP(A2979, IMPORTRANGE(""https://docs.google.com/spreadsheets/d/1fj_Bhi2XPL3siwIh4sx4VRLAe31yD50oKdj5UlRYW0c/"", ""Сводка!A:AA""), 5, FALSE)"),120)</f>
        <v>120</v>
      </c>
      <c r="H2982" s="12" t="s">
        <v>446</v>
      </c>
      <c r="I2982" s="10">
        <f ca="1">IFERROR(__xludf.DUMMYFUNCTION(" VLOOKUP(A2979, IMPORTRANGE(""https://docs.google.com/spreadsheets/d/1QNLbnkR_AongFt22vMfNzfpjZ0CjpI8QI-w0wBnYA1w/"", ""Инфа!A:AA""), 6, FALSE)"),2024)</f>
        <v>2024</v>
      </c>
      <c r="J2982" s="5">
        <f ca="1">ROUND((5000+G2982*60),-2)</f>
        <v>12200</v>
      </c>
      <c r="K2982" s="9" t="s">
        <v>3371</v>
      </c>
      <c r="L2982" s="15" t="s">
        <v>11653</v>
      </c>
    </row>
    <row r="2983" spans="1:12" ht="225">
      <c r="A2983" s="8" t="s">
        <v>11654</v>
      </c>
      <c r="B2983" s="9" t="s">
        <v>12</v>
      </c>
      <c r="C2983" s="10" t="s">
        <v>443</v>
      </c>
      <c r="D2983" s="10" t="str">
        <f ca="1">IFERROR(__xludf.DUMMYFUNCTION(" VLOOKUP(A2980, IMPORTRANGE(""https://docs.google.com/spreadsheets/d/1fj_Bhi2XPL3siwIh4sx4VRLAe31yD50oKdj5UlRYW0c/"", ""Сводка!A:AA""), 11, FALSE)"),"978-601-327-296-2")</f>
        <v>978-601-327-296-2</v>
      </c>
      <c r="E2983" s="11" t="s">
        <v>11655</v>
      </c>
      <c r="F2983" s="11" t="s">
        <v>11656</v>
      </c>
      <c r="G2983" s="12">
        <f ca="1">IFERROR(__xludf.DUMMYFUNCTION(" VLOOKUP(A2980, IMPORTRANGE(""https://docs.google.com/spreadsheets/d/1fj_Bhi2XPL3siwIh4sx4VRLAe31yD50oKdj5UlRYW0c/"", ""Сводка!A:AA""), 5, FALSE)"),220)</f>
        <v>220</v>
      </c>
      <c r="H2983" s="12" t="s">
        <v>446</v>
      </c>
      <c r="I2983" s="10">
        <f ca="1">IFERROR(__xludf.DUMMYFUNCTION(" VLOOKUP(A2980, IMPORTRANGE(""https://docs.google.com/spreadsheets/d/1QNLbnkR_AongFt22vMfNzfpjZ0CjpI8QI-w0wBnYA1w/"", ""Инфа!A:AA""), 6, FALSE)"),2024)</f>
        <v>2024</v>
      </c>
      <c r="J2983" s="5">
        <f ca="1">ROUND((5000+G2983*60),-2)</f>
        <v>18200</v>
      </c>
      <c r="K2983" s="12" t="s">
        <v>248</v>
      </c>
      <c r="L2983" s="15" t="s">
        <v>11657</v>
      </c>
    </row>
    <row r="2984" spans="1:12" ht="146.25">
      <c r="A2984" s="8" t="s">
        <v>11658</v>
      </c>
      <c r="B2984" s="9" t="s">
        <v>12</v>
      </c>
      <c r="C2984" s="10" t="s">
        <v>443</v>
      </c>
      <c r="D2984" s="10" t="str">
        <f ca="1">IFERROR(__xludf.DUMMYFUNCTION(" VLOOKUP(A2981, IMPORTRANGE(""https://docs.google.com/spreadsheets/d/1fj_Bhi2XPL3siwIh4sx4VRLAe31yD50oKdj5UlRYW0c/"", ""Сводка!A:AA""), 11, FALSE)"),"978-601-342-463-7")</f>
        <v>978-601-342-463-7</v>
      </c>
      <c r="E2984" s="11" t="s">
        <v>11659</v>
      </c>
      <c r="F2984" s="11" t="s">
        <v>11660</v>
      </c>
      <c r="G2984" s="12">
        <f ca="1">IFERROR(__xludf.DUMMYFUNCTION(" VLOOKUP(A2981, IMPORTRANGE(""https://docs.google.com/spreadsheets/d/1fj_Bhi2XPL3siwIh4sx4VRLAe31yD50oKdj5UlRYW0c/"", ""Сводка!A:AA""), 5, FALSE)"),124)</f>
        <v>124</v>
      </c>
      <c r="H2984" s="12" t="s">
        <v>538</v>
      </c>
      <c r="I2984" s="10">
        <f ca="1">IFERROR(__xludf.DUMMYFUNCTION(" VLOOKUP(A2981, IMPORTRANGE(""https://docs.google.com/spreadsheets/d/1QNLbnkR_AongFt22vMfNzfpjZ0CjpI8QI-w0wBnYA1w/"", ""Инфа!A:AA""), 6, FALSE)"),2024)</f>
        <v>2024</v>
      </c>
      <c r="J2984" s="5">
        <f ca="1">ROUND((5000+G2984*30),-2)</f>
        <v>8700</v>
      </c>
      <c r="K2984" s="12" t="s">
        <v>2421</v>
      </c>
      <c r="L2984" s="15" t="s">
        <v>11661</v>
      </c>
    </row>
    <row r="2985" spans="1:12" ht="112.5">
      <c r="A2985" s="8" t="s">
        <v>11662</v>
      </c>
      <c r="B2985" s="9" t="s">
        <v>12</v>
      </c>
      <c r="C2985" s="10" t="s">
        <v>443</v>
      </c>
      <c r="D2985" s="10" t="str">
        <f ca="1">IFERROR(__xludf.DUMMYFUNCTION(" VLOOKUP(A2982, IMPORTRANGE(""https://docs.google.com/spreadsheets/d/1fj_Bhi2XPL3siwIh4sx4VRLAe31yD50oKdj5UlRYW0c/"", ""Сводка!A:AA""), 11, FALSE)"),"978-601-342-463-8")</f>
        <v>978-601-342-463-8</v>
      </c>
      <c r="E2985" s="11" t="s">
        <v>11663</v>
      </c>
      <c r="F2985" s="11" t="s">
        <v>11664</v>
      </c>
      <c r="G2985" s="12">
        <f ca="1">IFERROR(__xludf.DUMMYFUNCTION(" VLOOKUP(A2982, IMPORTRANGE(""https://docs.google.com/spreadsheets/d/1fj_Bhi2XPL3siwIh4sx4VRLAe31yD50oKdj5UlRYW0c/"", ""Сводка!A:AA""), 5, FALSE)"),168)</f>
        <v>168</v>
      </c>
      <c r="H2985" s="12" t="s">
        <v>538</v>
      </c>
      <c r="I2985" s="10">
        <f ca="1">IFERROR(__xludf.DUMMYFUNCTION(" VLOOKUP(A2982, IMPORTRANGE(""https://docs.google.com/spreadsheets/d/1QNLbnkR_AongFt22vMfNzfpjZ0CjpI8QI-w0wBnYA1w/"", ""Инфа!A:AA""), 6, FALSE)"),2024)</f>
        <v>2024</v>
      </c>
      <c r="J2985" s="5">
        <f ca="1">ROUND((5000+G2985*60),-2)</f>
        <v>15100</v>
      </c>
      <c r="K2985" s="12" t="s">
        <v>2421</v>
      </c>
      <c r="L2985" s="15" t="s">
        <v>11665</v>
      </c>
    </row>
    <row r="2986" spans="1:12" ht="51">
      <c r="A2986" s="8" t="s">
        <v>11666</v>
      </c>
      <c r="B2986" s="9" t="s">
        <v>12</v>
      </c>
      <c r="C2986" s="10" t="s">
        <v>443</v>
      </c>
      <c r="D2986" s="10" t="str">
        <f ca="1">IFERROR(__xludf.DUMMYFUNCTION(" VLOOKUP(A2983, IMPORTRANGE(""https://docs.google.com/spreadsheets/d/1fj_Bhi2XPL3siwIh4sx4VRLAe31yD50oKdj5UlRYW0c/"", ""Сводка!A:AA""), 11, FALSE)"),"996-97-138-6")</f>
        <v>996-97-138-6</v>
      </c>
      <c r="E2986" s="19" t="s">
        <v>11667</v>
      </c>
      <c r="F2986" s="19" t="s">
        <v>11668</v>
      </c>
      <c r="G2986" s="12">
        <v>120</v>
      </c>
      <c r="H2986" s="12" t="s">
        <v>538</v>
      </c>
      <c r="I2986" s="10">
        <f ca="1">IFERROR(__xludf.DUMMYFUNCTION(" VLOOKUP(A2983, IMPORTRANGE(""https://docs.google.com/spreadsheets/d/1QNLbnkR_AongFt22vMfNzfpjZ0CjpI8QI-w0wBnYA1w/"", ""Инфа!A:AA""), 6, FALSE)"),2024)</f>
        <v>2024</v>
      </c>
      <c r="J2986" s="5">
        <f>ROUND((5000+G2986*30),-2)</f>
        <v>8600</v>
      </c>
      <c r="K2986" s="9" t="s">
        <v>1681</v>
      </c>
      <c r="L2986" s="15"/>
    </row>
    <row r="2987" spans="1:12" ht="213.75">
      <c r="A2987" s="8" t="s">
        <v>11669</v>
      </c>
      <c r="B2987" s="9" t="s">
        <v>12</v>
      </c>
      <c r="C2987" s="10" t="s">
        <v>443</v>
      </c>
      <c r="D2987" s="10" t="s">
        <v>11670</v>
      </c>
      <c r="E2987" s="11" t="s">
        <v>11671</v>
      </c>
      <c r="F2987" s="11" t="s">
        <v>11672</v>
      </c>
      <c r="G2987" s="12">
        <f ca="1">IFERROR(__xludf.DUMMYFUNCTION(" VLOOKUP(A2984, IMPORTRANGE(""https://docs.google.com/spreadsheets/d/1fj_Bhi2XPL3siwIh4sx4VRLAe31yD50oKdj5UlRYW0c/"", ""Сводка!A:AA""), 5, FALSE)"),152)</f>
        <v>152</v>
      </c>
      <c r="H2987" s="12" t="s">
        <v>538</v>
      </c>
      <c r="I2987" s="10">
        <f ca="1">IFERROR(__xludf.DUMMYFUNCTION(" VLOOKUP(A2984, IMPORTRANGE(""https://docs.google.com/spreadsheets/d/1QNLbnkR_AongFt22vMfNzfpjZ0CjpI8QI-w0wBnYA1w/"", ""Инфа!A:AA""), 6, FALSE)"),2024)</f>
        <v>2024</v>
      </c>
      <c r="J2987" s="5">
        <f ca="1">ROUND((5000+G2987*30),-2)</f>
        <v>9600</v>
      </c>
      <c r="K2987" s="12" t="s">
        <v>1581</v>
      </c>
      <c r="L2987" s="15" t="s">
        <v>11673</v>
      </c>
    </row>
    <row r="2988" spans="1:12" ht="270">
      <c r="A2988" s="8" t="s">
        <v>11674</v>
      </c>
      <c r="B2988" s="9" t="s">
        <v>12</v>
      </c>
      <c r="C2988" s="10" t="s">
        <v>151</v>
      </c>
      <c r="D2988" s="10" t="str">
        <f ca="1">IFERROR(__xludf.DUMMYFUNCTION(" VLOOKUP(A2985, IMPORTRANGE(""https://docs.google.com/spreadsheets/d/1fj_Bhi2XPL3siwIh4sx4VRLAe31yD50oKdj5UlRYW0c/"", ""Сводка!A:AA""), 11, FALSE)"),"978-601-327-212-3")</f>
        <v>978-601-327-212-3</v>
      </c>
      <c r="E2988" s="11" t="s">
        <v>11671</v>
      </c>
      <c r="F2988" s="11" t="s">
        <v>11675</v>
      </c>
      <c r="G2988" s="12">
        <f ca="1">IFERROR(__xludf.DUMMYFUNCTION(" VLOOKUP(A2985, IMPORTRANGE(""https://docs.google.com/spreadsheets/d/1fj_Bhi2XPL3siwIh4sx4VRLAe31yD50oKdj5UlRYW0c/"", ""Сводка!A:AA""), 5, FALSE)"),152)</f>
        <v>152</v>
      </c>
      <c r="H2988" s="12" t="s">
        <v>106</v>
      </c>
      <c r="I2988" s="10">
        <f ca="1">IFERROR(__xludf.DUMMYFUNCTION(" VLOOKUP(A2985, IMPORTRANGE(""https://docs.google.com/spreadsheets/d/1QNLbnkR_AongFt22vMfNzfpjZ0CjpI8QI-w0wBnYA1w/"", ""Инфа!A:AA""), 6, FALSE)"),2024)</f>
        <v>2024</v>
      </c>
      <c r="J2988" s="5">
        <f ca="1">ROUND((5000+G2988*30),-2)</f>
        <v>9600</v>
      </c>
      <c r="K2988" s="12" t="s">
        <v>1581</v>
      </c>
      <c r="L2988" s="15" t="s">
        <v>11676</v>
      </c>
    </row>
    <row r="2989" spans="1:12" ht="38.25">
      <c r="A2989" s="8" t="s">
        <v>11677</v>
      </c>
      <c r="B2989" s="9" t="s">
        <v>12</v>
      </c>
      <c r="C2989" s="10" t="s">
        <v>443</v>
      </c>
      <c r="D2989" s="10" t="str">
        <f ca="1">IFERROR(__xludf.DUMMYFUNCTION(" VLOOKUP(A2986, IMPORTRANGE(""https://docs.google.com/spreadsheets/d/1fj_Bhi2XPL3siwIh4sx4VRLAe31yD50oKdj5UlRYW0c/"", ""Сводка!A:AA""), 11, FALSE)"),"978-601-310-532-1")</f>
        <v>978-601-310-532-1</v>
      </c>
      <c r="E2989" s="11" t="s">
        <v>11678</v>
      </c>
      <c r="F2989" s="11" t="s">
        <v>11679</v>
      </c>
      <c r="G2989" s="12">
        <f ca="1">IFERROR(__xludf.DUMMYFUNCTION(" VLOOKUP(A2986, IMPORTRANGE(""https://docs.google.com/spreadsheets/d/1fj_Bhi2XPL3siwIh4sx4VRLAe31yD50oKdj5UlRYW0c/"", ""Сводка!A:AA""), 5, FALSE)"),104)</f>
        <v>104</v>
      </c>
      <c r="H2989" s="12" t="s">
        <v>4928</v>
      </c>
      <c r="I2989" s="10">
        <f ca="1">IFERROR(__xludf.DUMMYFUNCTION(" VLOOKUP(A2986, IMPORTRANGE(""https://docs.google.com/spreadsheets/d/1QNLbnkR_AongFt22vMfNzfpjZ0CjpI8QI-w0wBnYA1w/"", ""Инфа!A:AA""), 6, FALSE)"),2024)</f>
        <v>2024</v>
      </c>
      <c r="J2989" s="5">
        <f ca="1">ROUND((5000+G2989*30),-2)</f>
        <v>8100</v>
      </c>
      <c r="K2989" s="9" t="s">
        <v>539</v>
      </c>
      <c r="L2989" s="15"/>
    </row>
    <row r="2990" spans="1:12" ht="38.25">
      <c r="A2990" s="8" t="s">
        <v>11680</v>
      </c>
      <c r="B2990" s="9" t="s">
        <v>12</v>
      </c>
      <c r="C2990" s="10" t="s">
        <v>443</v>
      </c>
      <c r="D2990" s="10" t="str">
        <f ca="1">IFERROR(__xludf.DUMMYFUNCTION(" VLOOKUP(A2987, IMPORTRANGE(""https://docs.google.com/spreadsheets/d/1fj_Bhi2XPL3siwIh4sx4VRLAe31yD50oKdj5UlRYW0c/"", ""Сводка!A:AA""), 11, FALSE)"),"978-601-310-532-1")</f>
        <v>978-601-310-532-1</v>
      </c>
      <c r="E2990" s="11" t="s">
        <v>11681</v>
      </c>
      <c r="F2990" s="11" t="s">
        <v>11682</v>
      </c>
      <c r="G2990" s="12">
        <f ca="1">IFERROR(__xludf.DUMMYFUNCTION(" VLOOKUP(A2987, IMPORTRANGE(""https://docs.google.com/spreadsheets/d/1fj_Bhi2XPL3siwIh4sx4VRLAe31yD50oKdj5UlRYW0c/"", ""Сводка!A:AA""), 5, FALSE)"),144)</f>
        <v>144</v>
      </c>
      <c r="H2990" s="12" t="s">
        <v>777</v>
      </c>
      <c r="I2990" s="10">
        <f ca="1">IFERROR(__xludf.DUMMYFUNCTION(" VLOOKUP(A2987, IMPORTRANGE(""https://docs.google.com/spreadsheets/d/1QNLbnkR_AongFt22vMfNzfpjZ0CjpI8QI-w0wBnYA1w/"", ""Инфа!A:AA""), 6, FALSE)"),2024)</f>
        <v>2024</v>
      </c>
      <c r="J2990" s="5">
        <f ca="1">ROUND((5000+G2990*60),-2)</f>
        <v>13600</v>
      </c>
      <c r="K2990" s="12" t="s">
        <v>26</v>
      </c>
      <c r="L2990" s="15"/>
    </row>
    <row r="2991" spans="1:12" ht="281.25">
      <c r="A2991" s="8" t="s">
        <v>11683</v>
      </c>
      <c r="B2991" s="9" t="s">
        <v>12</v>
      </c>
      <c r="C2991" s="10" t="s">
        <v>13</v>
      </c>
      <c r="D2991" s="10" t="str">
        <f ca="1">IFERROR(__xludf.DUMMYFUNCTION(" VLOOKUP(A2988, IMPORTRANGE(""https://docs.google.com/spreadsheets/d/1fj_Bhi2XPL3siwIh4sx4VRLAe31yD50oKdj5UlRYW0c/"", ""Сводка!A:AA""), 11, FALSE)"),"978-601-310-120-0")</f>
        <v>978-601-310-120-0</v>
      </c>
      <c r="E2991" s="11" t="s">
        <v>11684</v>
      </c>
      <c r="F2991" s="11" t="s">
        <v>11685</v>
      </c>
      <c r="G2991" s="12">
        <f ca="1">IFERROR(__xludf.DUMMYFUNCTION(" VLOOKUP(A2988, IMPORTRANGE(""https://docs.google.com/spreadsheets/d/1fj_Bhi2XPL3siwIh4sx4VRLAe31yD50oKdj5UlRYW0c/"", ""Сводка!A:AA""), 5, FALSE)"),100)</f>
        <v>100</v>
      </c>
      <c r="H2991" s="12" t="s">
        <v>47</v>
      </c>
      <c r="I2991" s="10">
        <f ca="1">IFERROR(__xludf.DUMMYFUNCTION(" VLOOKUP(A2988, IMPORTRANGE(""https://docs.google.com/spreadsheets/d/1QNLbnkR_AongFt22vMfNzfpjZ0CjpI8QI-w0wBnYA1w/"", ""Инфа!A:AA""), 6, FALSE)"),2024)</f>
        <v>2024</v>
      </c>
      <c r="J2991" s="5">
        <f ca="1">ROUND((5000+G2991*60),-2)</f>
        <v>11000</v>
      </c>
      <c r="K2991" s="9" t="s">
        <v>171</v>
      </c>
      <c r="L2991" s="15" t="s">
        <v>11686</v>
      </c>
    </row>
    <row r="2992" spans="1:12" ht="180">
      <c r="A2992" s="8" t="s">
        <v>11687</v>
      </c>
      <c r="B2992" s="9" t="s">
        <v>12</v>
      </c>
      <c r="C2992" s="10" t="s">
        <v>151</v>
      </c>
      <c r="D2992" s="10" t="str">
        <f ca="1">IFERROR(__xludf.DUMMYFUNCTION(" VLOOKUP(A2989, IMPORTRANGE(""https://docs.google.com/spreadsheets/d/1fj_Bhi2XPL3siwIh4sx4VRLAe31yD50oKdj5UlRYW0c/"", ""Сводка!A:AA""), 11, FALSE)"),"978-601-327-427-0")</f>
        <v>978-601-327-427-0</v>
      </c>
      <c r="E2992" s="11" t="s">
        <v>11688</v>
      </c>
      <c r="F2992" s="11" t="s">
        <v>11689</v>
      </c>
      <c r="G2992" s="12">
        <f ca="1">IFERROR(__xludf.DUMMYFUNCTION(" VLOOKUP(A2989, IMPORTRANGE(""https://docs.google.com/spreadsheets/d/1fj_Bhi2XPL3siwIh4sx4VRLAe31yD50oKdj5UlRYW0c/"", ""Сводка!A:AA""), 5, FALSE)"),100)</f>
        <v>100</v>
      </c>
      <c r="H2992" s="12" t="s">
        <v>11690</v>
      </c>
      <c r="I2992" s="10">
        <f ca="1">IFERROR(__xludf.DUMMYFUNCTION(" VLOOKUP(A2989, IMPORTRANGE(""https://docs.google.com/spreadsheets/d/1QNLbnkR_AongFt22vMfNzfpjZ0CjpI8QI-w0wBnYA1w/"", ""Инфа!A:AA""), 6, FALSE)"),2024)</f>
        <v>2024</v>
      </c>
      <c r="J2992" s="5">
        <f ca="1">ROUND((5000+G2992*30),-2)</f>
        <v>8000</v>
      </c>
      <c r="K2992" s="12" t="s">
        <v>1240</v>
      </c>
      <c r="L2992" s="15" t="s">
        <v>11691</v>
      </c>
    </row>
    <row r="2993" spans="1:12" ht="270">
      <c r="A2993" s="8" t="s">
        <v>11692</v>
      </c>
      <c r="B2993" s="9" t="s">
        <v>12</v>
      </c>
      <c r="C2993" s="10" t="s">
        <v>151</v>
      </c>
      <c r="D2993" s="10" t="str">
        <f ca="1">IFERROR(__xludf.DUMMYFUNCTION(" VLOOKUP(A2990, IMPORTRANGE(""https://docs.google.com/spreadsheets/d/1fj_Bhi2XPL3siwIh4sx4VRLAe31yD50oKdj5UlRYW0c/"", ""Сводка!A:AA""), 11, FALSE)"),"978-601-342-676-1")</f>
        <v>978-601-342-676-1</v>
      </c>
      <c r="E2993" s="11" t="s">
        <v>11693</v>
      </c>
      <c r="F2993" s="11" t="s">
        <v>11694</v>
      </c>
      <c r="G2993" s="12">
        <f ca="1">IFERROR(__xludf.DUMMYFUNCTION(" VLOOKUP(A2990, IMPORTRANGE(""https://docs.google.com/spreadsheets/d/1fj_Bhi2XPL3siwIh4sx4VRLAe31yD50oKdj5UlRYW0c/"", ""Сводка!A:AA""), 5, FALSE)"),228)</f>
        <v>228</v>
      </c>
      <c r="H2993" s="12" t="s">
        <v>11695</v>
      </c>
      <c r="I2993" s="10">
        <f ca="1">IFERROR(__xludf.DUMMYFUNCTION(" VLOOKUP(A2990, IMPORTRANGE(""https://docs.google.com/spreadsheets/d/1QNLbnkR_AongFt22vMfNzfpjZ0CjpI8QI-w0wBnYA1w/"", ""Инфа!A:AA""), 6, FALSE)"),2024)</f>
        <v>2024</v>
      </c>
      <c r="J2993" s="5">
        <f ca="1">ROUND((5000+G2993*60),-2)</f>
        <v>18700</v>
      </c>
      <c r="K2993" s="9" t="s">
        <v>248</v>
      </c>
      <c r="L2993" s="16" t="s">
        <v>11696</v>
      </c>
    </row>
    <row r="2994" spans="1:12" ht="202.5">
      <c r="A2994" s="8" t="s">
        <v>11697</v>
      </c>
      <c r="B2994" s="9" t="s">
        <v>12</v>
      </c>
      <c r="C2994" s="10" t="s">
        <v>443</v>
      </c>
      <c r="D2994" s="10" t="str">
        <f ca="1">IFERROR(__xludf.DUMMYFUNCTION(" VLOOKUP(A2991, IMPORTRANGE(""https://docs.google.com/spreadsheets/d/1fj_Bhi2XPL3siwIh4sx4VRLAe31yD50oKdj5UlRYW0c/"", ""Сводка!A:AA""), 11, FALSE)"),"978-601-342-448-2")</f>
        <v>978-601-342-448-2</v>
      </c>
      <c r="E2994" s="11" t="s">
        <v>11698</v>
      </c>
      <c r="F2994" s="11" t="s">
        <v>11699</v>
      </c>
      <c r="G2994" s="12">
        <f ca="1">IFERROR(__xludf.DUMMYFUNCTION(" VLOOKUP(A2991, IMPORTRANGE(""https://docs.google.com/spreadsheets/d/1fj_Bhi2XPL3siwIh4sx4VRLAe31yD50oKdj5UlRYW0c/"", ""Сводка!A:AA""), 5, FALSE)"),276)</f>
        <v>276</v>
      </c>
      <c r="H2994" s="12" t="s">
        <v>538</v>
      </c>
      <c r="I2994" s="10">
        <f ca="1">IFERROR(__xludf.DUMMYFUNCTION(" VLOOKUP(A2991, IMPORTRANGE(""https://docs.google.com/spreadsheets/d/1QNLbnkR_AongFt22vMfNzfpjZ0CjpI8QI-w0wBnYA1w/"", ""Инфа!A:AA""), 6, FALSE)"),2024)</f>
        <v>2024</v>
      </c>
      <c r="J2994" s="5">
        <f ca="1">ROUND((5000+G2994*60),-2)</f>
        <v>21600</v>
      </c>
      <c r="K2994" s="9" t="s">
        <v>248</v>
      </c>
      <c r="L2994" s="16" t="s">
        <v>11700</v>
      </c>
    </row>
    <row r="2995" spans="1:12" ht="146.25">
      <c r="A2995" s="8" t="s">
        <v>11701</v>
      </c>
      <c r="B2995" s="9" t="s">
        <v>12</v>
      </c>
      <c r="C2995" s="10" t="s">
        <v>443</v>
      </c>
      <c r="D2995" s="10" t="str">
        <f ca="1">IFERROR(__xludf.DUMMYFUNCTION(" VLOOKUP(A2992, IMPORTRANGE(""https://docs.google.com/spreadsheets/d/1fj_Bhi2XPL3siwIh4sx4VRLAe31yD50oKdj5UlRYW0c/"", ""Сводка!A:AA""), 11, FALSE)"),"978-601-342-671-6")</f>
        <v>978-601-342-671-6</v>
      </c>
      <c r="E2995" s="11" t="s">
        <v>11698</v>
      </c>
      <c r="F2995" s="11" t="s">
        <v>11702</v>
      </c>
      <c r="G2995" s="12">
        <f ca="1">IFERROR(__xludf.DUMMYFUNCTION(" VLOOKUP(A2992, IMPORTRANGE(""https://docs.google.com/spreadsheets/d/1fj_Bhi2XPL3siwIh4sx4VRLAe31yD50oKdj5UlRYW0c/"", ""Сводка!A:AA""), 5, FALSE)"),200)</f>
        <v>200</v>
      </c>
      <c r="H2995" s="12" t="s">
        <v>538</v>
      </c>
      <c r="I2995" s="10">
        <f ca="1">IFERROR(__xludf.DUMMYFUNCTION(" VLOOKUP(A2992, IMPORTRANGE(""https://docs.google.com/spreadsheets/d/1QNLbnkR_AongFt22vMfNzfpjZ0CjpI8QI-w0wBnYA1w/"", ""Инфа!A:AA""), 6, FALSE)"),2024)</f>
        <v>2024</v>
      </c>
      <c r="J2995" s="5">
        <f ca="1">ROUND((5000+G2995*60),-2)</f>
        <v>17000</v>
      </c>
      <c r="K2995" s="9" t="s">
        <v>248</v>
      </c>
      <c r="L2995" s="16" t="s">
        <v>11703</v>
      </c>
    </row>
    <row r="2996" spans="1:12" ht="202.5">
      <c r="A2996" s="8" t="s">
        <v>11704</v>
      </c>
      <c r="B2996" s="9" t="s">
        <v>12</v>
      </c>
      <c r="C2996" s="10" t="s">
        <v>443</v>
      </c>
      <c r="D2996" s="10" t="s">
        <v>11705</v>
      </c>
      <c r="E2996" s="11" t="s">
        <v>11698</v>
      </c>
      <c r="F2996" s="11" t="s">
        <v>11706</v>
      </c>
      <c r="G2996" s="12">
        <f ca="1">IFERROR(__xludf.DUMMYFUNCTION(" VLOOKUP(A2993, IMPORTRANGE(""https://docs.google.com/spreadsheets/d/1fj_Bhi2XPL3siwIh4sx4VRLAe31yD50oKdj5UlRYW0c/"", ""Сводка!A:AA""), 5, FALSE)"),156)</f>
        <v>156</v>
      </c>
      <c r="H2996" s="12" t="s">
        <v>538</v>
      </c>
      <c r="I2996" s="10">
        <f ca="1">IFERROR(__xludf.DUMMYFUNCTION(" VLOOKUP(A2993, IMPORTRANGE(""https://docs.google.com/spreadsheets/d/1QNLbnkR_AongFt22vMfNzfpjZ0CjpI8QI-w0wBnYA1w/"", ""Инфа!A:AA""), 6, FALSE)"),2024)</f>
        <v>2024</v>
      </c>
      <c r="J2996" s="5">
        <f ca="1">ROUND((5000+G2996*60),-2)</f>
        <v>14400</v>
      </c>
      <c r="K2996" s="9" t="s">
        <v>248</v>
      </c>
      <c r="L2996" s="16" t="s">
        <v>11700</v>
      </c>
    </row>
    <row r="2997" spans="1:12" ht="101.25">
      <c r="A2997" s="8" t="s">
        <v>11707</v>
      </c>
      <c r="B2997" s="9" t="s">
        <v>12</v>
      </c>
      <c r="C2997" s="10" t="s">
        <v>443</v>
      </c>
      <c r="D2997" s="10" t="str">
        <f ca="1">IFERROR(__xludf.DUMMYFUNCTION(" VLOOKUP(A2994, IMPORTRANGE(""https://docs.google.com/spreadsheets/d/1fj_Bhi2XPL3siwIh4sx4VRLAe31yD50oKdj5UlRYW0c/"", ""Сводка!A:AA""), 11, FALSE)"),"5-7667-3711-4")</f>
        <v>5-7667-3711-4</v>
      </c>
      <c r="E2997" s="11" t="s">
        <v>11708</v>
      </c>
      <c r="F2997" s="11" t="s">
        <v>11709</v>
      </c>
      <c r="G2997" s="12">
        <f ca="1">IFERROR(__xludf.DUMMYFUNCTION(" VLOOKUP(A2994, IMPORTRANGE(""https://docs.google.com/spreadsheets/d/1fj_Bhi2XPL3siwIh4sx4VRLAe31yD50oKdj5UlRYW0c/"", ""Сводка!A:AA""), 5, FALSE)"),276)</f>
        <v>276</v>
      </c>
      <c r="H2997" s="12" t="s">
        <v>511</v>
      </c>
      <c r="I2997" s="10">
        <f ca="1">IFERROR(__xludf.DUMMYFUNCTION(" VLOOKUP(A2994, IMPORTRANGE(""https://docs.google.com/spreadsheets/d/1QNLbnkR_AongFt22vMfNzfpjZ0CjpI8QI-w0wBnYA1w/"", ""Инфа!A:AA""), 6, FALSE)"),2024)</f>
        <v>2024</v>
      </c>
      <c r="J2997" s="5">
        <f ca="1">ROUND((5000+G2997*60),-2)</f>
        <v>21600</v>
      </c>
      <c r="K2997" s="12" t="s">
        <v>440</v>
      </c>
      <c r="L2997" s="15" t="s">
        <v>11710</v>
      </c>
    </row>
    <row r="2998" spans="1:12" ht="25.5">
      <c r="A2998" s="8" t="s">
        <v>11711</v>
      </c>
      <c r="B2998" s="9" t="s">
        <v>12</v>
      </c>
      <c r="C2998" s="10" t="s">
        <v>443</v>
      </c>
      <c r="D2998" s="10" t="str">
        <f ca="1">IFERROR(__xludf.DUMMYFUNCTION(" VLOOKUP(A2995, IMPORTRANGE(""https://docs.google.com/spreadsheets/d/1fj_Bhi2XPL3siwIh4sx4VRLAe31yD50oKdj5UlRYW0c/"", ""Сводка!A:AA""), 11, FALSE)"),"978-601-207-531-1")</f>
        <v>978-601-207-531-1</v>
      </c>
      <c r="E2998" s="11" t="s">
        <v>11712</v>
      </c>
      <c r="F2998" s="11" t="s">
        <v>11713</v>
      </c>
      <c r="G2998" s="12">
        <f ca="1">IFERROR(__xludf.DUMMYFUNCTION(" VLOOKUP(A2995, IMPORTRANGE(""https://docs.google.com/spreadsheets/d/1fj_Bhi2XPL3siwIh4sx4VRLAe31yD50oKdj5UlRYW0c/"", ""Сводка!A:AA""), 5, FALSE)"),136)</f>
        <v>136</v>
      </c>
      <c r="H2998" s="12" t="s">
        <v>538</v>
      </c>
      <c r="I2998" s="10">
        <f ca="1">IFERROR(__xludf.DUMMYFUNCTION(" VLOOKUP(A2995, IMPORTRANGE(""https://docs.google.com/spreadsheets/d/1QNLbnkR_AongFt22vMfNzfpjZ0CjpI8QI-w0wBnYA1w/"", ""Инфа!A:AA""), 6, FALSE)"),2024)</f>
        <v>2024</v>
      </c>
      <c r="J2998" s="5">
        <f ca="1">ROUND((5000+G2998*30),-2)</f>
        <v>9100</v>
      </c>
      <c r="K2998" s="9" t="s">
        <v>616</v>
      </c>
      <c r="L2998" s="15"/>
    </row>
    <row r="2999" spans="1:12" ht="25.5">
      <c r="A2999" s="8" t="s">
        <v>11714</v>
      </c>
      <c r="B2999" s="9" t="s">
        <v>12</v>
      </c>
      <c r="C2999" s="10" t="s">
        <v>443</v>
      </c>
      <c r="D2999" s="10" t="str">
        <f ca="1">IFERROR(__xludf.DUMMYFUNCTION(" VLOOKUP(A2996, IMPORTRANGE(""https://docs.google.com/spreadsheets/d/1fj_Bhi2XPL3siwIh4sx4VRLAe31yD50oKdj5UlRYW0c/"", ""Сводка!A:AA""), 11, FALSE)"),"978-601-207-497-0")</f>
        <v>978-601-207-497-0</v>
      </c>
      <c r="E2999" s="11" t="s">
        <v>11715</v>
      </c>
      <c r="F2999" s="11" t="s">
        <v>11716</v>
      </c>
      <c r="G2999" s="12">
        <f ca="1">IFERROR(__xludf.DUMMYFUNCTION(" VLOOKUP(A2996, IMPORTRANGE(""https://docs.google.com/spreadsheets/d/1fj_Bhi2XPL3siwIh4sx4VRLAe31yD50oKdj5UlRYW0c/"", ""Сводка!A:AA""), 5, FALSE)"),224)</f>
        <v>224</v>
      </c>
      <c r="H2999" s="12" t="s">
        <v>538</v>
      </c>
      <c r="I2999" s="10">
        <f ca="1">IFERROR(__xludf.DUMMYFUNCTION(" VLOOKUP(A2996, IMPORTRANGE(""https://docs.google.com/spreadsheets/d/1QNLbnkR_AongFt22vMfNzfpjZ0CjpI8QI-w0wBnYA1w/"", ""Инфа!A:AA""), 6, FALSE)"),2024)</f>
        <v>2024</v>
      </c>
      <c r="J2999" s="5">
        <f ca="1">ROUND((5000+G2999*30),-2)</f>
        <v>11700</v>
      </c>
      <c r="K2999" s="9" t="s">
        <v>616</v>
      </c>
      <c r="L2999" s="15"/>
    </row>
    <row r="3000" spans="1:12" ht="213.75">
      <c r="A3000" s="8" t="s">
        <v>11717</v>
      </c>
      <c r="B3000" s="9" t="s">
        <v>12</v>
      </c>
      <c r="C3000" s="13" t="s">
        <v>443</v>
      </c>
      <c r="D3000" s="10" t="str">
        <f ca="1">IFERROR(__xludf.DUMMYFUNCTION(" VLOOKUP(A2997, IMPORTRANGE(""https://docs.google.com/spreadsheets/d/1fj_Bhi2XPL3siwIh4sx4VRLAe31yD50oKdj5UlRYW0c/"", ""Сводка!A:AA""), 11, FALSE)"),"978-601-342-651-8")</f>
        <v>978-601-342-651-8</v>
      </c>
      <c r="E3000" s="19" t="s">
        <v>11718</v>
      </c>
      <c r="F3000" s="19" t="s">
        <v>11719</v>
      </c>
      <c r="G3000" s="12">
        <f ca="1">IFERROR(__xludf.DUMMYFUNCTION(" VLOOKUP(A2997, IMPORTRANGE(""https://docs.google.com/spreadsheets/d/1fj_Bhi2XPL3siwIh4sx4VRLAe31yD50oKdj5UlRYW0c/"", ""Сводка!A:AA""), 5, FALSE)"),212)</f>
        <v>212</v>
      </c>
      <c r="H3000" s="9" t="s">
        <v>11720</v>
      </c>
      <c r="I3000" s="10">
        <f ca="1">IFERROR(__xludf.DUMMYFUNCTION(" VLOOKUP(A2997, IMPORTRANGE(""https://docs.google.com/spreadsheets/d/1QNLbnkR_AongFt22vMfNzfpjZ0CjpI8QI-w0wBnYA1w/"", ""Инфа!A:AA""), 6, FALSE)"),2024)</f>
        <v>2024</v>
      </c>
      <c r="J3000" s="5">
        <f ca="1">ROUND((5000+G3000*30),-2)</f>
        <v>11400</v>
      </c>
      <c r="K3000" s="9" t="s">
        <v>570</v>
      </c>
      <c r="L3000" s="21" t="s">
        <v>11721</v>
      </c>
    </row>
    <row r="3001" spans="1:12" ht="270">
      <c r="A3001" s="8" t="s">
        <v>11722</v>
      </c>
      <c r="B3001" s="9" t="s">
        <v>12</v>
      </c>
      <c r="C3001" s="10" t="s">
        <v>21</v>
      </c>
      <c r="D3001" s="10" t="str">
        <f ca="1">IFERROR(__xludf.DUMMYFUNCTION(" VLOOKUP(A2998, IMPORTRANGE(""https://docs.google.com/spreadsheets/d/1fj_Bhi2XPL3siwIh4sx4VRLAe31yD50oKdj5UlRYW0c/"", ""Сводка!A:AA""), 11, FALSE)"),"978-601-327-984-8")</f>
        <v>978-601-327-984-8</v>
      </c>
      <c r="E3001" s="11" t="s">
        <v>11723</v>
      </c>
      <c r="F3001" s="11" t="s">
        <v>11724</v>
      </c>
      <c r="G3001" s="12">
        <f ca="1">IFERROR(__xludf.DUMMYFUNCTION(" VLOOKUP(A2998, IMPORTRANGE(""https://docs.google.com/spreadsheets/d/1fj_Bhi2XPL3siwIh4sx4VRLAe31yD50oKdj5UlRYW0c/"", ""Сводка!A:AA""), 5, FALSE)"),248)</f>
        <v>248</v>
      </c>
      <c r="H3001" s="12" t="s">
        <v>24</v>
      </c>
      <c r="I3001" s="10">
        <f ca="1">IFERROR(__xludf.DUMMYFUNCTION(" VLOOKUP(A2998, IMPORTRANGE(""https://docs.google.com/spreadsheets/d/1QNLbnkR_AongFt22vMfNzfpjZ0CjpI8QI-w0wBnYA1w/"", ""Инфа!A:AA""), 6, FALSE)"),2024)</f>
        <v>2024</v>
      </c>
      <c r="J3001" s="5">
        <f ca="1">ROUND((5000+G3001*60),-2)</f>
        <v>19900</v>
      </c>
      <c r="K3001" s="12" t="s">
        <v>5309</v>
      </c>
      <c r="L3001" s="15" t="s">
        <v>11725</v>
      </c>
    </row>
    <row r="3002" spans="1:12" ht="270">
      <c r="A3002" s="8" t="s">
        <v>11726</v>
      </c>
      <c r="B3002" s="9" t="s">
        <v>12</v>
      </c>
      <c r="C3002" s="10" t="s">
        <v>151</v>
      </c>
      <c r="D3002" s="10" t="str">
        <f ca="1">IFERROR(__xludf.DUMMYFUNCTION(" VLOOKUP(A2999, IMPORTRANGE(""https://docs.google.com/spreadsheets/d/1fj_Bhi2XPL3siwIh4sx4VRLAe31yD50oKdj5UlRYW0c/"", ""Сводка!A:AA""), 11, FALSE)"),"978-601-327-882-7")</f>
        <v>978-601-327-882-7</v>
      </c>
      <c r="E3002" s="11" t="s">
        <v>11727</v>
      </c>
      <c r="F3002" s="11" t="s">
        <v>11728</v>
      </c>
      <c r="G3002" s="12">
        <f ca="1">IFERROR(__xludf.DUMMYFUNCTION(" VLOOKUP(A2999, IMPORTRANGE(""https://docs.google.com/spreadsheets/d/1fj_Bhi2XPL3siwIh4sx4VRLAe31yD50oKdj5UlRYW0c/"", ""Сводка!A:AA""), 5, FALSE)"),280)</f>
        <v>280</v>
      </c>
      <c r="H3002" s="12" t="s">
        <v>24</v>
      </c>
      <c r="I3002" s="10">
        <f ca="1">IFERROR(__xludf.DUMMYFUNCTION(" VLOOKUP(A2999, IMPORTRANGE(""https://docs.google.com/spreadsheets/d/1QNLbnkR_AongFt22vMfNzfpjZ0CjpI8QI-w0wBnYA1w/"", ""Инфа!A:AA""), 6, FALSE)"),2024)</f>
        <v>2024</v>
      </c>
      <c r="J3002" s="5">
        <f ca="1">ROUND((5000+G3002*60),-2)</f>
        <v>21800</v>
      </c>
      <c r="K3002" s="12" t="s">
        <v>5309</v>
      </c>
      <c r="L3002" s="15" t="s">
        <v>11729</v>
      </c>
    </row>
    <row r="3003" spans="1:12" ht="213.75">
      <c r="A3003" s="8" t="s">
        <v>11730</v>
      </c>
      <c r="B3003" s="9" t="s">
        <v>12</v>
      </c>
      <c r="C3003" s="10" t="s">
        <v>151</v>
      </c>
      <c r="D3003" s="10" t="str">
        <f ca="1">IFERROR(__xludf.DUMMYFUNCTION(" VLOOKUP(A3000, IMPORTRANGE(""https://docs.google.com/spreadsheets/d/1fj_Bhi2XPL3siwIh4sx4VRLAe31yD50oKdj5UlRYW0c/"", ""Сводка!A:AA""), 11, FALSE)"),"978-601-327-883-4")</f>
        <v>978-601-327-883-4</v>
      </c>
      <c r="E3003" s="11" t="s">
        <v>11727</v>
      </c>
      <c r="F3003" s="11" t="s">
        <v>11731</v>
      </c>
      <c r="G3003" s="12">
        <f ca="1">IFERROR(__xludf.DUMMYFUNCTION(" VLOOKUP(A3000, IMPORTRANGE(""https://docs.google.com/spreadsheets/d/1fj_Bhi2XPL3siwIh4sx4VRLAe31yD50oKdj5UlRYW0c/"", ""Сводка!A:AA""), 5, FALSE)"),320)</f>
        <v>320</v>
      </c>
      <c r="H3003" s="12" t="s">
        <v>165</v>
      </c>
      <c r="I3003" s="10">
        <f ca="1">IFERROR(__xludf.DUMMYFUNCTION(" VLOOKUP(A3000, IMPORTRANGE(""https://docs.google.com/spreadsheets/d/1QNLbnkR_AongFt22vMfNzfpjZ0CjpI8QI-w0wBnYA1w/"", ""Инфа!A:AA""), 6, FALSE)"),2024)</f>
        <v>2024</v>
      </c>
      <c r="J3003" s="5">
        <f ca="1">ROUND((5000+G3003*30),-2)</f>
        <v>14600</v>
      </c>
      <c r="K3003" s="12" t="s">
        <v>5309</v>
      </c>
      <c r="L3003" s="15" t="s">
        <v>11732</v>
      </c>
    </row>
    <row r="3004" spans="1:12" ht="225">
      <c r="A3004" s="8" t="s">
        <v>11733</v>
      </c>
      <c r="B3004" s="9" t="s">
        <v>12</v>
      </c>
      <c r="C3004" s="10" t="s">
        <v>151</v>
      </c>
      <c r="D3004" s="10" t="str">
        <f ca="1">IFERROR(__xludf.DUMMYFUNCTION(" VLOOKUP(A3001, IMPORTRANGE(""https://docs.google.com/spreadsheets/d/1fj_Bhi2XPL3siwIh4sx4VRLAe31yD50oKdj5UlRYW0c/"", ""Сводка!A:AA""), 11, FALSE)"),"978-601-255-162-4")</f>
        <v>978-601-255-162-4</v>
      </c>
      <c r="E3004" s="11" t="s">
        <v>11734</v>
      </c>
      <c r="F3004" s="11" t="s">
        <v>11735</v>
      </c>
      <c r="G3004" s="12">
        <f ca="1">IFERROR(__xludf.DUMMYFUNCTION(" VLOOKUP(A3001, IMPORTRANGE(""https://docs.google.com/spreadsheets/d/1fj_Bhi2XPL3siwIh4sx4VRLAe31yD50oKdj5UlRYW0c/"", ""Сводка!A:AA""), 5, FALSE)"),144)</f>
        <v>144</v>
      </c>
      <c r="H3004" s="12" t="s">
        <v>165</v>
      </c>
      <c r="I3004" s="10">
        <f ca="1">IFERROR(__xludf.DUMMYFUNCTION(" VLOOKUP(A3001, IMPORTRANGE(""https://docs.google.com/spreadsheets/d/1QNLbnkR_AongFt22vMfNzfpjZ0CjpI8QI-w0wBnYA1w/"", ""Инфа!A:AA""), 6, FALSE)"),2024)</f>
        <v>2024</v>
      </c>
      <c r="J3004" s="5">
        <f ca="1">ROUND((5000+G3004*30),-2)</f>
        <v>9300</v>
      </c>
      <c r="K3004" s="12" t="s">
        <v>368</v>
      </c>
      <c r="L3004" s="15" t="s">
        <v>11736</v>
      </c>
    </row>
    <row r="3005" spans="1:12" ht="225">
      <c r="A3005" s="8" t="s">
        <v>11737</v>
      </c>
      <c r="B3005" s="9" t="s">
        <v>12</v>
      </c>
      <c r="C3005" s="10" t="s">
        <v>151</v>
      </c>
      <c r="D3005" s="10" t="str">
        <f ca="1">IFERROR(__xludf.DUMMYFUNCTION(" VLOOKUP(A3002, IMPORTRANGE(""https://docs.google.com/spreadsheets/d/1fj_Bhi2XPL3siwIh4sx4VRLAe31yD50oKdj5UlRYW0c/"", ""Сводка!A:AA""), 11, FALSE)"),"978-601-342-272-5")</f>
        <v>978-601-342-272-5</v>
      </c>
      <c r="E3005" s="11" t="s">
        <v>11734</v>
      </c>
      <c r="F3005" s="11" t="s">
        <v>11738</v>
      </c>
      <c r="G3005" s="12">
        <f ca="1">IFERROR(__xludf.DUMMYFUNCTION(" VLOOKUP(A3002, IMPORTRANGE(""https://docs.google.com/spreadsheets/d/1fj_Bhi2XPL3siwIh4sx4VRLAe31yD50oKdj5UlRYW0c/"", ""Сводка!A:AA""), 5, FALSE)"),196)</f>
        <v>196</v>
      </c>
      <c r="H3005" s="12" t="s">
        <v>165</v>
      </c>
      <c r="I3005" s="10">
        <f ca="1">IFERROR(__xludf.DUMMYFUNCTION(" VLOOKUP(A3002, IMPORTRANGE(""https://docs.google.com/spreadsheets/d/1QNLbnkR_AongFt22vMfNzfpjZ0CjpI8QI-w0wBnYA1w/"", ""Инфа!A:AA""), 6, FALSE)"),2024)</f>
        <v>2024</v>
      </c>
      <c r="J3005" s="5">
        <f ca="1">ROUND((5000+G3005*60),-2)</f>
        <v>16800</v>
      </c>
      <c r="K3005" s="12" t="s">
        <v>368</v>
      </c>
      <c r="L3005" s="15" t="s">
        <v>11739</v>
      </c>
    </row>
    <row r="3006" spans="1:12" ht="135">
      <c r="A3006" s="8" t="s">
        <v>11740</v>
      </c>
      <c r="B3006" s="9" t="s">
        <v>12</v>
      </c>
      <c r="C3006" s="10" t="s">
        <v>151</v>
      </c>
      <c r="D3006" s="10" t="str">
        <f ca="1">IFERROR(__xludf.DUMMYFUNCTION(" VLOOKUP(A3003, IMPORTRANGE(""https://docs.google.com/spreadsheets/d/1fj_Bhi2XPL3siwIh4sx4VRLAe31yD50oKdj5UlRYW0c/"", ""Сводка!A:AA""), 11, FALSE)"),"978-601-342-536-8")</f>
        <v>978-601-342-536-8</v>
      </c>
      <c r="E3006" s="11" t="s">
        <v>11734</v>
      </c>
      <c r="F3006" s="11" t="s">
        <v>11741</v>
      </c>
      <c r="G3006" s="12">
        <f ca="1">IFERROR(__xludf.DUMMYFUNCTION(" VLOOKUP(A3003, IMPORTRANGE(""https://docs.google.com/spreadsheets/d/1fj_Bhi2XPL3siwIh4sx4VRLAe31yD50oKdj5UlRYW0c/"", ""Сводка!A:AA""), 5, FALSE)"),120)</f>
        <v>120</v>
      </c>
      <c r="H3006" s="12" t="s">
        <v>1950</v>
      </c>
      <c r="I3006" s="10">
        <f ca="1">IFERROR(__xludf.DUMMYFUNCTION(" VLOOKUP(A3003, IMPORTRANGE(""https://docs.google.com/spreadsheets/d/1QNLbnkR_AongFt22vMfNzfpjZ0CjpI8QI-w0wBnYA1w/"", ""Инфа!A:AA""), 6, FALSE)"),2024)</f>
        <v>2024</v>
      </c>
      <c r="J3006" s="5">
        <f ca="1">ROUND((5000+G3006*60),-2)</f>
        <v>12200</v>
      </c>
      <c r="K3006" s="12" t="s">
        <v>368</v>
      </c>
      <c r="L3006" s="15" t="s">
        <v>11742</v>
      </c>
    </row>
    <row r="3007" spans="1:12" ht="112.5">
      <c r="A3007" s="8" t="s">
        <v>11743</v>
      </c>
      <c r="B3007" s="9" t="s">
        <v>12</v>
      </c>
      <c r="C3007" s="10" t="s">
        <v>151</v>
      </c>
      <c r="D3007" s="10" t="str">
        <f ca="1">IFERROR(__xludf.DUMMYFUNCTION(" VLOOKUP(A3004, IMPORTRANGE(""https://docs.google.com/spreadsheets/d/1fj_Bhi2XPL3siwIh4sx4VRLAe31yD50oKdj5UlRYW0c/"", ""Сводка!A:AA""), 11, FALSE)"),"978-601-255-176-1")</f>
        <v>978-601-255-176-1</v>
      </c>
      <c r="E3007" s="11" t="s">
        <v>11734</v>
      </c>
      <c r="F3007" s="11" t="s">
        <v>11744</v>
      </c>
      <c r="G3007" s="12">
        <f ca="1">IFERROR(__xludf.DUMMYFUNCTION(" VLOOKUP(A3004, IMPORTRANGE(""https://docs.google.com/spreadsheets/d/1fj_Bhi2XPL3siwIh4sx4VRLAe31yD50oKdj5UlRYW0c/"", ""Сводка!A:AA""), 5, FALSE)"),120)</f>
        <v>120</v>
      </c>
      <c r="H3007" s="12" t="s">
        <v>11745</v>
      </c>
      <c r="I3007" s="10">
        <f ca="1">IFERROR(__xludf.DUMMYFUNCTION(" VLOOKUP(A3004, IMPORTRANGE(""https://docs.google.com/spreadsheets/d/1QNLbnkR_AongFt22vMfNzfpjZ0CjpI8QI-w0wBnYA1w/"", ""Инфа!A:AA""), 6, FALSE)"),2024)</f>
        <v>2024</v>
      </c>
      <c r="J3007" s="5">
        <f ca="1">ROUND((5000+G3007*60),-2)</f>
        <v>12200</v>
      </c>
      <c r="K3007" s="12" t="s">
        <v>368</v>
      </c>
      <c r="L3007" s="15" t="s">
        <v>11746</v>
      </c>
    </row>
    <row r="3008" spans="1:12" ht="112.5">
      <c r="A3008" s="8" t="s">
        <v>11747</v>
      </c>
      <c r="B3008" s="9" t="s">
        <v>12</v>
      </c>
      <c r="C3008" s="10" t="s">
        <v>151</v>
      </c>
      <c r="D3008" s="10" t="str">
        <f ca="1">IFERROR(__xludf.DUMMYFUNCTION(" VLOOKUP(A3005, IMPORTRANGE(""https://docs.google.com/spreadsheets/d/1fj_Bhi2XPL3siwIh4sx4VRLAe31yD50oKdj5UlRYW0c/"", ""Сводка!A:AA""), 11, FALSE)"),"978-601-342-508-5")</f>
        <v>978-601-342-508-5</v>
      </c>
      <c r="E3008" s="11" t="s">
        <v>11748</v>
      </c>
      <c r="F3008" s="11" t="s">
        <v>11749</v>
      </c>
      <c r="G3008" s="12">
        <f ca="1">IFERROR(__xludf.DUMMYFUNCTION(" VLOOKUP(A3005, IMPORTRANGE(""https://docs.google.com/spreadsheets/d/1fj_Bhi2XPL3siwIh4sx4VRLAe31yD50oKdj5UlRYW0c/"", ""Сводка!A:AA""), 5, FALSE)"),108)</f>
        <v>108</v>
      </c>
      <c r="H3008" s="12" t="s">
        <v>11745</v>
      </c>
      <c r="I3008" s="10">
        <f ca="1">IFERROR(__xludf.DUMMYFUNCTION(" VLOOKUP(A3005, IMPORTRANGE(""https://docs.google.com/spreadsheets/d/1QNLbnkR_AongFt22vMfNzfpjZ0CjpI8QI-w0wBnYA1w/"", ""Инфа!A:AA""), 6, FALSE)"),2024)</f>
        <v>2024</v>
      </c>
      <c r="J3008" s="5">
        <f ca="1">ROUND((5000+G3008*60),-2)</f>
        <v>11500</v>
      </c>
      <c r="K3008" s="12" t="s">
        <v>368</v>
      </c>
      <c r="L3008" s="15" t="s">
        <v>11750</v>
      </c>
    </row>
    <row r="3009" spans="1:12" ht="112.5">
      <c r="A3009" s="8" t="s">
        <v>11751</v>
      </c>
      <c r="B3009" s="9" t="s">
        <v>12</v>
      </c>
      <c r="C3009" s="10" t="s">
        <v>151</v>
      </c>
      <c r="D3009" s="10" t="str">
        <f ca="1">IFERROR(__xludf.DUMMYFUNCTION(" VLOOKUP(A3006, IMPORTRANGE(""https://docs.google.com/spreadsheets/d/1fj_Bhi2XPL3siwIh4sx4VRLAe31yD50oKdj5UlRYW0c/"", ""Сводка!A:AA""), 11, FALSE)"),"978-601-342-508-5")</f>
        <v>978-601-342-508-5</v>
      </c>
      <c r="E3009" s="11" t="s">
        <v>11752</v>
      </c>
      <c r="F3009" s="11" t="s">
        <v>11749</v>
      </c>
      <c r="G3009" s="12">
        <f ca="1">IFERROR(__xludf.DUMMYFUNCTION(" VLOOKUP(A3006, IMPORTRANGE(""https://docs.google.com/spreadsheets/d/1fj_Bhi2XPL3siwIh4sx4VRLAe31yD50oKdj5UlRYW0c/"", ""Сводка!A:AA""), 5, FALSE)"),88)</f>
        <v>88</v>
      </c>
      <c r="H3009" s="12" t="s">
        <v>1577</v>
      </c>
      <c r="I3009" s="10">
        <f ca="1">IFERROR(__xludf.DUMMYFUNCTION(" VLOOKUP(A3006, IMPORTRANGE(""https://docs.google.com/spreadsheets/d/1QNLbnkR_AongFt22vMfNzfpjZ0CjpI8QI-w0wBnYA1w/"", ""Инфа!A:AA""), 6, FALSE)"),2024)</f>
        <v>2024</v>
      </c>
      <c r="J3009" s="5">
        <f ca="1">ROUND((5000+G3009*30),-2)</f>
        <v>7600</v>
      </c>
      <c r="K3009" s="12" t="s">
        <v>368</v>
      </c>
      <c r="L3009" s="15" t="s">
        <v>11753</v>
      </c>
    </row>
    <row r="3010" spans="1:12" ht="180">
      <c r="A3010" s="8" t="s">
        <v>11754</v>
      </c>
      <c r="B3010" s="9" t="s">
        <v>12</v>
      </c>
      <c r="C3010" s="10" t="s">
        <v>151</v>
      </c>
      <c r="D3010" s="10" t="str">
        <f ca="1">IFERROR(__xludf.DUMMYFUNCTION(" VLOOKUP(A3007, IMPORTRANGE(""https://docs.google.com/spreadsheets/d/1fj_Bhi2XPL3siwIh4sx4VRLAe31yD50oKdj5UlRYW0c/"", ""Сводка!A:AA""), 11, FALSE)"),"978-601-327-792-9")</f>
        <v>978-601-327-792-9</v>
      </c>
      <c r="E3010" s="11" t="s">
        <v>11755</v>
      </c>
      <c r="F3010" s="11" t="s">
        <v>11744</v>
      </c>
      <c r="G3010" s="12">
        <f ca="1">IFERROR(__xludf.DUMMYFUNCTION(" VLOOKUP(A3007, IMPORTRANGE(""https://docs.google.com/spreadsheets/d/1fj_Bhi2XPL3siwIh4sx4VRLAe31yD50oKdj5UlRYW0c/"", ""Сводка!A:AA""), 5, FALSE)"),328)</f>
        <v>328</v>
      </c>
      <c r="H3010" s="12" t="s">
        <v>56</v>
      </c>
      <c r="I3010" s="10">
        <f ca="1">IFERROR(__xludf.DUMMYFUNCTION(" VLOOKUP(A3007, IMPORTRANGE(""https://docs.google.com/spreadsheets/d/1QNLbnkR_AongFt22vMfNzfpjZ0CjpI8QI-w0wBnYA1w/"", ""Инфа!A:AA""), 6, FALSE)"),2024)</f>
        <v>2024</v>
      </c>
      <c r="J3010" s="5">
        <f ca="1">ROUND((5000+G3010*60),-2)</f>
        <v>24700</v>
      </c>
      <c r="K3010" s="12" t="s">
        <v>368</v>
      </c>
      <c r="L3010" s="15" t="s">
        <v>11756</v>
      </c>
    </row>
    <row r="3011" spans="1:12" ht="168.75">
      <c r="A3011" s="8" t="s">
        <v>11757</v>
      </c>
      <c r="B3011" s="9" t="s">
        <v>12</v>
      </c>
      <c r="C3011" s="10" t="s">
        <v>151</v>
      </c>
      <c r="D3011" s="10" t="str">
        <f ca="1">IFERROR(__xludf.DUMMYFUNCTION(" VLOOKUP(A3008, IMPORTRANGE(""https://docs.google.com/spreadsheets/d/1fj_Bhi2XPL3siwIh4sx4VRLAe31yD50oKdj5UlRYW0c/"", ""Сводка!A:AA""), 11, FALSE)"),"978-601-342-270-1")</f>
        <v>978-601-342-270-1</v>
      </c>
      <c r="E3011" s="11" t="s">
        <v>11758</v>
      </c>
      <c r="F3011" s="11" t="s">
        <v>11759</v>
      </c>
      <c r="G3011" s="12">
        <f ca="1">IFERROR(__xludf.DUMMYFUNCTION(" VLOOKUP(A3008, IMPORTRANGE(""https://docs.google.com/spreadsheets/d/1fj_Bhi2XPL3siwIh4sx4VRLAe31yD50oKdj5UlRYW0c/"", ""Сводка!A:AA""), 5, FALSE)"),112)</f>
        <v>112</v>
      </c>
      <c r="H3011" s="12" t="s">
        <v>165</v>
      </c>
      <c r="I3011" s="10">
        <f ca="1">IFERROR(__xludf.DUMMYFUNCTION(" VLOOKUP(A3008, IMPORTRANGE(""https://docs.google.com/spreadsheets/d/1QNLbnkR_AongFt22vMfNzfpjZ0CjpI8QI-w0wBnYA1w/"", ""Инфа!A:AA""), 6, FALSE)"),2024)</f>
        <v>2024</v>
      </c>
      <c r="J3011" s="5">
        <f ca="1">ROUND((5000+G3011*30),-2)</f>
        <v>8400</v>
      </c>
      <c r="K3011" s="12" t="s">
        <v>368</v>
      </c>
      <c r="L3011" s="15" t="s">
        <v>11760</v>
      </c>
    </row>
    <row r="3012" spans="1:12" ht="123.75">
      <c r="A3012" s="8" t="s">
        <v>11761</v>
      </c>
      <c r="B3012" s="9" t="s">
        <v>12</v>
      </c>
      <c r="C3012" s="10" t="s">
        <v>151</v>
      </c>
      <c r="D3012" s="10" t="str">
        <f ca="1">IFERROR(__xludf.DUMMYFUNCTION(" VLOOKUP(A3009, IMPORTRANGE(""https://docs.google.com/spreadsheets/d/1fj_Bhi2XPL3siwIh4sx4VRLAe31yD50oKdj5UlRYW0c/"", ""Сводка!A:AA""), 11, FALSE)"),"978-601-342-269-5")</f>
        <v>978-601-342-269-5</v>
      </c>
      <c r="E3012" s="11" t="s">
        <v>11762</v>
      </c>
      <c r="F3012" s="11" t="s">
        <v>11763</v>
      </c>
      <c r="G3012" s="12">
        <f ca="1">IFERROR(__xludf.DUMMYFUNCTION(" VLOOKUP(A3009, IMPORTRANGE(""https://docs.google.com/spreadsheets/d/1fj_Bhi2XPL3siwIh4sx4VRLAe31yD50oKdj5UlRYW0c/"", ""Сводка!A:AA""), 5, FALSE)"),112)</f>
        <v>112</v>
      </c>
      <c r="H3012" s="12" t="s">
        <v>11745</v>
      </c>
      <c r="I3012" s="10">
        <f ca="1">IFERROR(__xludf.DUMMYFUNCTION(" VLOOKUP(A3009, IMPORTRANGE(""https://docs.google.com/spreadsheets/d/1QNLbnkR_AongFt22vMfNzfpjZ0CjpI8QI-w0wBnYA1w/"", ""Инфа!A:AA""), 6, FALSE)"),2024)</f>
        <v>2024</v>
      </c>
      <c r="J3012" s="5">
        <f ca="1">ROUND((5000+G3012*60),-2)</f>
        <v>11700</v>
      </c>
      <c r="K3012" s="12" t="s">
        <v>368</v>
      </c>
      <c r="L3012" s="15" t="s">
        <v>11764</v>
      </c>
    </row>
    <row r="3013" spans="1:12" ht="123.75">
      <c r="A3013" s="8" t="s">
        <v>11765</v>
      </c>
      <c r="B3013" s="9" t="s">
        <v>12</v>
      </c>
      <c r="C3013" s="10" t="s">
        <v>151</v>
      </c>
      <c r="D3013" s="10" t="str">
        <f ca="1">IFERROR(__xludf.DUMMYFUNCTION(" VLOOKUP(A3010, IMPORTRANGE(""https://docs.google.com/spreadsheets/d/1fj_Bhi2XPL3siwIh4sx4VRLAe31yD50oKdj5UlRYW0c/"", ""Сводка!A:AA""), 11, FALSE)"),"978-601-342-271-8")</f>
        <v>978-601-342-271-8</v>
      </c>
      <c r="E3013" s="11" t="s">
        <v>11766</v>
      </c>
      <c r="F3013" s="11" t="s">
        <v>11767</v>
      </c>
      <c r="G3013" s="12">
        <f ca="1">IFERROR(__xludf.DUMMYFUNCTION(" VLOOKUP(A3010, IMPORTRANGE(""https://docs.google.com/spreadsheets/d/1fj_Bhi2XPL3siwIh4sx4VRLAe31yD50oKdj5UlRYW0c/"", ""Сводка!A:AA""), 5, FALSE)"),116)</f>
        <v>116</v>
      </c>
      <c r="H3013" s="12" t="s">
        <v>11745</v>
      </c>
      <c r="I3013" s="10">
        <f ca="1">IFERROR(__xludf.DUMMYFUNCTION(" VLOOKUP(A3010, IMPORTRANGE(""https://docs.google.com/spreadsheets/d/1QNLbnkR_AongFt22vMfNzfpjZ0CjpI8QI-w0wBnYA1w/"", ""Инфа!A:AA""), 6, FALSE)"),2024)</f>
        <v>2024</v>
      </c>
      <c r="J3013" s="5">
        <f ca="1">ROUND((5000+G3013*60),-2)</f>
        <v>12000</v>
      </c>
      <c r="K3013" s="12" t="s">
        <v>368</v>
      </c>
      <c r="L3013" s="15" t="s">
        <v>11768</v>
      </c>
    </row>
    <row r="3014" spans="1:12" ht="112.5">
      <c r="A3014" s="8" t="s">
        <v>11769</v>
      </c>
      <c r="B3014" s="9" t="s">
        <v>12</v>
      </c>
      <c r="C3014" s="10" t="s">
        <v>151</v>
      </c>
      <c r="D3014" s="10" t="str">
        <f ca="1">IFERROR(__xludf.DUMMYFUNCTION(" VLOOKUP(A3011, IMPORTRANGE(""https://docs.google.com/spreadsheets/d/1fj_Bhi2XPL3siwIh4sx4VRLAe31yD50oKdj5UlRYW0c/"", ""Сводка!A:AA""), 11, FALSE)"),"978-601-342-462-0")</f>
        <v>978-601-342-462-0</v>
      </c>
      <c r="E3014" s="11" t="s">
        <v>11770</v>
      </c>
      <c r="F3014" s="11" t="s">
        <v>11771</v>
      </c>
      <c r="G3014" s="12">
        <f ca="1">IFERROR(__xludf.DUMMYFUNCTION(" VLOOKUP(A3011, IMPORTRANGE(""https://docs.google.com/spreadsheets/d/1fj_Bhi2XPL3siwIh4sx4VRLAe31yD50oKdj5UlRYW0c/"", ""Сводка!A:AA""), 5, FALSE)"),104)</f>
        <v>104</v>
      </c>
      <c r="H3014" s="12" t="s">
        <v>11745</v>
      </c>
      <c r="I3014" s="10">
        <f ca="1">IFERROR(__xludf.DUMMYFUNCTION(" VLOOKUP(A3011, IMPORTRANGE(""https://docs.google.com/spreadsheets/d/1QNLbnkR_AongFt22vMfNzfpjZ0CjpI8QI-w0wBnYA1w/"", ""Инфа!A:AA""), 6, FALSE)"),2024)</f>
        <v>2024</v>
      </c>
      <c r="J3014" s="5">
        <f ca="1">ROUND((5000+G3014*30),-2)</f>
        <v>8100</v>
      </c>
      <c r="K3014" s="12" t="s">
        <v>368</v>
      </c>
      <c r="L3014" s="15" t="s">
        <v>11772</v>
      </c>
    </row>
    <row r="3015" spans="1:12" ht="127.5">
      <c r="A3015" s="8" t="s">
        <v>11773</v>
      </c>
      <c r="B3015" s="9" t="s">
        <v>12</v>
      </c>
      <c r="C3015" s="10" t="s">
        <v>151</v>
      </c>
      <c r="D3015" s="10" t="str">
        <f ca="1">IFERROR(__xludf.DUMMYFUNCTION(" VLOOKUP(A3012, IMPORTRANGE(""https://docs.google.com/spreadsheets/d/1fj_Bhi2XPL3siwIh4sx4VRLAe31yD50oKdj5UlRYW0c/"", ""Сводка!A:AA""), 11, FALSE)"),"978-601-342-536-8")</f>
        <v>978-601-342-536-8</v>
      </c>
      <c r="E3015" s="11" t="s">
        <v>11774</v>
      </c>
      <c r="F3015" s="11" t="s">
        <v>11775</v>
      </c>
      <c r="G3015" s="12">
        <f ca="1">IFERROR(__xludf.DUMMYFUNCTION(" VLOOKUP(A3012, IMPORTRANGE(""https://docs.google.com/spreadsheets/d/1fj_Bhi2XPL3siwIh4sx4VRLAe31yD50oKdj5UlRYW0c/"", ""Сводка!A:AA""), 5, FALSE)"),120)</f>
        <v>120</v>
      </c>
      <c r="H3015" s="12" t="s">
        <v>11776</v>
      </c>
      <c r="I3015" s="10">
        <f ca="1">IFERROR(__xludf.DUMMYFUNCTION(" VLOOKUP(A3012, IMPORTRANGE(""https://docs.google.com/spreadsheets/d/1QNLbnkR_AongFt22vMfNzfpjZ0CjpI8QI-w0wBnYA1w/"", ""Инфа!A:AA""), 6, FALSE)"),2024)</f>
        <v>2024</v>
      </c>
      <c r="J3015" s="5">
        <f ca="1">ROUND((5000+G3015*60),-2)</f>
        <v>12200</v>
      </c>
      <c r="K3015" s="12" t="s">
        <v>368</v>
      </c>
      <c r="L3015" s="15" t="s">
        <v>11777</v>
      </c>
    </row>
    <row r="3016" spans="1:12" ht="135">
      <c r="A3016" s="8" t="s">
        <v>11778</v>
      </c>
      <c r="B3016" s="9" t="s">
        <v>12</v>
      </c>
      <c r="C3016" s="10" t="s">
        <v>443</v>
      </c>
      <c r="D3016" s="10" t="str">
        <f ca="1">IFERROR(__xludf.DUMMYFUNCTION(" VLOOKUP(A3013, IMPORTRANGE(""https://docs.google.com/spreadsheets/d/1fj_Bhi2XPL3siwIh4sx4VRLAe31yD50oKdj5UlRYW0c/"", ""Сводка!A:AA""), 11, FALSE)"),"978-601-327-339-6")</f>
        <v>978-601-327-339-6</v>
      </c>
      <c r="E3016" s="11" t="s">
        <v>5115</v>
      </c>
      <c r="F3016" s="11" t="s">
        <v>11779</v>
      </c>
      <c r="G3016" s="12">
        <f ca="1">IFERROR(__xludf.DUMMYFUNCTION(" VLOOKUP(A3013, IMPORTRANGE(""https://docs.google.com/spreadsheets/d/1fj_Bhi2XPL3siwIh4sx4VRLAe31yD50oKdj5UlRYW0c/"", ""Сводка!A:AA""), 5, FALSE)"),132)</f>
        <v>132</v>
      </c>
      <c r="H3016" s="12" t="s">
        <v>446</v>
      </c>
      <c r="I3016" s="10">
        <f ca="1">IFERROR(__xludf.DUMMYFUNCTION(" VLOOKUP(A3013, IMPORTRANGE(""https://docs.google.com/spreadsheets/d/1QNLbnkR_AongFt22vMfNzfpjZ0CjpI8QI-w0wBnYA1w/"", ""Инфа!A:AA""), 6, FALSE)"),2024)</f>
        <v>2024</v>
      </c>
      <c r="J3016" s="5">
        <f ca="1">ROUND(((5000+G3016*30)*1.3),-2)</f>
        <v>11600</v>
      </c>
      <c r="K3016" s="9" t="s">
        <v>408</v>
      </c>
      <c r="L3016" s="15" t="s">
        <v>11780</v>
      </c>
    </row>
    <row r="3017" spans="1:12" ht="135">
      <c r="A3017" s="8" t="s">
        <v>11781</v>
      </c>
      <c r="B3017" s="9" t="s">
        <v>12</v>
      </c>
      <c r="C3017" s="10" t="s">
        <v>443</v>
      </c>
      <c r="D3017" s="10" t="str">
        <f ca="1">IFERROR(__xludf.DUMMYFUNCTION(" VLOOKUP(A3014, IMPORTRANGE(""https://docs.google.com/spreadsheets/d/1fj_Bhi2XPL3siwIh4sx4VRLAe31yD50oKdj5UlRYW0c/"", ""Сводка!A:AA""), 11, FALSE)"),"978-601-327-702-8")</f>
        <v>978-601-327-702-8</v>
      </c>
      <c r="E3017" s="11" t="s">
        <v>5115</v>
      </c>
      <c r="F3017" s="11" t="s">
        <v>11782</v>
      </c>
      <c r="G3017" s="12">
        <f ca="1">IFERROR(__xludf.DUMMYFUNCTION(" VLOOKUP(A3014, IMPORTRANGE(""https://docs.google.com/spreadsheets/d/1fj_Bhi2XPL3siwIh4sx4VRLAe31yD50oKdj5UlRYW0c/"", ""Сводка!A:AA""), 5, FALSE)"),160)</f>
        <v>160</v>
      </c>
      <c r="H3017" s="12" t="s">
        <v>511</v>
      </c>
      <c r="I3017" s="10">
        <f ca="1">IFERROR(__xludf.DUMMYFUNCTION(" VLOOKUP(A3014, IMPORTRANGE(""https://docs.google.com/spreadsheets/d/1QNLbnkR_AongFt22vMfNzfpjZ0CjpI8QI-w0wBnYA1w/"", ""Инфа!A:AA""), 6, FALSE)"),2024)</f>
        <v>2024</v>
      </c>
      <c r="J3017" s="5">
        <f ca="1">ROUND((5000+G3017*60),-2)</f>
        <v>14600</v>
      </c>
      <c r="K3017" s="9" t="s">
        <v>408</v>
      </c>
      <c r="L3017" s="15" t="s">
        <v>11783</v>
      </c>
    </row>
    <row r="3018" spans="1:12" ht="90">
      <c r="A3018" s="8" t="s">
        <v>11784</v>
      </c>
      <c r="B3018" s="9" t="s">
        <v>12</v>
      </c>
      <c r="C3018" s="10" t="s">
        <v>443</v>
      </c>
      <c r="D3018" s="10" t="str">
        <f ca="1">IFERROR(__xludf.DUMMYFUNCTION(" VLOOKUP(A3015, IMPORTRANGE(""https://docs.google.com/spreadsheets/d/1fj_Bhi2XPL3siwIh4sx4VRLAe31yD50oKdj5UlRYW0c/"", ""Сводка!A:AA""), 11, FALSE)"),"978-601-327-982-4")</f>
        <v>978-601-327-982-4</v>
      </c>
      <c r="E3018" s="11" t="s">
        <v>5115</v>
      </c>
      <c r="F3018" s="11" t="s">
        <v>11785</v>
      </c>
      <c r="G3018" s="12">
        <f ca="1">IFERROR(__xludf.DUMMYFUNCTION(" VLOOKUP(A3015, IMPORTRANGE(""https://docs.google.com/spreadsheets/d/1fj_Bhi2XPL3siwIh4sx4VRLAe31yD50oKdj5UlRYW0c/"", ""Сводка!A:AA""), 5, FALSE)"),160)</f>
        <v>160</v>
      </c>
      <c r="H3018" s="12" t="s">
        <v>511</v>
      </c>
      <c r="I3018" s="10">
        <f ca="1">IFERROR(__xludf.DUMMYFUNCTION(" VLOOKUP(A3015, IMPORTRANGE(""https://docs.google.com/spreadsheets/d/1QNLbnkR_AongFt22vMfNzfpjZ0CjpI8QI-w0wBnYA1w/"", ""Инфа!A:AA""), 6, FALSE)"),2024)</f>
        <v>2024</v>
      </c>
      <c r="J3018" s="5">
        <f ca="1">ROUND((5000+G3018*60),-2)</f>
        <v>14600</v>
      </c>
      <c r="K3018" s="9" t="s">
        <v>408</v>
      </c>
      <c r="L3018" s="15" t="s">
        <v>11786</v>
      </c>
    </row>
    <row r="3019" spans="1:12" ht="146.25">
      <c r="A3019" s="8" t="s">
        <v>11787</v>
      </c>
      <c r="B3019" s="9" t="s">
        <v>12</v>
      </c>
      <c r="C3019" s="10" t="s">
        <v>151</v>
      </c>
      <c r="D3019" s="10" t="str">
        <f ca="1">IFERROR(__xludf.DUMMYFUNCTION(" VLOOKUP(A3016, IMPORTRANGE(""https://docs.google.com/spreadsheets/d/1fj_Bhi2XPL3siwIh4sx4VRLAe31yD50oKdj5UlRYW0c/"", ""Сводка!A:AA""), 11, FALSE)"),"978-601-342-226-8")</f>
        <v>978-601-342-226-8</v>
      </c>
      <c r="E3019" s="11" t="s">
        <v>5115</v>
      </c>
      <c r="F3019" s="11" t="s">
        <v>11788</v>
      </c>
      <c r="G3019" s="12">
        <f ca="1">IFERROR(__xludf.DUMMYFUNCTION(" VLOOKUP(A3016, IMPORTRANGE(""https://docs.google.com/spreadsheets/d/1fj_Bhi2XPL3siwIh4sx4VRLAe31yD50oKdj5UlRYW0c/"", ""Сводка!A:AA""), 5, FALSE)"),156)</f>
        <v>156</v>
      </c>
      <c r="H3019" s="12" t="s">
        <v>24</v>
      </c>
      <c r="I3019" s="10">
        <f ca="1">IFERROR(__xludf.DUMMYFUNCTION(" VLOOKUP(A3016, IMPORTRANGE(""https://docs.google.com/spreadsheets/d/1QNLbnkR_AongFt22vMfNzfpjZ0CjpI8QI-w0wBnYA1w/"", ""Инфа!A:AA""), 6, FALSE)"),2024)</f>
        <v>2024</v>
      </c>
      <c r="J3019" s="5">
        <f ca="1">ROUND((5000+G3019*60),-2)</f>
        <v>14400</v>
      </c>
      <c r="K3019" s="9" t="s">
        <v>408</v>
      </c>
      <c r="L3019" s="15" t="s">
        <v>11789</v>
      </c>
    </row>
    <row r="3020" spans="1:12" ht="90">
      <c r="A3020" s="8" t="s">
        <v>11790</v>
      </c>
      <c r="B3020" s="9" t="s">
        <v>12</v>
      </c>
      <c r="C3020" s="10" t="s">
        <v>443</v>
      </c>
      <c r="D3020" s="10" t="str">
        <f ca="1">IFERROR(__xludf.DUMMYFUNCTION(" VLOOKUP(A3017, IMPORTRANGE(""https://docs.google.com/spreadsheets/d/1fj_Bhi2XPL3siwIh4sx4VRLAe31yD50oKdj5UlRYW0c/"", ""Сводка!A:AA""), 11, FALSE)"),"978-601-342-222-0")</f>
        <v>978-601-342-222-0</v>
      </c>
      <c r="E3020" s="11" t="s">
        <v>5115</v>
      </c>
      <c r="F3020" s="11" t="s">
        <v>11791</v>
      </c>
      <c r="G3020" s="12">
        <f ca="1">IFERROR(__xludf.DUMMYFUNCTION(" VLOOKUP(A3017, IMPORTRANGE(""https://docs.google.com/spreadsheets/d/1fj_Bhi2XPL3siwIh4sx4VRLAe31yD50oKdj5UlRYW0c/"", ""Сводка!A:AA""), 5, FALSE)"),184)</f>
        <v>184</v>
      </c>
      <c r="H3020" s="12" t="s">
        <v>511</v>
      </c>
      <c r="I3020" s="10">
        <f ca="1">IFERROR(__xludf.DUMMYFUNCTION(" VLOOKUP(A3017, IMPORTRANGE(""https://docs.google.com/spreadsheets/d/1QNLbnkR_AongFt22vMfNzfpjZ0CjpI8QI-w0wBnYA1w/"", ""Инфа!A:AA""), 6, FALSE)"),2024)</f>
        <v>2024</v>
      </c>
      <c r="J3020" s="5">
        <f ca="1">ROUND((5000+G3020*60),-2)</f>
        <v>16000</v>
      </c>
      <c r="K3020" s="9" t="s">
        <v>408</v>
      </c>
      <c r="L3020" s="15" t="s">
        <v>11786</v>
      </c>
    </row>
    <row r="3021" spans="1:12" ht="25.5">
      <c r="A3021" s="8" t="s">
        <v>11792</v>
      </c>
      <c r="B3021" s="9" t="s">
        <v>12</v>
      </c>
      <c r="C3021" s="10" t="s">
        <v>151</v>
      </c>
      <c r="D3021" s="10" t="str">
        <f ca="1">IFERROR(__xludf.DUMMYFUNCTION(" VLOOKUP(A3018, IMPORTRANGE(""https://docs.google.com/spreadsheets/d/1fj_Bhi2XPL3siwIh4sx4VRLAe31yD50oKdj5UlRYW0c/"", ""Сводка!A:AA""), 11, FALSE)"),"9965-25-850-3")</f>
        <v>9965-25-850-3</v>
      </c>
      <c r="E3021" s="11" t="s">
        <v>11793</v>
      </c>
      <c r="F3021" s="11" t="s">
        <v>11794</v>
      </c>
      <c r="G3021" s="12">
        <f ca="1">IFERROR(__xludf.DUMMYFUNCTION(" VLOOKUP(A3018, IMPORTRANGE(""https://docs.google.com/spreadsheets/d/1fj_Bhi2XPL3siwIh4sx4VRLAe31yD50oKdj5UlRYW0c/"", ""Сводка!A:AA""), 5, FALSE)"),332)</f>
        <v>332</v>
      </c>
      <c r="H3021" s="12" t="s">
        <v>106</v>
      </c>
      <c r="I3021" s="10">
        <f ca="1">IFERROR(__xludf.DUMMYFUNCTION(" VLOOKUP(A3018, IMPORTRANGE(""https://docs.google.com/spreadsheets/d/1QNLbnkR_AongFt22vMfNzfpjZ0CjpI8QI-w0wBnYA1w/"", ""Инфа!A:AA""), 6, FALSE)"),2024)</f>
        <v>2024</v>
      </c>
      <c r="J3021" s="5">
        <f ca="1">ROUND(((5000+G3021*30)*1.3),-2)</f>
        <v>19400</v>
      </c>
      <c r="K3021" s="9" t="s">
        <v>69</v>
      </c>
      <c r="L3021" s="15"/>
    </row>
    <row r="3022" spans="1:12" ht="258.75">
      <c r="A3022" s="8" t="s">
        <v>11795</v>
      </c>
      <c r="B3022" s="9" t="s">
        <v>12</v>
      </c>
      <c r="C3022" s="10" t="s">
        <v>151</v>
      </c>
      <c r="D3022" s="10" t="str">
        <f ca="1">IFERROR(__xludf.DUMMYFUNCTION(" VLOOKUP(A3019, IMPORTRANGE(""https://docs.google.com/spreadsheets/d/1fj_Bhi2XPL3siwIh4sx4VRLAe31yD50oKdj5UlRYW0c/"", ""Сводка!A:AA""), 11, FALSE)"),"978-601-7182-08-3")</f>
        <v>978-601-7182-08-3</v>
      </c>
      <c r="E3022" s="11" t="s">
        <v>11793</v>
      </c>
      <c r="F3022" s="11" t="s">
        <v>11796</v>
      </c>
      <c r="G3022" s="12">
        <f ca="1">IFERROR(__xludf.DUMMYFUNCTION(" VLOOKUP(A3019, IMPORTRANGE(""https://docs.google.com/spreadsheets/d/1fj_Bhi2XPL3siwIh4sx4VRLAe31yD50oKdj5UlRYW0c/"", ""Сводка!A:AA""), 5, FALSE)"),324)</f>
        <v>324</v>
      </c>
      <c r="H3022" s="12" t="s">
        <v>106</v>
      </c>
      <c r="I3022" s="10">
        <f ca="1">IFERROR(__xludf.DUMMYFUNCTION(" VLOOKUP(A3019, IMPORTRANGE(""https://docs.google.com/spreadsheets/d/1QNLbnkR_AongFt22vMfNzfpjZ0CjpI8QI-w0wBnYA1w/"", ""Инфа!A:AA""), 6, FALSE)"),2024)</f>
        <v>2024</v>
      </c>
      <c r="J3022" s="5">
        <f ca="1">ROUND(((5000+G3022*60)*1.3),-2)</f>
        <v>31800</v>
      </c>
      <c r="K3022" s="9" t="s">
        <v>69</v>
      </c>
      <c r="L3022" s="15" t="s">
        <v>11797</v>
      </c>
    </row>
    <row r="3023" spans="1:12" ht="38.25">
      <c r="A3023" s="8" t="s">
        <v>11798</v>
      </c>
      <c r="B3023" s="9" t="s">
        <v>12</v>
      </c>
      <c r="C3023" s="10" t="s">
        <v>151</v>
      </c>
      <c r="D3023" s="10" t="str">
        <f ca="1">IFERROR(__xludf.DUMMYFUNCTION(" VLOOKUP(A3020, IMPORTRANGE(""https://docs.google.com/spreadsheets/d/1fj_Bhi2XPL3siwIh4sx4VRLAe31yD50oKdj5UlRYW0c/"", ""Сводка!A:AA""), 11, FALSE)"),"")</f>
        <v/>
      </c>
      <c r="E3023" s="11" t="s">
        <v>11799</v>
      </c>
      <c r="F3023" s="11" t="s">
        <v>11800</v>
      </c>
      <c r="G3023" s="12">
        <f ca="1">IFERROR(__xludf.DUMMYFUNCTION(" VLOOKUP(A3020, IMPORTRANGE(""https://docs.google.com/spreadsheets/d/1fj_Bhi2XPL3siwIh4sx4VRLAe31yD50oKdj5UlRYW0c/"", ""Сводка!A:AA""), 5, FALSE)"),208)</f>
        <v>208</v>
      </c>
      <c r="H3023" s="12" t="s">
        <v>498</v>
      </c>
      <c r="I3023" s="10">
        <f ca="1">IFERROR(__xludf.DUMMYFUNCTION(" VLOOKUP(A3020, IMPORTRANGE(""https://docs.google.com/spreadsheets/d/1QNLbnkR_AongFt22vMfNzfpjZ0CjpI8QI-w0wBnYA1w/"", ""Инфа!A:AA""), 6, FALSE)"),2024)</f>
        <v>2024</v>
      </c>
      <c r="J3023" s="5">
        <f ca="1">ROUND((5000+G3023*30),-2)</f>
        <v>11200</v>
      </c>
      <c r="K3023" s="12" t="s">
        <v>961</v>
      </c>
      <c r="L3023" s="15"/>
    </row>
    <row r="3024" spans="1:12" ht="51">
      <c r="A3024" s="8" t="s">
        <v>11801</v>
      </c>
      <c r="B3024" s="9" t="s">
        <v>12</v>
      </c>
      <c r="C3024" s="10" t="s">
        <v>151</v>
      </c>
      <c r="D3024" s="10" t="str">
        <f ca="1">IFERROR(__xludf.DUMMYFUNCTION(" VLOOKUP(A3021, IMPORTRANGE(""https://docs.google.com/spreadsheets/d/1fj_Bhi2XPL3siwIh4sx4VRLAe31yD50oKdj5UlRYW0c/"", ""Сводка!A:AA""), 11, FALSE)"),"978-601-310-140-8")</f>
        <v>978-601-310-140-8</v>
      </c>
      <c r="E3024" s="11" t="s">
        <v>11799</v>
      </c>
      <c r="F3024" s="11" t="s">
        <v>11802</v>
      </c>
      <c r="G3024" s="12">
        <f ca="1">IFERROR(__xludf.DUMMYFUNCTION(" VLOOKUP(A3021, IMPORTRANGE(""https://docs.google.com/spreadsheets/d/1fj_Bhi2XPL3siwIh4sx4VRLAe31yD50oKdj5UlRYW0c/"", ""Сводка!A:AA""), 5, FALSE)"),272)</f>
        <v>272</v>
      </c>
      <c r="H3024" s="12" t="s">
        <v>538</v>
      </c>
      <c r="I3024" s="10">
        <f ca="1">IFERROR(__xludf.DUMMYFUNCTION(" VLOOKUP(A3021, IMPORTRANGE(""https://docs.google.com/spreadsheets/d/1QNLbnkR_AongFt22vMfNzfpjZ0CjpI8QI-w0wBnYA1w/"", ""Инфа!A:AA""), 6, FALSE)"),2024)</f>
        <v>2024</v>
      </c>
      <c r="J3024" s="5">
        <f ca="1">ROUND((5000+G3024*30),-2)</f>
        <v>13200</v>
      </c>
      <c r="K3024" s="12" t="s">
        <v>1219</v>
      </c>
      <c r="L3024" s="15"/>
    </row>
    <row r="3025" spans="1:12" ht="101.25">
      <c r="A3025" s="8" t="s">
        <v>11803</v>
      </c>
      <c r="B3025" s="9" t="s">
        <v>12</v>
      </c>
      <c r="C3025" s="10" t="s">
        <v>151</v>
      </c>
      <c r="D3025" s="10" t="str">
        <f ca="1">IFERROR(__xludf.DUMMYFUNCTION(" VLOOKUP(A3022, IMPORTRANGE(""https://docs.google.com/spreadsheets/d/1fj_Bhi2XPL3siwIh4sx4VRLAe31yD50oKdj5UlRYW0c/"", ""Сводка!A:AA""), 11, FALSE)"),"978-601-240-781-5")</f>
        <v>978-601-240-781-5</v>
      </c>
      <c r="E3025" s="11" t="s">
        <v>11804</v>
      </c>
      <c r="F3025" s="11" t="s">
        <v>11805</v>
      </c>
      <c r="G3025" s="12">
        <f ca="1">IFERROR(__xludf.DUMMYFUNCTION(" VLOOKUP(A3022, IMPORTRANGE(""https://docs.google.com/spreadsheets/d/1fj_Bhi2XPL3siwIh4sx4VRLAe31yD50oKdj5UlRYW0c/"", ""Сводка!A:AA""), 5, FALSE)"),56)</f>
        <v>56</v>
      </c>
      <c r="H3025" s="12" t="s">
        <v>11806</v>
      </c>
      <c r="I3025" s="10">
        <f ca="1">IFERROR(__xludf.DUMMYFUNCTION(" VLOOKUP(A3022, IMPORTRANGE(""https://docs.google.com/spreadsheets/d/1QNLbnkR_AongFt22vMfNzfpjZ0CjpI8QI-w0wBnYA1w/"", ""Инфа!A:AA""), 6, FALSE)"),2024)</f>
        <v>2024</v>
      </c>
      <c r="J3025" s="5">
        <f ca="1">ROUND((5000+G3025*30),-2)</f>
        <v>6700</v>
      </c>
      <c r="K3025" s="12" t="s">
        <v>961</v>
      </c>
      <c r="L3025" s="15" t="s">
        <v>11807</v>
      </c>
    </row>
    <row r="3026" spans="1:12" ht="315">
      <c r="A3026" s="8" t="s">
        <v>11808</v>
      </c>
      <c r="B3026" s="9" t="s">
        <v>12</v>
      </c>
      <c r="C3026" s="10" t="s">
        <v>151</v>
      </c>
      <c r="D3026" s="10" t="str">
        <f ca="1">IFERROR(__xludf.DUMMYFUNCTION(" VLOOKUP(A3023, IMPORTRANGE(""https://docs.google.com/spreadsheets/d/1fj_Bhi2XPL3siwIh4sx4VRLAe31yD50oKdj5UlRYW0c/"", ""Сводка!A:AA""), 11, FALSE)"),"")</f>
        <v/>
      </c>
      <c r="E3026" s="22" t="s">
        <v>11809</v>
      </c>
      <c r="F3026" s="22" t="s">
        <v>11810</v>
      </c>
      <c r="G3026" s="12">
        <f ca="1">IFERROR(__xludf.DUMMYFUNCTION(" VLOOKUP(A3023, IMPORTRANGE(""https://docs.google.com/spreadsheets/d/1fj_Bhi2XPL3siwIh4sx4VRLAe31yD50oKdj5UlRYW0c/"", ""Сводка!A:AA""), 5, FALSE)"),332)</f>
        <v>332</v>
      </c>
      <c r="H3026" s="12" t="s">
        <v>498</v>
      </c>
      <c r="I3026" s="10">
        <f ca="1">IFERROR(__xludf.DUMMYFUNCTION(" VLOOKUP(A3023, IMPORTRANGE(""https://docs.google.com/spreadsheets/d/1QNLbnkR_AongFt22vMfNzfpjZ0CjpI8QI-w0wBnYA1w/"", ""Инфа!A:AA""), 6, FALSE)"),2024)</f>
        <v>2024</v>
      </c>
      <c r="J3026" s="5">
        <f ca="1">ROUND((5000+G3026*60),-2)</f>
        <v>24900</v>
      </c>
      <c r="K3026" s="12" t="s">
        <v>166</v>
      </c>
      <c r="L3026" s="15" t="s">
        <v>11811</v>
      </c>
    </row>
    <row r="3027" spans="1:12" ht="76.5">
      <c r="A3027" s="8" t="s">
        <v>11812</v>
      </c>
      <c r="B3027" s="9" t="s">
        <v>12</v>
      </c>
      <c r="C3027" s="10" t="s">
        <v>151</v>
      </c>
      <c r="D3027" s="10" t="str">
        <f ca="1">IFERROR(__xludf.DUMMYFUNCTION(" VLOOKUP(A3024, IMPORTRANGE(""https://docs.google.com/spreadsheets/d/1fj_Bhi2XPL3siwIh4sx4VRLAe31yD50oKdj5UlRYW0c/"", ""Сводка!A:AA""), 11, FALSE)"),"978-601-240-212-4")</f>
        <v>978-601-240-212-4</v>
      </c>
      <c r="E3027" s="11" t="s">
        <v>11813</v>
      </c>
      <c r="F3027" s="11" t="s">
        <v>11814</v>
      </c>
      <c r="G3027" s="12" t="e">
        <f>#REF!</f>
        <v>#REF!</v>
      </c>
      <c r="H3027" s="12" t="s">
        <v>106</v>
      </c>
      <c r="I3027" s="10">
        <f ca="1">IFERROR(__xludf.DUMMYFUNCTION(" VLOOKUP(A3024, IMPORTRANGE(""https://docs.google.com/spreadsheets/d/1QNLbnkR_AongFt22vMfNzfpjZ0CjpI8QI-w0wBnYA1w/"", ""Инфа!A:AA""), 6, FALSE)"),2024)</f>
        <v>2024</v>
      </c>
      <c r="J3027" s="5" t="e">
        <f>ROUND((5000+G3027*30),-2)</f>
        <v>#REF!</v>
      </c>
      <c r="K3027" s="12" t="s">
        <v>302</v>
      </c>
      <c r="L3027" s="15"/>
    </row>
    <row r="3028" spans="1:12" ht="76.5">
      <c r="A3028" s="8" t="s">
        <v>11815</v>
      </c>
      <c r="B3028" s="9" t="s">
        <v>12</v>
      </c>
      <c r="C3028" s="10" t="s">
        <v>151</v>
      </c>
      <c r="D3028" s="10" t="str">
        <f ca="1">IFERROR(__xludf.DUMMYFUNCTION(" VLOOKUP(A3025, IMPORTRANGE(""https://docs.google.com/spreadsheets/d/1fj_Bhi2XPL3siwIh4sx4VRLAe31yD50oKdj5UlRYW0c/"", ""Сводка!A:AA""), 11, FALSE)"),"978-601-7816-98-8(т.1) 978-601-7816-97-1 (общ.)")</f>
        <v>978-601-7816-98-8(т.1) 978-601-7816-97-1 (общ.)</v>
      </c>
      <c r="E3028" s="11" t="s">
        <v>11813</v>
      </c>
      <c r="F3028" s="11" t="s">
        <v>11816</v>
      </c>
      <c r="G3028" s="12">
        <f ca="1">IFERROR(__xludf.DUMMYFUNCTION(" VLOOKUP(A3025, IMPORTRANGE(""https://docs.google.com/spreadsheets/d/1fj_Bhi2XPL3siwIh4sx4VRLAe31yD50oKdj5UlRYW0c/"", ""Сводка!A:AA""), 5, FALSE)"),256)</f>
        <v>256</v>
      </c>
      <c r="H3028" s="12" t="s">
        <v>498</v>
      </c>
      <c r="I3028" s="10">
        <f ca="1">IFERROR(__xludf.DUMMYFUNCTION(" VLOOKUP(A3025, IMPORTRANGE(""https://docs.google.com/spreadsheets/d/1QNLbnkR_AongFt22vMfNzfpjZ0CjpI8QI-w0wBnYA1w/"", ""Инфа!A:AA""), 6, FALSE)"),2024)</f>
        <v>2024</v>
      </c>
      <c r="J3028" s="5">
        <f ca="1">ROUND((5000+G3028*60),-2)</f>
        <v>20400</v>
      </c>
      <c r="K3028" s="12" t="s">
        <v>302</v>
      </c>
      <c r="L3028" s="15"/>
    </row>
    <row r="3029" spans="1:12" ht="76.5">
      <c r="A3029" s="8" t="s">
        <v>11817</v>
      </c>
      <c r="B3029" s="9" t="s">
        <v>12</v>
      </c>
      <c r="C3029" s="10" t="s">
        <v>151</v>
      </c>
      <c r="D3029" s="10" t="str">
        <f ca="1">IFERROR(__xludf.DUMMYFUNCTION(" VLOOKUP(A3026, IMPORTRANGE(""https://docs.google.com/spreadsheets/d/1fj_Bhi2XPL3siwIh4sx4VRLAe31yD50oKdj5UlRYW0c/"", ""Сводка!A:AA""), 11, FALSE)"),"978-601-7816-99-5(т.2) 978-601-7816-97-1 (общ.)")</f>
        <v>978-601-7816-99-5(т.2) 978-601-7816-97-1 (общ.)</v>
      </c>
      <c r="E3029" s="11" t="s">
        <v>11813</v>
      </c>
      <c r="F3029" s="11" t="s">
        <v>11818</v>
      </c>
      <c r="G3029" s="12">
        <f ca="1">IFERROR(__xludf.DUMMYFUNCTION(" VLOOKUP(A3026, IMPORTRANGE(""https://docs.google.com/spreadsheets/d/1fj_Bhi2XPL3siwIh4sx4VRLAe31yD50oKdj5UlRYW0c/"", ""Сводка!A:AA""), 5, FALSE)"),232)</f>
        <v>232</v>
      </c>
      <c r="H3029" s="12" t="s">
        <v>498</v>
      </c>
      <c r="I3029" s="10">
        <f ca="1">IFERROR(__xludf.DUMMYFUNCTION(" VLOOKUP(A3026, IMPORTRANGE(""https://docs.google.com/spreadsheets/d/1QNLbnkR_AongFt22vMfNzfpjZ0CjpI8QI-w0wBnYA1w/"", ""Инфа!A:AA""), 6, FALSE)"),2024)</f>
        <v>2024</v>
      </c>
      <c r="J3029" s="5">
        <f ca="1">ROUND((5000+G3029*60),-2)</f>
        <v>18900</v>
      </c>
      <c r="K3029" s="12" t="s">
        <v>302</v>
      </c>
      <c r="L3029" s="15"/>
    </row>
    <row r="3030" spans="1:12" ht="25.5">
      <c r="A3030" s="8" t="s">
        <v>11819</v>
      </c>
      <c r="B3030" s="9" t="s">
        <v>12</v>
      </c>
      <c r="C3030" s="10" t="s">
        <v>151</v>
      </c>
      <c r="D3030" s="10" t="str">
        <f ca="1">IFERROR(__xludf.DUMMYFUNCTION(" VLOOKUP(A3027, IMPORTRANGE(""https://docs.google.com/spreadsheets/d/1fj_Bhi2XPL3siwIh4sx4VRLAe31yD50oKdj5UlRYW0c/"", ""Сводка!A:AA""), 11, FALSE)"),"978-601-207-054-5")</f>
        <v>978-601-207-054-5</v>
      </c>
      <c r="E3030" s="11" t="s">
        <v>11820</v>
      </c>
      <c r="F3030" s="11" t="s">
        <v>11821</v>
      </c>
      <c r="G3030" s="12">
        <f ca="1">IFERROR(__xludf.DUMMYFUNCTION(" VLOOKUP(A3027, IMPORTRANGE(""https://docs.google.com/spreadsheets/d/1fj_Bhi2XPL3siwIh4sx4VRLAe31yD50oKdj5UlRYW0c/"", ""Сводка!A:AA""), 5, FALSE)"),104)</f>
        <v>104</v>
      </c>
      <c r="H3030" s="12" t="s">
        <v>47</v>
      </c>
      <c r="I3030" s="10">
        <f ca="1">IFERROR(__xludf.DUMMYFUNCTION(" VLOOKUP(A3027, IMPORTRANGE(""https://docs.google.com/spreadsheets/d/1QNLbnkR_AongFt22vMfNzfpjZ0CjpI8QI-w0wBnYA1w/"", ""Инфа!A:AA""), 6, FALSE)"),2024)</f>
        <v>2024</v>
      </c>
      <c r="J3030" s="5">
        <f ca="1">ROUND((5000+G3030*30),-2)</f>
        <v>8100</v>
      </c>
      <c r="K3030" s="12" t="s">
        <v>302</v>
      </c>
      <c r="L3030" s="15"/>
    </row>
    <row r="3031" spans="1:12" ht="38.25">
      <c r="A3031" s="8" t="s">
        <v>11822</v>
      </c>
      <c r="B3031" s="9" t="s">
        <v>12</v>
      </c>
      <c r="C3031" s="10" t="s">
        <v>443</v>
      </c>
      <c r="D3031" s="10" t="str">
        <f ca="1">IFERROR(__xludf.DUMMYFUNCTION(" VLOOKUP(A3028, IMPORTRANGE(""https://docs.google.com/spreadsheets/d/1fj_Bhi2XPL3siwIh4sx4VRLAe31yD50oKdj5UlRYW0c/"", ""Сводка!A:AA""), 11, FALSE)"),"978-601-240-884-3")</f>
        <v>978-601-240-884-3</v>
      </c>
      <c r="E3031" s="11" t="s">
        <v>11823</v>
      </c>
      <c r="F3031" s="11" t="s">
        <v>11824</v>
      </c>
      <c r="G3031" s="12">
        <f ca="1">IFERROR(__xludf.DUMMYFUNCTION(" VLOOKUP(A3028, IMPORTRANGE(""https://docs.google.com/spreadsheets/d/1fj_Bhi2XPL3siwIh4sx4VRLAe31yD50oKdj5UlRYW0c/"", ""Сводка!A:AA""), 5, FALSE)"),102)</f>
        <v>102</v>
      </c>
      <c r="H3031" s="12" t="s">
        <v>538</v>
      </c>
      <c r="I3031" s="10">
        <f ca="1">IFERROR(__xludf.DUMMYFUNCTION(" VLOOKUP(A3028, IMPORTRANGE(""https://docs.google.com/spreadsheets/d/1QNLbnkR_AongFt22vMfNzfpjZ0CjpI8QI-w0wBnYA1w/"", ""Инфа!A:AA""), 6, FALSE)"),2024)</f>
        <v>2024</v>
      </c>
      <c r="J3031" s="5">
        <f ca="1">ROUND((5000+G3031*30),-2)</f>
        <v>8100</v>
      </c>
      <c r="K3031" s="12" t="s">
        <v>302</v>
      </c>
      <c r="L3031" s="15"/>
    </row>
    <row r="3032" spans="1:12" ht="38.25">
      <c r="A3032" s="8" t="s">
        <v>11825</v>
      </c>
      <c r="B3032" s="9" t="s">
        <v>12</v>
      </c>
      <c r="C3032" s="10" t="s">
        <v>151</v>
      </c>
      <c r="D3032" s="10" t="str">
        <f ca="1">IFERROR(__xludf.DUMMYFUNCTION(" VLOOKUP(A3029, IMPORTRANGE(""https://docs.google.com/spreadsheets/d/1fj_Bhi2XPL3siwIh4sx4VRLAe31yD50oKdj5UlRYW0c/"", ""Сводка!A:AA""), 11, FALSE)"),"9965-801-81-9")</f>
        <v>9965-801-81-9</v>
      </c>
      <c r="E3032" s="11" t="s">
        <v>11826</v>
      </c>
      <c r="F3032" s="11" t="s">
        <v>11827</v>
      </c>
      <c r="G3032" s="12">
        <f ca="1">IFERROR(__xludf.DUMMYFUNCTION(" VLOOKUP(A3029, IMPORTRANGE(""https://docs.google.com/spreadsheets/d/1fj_Bhi2XPL3siwIh4sx4VRLAe31yD50oKdj5UlRYW0c/"", ""Сводка!A:AA""), 5, FALSE)"),208)</f>
        <v>208</v>
      </c>
      <c r="H3032" s="12" t="s">
        <v>47</v>
      </c>
      <c r="I3032" s="10">
        <f ca="1">IFERROR(__xludf.DUMMYFUNCTION(" VLOOKUP(A3029, IMPORTRANGE(""https://docs.google.com/spreadsheets/d/1QNLbnkR_AongFt22vMfNzfpjZ0CjpI8QI-w0wBnYA1w/"", ""Инфа!A:AA""), 6, FALSE)"),2024)</f>
        <v>2024</v>
      </c>
      <c r="J3032" s="5">
        <f ca="1">ROUND((5000+G3032*30),-2)</f>
        <v>11200</v>
      </c>
      <c r="K3032" s="12" t="s">
        <v>302</v>
      </c>
      <c r="L3032" s="15"/>
    </row>
    <row r="3033" spans="1:12" ht="25.5">
      <c r="A3033" s="8" t="s">
        <v>11828</v>
      </c>
      <c r="B3033" s="9" t="s">
        <v>12</v>
      </c>
      <c r="C3033" s="10" t="s">
        <v>443</v>
      </c>
      <c r="D3033" s="10" t="str">
        <f ca="1">IFERROR(__xludf.DUMMYFUNCTION(" VLOOKUP(A3030, IMPORTRANGE(""https://docs.google.com/spreadsheets/d/1fj_Bhi2XPL3siwIh4sx4VRLAe31yD50oKdj5UlRYW0c/"", ""Сводка!A:AA""), 11, FALSE)"),"978-601-240-183-7")</f>
        <v>978-601-240-183-7</v>
      </c>
      <c r="E3033" s="11" t="s">
        <v>11829</v>
      </c>
      <c r="F3033" s="11" t="s">
        <v>11830</v>
      </c>
      <c r="G3033" s="12">
        <f ca="1">IFERROR(__xludf.DUMMYFUNCTION(" VLOOKUP(A3030, IMPORTRANGE(""https://docs.google.com/spreadsheets/d/1fj_Bhi2XPL3siwIh4sx4VRLAe31yD50oKdj5UlRYW0c/"", ""Сводка!A:AA""), 5, FALSE)"),158)</f>
        <v>158</v>
      </c>
      <c r="H3033" s="12" t="s">
        <v>538</v>
      </c>
      <c r="I3033" s="10">
        <f ca="1">IFERROR(__xludf.DUMMYFUNCTION(" VLOOKUP(A3030, IMPORTRANGE(""https://docs.google.com/spreadsheets/d/1QNLbnkR_AongFt22vMfNzfpjZ0CjpI8QI-w0wBnYA1w/"", ""Инфа!A:AA""), 6, FALSE)"),2024)</f>
        <v>2024</v>
      </c>
      <c r="J3033" s="5">
        <f ca="1">ROUND((5000+G3033*30),-2)</f>
        <v>9700</v>
      </c>
      <c r="K3033" s="12" t="s">
        <v>302</v>
      </c>
      <c r="L3033" s="15"/>
    </row>
    <row r="3034" spans="1:12" ht="281.25">
      <c r="A3034" s="8" t="s">
        <v>11831</v>
      </c>
      <c r="B3034" s="9" t="s">
        <v>12</v>
      </c>
      <c r="C3034" s="10" t="s">
        <v>151</v>
      </c>
      <c r="D3034" s="10" t="str">
        <f ca="1">IFERROR(__xludf.DUMMYFUNCTION(" VLOOKUP(A3031, IMPORTRANGE(""https://docs.google.com/spreadsheets/d/1fj_Bhi2XPL3siwIh4sx4VRLAe31yD50oKdj5UlRYW0c/"", ""Сводка!A:AA""), 11, FALSE)"),"978-601-240-586-6")</f>
        <v>978-601-240-586-6</v>
      </c>
      <c r="E3034" s="11" t="s">
        <v>11832</v>
      </c>
      <c r="F3034" s="11" t="s">
        <v>11833</v>
      </c>
      <c r="G3034" s="12">
        <f ca="1">IFERROR(__xludf.DUMMYFUNCTION(" VLOOKUP(A3031, IMPORTRANGE(""https://docs.google.com/spreadsheets/d/1fj_Bhi2XPL3siwIh4sx4VRLAe31yD50oKdj5UlRYW0c/"", ""Сводка!A:AA""), 5, FALSE)"),256)</f>
        <v>256</v>
      </c>
      <c r="H3034" s="12" t="s">
        <v>47</v>
      </c>
      <c r="I3034" s="10">
        <f ca="1">IFERROR(__xludf.DUMMYFUNCTION(" VLOOKUP(A3031, IMPORTRANGE(""https://docs.google.com/spreadsheets/d/1QNLbnkR_AongFt22vMfNzfpjZ0CjpI8QI-w0wBnYA1w/"", ""Инфа!A:AA""), 6, FALSE)"),2024)</f>
        <v>2024</v>
      </c>
      <c r="J3034" s="5">
        <f ca="1">ROUND((5000+G3034*30),-2)</f>
        <v>12700</v>
      </c>
      <c r="K3034" s="12" t="s">
        <v>257</v>
      </c>
      <c r="L3034" s="15" t="s">
        <v>11834</v>
      </c>
    </row>
    <row r="3035" spans="1:12" ht="78.75">
      <c r="A3035" s="8" t="s">
        <v>11835</v>
      </c>
      <c r="B3035" s="9" t="s">
        <v>12</v>
      </c>
      <c r="C3035" s="10" t="s">
        <v>13</v>
      </c>
      <c r="D3035" s="10" t="str">
        <f ca="1">IFERROR(__xludf.DUMMYFUNCTION(" VLOOKUP(A3032, IMPORTRANGE(""https://docs.google.com/spreadsheets/d/1fj_Bhi2XPL3siwIh4sx4VRLAe31yD50oKdj5UlRYW0c/"", ""Сводка!A:AA""), 11, FALSE)"),"978-601-310-053-1")</f>
        <v>978-601-310-053-1</v>
      </c>
      <c r="E3035" s="11" t="s">
        <v>11836</v>
      </c>
      <c r="F3035" s="11" t="s">
        <v>11837</v>
      </c>
      <c r="G3035" s="12">
        <f ca="1">IFERROR(__xludf.DUMMYFUNCTION(" VLOOKUP(A3032, IMPORTRANGE(""https://docs.google.com/spreadsheets/d/1fj_Bhi2XPL3siwIh4sx4VRLAe31yD50oKdj5UlRYW0c/"", ""Сводка!A:AA""), 5, FALSE)"),80)</f>
        <v>80</v>
      </c>
      <c r="H3035" s="12" t="s">
        <v>47</v>
      </c>
      <c r="I3035" s="10">
        <f ca="1">IFERROR(__xludf.DUMMYFUNCTION(" VLOOKUP(A3032, IMPORTRANGE(""https://docs.google.com/spreadsheets/d/1QNLbnkR_AongFt22vMfNzfpjZ0CjpI8QI-w0wBnYA1w/"", ""Инфа!A:AA""), 6, FALSE)"),2024)</f>
        <v>2024</v>
      </c>
      <c r="J3035" s="5">
        <f ca="1">ROUND((5000+G3035*60),-2)</f>
        <v>9800</v>
      </c>
      <c r="K3035" s="12" t="s">
        <v>257</v>
      </c>
      <c r="L3035" s="15" t="s">
        <v>11838</v>
      </c>
    </row>
    <row r="3036" spans="1:12" ht="112.5">
      <c r="A3036" s="8" t="s">
        <v>11839</v>
      </c>
      <c r="B3036" s="9" t="s">
        <v>12</v>
      </c>
      <c r="C3036" s="10" t="s">
        <v>151</v>
      </c>
      <c r="D3036" s="10" t="str">
        <f ca="1">IFERROR(__xludf.DUMMYFUNCTION(" VLOOKUP(A3033, IMPORTRANGE(""https://docs.google.com/spreadsheets/d/1fj_Bhi2XPL3siwIh4sx4VRLAe31yD50oKdj5UlRYW0c/"", ""Сводка!A:AA""), 11, FALSE)"),"978-601-342-398-2")</f>
        <v>978-601-342-398-2</v>
      </c>
      <c r="E3036" s="11" t="s">
        <v>11840</v>
      </c>
      <c r="F3036" s="11" t="s">
        <v>11841</v>
      </c>
      <c r="G3036" s="12">
        <f ca="1">IFERROR(__xludf.DUMMYFUNCTION(" VLOOKUP(A3033, IMPORTRANGE(""https://docs.google.com/spreadsheets/d/1fj_Bhi2XPL3siwIh4sx4VRLAe31yD50oKdj5UlRYW0c/"", ""Сводка!A:AA""), 5, FALSE)"),104)</f>
        <v>104</v>
      </c>
      <c r="H3036" s="12" t="s">
        <v>165</v>
      </c>
      <c r="I3036" s="10">
        <f ca="1">IFERROR(__xludf.DUMMYFUNCTION(" VLOOKUP(A3033, IMPORTRANGE(""https://docs.google.com/spreadsheets/d/1QNLbnkR_AongFt22vMfNzfpjZ0CjpI8QI-w0wBnYA1w/"", ""Инфа!A:AA""), 6, FALSE)"),2024)</f>
        <v>2024</v>
      </c>
      <c r="J3036" s="5">
        <f ca="1">ROUND((5000+G3036*60),-2)</f>
        <v>11200</v>
      </c>
      <c r="K3036" s="12" t="s">
        <v>860</v>
      </c>
      <c r="L3036" s="16" t="s">
        <v>11842</v>
      </c>
    </row>
    <row r="3037" spans="1:12" ht="315">
      <c r="A3037" s="8" t="s">
        <v>11843</v>
      </c>
      <c r="B3037" s="9" t="s">
        <v>12</v>
      </c>
      <c r="C3037" s="10" t="s">
        <v>151</v>
      </c>
      <c r="D3037" s="10" t="str">
        <f ca="1">IFERROR(__xludf.DUMMYFUNCTION(" VLOOKUP(A3034, IMPORTRANGE(""https://docs.google.com/spreadsheets/d/1fj_Bhi2XPL3siwIh4sx4VRLAe31yD50oKdj5UlRYW0c/"", ""Сводка!A:AA""), 11, FALSE)"),"978-601-7528-70-6")</f>
        <v>978-601-7528-70-6</v>
      </c>
      <c r="E3037" s="11" t="s">
        <v>11844</v>
      </c>
      <c r="F3037" s="11" t="s">
        <v>11845</v>
      </c>
      <c r="G3037" s="12">
        <f ca="1">IFERROR(__xludf.DUMMYFUNCTION(" VLOOKUP(A3034, IMPORTRANGE(""https://docs.google.com/spreadsheets/d/1fj_Bhi2XPL3siwIh4sx4VRLAe31yD50oKdj5UlRYW0c/"", ""Сводка!A:AA""), 5, FALSE)"),108)</f>
        <v>108</v>
      </c>
      <c r="H3037" s="12" t="s">
        <v>47</v>
      </c>
      <c r="I3037" s="10">
        <f ca="1">IFERROR(__xludf.DUMMYFUNCTION(" VLOOKUP(A3034, IMPORTRANGE(""https://docs.google.com/spreadsheets/d/1QNLbnkR_AongFt22vMfNzfpjZ0CjpI8QI-w0wBnYA1w/"", ""Инфа!A:AA""), 6, FALSE)"),2024)</f>
        <v>2024</v>
      </c>
      <c r="J3037" s="5">
        <f ca="1">ROUND((5000+G3037*30),-2)</f>
        <v>8200</v>
      </c>
      <c r="K3037" s="12" t="s">
        <v>160</v>
      </c>
      <c r="L3037" s="15" t="s">
        <v>11846</v>
      </c>
    </row>
    <row r="3038" spans="1:12" ht="78.75">
      <c r="A3038" s="8" t="s">
        <v>11847</v>
      </c>
      <c r="B3038" s="9" t="s">
        <v>12</v>
      </c>
      <c r="C3038" s="13" t="s">
        <v>443</v>
      </c>
      <c r="D3038" s="10" t="str">
        <f ca="1">IFERROR(__xludf.DUMMYFUNCTION(" VLOOKUP(A3035, IMPORTRANGE(""https://docs.google.com/spreadsheets/d/1fj_Bhi2XPL3siwIh4sx4VRLAe31yD50oKdj5UlRYW0c/"", ""Сводка!A:AA""), 11, FALSE)"),"978-601-342-416-3")</f>
        <v>978-601-342-416-3</v>
      </c>
      <c r="E3038" s="11" t="s">
        <v>11848</v>
      </c>
      <c r="F3038" s="11" t="s">
        <v>11849</v>
      </c>
      <c r="G3038" s="12">
        <f ca="1">IFERROR(__xludf.DUMMYFUNCTION(" VLOOKUP(A3035, IMPORTRANGE(""https://docs.google.com/spreadsheets/d/1fj_Bhi2XPL3siwIh4sx4VRLAe31yD50oKdj5UlRYW0c/"", ""Сводка!A:AA""), 5, FALSE)"),232)</f>
        <v>232</v>
      </c>
      <c r="H3038" s="12" t="s">
        <v>56</v>
      </c>
      <c r="I3038" s="10">
        <f ca="1">IFERROR(__xludf.DUMMYFUNCTION(" VLOOKUP(A3035, IMPORTRANGE(""https://docs.google.com/spreadsheets/d/1QNLbnkR_AongFt22vMfNzfpjZ0CjpI8QI-w0wBnYA1w/"", ""Инфа!A:AA""), 6, FALSE)"),2024)</f>
        <v>2024</v>
      </c>
      <c r="J3038" s="5">
        <f ca="1">ROUND((5000+G3038*60),-2)</f>
        <v>18900</v>
      </c>
      <c r="K3038" s="10" t="s">
        <v>57</v>
      </c>
      <c r="L3038" s="15" t="s">
        <v>11850</v>
      </c>
    </row>
    <row r="3039" spans="1:12" ht="101.25">
      <c r="A3039" s="8" t="s">
        <v>11851</v>
      </c>
      <c r="B3039" s="9" t="s">
        <v>12</v>
      </c>
      <c r="C3039" s="10" t="s">
        <v>443</v>
      </c>
      <c r="D3039" s="10" t="str">
        <f ca="1">IFERROR(__xludf.DUMMYFUNCTION(" VLOOKUP(A3036, IMPORTRANGE(""https://docs.google.com/spreadsheets/d/1fj_Bhi2XPL3siwIh4sx4VRLAe31yD50oKdj5UlRYW0c/"", ""Сводка!A:AA""), 11, FALSE)"),"978-601-342-614-3")</f>
        <v>978-601-342-614-3</v>
      </c>
      <c r="E3039" s="11" t="s">
        <v>11852</v>
      </c>
      <c r="F3039" s="11" t="s">
        <v>11853</v>
      </c>
      <c r="G3039" s="12">
        <f ca="1">IFERROR(__xludf.DUMMYFUNCTION(" VLOOKUP(A3036, IMPORTRANGE(""https://docs.google.com/spreadsheets/d/1fj_Bhi2XPL3siwIh4sx4VRLAe31yD50oKdj5UlRYW0c/"", ""Сводка!A:AA""), 5, FALSE)"),192)</f>
        <v>192</v>
      </c>
      <c r="H3039" s="12" t="s">
        <v>106</v>
      </c>
      <c r="I3039" s="10">
        <f ca="1">IFERROR(__xludf.DUMMYFUNCTION(" VLOOKUP(A3036, IMPORTRANGE(""https://docs.google.com/spreadsheets/d/1QNLbnkR_AongFt22vMfNzfpjZ0CjpI8QI-w0wBnYA1w/"", ""Инфа!A:AA""), 6, FALSE)"),2024)</f>
        <v>2024</v>
      </c>
      <c r="J3039" s="5">
        <f ca="1">ROUND((5000+G3039*30),-2)</f>
        <v>10800</v>
      </c>
      <c r="K3039" s="12" t="s">
        <v>7911</v>
      </c>
      <c r="L3039" s="15" t="s">
        <v>11854</v>
      </c>
    </row>
    <row r="3040" spans="1:12" ht="135">
      <c r="A3040" s="8" t="s">
        <v>11855</v>
      </c>
      <c r="B3040" s="9" t="s">
        <v>12</v>
      </c>
      <c r="C3040" s="10" t="s">
        <v>151</v>
      </c>
      <c r="D3040" s="10" t="str">
        <f ca="1">IFERROR(__xludf.DUMMYFUNCTION(" VLOOKUP(A3037, IMPORTRANGE(""https://docs.google.com/spreadsheets/d/1fj_Bhi2XPL3siwIh4sx4VRLAe31yD50oKdj5UlRYW0c/"", ""Сводка!A:AA""), 11, FALSE)"),"978-601-310-883-4")</f>
        <v>978-601-310-883-4</v>
      </c>
      <c r="E3040" s="11" t="s">
        <v>11856</v>
      </c>
      <c r="F3040" s="11" t="s">
        <v>11857</v>
      </c>
      <c r="G3040" s="12">
        <f ca="1">IFERROR(__xludf.DUMMYFUNCTION(" VLOOKUP(A3037, IMPORTRANGE(""https://docs.google.com/spreadsheets/d/1fj_Bhi2XPL3siwIh4sx4VRLAe31yD50oKdj5UlRYW0c/"", ""Сводка!A:AA""), 5, FALSE)"),204)</f>
        <v>204</v>
      </c>
      <c r="H3040" s="12" t="s">
        <v>47</v>
      </c>
      <c r="I3040" s="10">
        <f ca="1">IFERROR(__xludf.DUMMYFUNCTION(" VLOOKUP(A3037, IMPORTRANGE(""https://docs.google.com/spreadsheets/d/1QNLbnkR_AongFt22vMfNzfpjZ0CjpI8QI-w0wBnYA1w/"", ""Инфа!A:AA""), 6, FALSE)"),2024)</f>
        <v>2024</v>
      </c>
      <c r="J3040" s="5">
        <f ca="1">ROUND((5000+G3040*30),-2)</f>
        <v>11100</v>
      </c>
      <c r="K3040" s="12" t="s">
        <v>1240</v>
      </c>
      <c r="L3040" s="15" t="s">
        <v>11858</v>
      </c>
    </row>
    <row r="3041" spans="1:12" ht="135">
      <c r="A3041" s="8" t="s">
        <v>11859</v>
      </c>
      <c r="B3041" s="9" t="s">
        <v>12</v>
      </c>
      <c r="C3041" s="10" t="s">
        <v>151</v>
      </c>
      <c r="D3041" s="10" t="str">
        <f ca="1">IFERROR(__xludf.DUMMYFUNCTION(" VLOOKUP(A3038, IMPORTRANGE(""https://docs.google.com/spreadsheets/d/1fj_Bhi2XPL3siwIh4sx4VRLAe31yD50oKdj5UlRYW0c/"", ""Сводка!A:AA""), 11, FALSE)"),"978-601-310-883-4")</f>
        <v>978-601-310-883-4</v>
      </c>
      <c r="E3041" s="11" t="s">
        <v>11856</v>
      </c>
      <c r="F3041" s="11" t="s">
        <v>11860</v>
      </c>
      <c r="G3041" s="12">
        <f ca="1">IFERROR(__xludf.DUMMYFUNCTION(" VLOOKUP(A3038, IMPORTRANGE(""https://docs.google.com/spreadsheets/d/1fj_Bhi2XPL3siwIh4sx4VRLAe31yD50oKdj5UlRYW0c/"", ""Сводка!A:AA""), 5, FALSE)"),140)</f>
        <v>140</v>
      </c>
      <c r="H3041" s="12" t="s">
        <v>47</v>
      </c>
      <c r="I3041" s="10">
        <f ca="1">IFERROR(__xludf.DUMMYFUNCTION(" VLOOKUP(A3038, IMPORTRANGE(""https://docs.google.com/spreadsheets/d/1QNLbnkR_AongFt22vMfNzfpjZ0CjpI8QI-w0wBnYA1w/"", ""Инфа!A:AA""), 6, FALSE)"),2024)</f>
        <v>2024</v>
      </c>
      <c r="J3041" s="5">
        <f ca="1">ROUND((5000+G3041*60),-2)</f>
        <v>13400</v>
      </c>
      <c r="K3041" s="12" t="s">
        <v>1240</v>
      </c>
      <c r="L3041" s="15" t="s">
        <v>11861</v>
      </c>
    </row>
    <row r="3042" spans="1:12" ht="146.25">
      <c r="A3042" s="8" t="s">
        <v>11862</v>
      </c>
      <c r="B3042" s="9" t="s">
        <v>12</v>
      </c>
      <c r="C3042" s="10" t="s">
        <v>443</v>
      </c>
      <c r="D3042" s="10" t="str">
        <f ca="1">IFERROR(__xludf.DUMMYFUNCTION(" VLOOKUP(A3039, IMPORTRANGE(""https://docs.google.com/spreadsheets/d/1fj_Bhi2XPL3siwIh4sx4VRLAe31yD50oKdj5UlRYW0c/"", ""Сводка!A:AA""), 11, FALSE)"),"978-601-342-178-1")</f>
        <v>978-601-342-178-1</v>
      </c>
      <c r="E3042" s="11" t="s">
        <v>11863</v>
      </c>
      <c r="F3042" s="11" t="s">
        <v>11864</v>
      </c>
      <c r="G3042" s="12">
        <f ca="1">IFERROR(__xludf.DUMMYFUNCTION(" VLOOKUP(A3039, IMPORTRANGE(""https://docs.google.com/spreadsheets/d/1fj_Bhi2XPL3siwIh4sx4VRLAe31yD50oKdj5UlRYW0c/"", ""Сводка!A:AA""), 5, FALSE)"),128)</f>
        <v>128</v>
      </c>
      <c r="H3042" s="12" t="s">
        <v>538</v>
      </c>
      <c r="I3042" s="10">
        <f ca="1">IFERROR(__xludf.DUMMYFUNCTION(" VLOOKUP(A3039, IMPORTRANGE(""https://docs.google.com/spreadsheets/d/1QNLbnkR_AongFt22vMfNzfpjZ0CjpI8QI-w0wBnYA1w/"", ""Инфа!A:AA""), 6, FALSE)"),2024)</f>
        <v>2024</v>
      </c>
      <c r="J3042" s="5">
        <f ca="1">ROUND((5000+G3042*30),-2)</f>
        <v>8800</v>
      </c>
      <c r="K3042" s="12" t="s">
        <v>11865</v>
      </c>
      <c r="L3042" s="15" t="s">
        <v>11866</v>
      </c>
    </row>
    <row r="3043" spans="1:12" ht="135">
      <c r="A3043" s="8" t="s">
        <v>11867</v>
      </c>
      <c r="B3043" s="9" t="s">
        <v>12</v>
      </c>
      <c r="C3043" s="10" t="s">
        <v>151</v>
      </c>
      <c r="D3043" s="10" t="str">
        <f ca="1">IFERROR(__xludf.DUMMYFUNCTION(" VLOOKUP(A3040, IMPORTRANGE(""https://docs.google.com/spreadsheets/d/1fj_Bhi2XPL3siwIh4sx4VRLAe31yD50oKdj5UlRYW0c/"", ""Сводка!A:AA""), 11, FALSE)"),"978-9965-31-995-2")</f>
        <v>978-9965-31-995-2</v>
      </c>
      <c r="E3043" s="11" t="s">
        <v>11868</v>
      </c>
      <c r="F3043" s="11" t="s">
        <v>11869</v>
      </c>
      <c r="G3043" s="12">
        <f ca="1">IFERROR(__xludf.DUMMYFUNCTION(" VLOOKUP(A3040, IMPORTRANGE(""https://docs.google.com/spreadsheets/d/1fj_Bhi2XPL3siwIh4sx4VRLAe31yD50oKdj5UlRYW0c/"", ""Сводка!A:AA""), 5, FALSE)"),108)</f>
        <v>108</v>
      </c>
      <c r="H3043" s="12" t="s">
        <v>538</v>
      </c>
      <c r="I3043" s="10">
        <f ca="1">IFERROR(__xludf.DUMMYFUNCTION(" VLOOKUP(A3040, IMPORTRANGE(""https://docs.google.com/spreadsheets/d/1QNLbnkR_AongFt22vMfNzfpjZ0CjpI8QI-w0wBnYA1w/"", ""Инфа!A:AA""), 6, FALSE)"),2024)</f>
        <v>2024</v>
      </c>
      <c r="J3043" s="5">
        <f ca="1">ROUND((5000+G3043*30),-2)</f>
        <v>8200</v>
      </c>
      <c r="K3043" s="12" t="s">
        <v>11865</v>
      </c>
      <c r="L3043" s="15" t="s">
        <v>11870</v>
      </c>
    </row>
    <row r="3044" spans="1:12" ht="146.25">
      <c r="A3044" s="8" t="s">
        <v>11871</v>
      </c>
      <c r="B3044" s="9" t="s">
        <v>12</v>
      </c>
      <c r="C3044" s="10" t="s">
        <v>151</v>
      </c>
      <c r="D3044" s="10" t="str">
        <f ca="1">IFERROR(__xludf.DUMMYFUNCTION(" VLOOKUP(A3041, IMPORTRANGE(""https://docs.google.com/spreadsheets/d/1fj_Bhi2XPL3siwIh4sx4VRLAe31yD50oKdj5UlRYW0c/"", ""Сводка!A:AA""), 11, FALSE)"),"978-601-310-907-7")</f>
        <v>978-601-310-907-7</v>
      </c>
      <c r="E3044" s="11" t="s">
        <v>11872</v>
      </c>
      <c r="F3044" s="11" t="s">
        <v>11873</v>
      </c>
      <c r="G3044" s="12">
        <f ca="1">IFERROR(__xludf.DUMMYFUNCTION(" VLOOKUP(A3041, IMPORTRANGE(""https://docs.google.com/spreadsheets/d/1fj_Bhi2XPL3siwIh4sx4VRLAe31yD50oKdj5UlRYW0c/"", ""Сводка!A:AA""), 5, FALSE)"),84)</f>
        <v>84</v>
      </c>
      <c r="H3044" s="12" t="s">
        <v>47</v>
      </c>
      <c r="I3044" s="10">
        <f ca="1">IFERROR(__xludf.DUMMYFUNCTION(" VLOOKUP(A3041, IMPORTRANGE(""https://docs.google.com/spreadsheets/d/1QNLbnkR_AongFt22vMfNzfpjZ0CjpI8QI-w0wBnYA1w/"", ""Инфа!A:AA""), 6, FALSE)"),2024)</f>
        <v>2024</v>
      </c>
      <c r="J3044" s="5">
        <f ca="1">ROUND((5000+G3044*30),-2)</f>
        <v>7500</v>
      </c>
      <c r="K3044" s="12" t="s">
        <v>1240</v>
      </c>
      <c r="L3044" s="15" t="s">
        <v>11874</v>
      </c>
    </row>
    <row r="3045" spans="1:12" ht="157.5">
      <c r="A3045" s="8" t="s">
        <v>11875</v>
      </c>
      <c r="B3045" s="9" t="s">
        <v>12</v>
      </c>
      <c r="C3045" s="10" t="s">
        <v>151</v>
      </c>
      <c r="D3045" s="10" t="str">
        <f ca="1">IFERROR(__xludf.DUMMYFUNCTION(" VLOOKUP(A3042, IMPORTRANGE(""https://docs.google.com/spreadsheets/d/1fj_Bhi2XPL3siwIh4sx4VRLAe31yD50oKdj5UlRYW0c/"", ""Сводка!A:AA""), 11, FALSE)"),"978-601-310-851-3")</f>
        <v>978-601-310-851-3</v>
      </c>
      <c r="E3045" s="11" t="s">
        <v>11872</v>
      </c>
      <c r="F3045" s="11" t="s">
        <v>11876</v>
      </c>
      <c r="G3045" s="12">
        <f ca="1">IFERROR(__xludf.DUMMYFUNCTION(" VLOOKUP(A3042, IMPORTRANGE(""https://docs.google.com/spreadsheets/d/1fj_Bhi2XPL3siwIh4sx4VRLAe31yD50oKdj5UlRYW0c/"", ""Сводка!A:AA""), 5, FALSE)"),72)</f>
        <v>72</v>
      </c>
      <c r="H3045" s="12" t="s">
        <v>47</v>
      </c>
      <c r="I3045" s="10">
        <f ca="1">IFERROR(__xludf.DUMMYFUNCTION(" VLOOKUP(A3042, IMPORTRANGE(""https://docs.google.com/spreadsheets/d/1QNLbnkR_AongFt22vMfNzfpjZ0CjpI8QI-w0wBnYA1w/"", ""Инфа!A:AA""), 6, FALSE)"),2024)</f>
        <v>2024</v>
      </c>
      <c r="J3045" s="5">
        <f ca="1">ROUND((5000+G3045*30),-2)</f>
        <v>7200</v>
      </c>
      <c r="K3045" s="12" t="s">
        <v>1240</v>
      </c>
      <c r="L3045" s="15" t="s">
        <v>11877</v>
      </c>
    </row>
    <row r="3046" spans="1:12" ht="78.75">
      <c r="A3046" s="8" t="s">
        <v>11878</v>
      </c>
      <c r="B3046" s="9" t="s">
        <v>12</v>
      </c>
      <c r="C3046" s="10" t="s">
        <v>151</v>
      </c>
      <c r="D3046" s="10" t="str">
        <f ca="1">IFERROR(__xludf.DUMMYFUNCTION(" VLOOKUP(A3043, IMPORTRANGE(""https://docs.google.com/spreadsheets/d/1fj_Bhi2XPL3siwIh4sx4VRLAe31yD50oKdj5UlRYW0c/"", ""Сводка!A:AA""), 11, FALSE)"),"978-601-240-899-7")</f>
        <v>978-601-240-899-7</v>
      </c>
      <c r="E3046" s="11" t="s">
        <v>11879</v>
      </c>
      <c r="F3046" s="11" t="s">
        <v>11880</v>
      </c>
      <c r="G3046" s="12">
        <f ca="1">IFERROR(__xludf.DUMMYFUNCTION(" VLOOKUP(A3043, IMPORTRANGE(""https://docs.google.com/spreadsheets/d/1fj_Bhi2XPL3siwIh4sx4VRLAe31yD50oKdj5UlRYW0c/"", ""Сводка!A:AA""), 5, FALSE)"),84)</f>
        <v>84</v>
      </c>
      <c r="H3046" s="12" t="s">
        <v>282</v>
      </c>
      <c r="I3046" s="10">
        <f ca="1">IFERROR(__xludf.DUMMYFUNCTION(" VLOOKUP(A3043, IMPORTRANGE(""https://docs.google.com/spreadsheets/d/1QNLbnkR_AongFt22vMfNzfpjZ0CjpI8QI-w0wBnYA1w/"", ""Инфа!A:AA""), 6, FALSE)"),2024)</f>
        <v>2024</v>
      </c>
      <c r="J3046" s="5">
        <f ca="1">ROUND(((5000+G3046*30)*1.3),-2)</f>
        <v>9800</v>
      </c>
      <c r="K3046" s="9" t="s">
        <v>69</v>
      </c>
      <c r="L3046" s="15" t="s">
        <v>11881</v>
      </c>
    </row>
    <row r="3047" spans="1:12" ht="146.25">
      <c r="A3047" s="8" t="s">
        <v>11882</v>
      </c>
      <c r="B3047" s="9" t="s">
        <v>12</v>
      </c>
      <c r="C3047" s="10" t="s">
        <v>443</v>
      </c>
      <c r="D3047" s="10" t="str">
        <f ca="1">IFERROR(__xludf.DUMMYFUNCTION(" VLOOKUP(A3044, IMPORTRANGE(""https://docs.google.com/spreadsheets/d/1fj_Bhi2XPL3siwIh4sx4VRLAe31yD50oKdj5UlRYW0c/"", ""Сводка!A:AA""), 11, FALSE)"),"978-601-240-950-5")</f>
        <v>978-601-240-950-5</v>
      </c>
      <c r="E3047" s="11" t="s">
        <v>11883</v>
      </c>
      <c r="F3047" s="11" t="s">
        <v>11884</v>
      </c>
      <c r="G3047" s="12">
        <f ca="1">IFERROR(__xludf.DUMMYFUNCTION(" VLOOKUP(A3044, IMPORTRANGE(""https://docs.google.com/spreadsheets/d/1fj_Bhi2XPL3siwIh4sx4VRLAe31yD50oKdj5UlRYW0c/"", ""Сводка!A:AA""), 5, FALSE)"),84)</f>
        <v>84</v>
      </c>
      <c r="H3047" s="12" t="s">
        <v>777</v>
      </c>
      <c r="I3047" s="10">
        <f ca="1">IFERROR(__xludf.DUMMYFUNCTION(" VLOOKUP(A3044, IMPORTRANGE(""https://docs.google.com/spreadsheets/d/1QNLbnkR_AongFt22vMfNzfpjZ0CjpI8QI-w0wBnYA1w/"", ""Инфа!A:AA""), 6, FALSE)"),2024)</f>
        <v>2024</v>
      </c>
      <c r="J3047" s="5">
        <f ca="1">ROUND((5000+G3047*30),-2)</f>
        <v>7500</v>
      </c>
      <c r="K3047" s="12" t="s">
        <v>860</v>
      </c>
      <c r="L3047" s="15" t="s">
        <v>11885</v>
      </c>
    </row>
    <row r="3048" spans="1:12" ht="225">
      <c r="A3048" s="8" t="s">
        <v>11886</v>
      </c>
      <c r="B3048" s="9" t="s">
        <v>12</v>
      </c>
      <c r="C3048" s="10" t="s">
        <v>443</v>
      </c>
      <c r="D3048" s="10" t="str">
        <f ca="1">IFERROR(__xludf.DUMMYFUNCTION(" VLOOKUP(A3045, IMPORTRANGE(""https://docs.google.com/spreadsheets/d/1fj_Bhi2XPL3siwIh4sx4VRLAe31yD50oKdj5UlRYW0c/"", ""Сводка!A:AA""), 11, FALSE)"),"978-601-267-030-1")</f>
        <v>978-601-267-030-1</v>
      </c>
      <c r="E3048" s="11" t="s">
        <v>11887</v>
      </c>
      <c r="F3048" s="11" t="s">
        <v>11888</v>
      </c>
      <c r="G3048" s="12">
        <f ca="1">IFERROR(__xludf.DUMMYFUNCTION(" VLOOKUP(A3045, IMPORTRANGE(""https://docs.google.com/spreadsheets/d/1fj_Bhi2XPL3siwIh4sx4VRLAe31yD50oKdj5UlRYW0c/"", ""Сводка!A:AA""), 5, FALSE)"),264)</f>
        <v>264</v>
      </c>
      <c r="H3048" s="12" t="s">
        <v>511</v>
      </c>
      <c r="I3048" s="10">
        <f ca="1">IFERROR(__xludf.DUMMYFUNCTION(" VLOOKUP(A3045, IMPORTRANGE(""https://docs.google.com/spreadsheets/d/1QNLbnkR_AongFt22vMfNzfpjZ0CjpI8QI-w0wBnYA1w/"", ""Инфа!A:AA""), 6, FALSE)"),2024)</f>
        <v>2024</v>
      </c>
      <c r="J3048" s="5">
        <f ca="1">ROUND((5000+G3048*60),-2)</f>
        <v>20800</v>
      </c>
      <c r="K3048" s="9" t="s">
        <v>758</v>
      </c>
      <c r="L3048" s="15" t="s">
        <v>11889</v>
      </c>
    </row>
    <row r="3049" spans="1:12" ht="281.25">
      <c r="A3049" s="8" t="s">
        <v>11890</v>
      </c>
      <c r="B3049" s="9" t="s">
        <v>12</v>
      </c>
      <c r="C3049" s="10" t="s">
        <v>443</v>
      </c>
      <c r="D3049" s="10" t="str">
        <f ca="1">IFERROR(__xludf.DUMMYFUNCTION(" VLOOKUP(A3046, IMPORTRANGE(""https://docs.google.com/spreadsheets/d/1fj_Bhi2XPL3siwIh4sx4VRLAe31yD50oKdj5UlRYW0c/"", ""Сводка!A:AA""), 11, FALSE)"),"978-601-267-090-5")</f>
        <v>978-601-267-090-5</v>
      </c>
      <c r="E3049" s="11" t="s">
        <v>11887</v>
      </c>
      <c r="F3049" s="11" t="s">
        <v>11891</v>
      </c>
      <c r="G3049" s="12">
        <f ca="1">IFERROR(__xludf.DUMMYFUNCTION(" VLOOKUP(A3046, IMPORTRANGE(""https://docs.google.com/spreadsheets/d/1fj_Bhi2XPL3siwIh4sx4VRLAe31yD50oKdj5UlRYW0c/"", ""Сводка!A:AA""), 5, FALSE)"),324)</f>
        <v>324</v>
      </c>
      <c r="H3049" s="12" t="s">
        <v>777</v>
      </c>
      <c r="I3049" s="10">
        <f ca="1">IFERROR(__xludf.DUMMYFUNCTION(" VLOOKUP(A3046, IMPORTRANGE(""https://docs.google.com/spreadsheets/d/1QNLbnkR_AongFt22vMfNzfpjZ0CjpI8QI-w0wBnYA1w/"", ""Инфа!A:AA""), 6, FALSE)"),2024)</f>
        <v>2024</v>
      </c>
      <c r="J3049" s="5">
        <f ca="1">ROUND((5000+G3049*30),-2)</f>
        <v>14700</v>
      </c>
      <c r="K3049" s="9" t="s">
        <v>758</v>
      </c>
      <c r="L3049" s="15" t="s">
        <v>11892</v>
      </c>
    </row>
    <row r="3050" spans="1:12" ht="38.25">
      <c r="A3050" s="8" t="s">
        <v>11893</v>
      </c>
      <c r="B3050" s="9" t="s">
        <v>12</v>
      </c>
      <c r="C3050" s="10" t="s">
        <v>443</v>
      </c>
      <c r="D3050" s="10" t="str">
        <f ca="1">IFERROR(__xludf.DUMMYFUNCTION(" VLOOKUP(A3047, IMPORTRANGE(""https://docs.google.com/spreadsheets/d/1fj_Bhi2XPL3siwIh4sx4VRLAe31yD50oKdj5UlRYW0c/"", ""Сводка!A:AA""), 11, FALSE)"),"978-601-240-169-1")</f>
        <v>978-601-240-169-1</v>
      </c>
      <c r="E3050" s="11" t="s">
        <v>11894</v>
      </c>
      <c r="F3050" s="11" t="s">
        <v>2674</v>
      </c>
      <c r="G3050" s="12">
        <f ca="1">IFERROR(__xludf.DUMMYFUNCTION(" VLOOKUP(A3047, IMPORTRANGE(""https://docs.google.com/spreadsheets/d/1fj_Bhi2XPL3siwIh4sx4VRLAe31yD50oKdj5UlRYW0c/"", ""Сводка!A:AA""), 5, FALSE)"),296)</f>
        <v>296</v>
      </c>
      <c r="H3050" s="12" t="s">
        <v>538</v>
      </c>
      <c r="I3050" s="10">
        <f ca="1">IFERROR(__xludf.DUMMYFUNCTION(" VLOOKUP(A3047, IMPORTRANGE(""https://docs.google.com/spreadsheets/d/1QNLbnkR_AongFt22vMfNzfpjZ0CjpI8QI-w0wBnYA1w/"", ""Инфа!A:AA""), 6, FALSE)"),2024)</f>
        <v>2024</v>
      </c>
      <c r="J3050" s="5">
        <f ca="1">ROUND((5000+G3050*30),-2)</f>
        <v>13900</v>
      </c>
      <c r="K3050" s="9" t="s">
        <v>619</v>
      </c>
      <c r="L3050" s="15"/>
    </row>
    <row r="3051" spans="1:12" ht="38.25">
      <c r="A3051" s="8" t="s">
        <v>11895</v>
      </c>
      <c r="B3051" s="9" t="s">
        <v>12</v>
      </c>
      <c r="C3051" s="10" t="s">
        <v>443</v>
      </c>
      <c r="D3051" s="10" t="str">
        <f ca="1">IFERROR(__xludf.DUMMYFUNCTION(" VLOOKUP(A3048, IMPORTRANGE(""https://docs.google.com/spreadsheets/d/1fj_Bhi2XPL3siwIh4sx4VRLAe31yD50oKdj5UlRYW0c/"", ""Сводка!A:AA""), 11, FALSE)"),"978-601-240-170-7")</f>
        <v>978-601-240-170-7</v>
      </c>
      <c r="E3051" s="11" t="s">
        <v>11896</v>
      </c>
      <c r="F3051" s="11" t="s">
        <v>11897</v>
      </c>
      <c r="G3051" s="12">
        <f ca="1">IFERROR(__xludf.DUMMYFUNCTION(" VLOOKUP(A3048, IMPORTRANGE(""https://docs.google.com/spreadsheets/d/1fj_Bhi2XPL3siwIh4sx4VRLAe31yD50oKdj5UlRYW0c/"", ""Сводка!A:AA""), 5, FALSE)"),184)</f>
        <v>184</v>
      </c>
      <c r="H3051" s="12" t="s">
        <v>538</v>
      </c>
      <c r="I3051" s="10">
        <f ca="1">IFERROR(__xludf.DUMMYFUNCTION(" VLOOKUP(A3048, IMPORTRANGE(""https://docs.google.com/spreadsheets/d/1QNLbnkR_AongFt22vMfNzfpjZ0CjpI8QI-w0wBnYA1w/"", ""Инфа!A:AA""), 6, FALSE)"),2024)</f>
        <v>2024</v>
      </c>
      <c r="J3051" s="5">
        <f ca="1">ROUND((5000+G3051*30),-2)</f>
        <v>10500</v>
      </c>
      <c r="K3051" s="9" t="s">
        <v>619</v>
      </c>
      <c r="L3051" s="15"/>
    </row>
    <row r="3052" spans="1:12" ht="38.25">
      <c r="A3052" s="8" t="s">
        <v>11898</v>
      </c>
      <c r="B3052" s="9" t="s">
        <v>12</v>
      </c>
      <c r="C3052" s="10" t="s">
        <v>443</v>
      </c>
      <c r="D3052" s="10" t="str">
        <f ca="1">IFERROR(__xludf.DUMMYFUNCTION(" VLOOKUP(A3049, IMPORTRANGE(""https://docs.google.com/spreadsheets/d/1fj_Bhi2XPL3siwIh4sx4VRLAe31yD50oKdj5UlRYW0c/"", ""Сводка!A:AA""), 11, FALSE)"),"978-601-352-462-7")</f>
        <v>978-601-352-462-7</v>
      </c>
      <c r="E3052" s="11" t="s">
        <v>11899</v>
      </c>
      <c r="F3052" s="11" t="s">
        <v>2398</v>
      </c>
      <c r="G3052" s="12">
        <f ca="1">IFERROR(__xludf.DUMMYFUNCTION(" VLOOKUP(A3049, IMPORTRANGE(""https://docs.google.com/spreadsheets/d/1fj_Bhi2XPL3siwIh4sx4VRLAe31yD50oKdj5UlRYW0c/"", ""Сводка!A:AA""), 5, FALSE)"),324)</f>
        <v>324</v>
      </c>
      <c r="H3052" s="12" t="s">
        <v>538</v>
      </c>
      <c r="I3052" s="10">
        <f ca="1">IFERROR(__xludf.DUMMYFUNCTION(" VLOOKUP(A3049, IMPORTRANGE(""https://docs.google.com/spreadsheets/d/1QNLbnkR_AongFt22vMfNzfpjZ0CjpI8QI-w0wBnYA1w/"", ""Инфа!A:AA""), 6, FALSE)"),2024)</f>
        <v>2024</v>
      </c>
      <c r="J3052" s="5">
        <f ca="1">ROUND((5000+G3052*60),-2)</f>
        <v>24400</v>
      </c>
      <c r="K3052" s="9" t="s">
        <v>619</v>
      </c>
      <c r="L3052" s="15"/>
    </row>
    <row r="3053" spans="1:12" ht="38.25">
      <c r="A3053" s="8" t="s">
        <v>11900</v>
      </c>
      <c r="B3053" s="9" t="s">
        <v>12</v>
      </c>
      <c r="C3053" s="10" t="s">
        <v>443</v>
      </c>
      <c r="D3053" s="10" t="str">
        <f ca="1">IFERROR(__xludf.DUMMYFUNCTION(" VLOOKUP(A3050, IMPORTRANGE(""https://docs.google.com/spreadsheets/d/1fj_Bhi2XPL3siwIh4sx4VRLAe31yD50oKdj5UlRYW0c/"", ""Сводка!A:AA""), 11, FALSE)"),"978-601-310-490-4")</f>
        <v>978-601-310-490-4</v>
      </c>
      <c r="E3053" s="11" t="s">
        <v>11901</v>
      </c>
      <c r="F3053" s="11" t="s">
        <v>11902</v>
      </c>
      <c r="G3053" s="12">
        <f ca="1">IFERROR(__xludf.DUMMYFUNCTION(" VLOOKUP(A3050, IMPORTRANGE(""https://docs.google.com/spreadsheets/d/1fj_Bhi2XPL3siwIh4sx4VRLAe31yD50oKdj5UlRYW0c/"", ""Сводка!A:AA""), 5, FALSE)"),264)</f>
        <v>264</v>
      </c>
      <c r="H3053" s="12" t="s">
        <v>538</v>
      </c>
      <c r="I3053" s="10">
        <f ca="1">IFERROR(__xludf.DUMMYFUNCTION(" VLOOKUP(A3050, IMPORTRANGE(""https://docs.google.com/spreadsheets/d/1QNLbnkR_AongFt22vMfNzfpjZ0CjpI8QI-w0wBnYA1w/"", ""Инфа!A:AA""), 6, FALSE)"),2024)</f>
        <v>2024</v>
      </c>
      <c r="J3053" s="5">
        <f ca="1">ROUND((5000+G3053*60),-2)</f>
        <v>20800</v>
      </c>
      <c r="K3053" s="9" t="s">
        <v>619</v>
      </c>
      <c r="L3053" s="15"/>
    </row>
    <row r="3054" spans="1:12" ht="146.25">
      <c r="A3054" s="8" t="s">
        <v>11903</v>
      </c>
      <c r="B3054" s="9" t="s">
        <v>12</v>
      </c>
      <c r="C3054" s="10" t="s">
        <v>443</v>
      </c>
      <c r="D3054" s="10" t="str">
        <f ca="1">IFERROR(__xludf.DUMMYFUNCTION(" VLOOKUP(A3051, IMPORTRANGE(""https://docs.google.com/spreadsheets/d/1fj_Bhi2XPL3siwIh4sx4VRLAe31yD50oKdj5UlRYW0c/"", ""Сводка!A:AA""), 11, FALSE)"),"978-601-207-189-4")</f>
        <v>978-601-207-189-4</v>
      </c>
      <c r="E3054" s="11" t="s">
        <v>11904</v>
      </c>
      <c r="F3054" s="11" t="s">
        <v>11905</v>
      </c>
      <c r="G3054" s="12">
        <f ca="1">IFERROR(__xludf.DUMMYFUNCTION(" VLOOKUP(A3051, IMPORTRANGE(""https://docs.google.com/spreadsheets/d/1fj_Bhi2XPL3siwIh4sx4VRLAe31yD50oKdj5UlRYW0c/"", ""Сводка!A:AA""), 5, FALSE)"),156)</f>
        <v>156</v>
      </c>
      <c r="H3054" s="12" t="s">
        <v>538</v>
      </c>
      <c r="I3054" s="10">
        <f ca="1">IFERROR(__xludf.DUMMYFUNCTION(" VLOOKUP(A3051, IMPORTRANGE(""https://docs.google.com/spreadsheets/d/1QNLbnkR_AongFt22vMfNzfpjZ0CjpI8QI-w0wBnYA1w/"", ""Инфа!A:AA""), 6, FALSE)"),2024)</f>
        <v>2024</v>
      </c>
      <c r="J3054" s="5">
        <f ca="1">ROUND((5000+G3054*60),-2)</f>
        <v>14400</v>
      </c>
      <c r="K3054" s="9" t="s">
        <v>619</v>
      </c>
      <c r="L3054" s="15" t="s">
        <v>11906</v>
      </c>
    </row>
    <row r="3055" spans="1:12" ht="38.25">
      <c r="A3055" s="8" t="s">
        <v>11907</v>
      </c>
      <c r="B3055" s="9" t="s">
        <v>12</v>
      </c>
      <c r="C3055" s="10" t="s">
        <v>443</v>
      </c>
      <c r="D3055" s="10" t="str">
        <f ca="1">IFERROR(__xludf.DUMMYFUNCTION(" VLOOKUP(A3052, IMPORTRANGE(""https://docs.google.com/spreadsheets/d/1fj_Bhi2XPL3siwIh4sx4VRLAe31yD50oKdj5UlRYW0c/"", ""Сводка!A:AA""), 11, FALSE)"),"987-601-207-212-9")</f>
        <v>987-601-207-212-9</v>
      </c>
      <c r="E3055" s="11" t="s">
        <v>11904</v>
      </c>
      <c r="F3055" s="11" t="s">
        <v>11908</v>
      </c>
      <c r="G3055" s="12">
        <f ca="1">IFERROR(__xludf.DUMMYFUNCTION(" VLOOKUP(A3052, IMPORTRANGE(""https://docs.google.com/spreadsheets/d/1fj_Bhi2XPL3siwIh4sx4VRLAe31yD50oKdj5UlRYW0c/"", ""Сводка!A:AA""), 5, FALSE)"),96)</f>
        <v>96</v>
      </c>
      <c r="H3055" s="12" t="s">
        <v>538</v>
      </c>
      <c r="I3055" s="10">
        <f ca="1">IFERROR(__xludf.DUMMYFUNCTION(" VLOOKUP(A3052, IMPORTRANGE(""https://docs.google.com/spreadsheets/d/1QNLbnkR_AongFt22vMfNzfpjZ0CjpI8QI-w0wBnYA1w/"", ""Инфа!A:AA""), 6, FALSE)"),2024)</f>
        <v>2024</v>
      </c>
      <c r="J3055" s="5">
        <f ca="1">ROUND((5000+G3055*60),-2)</f>
        <v>10800</v>
      </c>
      <c r="K3055" s="9" t="s">
        <v>619</v>
      </c>
      <c r="L3055" s="15"/>
    </row>
    <row r="3056" spans="1:12" ht="191.25">
      <c r="A3056" s="8" t="s">
        <v>11909</v>
      </c>
      <c r="B3056" s="9" t="s">
        <v>12</v>
      </c>
      <c r="C3056" s="10" t="s">
        <v>443</v>
      </c>
      <c r="D3056" s="10" t="str">
        <f ca="1">IFERROR(__xludf.DUMMYFUNCTION(" VLOOKUP(A3053, IMPORTRANGE(""https://docs.google.com/spreadsheets/d/1fj_Bhi2XPL3siwIh4sx4VRLAe31yD50oKdj5UlRYW0c/"", ""Сводка!A:AA""), 11, FALSE)"),"978-601-327-562-8")</f>
        <v>978-601-327-562-8</v>
      </c>
      <c r="E3056" s="11" t="s">
        <v>11910</v>
      </c>
      <c r="F3056" s="11" t="s">
        <v>11911</v>
      </c>
      <c r="G3056" s="12">
        <f ca="1">IFERROR(__xludf.DUMMYFUNCTION(" VLOOKUP(A3053, IMPORTRANGE(""https://docs.google.com/spreadsheets/d/1fj_Bhi2XPL3siwIh4sx4VRLAe31yD50oKdj5UlRYW0c/"", ""Сводка!A:AA""), 5, FALSE)"),336)</f>
        <v>336</v>
      </c>
      <c r="H3056" s="12" t="s">
        <v>511</v>
      </c>
      <c r="I3056" s="10">
        <f ca="1">IFERROR(__xludf.DUMMYFUNCTION(" VLOOKUP(A3053, IMPORTRANGE(""https://docs.google.com/spreadsheets/d/1QNLbnkR_AongFt22vMfNzfpjZ0CjpI8QI-w0wBnYA1w/"", ""Инфа!A:AA""), 6, FALSE)"),2024)</f>
        <v>2024</v>
      </c>
      <c r="J3056" s="5">
        <f ca="1">ROUND(((5000+G3056*30)*1.3),-2)</f>
        <v>19600</v>
      </c>
      <c r="K3056" s="12" t="s">
        <v>18</v>
      </c>
      <c r="L3056" s="15" t="s">
        <v>11912</v>
      </c>
    </row>
    <row r="3057" spans="1:12" ht="146.25">
      <c r="A3057" s="8" t="s">
        <v>11913</v>
      </c>
      <c r="B3057" s="9" t="s">
        <v>12</v>
      </c>
      <c r="C3057" s="10" t="s">
        <v>443</v>
      </c>
      <c r="D3057" s="10" t="str">
        <f ca="1">IFERROR(__xludf.DUMMYFUNCTION(" VLOOKUP(A3054, IMPORTRANGE(""https://docs.google.com/spreadsheets/d/1fj_Bhi2XPL3siwIh4sx4VRLAe31yD50oKdj5UlRYW0c/"", ""Сводка!A:AA""), 11, FALSE)"),"978-601-7303-32-8")</f>
        <v>978-601-7303-32-8</v>
      </c>
      <c r="E3057" s="11" t="s">
        <v>11914</v>
      </c>
      <c r="F3057" s="11" t="s">
        <v>11915</v>
      </c>
      <c r="G3057" s="12">
        <f ca="1">IFERROR(__xludf.DUMMYFUNCTION(" VLOOKUP(A3054, IMPORTRANGE(""https://docs.google.com/spreadsheets/d/1fj_Bhi2XPL3siwIh4sx4VRLAe31yD50oKdj5UlRYW0c/"", ""Сводка!A:AA""), 5, FALSE)"),232)</f>
        <v>232</v>
      </c>
      <c r="H3057" s="12" t="s">
        <v>538</v>
      </c>
      <c r="I3057" s="10">
        <f ca="1">IFERROR(__xludf.DUMMYFUNCTION(" VLOOKUP(A3054, IMPORTRANGE(""https://docs.google.com/spreadsheets/d/1QNLbnkR_AongFt22vMfNzfpjZ0CjpI8QI-w0wBnYA1w/"", ""Инфа!A:AA""), 6, FALSE)"),2024)</f>
        <v>2024</v>
      </c>
      <c r="J3057" s="5">
        <f ca="1">ROUND((5000+G3057*30),-2)</f>
        <v>12000</v>
      </c>
      <c r="K3057" s="12" t="s">
        <v>26</v>
      </c>
      <c r="L3057" s="15" t="s">
        <v>11916</v>
      </c>
    </row>
    <row r="3058" spans="1:12" ht="168.75">
      <c r="A3058" s="8" t="s">
        <v>11917</v>
      </c>
      <c r="B3058" s="9" t="s">
        <v>12</v>
      </c>
      <c r="C3058" s="10" t="s">
        <v>443</v>
      </c>
      <c r="D3058" s="10" t="str">
        <f ca="1">IFERROR(__xludf.DUMMYFUNCTION(" VLOOKUP(A3055, IMPORTRANGE(""https://docs.google.com/spreadsheets/d/1fj_Bhi2XPL3siwIh4sx4VRLAe31yD50oKdj5UlRYW0c/"", ""Сводка!A:AA""), 11, FALSE)"),"978-601-7303-32-7")</f>
        <v>978-601-7303-32-7</v>
      </c>
      <c r="E3058" s="11" t="s">
        <v>11914</v>
      </c>
      <c r="F3058" s="11" t="s">
        <v>510</v>
      </c>
      <c r="G3058" s="12">
        <f ca="1">IFERROR(__xludf.DUMMYFUNCTION(" VLOOKUP(A3055, IMPORTRANGE(""https://docs.google.com/spreadsheets/d/1fj_Bhi2XPL3siwIh4sx4VRLAe31yD50oKdj5UlRYW0c/"", ""Сводка!A:AA""), 5, FALSE)"),244)</f>
        <v>244</v>
      </c>
      <c r="H3058" s="12" t="s">
        <v>538</v>
      </c>
      <c r="I3058" s="10">
        <f ca="1">IFERROR(__xludf.DUMMYFUNCTION(" VLOOKUP(A3055, IMPORTRANGE(""https://docs.google.com/spreadsheets/d/1QNLbnkR_AongFt22vMfNzfpjZ0CjpI8QI-w0wBnYA1w/"", ""Инфа!A:AA""), 6, FALSE)"),2024)</f>
        <v>2024</v>
      </c>
      <c r="J3058" s="5">
        <f ca="1">ROUND((5000+G3058*30),-2)</f>
        <v>12300</v>
      </c>
      <c r="K3058" s="12" t="s">
        <v>26</v>
      </c>
      <c r="L3058" s="15" t="s">
        <v>11918</v>
      </c>
    </row>
    <row r="3059" spans="1:12" ht="202.5">
      <c r="A3059" s="8" t="s">
        <v>11919</v>
      </c>
      <c r="B3059" s="9" t="s">
        <v>12</v>
      </c>
      <c r="C3059" s="10" t="s">
        <v>443</v>
      </c>
      <c r="D3059" s="10" t="str">
        <f ca="1">IFERROR(__xludf.DUMMYFUNCTION(" VLOOKUP(A3056, IMPORTRANGE(""https://docs.google.com/spreadsheets/d/1fj_Bhi2XPL3siwIh4sx4VRLAe31yD50oKdj5UlRYW0c/"", ""Сводка!A:AA""), 11, FALSE)"),"978-601-730-332-9")</f>
        <v>978-601-730-332-9</v>
      </c>
      <c r="E3059" s="11" t="s">
        <v>11920</v>
      </c>
      <c r="F3059" s="11" t="s">
        <v>11921</v>
      </c>
      <c r="G3059" s="12">
        <f ca="1">IFERROR(__xludf.DUMMYFUNCTION(" VLOOKUP(A3056, IMPORTRANGE(""https://docs.google.com/spreadsheets/d/1fj_Bhi2XPL3siwIh4sx4VRLAe31yD50oKdj5UlRYW0c/"", ""Сводка!A:AA""), 5, FALSE)"),164)</f>
        <v>164</v>
      </c>
      <c r="H3059" s="12" t="s">
        <v>106</v>
      </c>
      <c r="I3059" s="10">
        <f ca="1">IFERROR(__xludf.DUMMYFUNCTION(" VLOOKUP(A3056, IMPORTRANGE(""https://docs.google.com/spreadsheets/d/1QNLbnkR_AongFt22vMfNzfpjZ0CjpI8QI-w0wBnYA1w/"", ""Инфа!A:AA""), 6, FALSE)"),2024)</f>
        <v>2024</v>
      </c>
      <c r="J3059" s="5">
        <f ca="1">ROUND((5000+G3059*60),-2)</f>
        <v>14800</v>
      </c>
      <c r="K3059" s="12" t="s">
        <v>26</v>
      </c>
      <c r="L3059" s="15" t="s">
        <v>11922</v>
      </c>
    </row>
    <row r="3060" spans="1:12" ht="78.75">
      <c r="A3060" s="8" t="s">
        <v>11923</v>
      </c>
      <c r="B3060" s="9" t="s">
        <v>12</v>
      </c>
      <c r="C3060" s="10" t="s">
        <v>443</v>
      </c>
      <c r="D3060" s="10" t="str">
        <f ca="1">IFERROR(__xludf.DUMMYFUNCTION(" VLOOKUP(A3057, IMPORTRANGE(""https://docs.google.com/spreadsheets/d/1fj_Bhi2XPL3siwIh4sx4VRLAe31yD50oKdj5UlRYW0c/"", ""Сводка!A:AA""), 11, FALSE)"),"978-601-310-463-8")</f>
        <v>978-601-310-463-8</v>
      </c>
      <c r="E3060" s="11" t="s">
        <v>11924</v>
      </c>
      <c r="F3060" s="11" t="s">
        <v>11925</v>
      </c>
      <c r="G3060" s="12">
        <f ca="1">IFERROR(__xludf.DUMMYFUNCTION(" VLOOKUP(A3057, IMPORTRANGE(""https://docs.google.com/spreadsheets/d/1fj_Bhi2XPL3siwIh4sx4VRLAe31yD50oKdj5UlRYW0c/"", ""Сводка!A:AA""), 5, FALSE)"),164)</f>
        <v>164</v>
      </c>
      <c r="H3060" s="12" t="s">
        <v>106</v>
      </c>
      <c r="I3060" s="10">
        <f ca="1">IFERROR(__xludf.DUMMYFUNCTION(" VLOOKUP(A3057, IMPORTRANGE(""https://docs.google.com/spreadsheets/d/1QNLbnkR_AongFt22vMfNzfpjZ0CjpI8QI-w0wBnYA1w/"", ""Инфа!A:AA""), 6, FALSE)"),2024)</f>
        <v>2024</v>
      </c>
      <c r="J3060" s="5">
        <f ca="1">ROUND((5000+G3060*30),-2)</f>
        <v>9900</v>
      </c>
      <c r="K3060" s="12" t="s">
        <v>257</v>
      </c>
      <c r="L3060" s="15" t="s">
        <v>11926</v>
      </c>
    </row>
    <row r="3061" spans="1:12" ht="135">
      <c r="A3061" s="8" t="s">
        <v>11927</v>
      </c>
      <c r="B3061" s="9" t="s">
        <v>12</v>
      </c>
      <c r="C3061" s="10" t="s">
        <v>151</v>
      </c>
      <c r="D3061" s="10" t="str">
        <f ca="1">IFERROR(__xludf.DUMMYFUNCTION(" VLOOKUP(A3058, IMPORTRANGE(""https://docs.google.com/spreadsheets/d/1fj_Bhi2XPL3siwIh4sx4VRLAe31yD50oKdj5UlRYW0c/"", ""Сводка!A:AA""), 11, FALSE)"),"978-601-240-784-6")</f>
        <v>978-601-240-784-6</v>
      </c>
      <c r="E3061" s="11" t="s">
        <v>11928</v>
      </c>
      <c r="F3061" s="11" t="s">
        <v>7165</v>
      </c>
      <c r="G3061" s="12">
        <f ca="1">IFERROR(__xludf.DUMMYFUNCTION(" VLOOKUP(A3058, IMPORTRANGE(""https://docs.google.com/spreadsheets/d/1fj_Bhi2XPL3siwIh4sx4VRLAe31yD50oKdj5UlRYW0c/"", ""Сводка!A:AA""), 5, FALSE)"),132)</f>
        <v>132</v>
      </c>
      <c r="H3061" s="12" t="s">
        <v>47</v>
      </c>
      <c r="I3061" s="10">
        <f ca="1">IFERROR(__xludf.DUMMYFUNCTION(" VLOOKUP(A3058, IMPORTRANGE(""https://docs.google.com/spreadsheets/d/1QNLbnkR_AongFt22vMfNzfpjZ0CjpI8QI-w0wBnYA1w/"", ""Инфа!A:AA""), 6, FALSE)"),2024)</f>
        <v>2024</v>
      </c>
      <c r="J3061" s="5">
        <f ca="1">ROUND(((5000+G3061*30)*1.3),-2)</f>
        <v>11600</v>
      </c>
      <c r="K3061" s="12" t="s">
        <v>17</v>
      </c>
      <c r="L3061" s="15" t="s">
        <v>11929</v>
      </c>
    </row>
    <row r="3062" spans="1:12" ht="191.25">
      <c r="A3062" s="8" t="s">
        <v>11930</v>
      </c>
      <c r="B3062" s="9" t="s">
        <v>12</v>
      </c>
      <c r="C3062" s="10" t="s">
        <v>443</v>
      </c>
      <c r="D3062" s="10" t="str">
        <f ca="1">IFERROR(__xludf.DUMMYFUNCTION(" VLOOKUP(A3059, IMPORTRANGE(""https://docs.google.com/spreadsheets/d/1fj_Bhi2XPL3siwIh4sx4VRLAe31yD50oKdj5UlRYW0c/"", ""Сводка!A:AA""), 11, FALSE)"),"978-601-327-703-5")</f>
        <v>978-601-327-703-5</v>
      </c>
      <c r="E3062" s="11" t="s">
        <v>11928</v>
      </c>
      <c r="F3062" s="11" t="s">
        <v>11931</v>
      </c>
      <c r="G3062" s="12">
        <f ca="1">IFERROR(__xludf.DUMMYFUNCTION(" VLOOKUP(A3059, IMPORTRANGE(""https://docs.google.com/spreadsheets/d/1fj_Bhi2XPL3siwIh4sx4VRLAe31yD50oKdj5UlRYW0c/"", ""Сводка!A:AA""), 5, FALSE)"),308)</f>
        <v>308</v>
      </c>
      <c r="H3062" s="12" t="s">
        <v>538</v>
      </c>
      <c r="I3062" s="10">
        <f ca="1">IFERROR(__xludf.DUMMYFUNCTION(" VLOOKUP(A3059, IMPORTRANGE(""https://docs.google.com/spreadsheets/d/1QNLbnkR_AongFt22vMfNzfpjZ0CjpI8QI-w0wBnYA1w/"", ""Инфа!A:AA""), 6, FALSE)"),2024)</f>
        <v>2024</v>
      </c>
      <c r="J3062" s="5">
        <f ca="1">ROUND((5000+G3062*30),-2)</f>
        <v>14200</v>
      </c>
      <c r="K3062" s="12" t="s">
        <v>17</v>
      </c>
      <c r="L3062" s="15" t="s">
        <v>11932</v>
      </c>
    </row>
    <row r="3063" spans="1:12" ht="76.5">
      <c r="A3063" s="8" t="s">
        <v>11933</v>
      </c>
      <c r="B3063" s="9" t="s">
        <v>12</v>
      </c>
      <c r="C3063" s="10" t="s">
        <v>151</v>
      </c>
      <c r="D3063" s="10" t="str">
        <f ca="1">IFERROR(__xludf.DUMMYFUNCTION(" VLOOKUP(A3060, IMPORTRANGE(""https://docs.google.com/spreadsheets/d/1fj_Bhi2XPL3siwIh4sx4VRLAe31yD50oKdj5UlRYW0c/"", ""Сводка!A:AA""), 11, FALSE)"),"978-601-310-123-1")</f>
        <v>978-601-310-123-1</v>
      </c>
      <c r="E3063" s="11" t="s">
        <v>11928</v>
      </c>
      <c r="F3063" s="11" t="s">
        <v>11934</v>
      </c>
      <c r="G3063" s="12">
        <f ca="1">IFERROR(__xludf.DUMMYFUNCTION(" VLOOKUP(A3060, IMPORTRANGE(""https://docs.google.com/spreadsheets/d/1fj_Bhi2XPL3siwIh4sx4VRLAe31yD50oKdj5UlRYW0c/"", ""Сводка!A:AA""), 5, FALSE)"),92)</f>
        <v>92</v>
      </c>
      <c r="H3063" s="12" t="s">
        <v>106</v>
      </c>
      <c r="I3063" s="10">
        <f ca="1">IFERROR(__xludf.DUMMYFUNCTION(" VLOOKUP(A3060, IMPORTRANGE(""https://docs.google.com/spreadsheets/d/1QNLbnkR_AongFt22vMfNzfpjZ0CjpI8QI-w0wBnYA1w/"", ""Инфа!A:AA""), 6, FALSE)"),2024)</f>
        <v>2024</v>
      </c>
      <c r="J3063" s="5">
        <f ca="1">ROUND((5000+G3063*30),-2)</f>
        <v>7800</v>
      </c>
      <c r="K3063" s="12" t="s">
        <v>1450</v>
      </c>
      <c r="L3063" s="15"/>
    </row>
    <row r="3064" spans="1:12" ht="112.5">
      <c r="A3064" s="8" t="s">
        <v>11935</v>
      </c>
      <c r="B3064" s="9" t="s">
        <v>12</v>
      </c>
      <c r="C3064" s="10" t="s">
        <v>443</v>
      </c>
      <c r="D3064" s="10" t="str">
        <f ca="1">IFERROR(__xludf.DUMMYFUNCTION(" VLOOKUP(A3061, IMPORTRANGE(""https://docs.google.com/spreadsheets/d/1fj_Bhi2XPL3siwIh4sx4VRLAe31yD50oKdj5UlRYW0c/"", ""Сводка!A:AA""), 11, FALSE)"),"978-601-240-783-9")</f>
        <v>978-601-240-783-9</v>
      </c>
      <c r="E3064" s="11" t="s">
        <v>11928</v>
      </c>
      <c r="F3064" s="11" t="s">
        <v>11936</v>
      </c>
      <c r="G3064" s="12">
        <f ca="1">IFERROR(__xludf.DUMMYFUNCTION(" VLOOKUP(A3061, IMPORTRANGE(""https://docs.google.com/spreadsheets/d/1fj_Bhi2XPL3siwIh4sx4VRLAe31yD50oKdj5UlRYW0c/"", ""Сводка!A:AA""), 5, FALSE)"),128)</f>
        <v>128</v>
      </c>
      <c r="H3064" s="12" t="s">
        <v>538</v>
      </c>
      <c r="I3064" s="10">
        <f ca="1">IFERROR(__xludf.DUMMYFUNCTION(" VLOOKUP(A3061, IMPORTRANGE(""https://docs.google.com/spreadsheets/d/1QNLbnkR_AongFt22vMfNzfpjZ0CjpI8QI-w0wBnYA1w/"", ""Инфа!A:AA""), 6, FALSE)"),2024)</f>
        <v>2024</v>
      </c>
      <c r="J3064" s="5">
        <f ca="1">ROUND(((5000+G3064*30)*1.3),-2)</f>
        <v>11500</v>
      </c>
      <c r="K3064" s="12" t="s">
        <v>17</v>
      </c>
      <c r="L3064" s="15" t="s">
        <v>11937</v>
      </c>
    </row>
    <row r="3065" spans="1:12" ht="112.5">
      <c r="A3065" s="8" t="s">
        <v>11938</v>
      </c>
      <c r="B3065" s="9" t="s">
        <v>12</v>
      </c>
      <c r="C3065" s="10" t="s">
        <v>443</v>
      </c>
      <c r="D3065" s="10" t="str">
        <f ca="1">IFERROR(__xludf.DUMMYFUNCTION(" VLOOKUP(A3062, IMPORTRANGE(""https://docs.google.com/spreadsheets/d/1fj_Bhi2XPL3siwIh4sx4VRLAe31yD50oKdj5UlRYW0c/"", ""Сводка!A:AA""), 11, FALSE)"),"978-601-342-165-0")</f>
        <v>978-601-342-165-0</v>
      </c>
      <c r="E3065" s="11" t="s">
        <v>11939</v>
      </c>
      <c r="F3065" s="11" t="s">
        <v>11940</v>
      </c>
      <c r="G3065" s="12">
        <f ca="1">IFERROR(__xludf.DUMMYFUNCTION(" VLOOKUP(A3062, IMPORTRANGE(""https://docs.google.com/spreadsheets/d/1fj_Bhi2XPL3siwIh4sx4VRLAe31yD50oKdj5UlRYW0c/"", ""Сводка!A:AA""), 5, FALSE)"),188)</f>
        <v>188</v>
      </c>
      <c r="H3065" s="12" t="s">
        <v>446</v>
      </c>
      <c r="I3065" s="10">
        <f ca="1">IFERROR(__xludf.DUMMYFUNCTION(" VLOOKUP(A3062, IMPORTRANGE(""https://docs.google.com/spreadsheets/d/1QNLbnkR_AongFt22vMfNzfpjZ0CjpI8QI-w0wBnYA1w/"", ""Инфа!A:AA""), 6, FALSE)"),2024)</f>
        <v>2024</v>
      </c>
      <c r="J3065" s="5">
        <f ca="1">ROUND((5000+G3065*60),-2)</f>
        <v>16300</v>
      </c>
      <c r="K3065" s="12" t="s">
        <v>160</v>
      </c>
      <c r="L3065" s="15" t="s">
        <v>11941</v>
      </c>
    </row>
    <row r="3066" spans="1:12" ht="112.5">
      <c r="A3066" s="8" t="s">
        <v>11942</v>
      </c>
      <c r="B3066" s="9" t="s">
        <v>12</v>
      </c>
      <c r="C3066" s="10" t="s">
        <v>443</v>
      </c>
      <c r="D3066" s="10" t="str">
        <f ca="1">IFERROR(__xludf.DUMMYFUNCTION(" VLOOKUP(A3063, IMPORTRANGE(""https://docs.google.com/spreadsheets/d/1fj_Bhi2XPL3siwIh4sx4VRLAe31yD50oKdj5UlRYW0c/"", ""Сводка!A:AA""), 11, FALSE)"),"978-601-342-164-3")</f>
        <v>978-601-342-164-3</v>
      </c>
      <c r="E3066" s="11" t="s">
        <v>11943</v>
      </c>
      <c r="F3066" s="11" t="s">
        <v>11944</v>
      </c>
      <c r="G3066" s="12">
        <f ca="1">IFERROR(__xludf.DUMMYFUNCTION(" VLOOKUP(A3063, IMPORTRANGE(""https://docs.google.com/spreadsheets/d/1fj_Bhi2XPL3siwIh4sx4VRLAe31yD50oKdj5UlRYW0c/"", ""Сводка!A:AA""), 5, FALSE)"),160)</f>
        <v>160</v>
      </c>
      <c r="H3066" s="12" t="s">
        <v>11945</v>
      </c>
      <c r="I3066" s="10">
        <f ca="1">IFERROR(__xludf.DUMMYFUNCTION(" VLOOKUP(A3063, IMPORTRANGE(""https://docs.google.com/spreadsheets/d/1QNLbnkR_AongFt22vMfNzfpjZ0CjpI8QI-w0wBnYA1w/"", ""Инфа!A:AA""), 6, FALSE)"),2024)</f>
        <v>2024</v>
      </c>
      <c r="J3066" s="5">
        <f ca="1">ROUND((5000+G3066*60),-2)</f>
        <v>14600</v>
      </c>
      <c r="K3066" s="12" t="s">
        <v>160</v>
      </c>
      <c r="L3066" s="15" t="s">
        <v>11946</v>
      </c>
    </row>
    <row r="3067" spans="1:12" ht="112.5">
      <c r="A3067" s="8" t="s">
        <v>11947</v>
      </c>
      <c r="B3067" s="9" t="s">
        <v>12</v>
      </c>
      <c r="C3067" s="10" t="s">
        <v>443</v>
      </c>
      <c r="D3067" s="10" t="str">
        <f ca="1">IFERROR(__xludf.DUMMYFUNCTION(" VLOOKUP(A3064, IMPORTRANGE(""https://docs.google.com/spreadsheets/d/1fj_Bhi2XPL3siwIh4sx4VRLAe31yD50oKdj5UlRYW0c/"", ""Сводка!A:AA""), 11, FALSE)"),"978-601-342-026-4")</f>
        <v>978-601-342-026-4</v>
      </c>
      <c r="E3067" s="11" t="s">
        <v>11948</v>
      </c>
      <c r="F3067" s="11" t="s">
        <v>11949</v>
      </c>
      <c r="G3067" s="12">
        <f ca="1">IFERROR(__xludf.DUMMYFUNCTION(" VLOOKUP(A3064, IMPORTRANGE(""https://docs.google.com/spreadsheets/d/1fj_Bhi2XPL3siwIh4sx4VRLAe31yD50oKdj5UlRYW0c/"", ""Сводка!A:AA""), 5, FALSE)"),128)</f>
        <v>128</v>
      </c>
      <c r="H3067" s="12" t="s">
        <v>24</v>
      </c>
      <c r="I3067" s="10">
        <f ca="1">IFERROR(__xludf.DUMMYFUNCTION(" VLOOKUP(A3064, IMPORTRANGE(""https://docs.google.com/spreadsheets/d/1QNLbnkR_AongFt22vMfNzfpjZ0CjpI8QI-w0wBnYA1w/"", ""Инфа!A:AA""), 6, FALSE)"),2024)</f>
        <v>2024</v>
      </c>
      <c r="J3067" s="5">
        <f ca="1">ROUND((5000+G3067*60),-2)</f>
        <v>12700</v>
      </c>
      <c r="K3067" s="12" t="s">
        <v>160</v>
      </c>
      <c r="L3067" s="15" t="s">
        <v>11950</v>
      </c>
    </row>
    <row r="3068" spans="1:12" ht="51">
      <c r="A3068" s="8" t="s">
        <v>11951</v>
      </c>
      <c r="B3068" s="9" t="s">
        <v>12</v>
      </c>
      <c r="C3068" s="10" t="s">
        <v>151</v>
      </c>
      <c r="D3068" s="10" t="str">
        <f ca="1">IFERROR(__xludf.DUMMYFUNCTION(" VLOOKUP(A3065, IMPORTRANGE(""https://docs.google.com/spreadsheets/d/1fj_Bhi2XPL3siwIh4sx4VRLAe31yD50oKdj5UlRYW0c/"", ""Сводка!A:AA""), 11, FALSE)"),"978-601-240-591-0")</f>
        <v>978-601-240-591-0</v>
      </c>
      <c r="E3068" s="11" t="s">
        <v>11952</v>
      </c>
      <c r="F3068" s="11" t="s">
        <v>11953</v>
      </c>
      <c r="G3068" s="12">
        <f ca="1">IFERROR(__xludf.DUMMYFUNCTION(" VLOOKUP(A3065, IMPORTRANGE(""https://docs.google.com/spreadsheets/d/1fj_Bhi2XPL3siwIh4sx4VRLAe31yD50oKdj5UlRYW0c/"", ""Сводка!A:AA""), 5, FALSE)"),180)</f>
        <v>180</v>
      </c>
      <c r="H3068" s="12" t="s">
        <v>106</v>
      </c>
      <c r="I3068" s="10">
        <f ca="1">IFERROR(__xludf.DUMMYFUNCTION(" VLOOKUP(A3065, IMPORTRANGE(""https://docs.google.com/spreadsheets/d/1QNLbnkR_AongFt22vMfNzfpjZ0CjpI8QI-w0wBnYA1w/"", ""Инфа!A:AA""), 6, FALSE)"),2024)</f>
        <v>2024</v>
      </c>
      <c r="J3068" s="5">
        <f ca="1">ROUND((5000+G3068*30),-2)</f>
        <v>10400</v>
      </c>
      <c r="K3068" s="9" t="s">
        <v>26</v>
      </c>
      <c r="L3068" s="15"/>
    </row>
    <row r="3069" spans="1:12" ht="112.5">
      <c r="A3069" s="8" t="s">
        <v>11954</v>
      </c>
      <c r="B3069" s="9" t="s">
        <v>12</v>
      </c>
      <c r="C3069" s="10" t="s">
        <v>13</v>
      </c>
      <c r="D3069" s="10" t="str">
        <f ca="1">IFERROR(__xludf.DUMMYFUNCTION(" VLOOKUP(A3066, IMPORTRANGE(""https://docs.google.com/spreadsheets/d/1fj_Bhi2XPL3siwIh4sx4VRLAe31yD50oKdj5UlRYW0c/"", ""Сводка!A:AA""), 11, FALSE)"),"978-601-240-518-7")</f>
        <v>978-601-240-518-7</v>
      </c>
      <c r="E3069" s="11" t="s">
        <v>11955</v>
      </c>
      <c r="F3069" s="11" t="s">
        <v>11956</v>
      </c>
      <c r="G3069" s="12">
        <f ca="1">IFERROR(__xludf.DUMMYFUNCTION(" VLOOKUP(A3066, IMPORTRANGE(""https://docs.google.com/spreadsheets/d/1fj_Bhi2XPL3siwIh4sx4VRLAe31yD50oKdj5UlRYW0c/"", ""Сводка!A:AA""), 5, FALSE)"),140)</f>
        <v>140</v>
      </c>
      <c r="H3069" s="12" t="s">
        <v>47</v>
      </c>
      <c r="I3069" s="10">
        <f ca="1">IFERROR(__xludf.DUMMYFUNCTION(" VLOOKUP(A3066, IMPORTRANGE(""https://docs.google.com/spreadsheets/d/1QNLbnkR_AongFt22vMfNzfpjZ0CjpI8QI-w0wBnYA1w/"", ""Инфа!A:AA""), 6, FALSE)"),2024)</f>
        <v>2024</v>
      </c>
      <c r="J3069" s="5">
        <f ca="1">ROUND((5000+G3069*60),-2)</f>
        <v>13400</v>
      </c>
      <c r="K3069" s="9" t="s">
        <v>575</v>
      </c>
      <c r="L3069" s="15" t="s">
        <v>11957</v>
      </c>
    </row>
    <row r="3070" spans="1:12" ht="191.25">
      <c r="A3070" s="8" t="s">
        <v>11958</v>
      </c>
      <c r="B3070" s="9" t="s">
        <v>12</v>
      </c>
      <c r="C3070" s="10" t="s">
        <v>151</v>
      </c>
      <c r="D3070" s="10" t="str">
        <f ca="1">IFERROR(__xludf.DUMMYFUNCTION(" VLOOKUP(A3067, IMPORTRANGE(""https://docs.google.com/spreadsheets/d/1fj_Bhi2XPL3siwIh4sx4VRLAe31yD50oKdj5UlRYW0c/"", ""Сводка!A:AA""), 11, FALSE)"),"978-601-342-461-3")</f>
        <v>978-601-342-461-3</v>
      </c>
      <c r="E3070" s="11" t="s">
        <v>2668</v>
      </c>
      <c r="F3070" s="11" t="s">
        <v>11959</v>
      </c>
      <c r="G3070" s="12">
        <f ca="1">IFERROR(__xludf.DUMMYFUNCTION(" VLOOKUP(A3067, IMPORTRANGE(""https://docs.google.com/spreadsheets/d/1fj_Bhi2XPL3siwIh4sx4VRLAe31yD50oKdj5UlRYW0c/"", ""Сводка!A:AA""), 5, FALSE)"),100)</f>
        <v>100</v>
      </c>
      <c r="H3070" s="12" t="s">
        <v>165</v>
      </c>
      <c r="I3070" s="10">
        <f ca="1">IFERROR(__xludf.DUMMYFUNCTION(" VLOOKUP(A3067, IMPORTRANGE(""https://docs.google.com/spreadsheets/d/1QNLbnkR_AongFt22vMfNzfpjZ0CjpI8QI-w0wBnYA1w/"", ""Инфа!A:AA""), 6, FALSE)"),2024)</f>
        <v>2024</v>
      </c>
      <c r="J3070" s="5">
        <f ca="1">ROUND((5000+G3070*30),-2)</f>
        <v>8000</v>
      </c>
      <c r="K3070" s="12" t="s">
        <v>308</v>
      </c>
      <c r="L3070" s="15" t="s">
        <v>11960</v>
      </c>
    </row>
    <row r="3071" spans="1:12" ht="90">
      <c r="A3071" s="8" t="s">
        <v>11961</v>
      </c>
      <c r="B3071" s="9" t="s">
        <v>12</v>
      </c>
      <c r="C3071" s="10" t="s">
        <v>443</v>
      </c>
      <c r="D3071" s="10" t="str">
        <f ca="1">IFERROR(__xludf.DUMMYFUNCTION(" VLOOKUP(A3068, IMPORTRANGE(""https://docs.google.com/spreadsheets/d/1fj_Bhi2XPL3siwIh4sx4VRLAe31yD50oKdj5UlRYW0c/"", ""Сводка!A:AA""), 11, FALSE)"),"978-601-342-611-2")</f>
        <v>978-601-342-611-2</v>
      </c>
      <c r="E3071" s="11" t="s">
        <v>11962</v>
      </c>
      <c r="F3071" s="11" t="s">
        <v>11963</v>
      </c>
      <c r="G3071" s="12">
        <f ca="1">IFERROR(__xludf.DUMMYFUNCTION(" VLOOKUP(A3068, IMPORTRANGE(""https://docs.google.com/spreadsheets/d/1fj_Bhi2XPL3siwIh4sx4VRLAe31yD50oKdj5UlRYW0c/"", ""Сводка!A:AA""), 5, FALSE)"),172)</f>
        <v>172</v>
      </c>
      <c r="H3071" s="12" t="s">
        <v>446</v>
      </c>
      <c r="I3071" s="10">
        <f ca="1">IFERROR(__xludf.DUMMYFUNCTION(" VLOOKUP(A3068, IMPORTRANGE(""https://docs.google.com/spreadsheets/d/1QNLbnkR_AongFt22vMfNzfpjZ0CjpI8QI-w0wBnYA1w/"", ""Инфа!A:AA""), 6, FALSE)"),2024)</f>
        <v>2024</v>
      </c>
      <c r="J3071" s="5">
        <f ca="1">ROUND((5000+G3071*60),-2)</f>
        <v>15300</v>
      </c>
      <c r="K3071" s="12" t="s">
        <v>308</v>
      </c>
      <c r="L3071" s="15" t="s">
        <v>11964</v>
      </c>
    </row>
    <row r="3072" spans="1:12" ht="258.75">
      <c r="A3072" s="8" t="s">
        <v>11965</v>
      </c>
      <c r="B3072" s="9" t="s">
        <v>12</v>
      </c>
      <c r="C3072" s="10" t="s">
        <v>151</v>
      </c>
      <c r="D3072" s="10" t="str">
        <f ca="1">IFERROR(__xludf.DUMMYFUNCTION(" VLOOKUP(A3069, IMPORTRANGE(""https://docs.google.com/spreadsheets/d/1fj_Bhi2XPL3siwIh4sx4VRLAe31yD50oKdj5UlRYW0c/"", ""Сводка!A:AA""), 11, FALSE)"),"978-9965-876-46-2")</f>
        <v>978-9965-876-46-2</v>
      </c>
      <c r="E3072" s="11" t="s">
        <v>11966</v>
      </c>
      <c r="F3072" s="11" t="s">
        <v>11967</v>
      </c>
      <c r="G3072" s="12">
        <f ca="1">IFERROR(__xludf.DUMMYFUNCTION(" VLOOKUP(A3069, IMPORTRANGE(""https://docs.google.com/spreadsheets/d/1fj_Bhi2XPL3siwIh4sx4VRLAe31yD50oKdj5UlRYW0c/"", ""Сводка!A:AA""), 5, FALSE)"),187)</f>
        <v>187</v>
      </c>
      <c r="H3072" s="12" t="s">
        <v>24</v>
      </c>
      <c r="I3072" s="10">
        <f ca="1">IFERROR(__xludf.DUMMYFUNCTION(" VLOOKUP(A3069, IMPORTRANGE(""https://docs.google.com/spreadsheets/d/1QNLbnkR_AongFt22vMfNzfpjZ0CjpI8QI-w0wBnYA1w/"", ""Инфа!A:AA""), 6, FALSE)"),2024)</f>
        <v>2024</v>
      </c>
      <c r="J3072" s="5">
        <f ca="1">ROUND((5000+G3072*60),-2)</f>
        <v>16200</v>
      </c>
      <c r="K3072" s="12" t="s">
        <v>5309</v>
      </c>
      <c r="L3072" s="15" t="s">
        <v>11968</v>
      </c>
    </row>
    <row r="3073" spans="1:12" ht="38.25">
      <c r="A3073" s="8" t="s">
        <v>11969</v>
      </c>
      <c r="B3073" s="9" t="s">
        <v>12</v>
      </c>
      <c r="C3073" s="10" t="s">
        <v>151</v>
      </c>
      <c r="D3073" s="10" t="str">
        <f ca="1">IFERROR(__xludf.DUMMYFUNCTION(" VLOOKUP(A3070, IMPORTRANGE(""https://docs.google.com/spreadsheets/d/1fj_Bhi2XPL3siwIh4sx4VRLAe31yD50oKdj5UlRYW0c/"", ""Сводка!A:AA""), 11, FALSE)"),"978-601-327-720-2")</f>
        <v>978-601-327-720-2</v>
      </c>
      <c r="E3073" s="62" t="s">
        <v>11970</v>
      </c>
      <c r="F3073" s="62" t="s">
        <v>11971</v>
      </c>
      <c r="G3073" s="12">
        <f ca="1">IFERROR(__xludf.DUMMYFUNCTION(" VLOOKUP(A3070, IMPORTRANGE(""https://docs.google.com/spreadsheets/d/1fj_Bhi2XPL3siwIh4sx4VRLAe31yD50oKdj5UlRYW0c/"", ""Сводка!A:AA""), 5, FALSE)"),80)</f>
        <v>80</v>
      </c>
      <c r="H3073" s="63" t="s">
        <v>498</v>
      </c>
      <c r="I3073" s="10">
        <f ca="1">IFERROR(__xludf.DUMMYFUNCTION(" VLOOKUP(A3070, IMPORTRANGE(""https://docs.google.com/spreadsheets/d/1QNLbnkR_AongFt22vMfNzfpjZ0CjpI8QI-w0wBnYA1w/"", ""Инфа!A:AA""), 6, FALSE)"),2024)</f>
        <v>2024</v>
      </c>
      <c r="J3073" s="5">
        <f ca="1">ROUND((5000+G3073*60),-2)</f>
        <v>9800</v>
      </c>
      <c r="K3073" s="63" t="s">
        <v>548</v>
      </c>
      <c r="L3073" s="64"/>
    </row>
    <row r="3074" spans="1:12" ht="25.5">
      <c r="A3074" s="8" t="s">
        <v>11972</v>
      </c>
      <c r="B3074" s="9" t="s">
        <v>12</v>
      </c>
      <c r="C3074" s="10" t="s">
        <v>443</v>
      </c>
      <c r="D3074" s="10" t="str">
        <f ca="1">IFERROR(__xludf.DUMMYFUNCTION(" VLOOKUP(A3071, IMPORTRANGE(""https://docs.google.com/spreadsheets/d/1fj_Bhi2XPL3siwIh4sx4VRLAe31yD50oKdj5UlRYW0c/"", ""Сводка!A:AA""), 11, FALSE)"),"978-601-240-426-5")</f>
        <v>978-601-240-426-5</v>
      </c>
      <c r="E3074" s="11" t="s">
        <v>11973</v>
      </c>
      <c r="F3074" s="11" t="s">
        <v>11974</v>
      </c>
      <c r="G3074" s="12">
        <f ca="1">IFERROR(__xludf.DUMMYFUNCTION(" VLOOKUP(A3071, IMPORTRANGE(""https://docs.google.com/spreadsheets/d/1fj_Bhi2XPL3siwIh4sx4VRLAe31yD50oKdj5UlRYW0c/"", ""Сводка!A:AA""), 5, FALSE)"),340)</f>
        <v>340</v>
      </c>
      <c r="H3074" s="12" t="s">
        <v>538</v>
      </c>
      <c r="I3074" s="10">
        <f ca="1">IFERROR(__xludf.DUMMYFUNCTION(" VLOOKUP(A3071, IMPORTRANGE(""https://docs.google.com/spreadsheets/d/1QNLbnkR_AongFt22vMfNzfpjZ0CjpI8QI-w0wBnYA1w/"", ""Инфа!A:AA""), 6, FALSE)"),2024)</f>
        <v>2024</v>
      </c>
      <c r="J3074" s="5">
        <f ca="1">ROUND((5000+G3074*60),-2)</f>
        <v>25400</v>
      </c>
      <c r="K3074" s="12" t="s">
        <v>26</v>
      </c>
      <c r="L3074" s="15"/>
    </row>
    <row r="3075" spans="1:12" ht="101.25">
      <c r="A3075" s="8" t="s">
        <v>11975</v>
      </c>
      <c r="B3075" s="9" t="s">
        <v>12</v>
      </c>
      <c r="C3075" s="10" t="s">
        <v>443</v>
      </c>
      <c r="D3075" s="10" t="str">
        <f ca="1">IFERROR(__xludf.DUMMYFUNCTION(" VLOOKUP(A3072, IMPORTRANGE(""https://docs.google.com/spreadsheets/d/1fj_Bhi2XPL3siwIh4sx4VRLAe31yD50oKdj5UlRYW0c/"", ""Сводка!A:AA""), 11, FALSE)"),"978-601-240-735-8")</f>
        <v>978-601-240-735-8</v>
      </c>
      <c r="E3075" s="11" t="s">
        <v>11976</v>
      </c>
      <c r="F3075" s="11" t="s">
        <v>11977</v>
      </c>
      <c r="G3075" s="12">
        <f ca="1">IFERROR(__xludf.DUMMYFUNCTION(" VLOOKUP(A3072, IMPORTRANGE(""https://docs.google.com/spreadsheets/d/1fj_Bhi2XPL3siwIh4sx4VRLAe31yD50oKdj5UlRYW0c/"", ""Сводка!A:AA""), 5, FALSE)"),128)</f>
        <v>128</v>
      </c>
      <c r="H3075" s="12" t="s">
        <v>538</v>
      </c>
      <c r="I3075" s="10">
        <f ca="1">IFERROR(__xludf.DUMMYFUNCTION(" VLOOKUP(A3072, IMPORTRANGE(""https://docs.google.com/spreadsheets/d/1QNLbnkR_AongFt22vMfNzfpjZ0CjpI8QI-w0wBnYA1w/"", ""Инфа!A:AA""), 6, FALSE)"),2024)</f>
        <v>2024</v>
      </c>
      <c r="J3075" s="5">
        <f ca="1">ROUND((5000+G3075*30),-2)</f>
        <v>8800</v>
      </c>
      <c r="K3075" s="12" t="s">
        <v>447</v>
      </c>
      <c r="L3075" s="15" t="s">
        <v>11978</v>
      </c>
    </row>
    <row r="3076" spans="1:12" ht="123.75">
      <c r="A3076" s="8" t="s">
        <v>11979</v>
      </c>
      <c r="B3076" s="9" t="s">
        <v>12</v>
      </c>
      <c r="C3076" s="13" t="s">
        <v>151</v>
      </c>
      <c r="D3076" s="10" t="str">
        <f ca="1">IFERROR(__xludf.DUMMYFUNCTION(" VLOOKUP(A3073, IMPORTRANGE(""https://docs.google.com/spreadsheets/d/1fj_Bhi2XPL3siwIh4sx4VRLAe31yD50oKdj5UlRYW0c/"", ""Сводка!A:AA""), 11, FALSE)"),"978-601-342-317-3")</f>
        <v>978-601-342-317-3</v>
      </c>
      <c r="E3076" s="19" t="s">
        <v>11980</v>
      </c>
      <c r="F3076" s="19" t="s">
        <v>11981</v>
      </c>
      <c r="G3076" s="12">
        <f ca="1">IFERROR(__xludf.DUMMYFUNCTION(" VLOOKUP(A3073, IMPORTRANGE(""https://docs.google.com/spreadsheets/d/1fj_Bhi2XPL3siwIh4sx4VRLAe31yD50oKdj5UlRYW0c/"", ""Сводка!A:AA""), 5, FALSE)"),336)</f>
        <v>336</v>
      </c>
      <c r="H3076" s="9" t="s">
        <v>56</v>
      </c>
      <c r="I3076" s="10">
        <f ca="1">IFERROR(__xludf.DUMMYFUNCTION(" VLOOKUP(A3073, IMPORTRANGE(""https://docs.google.com/spreadsheets/d/1QNLbnkR_AongFt22vMfNzfpjZ0CjpI8QI-w0wBnYA1w/"", ""Инфа!A:AA""), 6, FALSE)"),2024)</f>
        <v>2024</v>
      </c>
      <c r="J3076" s="5">
        <f ca="1">ROUND((5000+G3076*60),-2)</f>
        <v>25200</v>
      </c>
      <c r="K3076" s="9" t="s">
        <v>188</v>
      </c>
      <c r="L3076" s="21" t="s">
        <v>11982</v>
      </c>
    </row>
    <row r="3077" spans="1:12" ht="63.75">
      <c r="A3077" s="8" t="s">
        <v>11983</v>
      </c>
      <c r="B3077" s="9" t="s">
        <v>12</v>
      </c>
      <c r="C3077" s="13" t="s">
        <v>443</v>
      </c>
      <c r="D3077" s="10" t="str">
        <f ca="1">IFERROR(__xludf.DUMMYFUNCTION(" VLOOKUP(A3074, IMPORTRANGE(""https://docs.google.com/spreadsheets/d/1fj_Bhi2XPL3siwIh4sx4VRLAe31yD50oKdj5UlRYW0c/"", ""Сводка!A:AA""), 11, FALSE)"),"978-601-342-318-0")</f>
        <v>978-601-342-318-0</v>
      </c>
      <c r="E3077" s="19" t="s">
        <v>11984</v>
      </c>
      <c r="F3077" s="19" t="s">
        <v>11985</v>
      </c>
      <c r="G3077" s="12">
        <f ca="1">IFERROR(__xludf.DUMMYFUNCTION(" VLOOKUP(A3074, IMPORTRANGE(""https://docs.google.com/spreadsheets/d/1fj_Bhi2XPL3siwIh4sx4VRLAe31yD50oKdj5UlRYW0c/"", ""Сводка!A:AA""), 5, FALSE)"),328)</f>
        <v>328</v>
      </c>
      <c r="H3077" s="9" t="s">
        <v>56</v>
      </c>
      <c r="I3077" s="10">
        <f ca="1">IFERROR(__xludf.DUMMYFUNCTION(" VLOOKUP(A3074, IMPORTRANGE(""https://docs.google.com/spreadsheets/d/1QNLbnkR_AongFt22vMfNzfpjZ0CjpI8QI-w0wBnYA1w/"", ""Инфа!A:AA""), 6, FALSE)"),2024)</f>
        <v>2024</v>
      </c>
      <c r="J3077" s="5">
        <f ca="1">ROUND((5000+G3077*60),-2)</f>
        <v>24700</v>
      </c>
      <c r="K3077" s="9" t="s">
        <v>188</v>
      </c>
      <c r="L3077" s="21" t="s">
        <v>11986</v>
      </c>
    </row>
    <row r="3078" spans="1:12" ht="303.75">
      <c r="A3078" s="8" t="s">
        <v>11987</v>
      </c>
      <c r="B3078" s="9" t="s">
        <v>12</v>
      </c>
      <c r="C3078" s="10" t="s">
        <v>443</v>
      </c>
      <c r="D3078" s="10" t="str">
        <f ca="1">IFERROR(__xludf.DUMMYFUNCTION(" VLOOKUP(A3075, IMPORTRANGE(""https://docs.google.com/spreadsheets/d/1fj_Bhi2XPL3siwIh4sx4VRLAe31yD50oKdj5UlRYW0c/"", ""Сводка!A:AA""), 11, FALSE)"),"978-601-327-534-5")</f>
        <v>978-601-327-534-5</v>
      </c>
      <c r="E3078" s="11" t="s">
        <v>11988</v>
      </c>
      <c r="F3078" s="11" t="s">
        <v>11989</v>
      </c>
      <c r="G3078" s="12">
        <f ca="1">IFERROR(__xludf.DUMMYFUNCTION(" VLOOKUP(A3075, IMPORTRANGE(""https://docs.google.com/spreadsheets/d/1fj_Bhi2XPL3siwIh4sx4VRLAe31yD50oKdj5UlRYW0c/"", ""Сводка!A:AA""), 5, FALSE)"),216)</f>
        <v>216</v>
      </c>
      <c r="H3078" s="10" t="s">
        <v>538</v>
      </c>
      <c r="I3078" s="10">
        <f ca="1">IFERROR(__xludf.DUMMYFUNCTION(" VLOOKUP(A3075, IMPORTRANGE(""https://docs.google.com/spreadsheets/d/1QNLbnkR_AongFt22vMfNzfpjZ0CjpI8QI-w0wBnYA1w/"", ""Инфа!A:AA""), 6, FALSE)"),2024)</f>
        <v>2024</v>
      </c>
      <c r="J3078" s="5">
        <f ca="1">ROUND((5000+G3078*30),-2)</f>
        <v>11500</v>
      </c>
      <c r="K3078" s="10" t="s">
        <v>539</v>
      </c>
      <c r="L3078" s="23" t="s">
        <v>11990</v>
      </c>
    </row>
    <row r="3079" spans="1:12" ht="236.25">
      <c r="A3079" s="8" t="s">
        <v>11991</v>
      </c>
      <c r="B3079" s="9" t="s">
        <v>12</v>
      </c>
      <c r="C3079" s="10" t="s">
        <v>151</v>
      </c>
      <c r="D3079" s="10" t="str">
        <f ca="1">IFERROR(__xludf.DUMMYFUNCTION(" VLOOKUP(A3076, IMPORTRANGE(""https://docs.google.com/spreadsheets/d/1fj_Bhi2XPL3siwIh4sx4VRLAe31yD50oKdj5UlRYW0c/"", ""Сводка!A:AA""), 11, FALSE)"),"978-601-310-370-9")</f>
        <v>978-601-310-370-9</v>
      </c>
      <c r="E3079" s="11" t="s">
        <v>11992</v>
      </c>
      <c r="F3079" s="11" t="s">
        <v>11993</v>
      </c>
      <c r="G3079" s="12">
        <f ca="1">IFERROR(__xludf.DUMMYFUNCTION(" VLOOKUP(A3076, IMPORTRANGE(""https://docs.google.com/spreadsheets/d/1fj_Bhi2XPL3siwIh4sx4VRLAe31yD50oKdj5UlRYW0c/"", ""Сводка!A:AA""), 5, FALSE)"),176)</f>
        <v>176</v>
      </c>
      <c r="H3079" s="12" t="s">
        <v>106</v>
      </c>
      <c r="I3079" s="10">
        <f ca="1">IFERROR(__xludf.DUMMYFUNCTION(" VLOOKUP(A3076, IMPORTRANGE(""https://docs.google.com/spreadsheets/d/1QNLbnkR_AongFt22vMfNzfpjZ0CjpI8QI-w0wBnYA1w/"", ""Инфа!A:AA""), 6, FALSE)"),2024)</f>
        <v>2024</v>
      </c>
      <c r="J3079" s="5">
        <f ca="1">ROUND((5000+G3079*30),-2)</f>
        <v>10300</v>
      </c>
      <c r="K3079" s="12" t="s">
        <v>127</v>
      </c>
      <c r="L3079" s="15" t="s">
        <v>11994</v>
      </c>
    </row>
    <row r="3080" spans="1:12" ht="258.75">
      <c r="A3080" s="8" t="s">
        <v>11995</v>
      </c>
      <c r="B3080" s="9" t="s">
        <v>12</v>
      </c>
      <c r="C3080" s="10" t="s">
        <v>443</v>
      </c>
      <c r="D3080" s="10" t="str">
        <f ca="1">IFERROR(__xludf.DUMMYFUNCTION(" VLOOKUP(A3077, IMPORTRANGE(""https://docs.google.com/spreadsheets/d/1fj_Bhi2XPL3siwIh4sx4VRLAe31yD50oKdj5UlRYW0c/"", ""Сводка!A:AA""), 11, FALSE)"),"9965-19-827-6")</f>
        <v>9965-19-827-6</v>
      </c>
      <c r="E3080" s="11" t="s">
        <v>11996</v>
      </c>
      <c r="F3080" s="11" t="s">
        <v>11997</v>
      </c>
      <c r="G3080" s="12">
        <f ca="1">IFERROR(__xludf.DUMMYFUNCTION(" VLOOKUP(A3077, IMPORTRANGE(""https://docs.google.com/spreadsheets/d/1fj_Bhi2XPL3siwIh4sx4VRLAe31yD50oKdj5UlRYW0c/"", ""Сводка!A:AA""), 5, FALSE)"),160)</f>
        <v>160</v>
      </c>
      <c r="H3080" s="12" t="s">
        <v>538</v>
      </c>
      <c r="I3080" s="10">
        <f ca="1">IFERROR(__xludf.DUMMYFUNCTION(" VLOOKUP(A3077, IMPORTRANGE(""https://docs.google.com/spreadsheets/d/1QNLbnkR_AongFt22vMfNzfpjZ0CjpI8QI-w0wBnYA1w/"", ""Инфа!A:AA""), 6, FALSE)"),2024)</f>
        <v>2024</v>
      </c>
      <c r="J3080" s="5">
        <f ca="1">ROUND((5000+G3080*30),-2)</f>
        <v>9800</v>
      </c>
      <c r="K3080" s="12" t="s">
        <v>287</v>
      </c>
      <c r="L3080" s="15" t="s">
        <v>11998</v>
      </c>
    </row>
    <row r="3081" spans="1:12" ht="281.25">
      <c r="A3081" s="8" t="s">
        <v>11999</v>
      </c>
      <c r="B3081" s="9" t="s">
        <v>12</v>
      </c>
      <c r="C3081" s="10" t="s">
        <v>443</v>
      </c>
      <c r="D3081" s="10" t="str">
        <f ca="1">IFERROR(__xludf.DUMMYFUNCTION(" VLOOKUP(A3078, IMPORTRANGE(""https://docs.google.com/spreadsheets/d/1fj_Bhi2XPL3siwIh4sx4VRLAe31yD50oKdj5UlRYW0c/"", ""Сводка!A:AA""), 11, FALSE)"),"9965-03-170-3")</f>
        <v>9965-03-170-3</v>
      </c>
      <c r="E3081" s="11" t="s">
        <v>11996</v>
      </c>
      <c r="F3081" s="11" t="s">
        <v>12000</v>
      </c>
      <c r="G3081" s="12">
        <f ca="1">IFERROR(__xludf.DUMMYFUNCTION(" VLOOKUP(A3078, IMPORTRANGE(""https://docs.google.com/spreadsheets/d/1fj_Bhi2XPL3siwIh4sx4VRLAe31yD50oKdj5UlRYW0c/"", ""Сводка!A:AA""), 5, FALSE)"),340)</f>
        <v>340</v>
      </c>
      <c r="H3081" s="12" t="s">
        <v>538</v>
      </c>
      <c r="I3081" s="10">
        <f ca="1">IFERROR(__xludf.DUMMYFUNCTION(" VLOOKUP(A3078, IMPORTRANGE(""https://docs.google.com/spreadsheets/d/1QNLbnkR_AongFt22vMfNzfpjZ0CjpI8QI-w0wBnYA1w/"", ""Инфа!A:AA""), 6, FALSE)"),2024)</f>
        <v>2024</v>
      </c>
      <c r="J3081" s="5">
        <f ca="1">ROUND((5000+G3081*60),-2)</f>
        <v>25400</v>
      </c>
      <c r="K3081" s="12" t="s">
        <v>287</v>
      </c>
      <c r="L3081" s="15" t="s">
        <v>12001</v>
      </c>
    </row>
    <row r="3082" spans="1:12" ht="270">
      <c r="A3082" s="8" t="s">
        <v>12002</v>
      </c>
      <c r="B3082" s="9" t="s">
        <v>12</v>
      </c>
      <c r="C3082" s="10" t="s">
        <v>443</v>
      </c>
      <c r="D3082" s="10" t="str">
        <f ca="1">IFERROR(__xludf.DUMMYFUNCTION(" VLOOKUP(A3079, IMPORTRANGE(""https://docs.google.com/spreadsheets/d/1fj_Bhi2XPL3siwIh4sx4VRLAe31yD50oKdj5UlRYW0c/"", ""Сводка!A:AA""), 11, FALSE)"),"978-601-310-984-4")</f>
        <v>978-601-310-984-4</v>
      </c>
      <c r="E3082" s="11" t="s">
        <v>12003</v>
      </c>
      <c r="F3082" s="11" t="s">
        <v>12004</v>
      </c>
      <c r="G3082" s="12">
        <f ca="1">IFERROR(__xludf.DUMMYFUNCTION(" VLOOKUP(A3079, IMPORTRANGE(""https://docs.google.com/spreadsheets/d/1fj_Bhi2XPL3siwIh4sx4VRLAe31yD50oKdj5UlRYW0c/"", ""Сводка!A:AA""), 5, FALSE)"),236)</f>
        <v>236</v>
      </c>
      <c r="H3082" s="12" t="s">
        <v>511</v>
      </c>
      <c r="I3082" s="10">
        <f ca="1">IFERROR(__xludf.DUMMYFUNCTION(" VLOOKUP(A3079, IMPORTRANGE(""https://docs.google.com/spreadsheets/d/1QNLbnkR_AongFt22vMfNzfpjZ0CjpI8QI-w0wBnYA1w/"", ""Инфа!A:AA""), 6, FALSE)"),2024)</f>
        <v>2024</v>
      </c>
      <c r="J3082" s="5">
        <f ca="1">ROUND((5000+G3082*30),-2)</f>
        <v>12100</v>
      </c>
      <c r="K3082" s="12" t="s">
        <v>69</v>
      </c>
      <c r="L3082" s="15" t="s">
        <v>12005</v>
      </c>
    </row>
    <row r="3083" spans="1:12" ht="157.5">
      <c r="A3083" s="8" t="s">
        <v>12006</v>
      </c>
      <c r="B3083" s="9" t="s">
        <v>12</v>
      </c>
      <c r="C3083" s="10" t="s">
        <v>443</v>
      </c>
      <c r="D3083" s="10" t="str">
        <f ca="1">IFERROR(__xludf.DUMMYFUNCTION(" VLOOKUP(A3080, IMPORTRANGE(""https://docs.google.com/spreadsheets/d/1fj_Bhi2XPL3siwIh4sx4VRLAe31yD50oKdj5UlRYW0c/"", ""Сводка!A:AA""), 11, FALSE)"),"978-601-310-887-7")</f>
        <v>978-601-310-887-7</v>
      </c>
      <c r="E3083" s="11" t="s">
        <v>12003</v>
      </c>
      <c r="F3083" s="11" t="s">
        <v>12007</v>
      </c>
      <c r="G3083" s="12">
        <f ca="1">IFERROR(__xludf.DUMMYFUNCTION(" VLOOKUP(A3080, IMPORTRANGE(""https://docs.google.com/spreadsheets/d/1fj_Bhi2XPL3siwIh4sx4VRLAe31yD50oKdj5UlRYW0c/"", ""Сводка!A:AA""), 5, FALSE)"),168)</f>
        <v>168</v>
      </c>
      <c r="H3083" s="12" t="s">
        <v>511</v>
      </c>
      <c r="I3083" s="10">
        <f ca="1">IFERROR(__xludf.DUMMYFUNCTION(" VLOOKUP(A3080, IMPORTRANGE(""https://docs.google.com/spreadsheets/d/1QNLbnkR_AongFt22vMfNzfpjZ0CjpI8QI-w0wBnYA1w/"", ""Инфа!A:AA""), 6, FALSE)"),2024)</f>
        <v>2024</v>
      </c>
      <c r="J3083" s="5">
        <f ca="1">ROUND((5000+G3083*30),-2)</f>
        <v>10000</v>
      </c>
      <c r="K3083" s="12" t="s">
        <v>69</v>
      </c>
      <c r="L3083" s="15" t="s">
        <v>12008</v>
      </c>
    </row>
    <row r="3084" spans="1:12" ht="38.25">
      <c r="A3084" s="8" t="s">
        <v>12009</v>
      </c>
      <c r="B3084" s="9" t="s">
        <v>12</v>
      </c>
      <c r="C3084" s="10" t="s">
        <v>443</v>
      </c>
      <c r="D3084" s="10" t="str">
        <f ca="1">IFERROR(__xludf.DUMMYFUNCTION(" VLOOKUP(A3081, IMPORTRANGE(""https://docs.google.com/spreadsheets/d/1fj_Bhi2XPL3siwIh4sx4VRLAe31yD50oKdj5UlRYW0c/"", ""Сводка!A:AA""), 11, FALSE)"),"978-601-310-822-3")</f>
        <v>978-601-310-822-3</v>
      </c>
      <c r="E3084" s="11" t="s">
        <v>12010</v>
      </c>
      <c r="F3084" s="11" t="s">
        <v>12011</v>
      </c>
      <c r="G3084" s="12">
        <f ca="1">IFERROR(__xludf.DUMMYFUNCTION(" VLOOKUP(A3081, IMPORTRANGE(""https://docs.google.com/spreadsheets/d/1fj_Bhi2XPL3siwIh4sx4VRLAe31yD50oKdj5UlRYW0c/"", ""Сводка!A:AA""), 5, FALSE)"),236)</f>
        <v>236</v>
      </c>
      <c r="H3084" s="12" t="s">
        <v>538</v>
      </c>
      <c r="I3084" s="10">
        <f ca="1">IFERROR(__xludf.DUMMYFUNCTION(" VLOOKUP(A3081, IMPORTRANGE(""https://docs.google.com/spreadsheets/d/1QNLbnkR_AongFt22vMfNzfpjZ0CjpI8QI-w0wBnYA1w/"", ""Инфа!A:AA""), 6, FALSE)"),2024)</f>
        <v>2024</v>
      </c>
      <c r="J3084" s="5">
        <f ca="1">ROUND((5000+G3084*60),-2)</f>
        <v>19200</v>
      </c>
      <c r="K3084" s="9" t="s">
        <v>7967</v>
      </c>
      <c r="L3084" s="15"/>
    </row>
    <row r="3085" spans="1:12" ht="225">
      <c r="A3085" s="8" t="s">
        <v>12012</v>
      </c>
      <c r="B3085" s="9" t="s">
        <v>12</v>
      </c>
      <c r="C3085" s="10" t="s">
        <v>151</v>
      </c>
      <c r="D3085" s="10" t="str">
        <f ca="1">IFERROR(__xludf.DUMMYFUNCTION(" VLOOKUP(A3082, IMPORTRANGE(""https://docs.google.com/spreadsheets/d/1fj_Bhi2XPL3siwIh4sx4VRLAe31yD50oKdj5UlRYW0c/"", ""Сводка!A:AA""), 11, FALSE)"),"978-601-240-803-8")</f>
        <v>978-601-240-803-8</v>
      </c>
      <c r="E3085" s="11" t="s">
        <v>12013</v>
      </c>
      <c r="F3085" s="11" t="s">
        <v>12014</v>
      </c>
      <c r="G3085" s="12">
        <f ca="1">IFERROR(__xludf.DUMMYFUNCTION(" VLOOKUP(A3082, IMPORTRANGE(""https://docs.google.com/spreadsheets/d/1fj_Bhi2XPL3siwIh4sx4VRLAe31yD50oKdj5UlRYW0c/"", ""Сводка!A:AA""), 5, FALSE)"),176)</f>
        <v>176</v>
      </c>
      <c r="H3085" s="12" t="s">
        <v>47</v>
      </c>
      <c r="I3085" s="10">
        <f ca="1">IFERROR(__xludf.DUMMYFUNCTION(" VLOOKUP(A3082, IMPORTRANGE(""https://docs.google.com/spreadsheets/d/1QNLbnkR_AongFt22vMfNzfpjZ0CjpI8QI-w0wBnYA1w/"", ""Инфа!A:AA""), 6, FALSE)"),2024)</f>
        <v>2024</v>
      </c>
      <c r="J3085" s="5">
        <f ca="1">ROUND((5000+G3085*30),-2)</f>
        <v>10300</v>
      </c>
      <c r="K3085" s="12" t="s">
        <v>575</v>
      </c>
      <c r="L3085" s="16" t="s">
        <v>12015</v>
      </c>
    </row>
    <row r="3086" spans="1:12" ht="168.75">
      <c r="A3086" s="8" t="s">
        <v>12016</v>
      </c>
      <c r="B3086" s="9" t="s">
        <v>12</v>
      </c>
      <c r="C3086" s="10" t="s">
        <v>443</v>
      </c>
      <c r="D3086" s="10" t="str">
        <f ca="1">IFERROR(__xludf.DUMMYFUNCTION(" VLOOKUP(A3083, IMPORTRANGE(""https://docs.google.com/spreadsheets/d/1fj_Bhi2XPL3siwIh4sx4VRLAe31yD50oKdj5UlRYW0c/"", ""Сводка!A:AA""), 11, FALSE)"),"978- 601- 7388-92-8")</f>
        <v>978- 601- 7388-92-8</v>
      </c>
      <c r="E3086" s="11" t="s">
        <v>12017</v>
      </c>
      <c r="F3086" s="11" t="s">
        <v>4902</v>
      </c>
      <c r="G3086" s="12">
        <f ca="1">IFERROR(__xludf.DUMMYFUNCTION(" VLOOKUP(A3083, IMPORTRANGE(""https://docs.google.com/spreadsheets/d/1fj_Bhi2XPL3siwIh4sx4VRLAe31yD50oKdj5UlRYW0c/"", ""Сводка!A:AA""), 5, FALSE)"),212)</f>
        <v>212</v>
      </c>
      <c r="H3086" s="12" t="s">
        <v>446</v>
      </c>
      <c r="I3086" s="10">
        <f ca="1">IFERROR(__xludf.DUMMYFUNCTION(" VLOOKUP(A3083, IMPORTRANGE(""https://docs.google.com/spreadsheets/d/1QNLbnkR_AongFt22vMfNzfpjZ0CjpI8QI-w0wBnYA1w/"", ""Инфа!A:AA""), 6, FALSE)"),2024)</f>
        <v>2024</v>
      </c>
      <c r="J3086" s="5">
        <f ca="1">ROUND(((5000+G3086*60)*1.3),-2)</f>
        <v>23000</v>
      </c>
      <c r="K3086" s="12" t="s">
        <v>213</v>
      </c>
      <c r="L3086" s="15" t="s">
        <v>12018</v>
      </c>
    </row>
    <row r="3087" spans="1:12" ht="90">
      <c r="A3087" s="8" t="s">
        <v>12019</v>
      </c>
      <c r="B3087" s="9" t="s">
        <v>12</v>
      </c>
      <c r="C3087" s="10" t="s">
        <v>443</v>
      </c>
      <c r="D3087" s="10" t="str">
        <f ca="1">IFERROR(__xludf.DUMMYFUNCTION(" VLOOKUP(A3084, IMPORTRANGE(""https://docs.google.com/spreadsheets/d/1fj_Bhi2XPL3siwIh4sx4VRLAe31yD50oKdj5UlRYW0c/"", ""Сводка!A:AA""), 11, FALSE)"),"978-601-310-375-4")</f>
        <v>978-601-310-375-4</v>
      </c>
      <c r="E3087" s="11" t="s">
        <v>12020</v>
      </c>
      <c r="F3087" s="11" t="s">
        <v>12021</v>
      </c>
      <c r="G3087" s="12">
        <f ca="1">IFERROR(__xludf.DUMMYFUNCTION(" VLOOKUP(A3084, IMPORTRANGE(""https://docs.google.com/spreadsheets/d/1fj_Bhi2XPL3siwIh4sx4VRLAe31yD50oKdj5UlRYW0c/"", ""Сводка!A:AA""), 5, FALSE)"),284)</f>
        <v>284</v>
      </c>
      <c r="H3087" s="12" t="s">
        <v>446</v>
      </c>
      <c r="I3087" s="10">
        <f ca="1">IFERROR(__xludf.DUMMYFUNCTION(" VLOOKUP(A3084, IMPORTRANGE(""https://docs.google.com/spreadsheets/d/1QNLbnkR_AongFt22vMfNzfpjZ0CjpI8QI-w0wBnYA1w/"", ""Инфа!A:AA""), 6, FALSE)"),2024)</f>
        <v>2024</v>
      </c>
      <c r="J3087" s="5">
        <f ca="1">ROUND((5000+G3087*30),-2)</f>
        <v>13500</v>
      </c>
      <c r="K3087" s="12" t="s">
        <v>1240</v>
      </c>
      <c r="L3087" s="15" t="s">
        <v>12022</v>
      </c>
    </row>
    <row r="3088" spans="1:12" ht="101.25">
      <c r="A3088" s="8" t="s">
        <v>12023</v>
      </c>
      <c r="B3088" s="9" t="s">
        <v>12</v>
      </c>
      <c r="C3088" s="10" t="s">
        <v>443</v>
      </c>
      <c r="D3088" s="10" t="str">
        <f ca="1">IFERROR(__xludf.DUMMYFUNCTION(" VLOOKUP(A3085, IMPORTRANGE(""https://docs.google.com/spreadsheets/d/1fj_Bhi2XPL3siwIh4sx4VRLAe31yD50oKdj5UlRYW0c/"", ""Сводка!A:AA""), 11, FALSE)"),"978-601-327-459-1")</f>
        <v>978-601-327-459-1</v>
      </c>
      <c r="E3088" s="11" t="s">
        <v>12024</v>
      </c>
      <c r="F3088" s="11" t="s">
        <v>12025</v>
      </c>
      <c r="G3088" s="12">
        <f ca="1">IFERROR(__xludf.DUMMYFUNCTION(" VLOOKUP(A3085, IMPORTRANGE(""https://docs.google.com/spreadsheets/d/1fj_Bhi2XPL3siwIh4sx4VRLAe31yD50oKdj5UlRYW0c/"", ""Сводка!A:AA""), 5, FALSE)"),156)</f>
        <v>156</v>
      </c>
      <c r="H3088" s="12" t="s">
        <v>2664</v>
      </c>
      <c r="I3088" s="10">
        <f ca="1">IFERROR(__xludf.DUMMYFUNCTION(" VLOOKUP(A3085, IMPORTRANGE(""https://docs.google.com/spreadsheets/d/1QNLbnkR_AongFt22vMfNzfpjZ0CjpI8QI-w0wBnYA1w/"", ""Инфа!A:AA""), 6, FALSE)"),2024)</f>
        <v>2024</v>
      </c>
      <c r="J3088" s="5">
        <f ca="1">ROUND((5000+G3088*60),-2)</f>
        <v>14400</v>
      </c>
      <c r="K3088" s="12" t="s">
        <v>447</v>
      </c>
      <c r="L3088" s="15" t="s">
        <v>12026</v>
      </c>
    </row>
    <row r="3089" spans="1:12" ht="67.5">
      <c r="A3089" s="8" t="s">
        <v>12027</v>
      </c>
      <c r="B3089" s="9" t="s">
        <v>12</v>
      </c>
      <c r="C3089" s="10" t="s">
        <v>443</v>
      </c>
      <c r="D3089" s="10" t="str">
        <f ca="1">IFERROR(__xludf.DUMMYFUNCTION(" VLOOKUP(A3086, IMPORTRANGE(""https://docs.google.com/spreadsheets/d/1fj_Bhi2XPL3siwIh4sx4VRLAe31yD50oKdj5UlRYW0c/"", ""Сводка!A:AA""), 11, FALSE)"),"978-601-337-302-7")</f>
        <v>978-601-337-302-7</v>
      </c>
      <c r="E3089" s="11" t="s">
        <v>12028</v>
      </c>
      <c r="F3089" s="11" t="s">
        <v>12029</v>
      </c>
      <c r="G3089" s="12">
        <f ca="1">IFERROR(__xludf.DUMMYFUNCTION(" VLOOKUP(A3086, IMPORTRANGE(""https://docs.google.com/spreadsheets/d/1fj_Bhi2XPL3siwIh4sx4VRLAe31yD50oKdj5UlRYW0c/"", ""Сводка!A:AA""), 5, FALSE)"),180)</f>
        <v>180</v>
      </c>
      <c r="H3089" s="12" t="s">
        <v>24</v>
      </c>
      <c r="I3089" s="10">
        <f ca="1">IFERROR(__xludf.DUMMYFUNCTION(" VLOOKUP(A3086, IMPORTRANGE(""https://docs.google.com/spreadsheets/d/1QNLbnkR_AongFt22vMfNzfpjZ0CjpI8QI-w0wBnYA1w/"", ""Инфа!A:AA""), 6, FALSE)"),2024)</f>
        <v>2024</v>
      </c>
      <c r="J3089" s="5">
        <f ca="1">ROUND((5000+G3089*30),-2)</f>
        <v>10400</v>
      </c>
      <c r="K3089" s="12" t="s">
        <v>12030</v>
      </c>
      <c r="L3089" s="15" t="s">
        <v>12031</v>
      </c>
    </row>
    <row r="3090" spans="1:12" ht="135">
      <c r="A3090" s="8" t="s">
        <v>12032</v>
      </c>
      <c r="B3090" s="9" t="s">
        <v>12</v>
      </c>
      <c r="C3090" s="10" t="s">
        <v>443</v>
      </c>
      <c r="D3090" s="10" t="str">
        <f ca="1">IFERROR(__xludf.DUMMYFUNCTION(" VLOOKUP(A3087, IMPORTRANGE(""https://docs.google.com/spreadsheets/d/1fj_Bhi2XPL3siwIh4sx4VRLAe31yD50oKdj5UlRYW0c/"", ""Сводка!A:AA""), 11, FALSE)"),"978-601-337-109-2")</f>
        <v>978-601-337-109-2</v>
      </c>
      <c r="E3090" s="11" t="s">
        <v>12033</v>
      </c>
      <c r="F3090" s="11" t="s">
        <v>12034</v>
      </c>
      <c r="G3090" s="12">
        <f ca="1">IFERROR(__xludf.DUMMYFUNCTION(" VLOOKUP(A3087, IMPORTRANGE(""https://docs.google.com/spreadsheets/d/1fj_Bhi2XPL3siwIh4sx4VRLAe31yD50oKdj5UlRYW0c/"", ""Сводка!A:AA""), 5, FALSE)"),140)</f>
        <v>140</v>
      </c>
      <c r="H3090" s="12" t="s">
        <v>538</v>
      </c>
      <c r="I3090" s="10">
        <f ca="1">IFERROR(__xludf.DUMMYFUNCTION(" VLOOKUP(A3087, IMPORTRANGE(""https://docs.google.com/spreadsheets/d/1QNLbnkR_AongFt22vMfNzfpjZ0CjpI8QI-w0wBnYA1w/"", ""Инфа!A:AA""), 6, FALSE)"),2024)</f>
        <v>2024</v>
      </c>
      <c r="J3090" s="5">
        <f ca="1">ROUND((5000+G3090*30),-2)</f>
        <v>9200</v>
      </c>
      <c r="K3090" s="12" t="s">
        <v>257</v>
      </c>
      <c r="L3090" s="15" t="s">
        <v>12035</v>
      </c>
    </row>
    <row r="3091" spans="1:12" ht="146.25">
      <c r="A3091" s="8" t="s">
        <v>12036</v>
      </c>
      <c r="B3091" s="9" t="s">
        <v>12</v>
      </c>
      <c r="C3091" s="10" t="s">
        <v>443</v>
      </c>
      <c r="D3091" s="10" t="str">
        <f ca="1">IFERROR(__xludf.DUMMYFUNCTION(" VLOOKUP(A3088, IMPORTRANGE(""https://docs.google.com/spreadsheets/d/1fj_Bhi2XPL3siwIh4sx4VRLAe31yD50oKdj5UlRYW0c/"", ""Сводка!A:AA""), 11, FALSE)"),"978-601-310-180-4")</f>
        <v>978-601-310-180-4</v>
      </c>
      <c r="E3091" s="11" t="s">
        <v>12037</v>
      </c>
      <c r="F3091" s="11" t="s">
        <v>12038</v>
      </c>
      <c r="G3091" s="12">
        <f ca="1">IFERROR(__xludf.DUMMYFUNCTION(" VLOOKUP(A3088, IMPORTRANGE(""https://docs.google.com/spreadsheets/d/1fj_Bhi2XPL3siwIh4sx4VRLAe31yD50oKdj5UlRYW0c/"", ""Сводка!A:AA""), 5, FALSE)"),328)</f>
        <v>328</v>
      </c>
      <c r="H3091" s="12" t="s">
        <v>538</v>
      </c>
      <c r="I3091" s="10">
        <f ca="1">IFERROR(__xludf.DUMMYFUNCTION(" VLOOKUP(A3088, IMPORTRANGE(""https://docs.google.com/spreadsheets/d/1QNLbnkR_AongFt22vMfNzfpjZ0CjpI8QI-w0wBnYA1w/"", ""Инфа!A:AA""), 6, FALSE)"),2024)</f>
        <v>2024</v>
      </c>
      <c r="J3091" s="5">
        <f ca="1">ROUND((5000+G3091*30),-2)</f>
        <v>14800</v>
      </c>
      <c r="K3091" s="9" t="s">
        <v>271</v>
      </c>
      <c r="L3091" s="15" t="s">
        <v>12039</v>
      </c>
    </row>
    <row r="3092" spans="1:12" ht="25.5">
      <c r="A3092" s="8" t="s">
        <v>12040</v>
      </c>
      <c r="B3092" s="9" t="s">
        <v>12</v>
      </c>
      <c r="C3092" s="10" t="s">
        <v>151</v>
      </c>
      <c r="D3092" s="10" t="str">
        <f ca="1">IFERROR(__xludf.DUMMYFUNCTION(" VLOOKUP(A3089, IMPORTRANGE(""https://docs.google.com/spreadsheets/d/1fj_Bhi2XPL3siwIh4sx4VRLAe31yD50oKdj5UlRYW0c/"", ""Сводка!A:AA""), 11, FALSE)"),"978-601-310-549-9")</f>
        <v>978-601-310-549-9</v>
      </c>
      <c r="E3092" s="11" t="s">
        <v>12041</v>
      </c>
      <c r="F3092" s="11" t="s">
        <v>12042</v>
      </c>
      <c r="G3092" s="12">
        <f ca="1">IFERROR(__xludf.DUMMYFUNCTION(" VLOOKUP(A3089, IMPORTRANGE(""https://docs.google.com/spreadsheets/d/1fj_Bhi2XPL3siwIh4sx4VRLAe31yD50oKdj5UlRYW0c/"", ""Сводка!A:AA""), 5, FALSE)"),76)</f>
        <v>76</v>
      </c>
      <c r="H3092" s="12" t="s">
        <v>47</v>
      </c>
      <c r="I3092" s="10">
        <f ca="1">IFERROR(__xludf.DUMMYFUNCTION(" VLOOKUP(A3089, IMPORTRANGE(""https://docs.google.com/spreadsheets/d/1QNLbnkR_AongFt22vMfNzfpjZ0CjpI8QI-w0wBnYA1w/"", ""Инфа!A:AA""), 6, FALSE)"),2024)</f>
        <v>2024</v>
      </c>
      <c r="J3092" s="5">
        <f ca="1">ROUND((5000+G3092*30),-2)</f>
        <v>7300</v>
      </c>
      <c r="K3092" s="12" t="s">
        <v>570</v>
      </c>
      <c r="L3092" s="15"/>
    </row>
    <row r="3093" spans="1:12" ht="315">
      <c r="A3093" s="8" t="s">
        <v>12043</v>
      </c>
      <c r="B3093" s="9" t="s">
        <v>12</v>
      </c>
      <c r="C3093" s="10" t="s">
        <v>12044</v>
      </c>
      <c r="D3093" s="10" t="str">
        <f ca="1">IFERROR(__xludf.DUMMYFUNCTION(" VLOOKUP(A3090, IMPORTRANGE(""https://docs.google.com/spreadsheets/d/1fj_Bhi2XPL3siwIh4sx4VRLAe31yD50oKdj5UlRYW0c/"", ""Сводка!A:AA""), 11, FALSE)"),"978-601-327-551-2")</f>
        <v>978-601-327-551-2</v>
      </c>
      <c r="E3093" s="11" t="s">
        <v>12045</v>
      </c>
      <c r="F3093" s="11" t="s">
        <v>12046</v>
      </c>
      <c r="G3093" s="12">
        <f ca="1">IFERROR(__xludf.DUMMYFUNCTION(" VLOOKUP(A3090, IMPORTRANGE(""https://docs.google.com/spreadsheets/d/1fj_Bhi2XPL3siwIh4sx4VRLAe31yD50oKdj5UlRYW0c/"", ""Сводка!A:AA""), 5, FALSE)"),124)</f>
        <v>124</v>
      </c>
      <c r="H3093" s="12" t="s">
        <v>10243</v>
      </c>
      <c r="I3093" s="10">
        <f ca="1">IFERROR(__xludf.DUMMYFUNCTION(" VLOOKUP(A3090, IMPORTRANGE(""https://docs.google.com/spreadsheets/d/1QNLbnkR_AongFt22vMfNzfpjZ0CjpI8QI-w0wBnYA1w/"", ""Инфа!A:AA""), 6, FALSE)"),2024)</f>
        <v>2024</v>
      </c>
      <c r="J3093" s="5">
        <f ca="1">ROUND((5000+G3093*30),-2)</f>
        <v>8700</v>
      </c>
      <c r="K3093" s="12" t="s">
        <v>18</v>
      </c>
      <c r="L3093" s="15" t="s">
        <v>12047</v>
      </c>
    </row>
    <row r="3094" spans="1:12" ht="25.5">
      <c r="A3094" s="8" t="s">
        <v>12048</v>
      </c>
      <c r="B3094" s="9" t="s">
        <v>12</v>
      </c>
      <c r="C3094" s="10" t="s">
        <v>151</v>
      </c>
      <c r="D3094" s="10" t="str">
        <f ca="1">IFERROR(__xludf.DUMMYFUNCTION(" VLOOKUP(A3091, IMPORTRANGE(""https://docs.google.com/spreadsheets/d/1fj_Bhi2XPL3siwIh4sx4VRLAe31yD50oKdj5UlRYW0c/"", ""Сводка!A:AA""), 11, FALSE)"),"978-601-310-205-4")</f>
        <v>978-601-310-205-4</v>
      </c>
      <c r="E3094" s="11" t="s">
        <v>12049</v>
      </c>
      <c r="F3094" s="11" t="s">
        <v>12050</v>
      </c>
      <c r="G3094" s="12">
        <f ca="1">IFERROR(__xludf.DUMMYFUNCTION(" VLOOKUP(A3091, IMPORTRANGE(""https://docs.google.com/spreadsheets/d/1fj_Bhi2XPL3siwIh4sx4VRLAe31yD50oKdj5UlRYW0c/"", ""Сводка!A:AA""), 5, FALSE)"),104)</f>
        <v>104</v>
      </c>
      <c r="H3094" s="12" t="s">
        <v>47</v>
      </c>
      <c r="I3094" s="10">
        <f ca="1">IFERROR(__xludf.DUMMYFUNCTION(" VLOOKUP(A3091, IMPORTRANGE(""https://docs.google.com/spreadsheets/d/1QNLbnkR_AongFt22vMfNzfpjZ0CjpI8QI-w0wBnYA1w/"", ""Инфа!A:AA""), 6, FALSE)"),2024)</f>
        <v>2024</v>
      </c>
      <c r="J3094" s="5">
        <f ca="1">ROUND(((5000+G3094*30)*1.3),-2)</f>
        <v>10600</v>
      </c>
      <c r="K3094" s="12" t="s">
        <v>961</v>
      </c>
      <c r="L3094" s="15"/>
    </row>
    <row r="3095" spans="1:12" ht="25.5">
      <c r="A3095" s="8" t="s">
        <v>12051</v>
      </c>
      <c r="B3095" s="9" t="s">
        <v>12</v>
      </c>
      <c r="C3095" s="10" t="s">
        <v>151</v>
      </c>
      <c r="D3095" s="10" t="str">
        <f ca="1">IFERROR(__xludf.DUMMYFUNCTION(" VLOOKUP(A3092, IMPORTRANGE(""https://docs.google.com/spreadsheets/d/1fj_Bhi2XPL3siwIh4sx4VRLAe31yD50oKdj5UlRYW0c/"", ""Сводка!A:AA""), 11, FALSE)"),"978-601-310-203-0")</f>
        <v>978-601-310-203-0</v>
      </c>
      <c r="E3095" s="11" t="s">
        <v>12049</v>
      </c>
      <c r="F3095" s="11" t="s">
        <v>12052</v>
      </c>
      <c r="G3095" s="12">
        <f ca="1">IFERROR(__xludf.DUMMYFUNCTION(" VLOOKUP(A3092, IMPORTRANGE(""https://docs.google.com/spreadsheets/d/1fj_Bhi2XPL3siwIh4sx4VRLAe31yD50oKdj5UlRYW0c/"", ""Сводка!A:AA""), 5, FALSE)"),92)</f>
        <v>92</v>
      </c>
      <c r="H3095" s="12" t="s">
        <v>47</v>
      </c>
      <c r="I3095" s="10">
        <f ca="1">IFERROR(__xludf.DUMMYFUNCTION(" VLOOKUP(A3092, IMPORTRANGE(""https://docs.google.com/spreadsheets/d/1QNLbnkR_AongFt22vMfNzfpjZ0CjpI8QI-w0wBnYA1w/"", ""Инфа!A:AA""), 6, FALSE)"),2024)</f>
        <v>2024</v>
      </c>
      <c r="J3095" s="5">
        <f ca="1">ROUND(((5000+G3095*60)*1.3),-2)</f>
        <v>13700</v>
      </c>
      <c r="K3095" s="12" t="s">
        <v>961</v>
      </c>
      <c r="L3095" s="15"/>
    </row>
    <row r="3096" spans="1:12" ht="202.5">
      <c r="A3096" s="8" t="s">
        <v>12053</v>
      </c>
      <c r="B3096" s="9" t="s">
        <v>12</v>
      </c>
      <c r="C3096" s="10" t="s">
        <v>11044</v>
      </c>
      <c r="D3096" s="10" t="str">
        <f ca="1">IFERROR(__xludf.DUMMYFUNCTION(" VLOOKUP(A3093, IMPORTRANGE(""https://docs.google.com/spreadsheets/d/1fj_Bhi2XPL3siwIh4sx4VRLAe31yD50oKdj5UlRYW0c/"", ""Сводка!A:AA""), 11, FALSE)"),"978-601-327-545-1")</f>
        <v>978-601-327-545-1</v>
      </c>
      <c r="E3096" s="11" t="s">
        <v>12054</v>
      </c>
      <c r="F3096" s="11" t="s">
        <v>12055</v>
      </c>
      <c r="G3096" s="12">
        <f ca="1">IFERROR(__xludf.DUMMYFUNCTION(" VLOOKUP(A3093, IMPORTRANGE(""https://docs.google.com/spreadsheets/d/1fj_Bhi2XPL3siwIh4sx4VRLAe31yD50oKdj5UlRYW0c/"", ""Сводка!A:AA""), 5, FALSE)"),96)</f>
        <v>96</v>
      </c>
      <c r="H3096" s="12" t="s">
        <v>538</v>
      </c>
      <c r="I3096" s="10">
        <f ca="1">IFERROR(__xludf.DUMMYFUNCTION(" VLOOKUP(A3093, IMPORTRANGE(""https://docs.google.com/spreadsheets/d/1QNLbnkR_AongFt22vMfNzfpjZ0CjpI8QI-w0wBnYA1w/"", ""Инфа!A:AA""), 6, FALSE)"),2024)</f>
        <v>2024</v>
      </c>
      <c r="J3096" s="5">
        <f ca="1">ROUND((5000+G3096*30),-2)</f>
        <v>7900</v>
      </c>
      <c r="K3096" s="12" t="s">
        <v>1450</v>
      </c>
      <c r="L3096" s="15" t="s">
        <v>12056</v>
      </c>
    </row>
    <row r="3097" spans="1:12" ht="326.25">
      <c r="A3097" s="8" t="s">
        <v>12057</v>
      </c>
      <c r="B3097" s="9" t="s">
        <v>12</v>
      </c>
      <c r="C3097" s="10" t="s">
        <v>2342</v>
      </c>
      <c r="D3097" s="10" t="str">
        <f ca="1">IFERROR(__xludf.DUMMYFUNCTION(" VLOOKUP(A3094, IMPORTRANGE(""https://docs.google.com/spreadsheets/d/1fj_Bhi2XPL3siwIh4sx4VRLAe31yD50oKdj5UlRYW0c/"", ""Сводка!A:AA""), 11, FALSE)"),"978-601-327-550-5")</f>
        <v>978-601-327-550-5</v>
      </c>
      <c r="E3097" s="11" t="s">
        <v>12058</v>
      </c>
      <c r="F3097" s="11" t="s">
        <v>12059</v>
      </c>
      <c r="G3097" s="12">
        <f ca="1">IFERROR(__xludf.DUMMYFUNCTION(" VLOOKUP(A3094, IMPORTRANGE(""https://docs.google.com/spreadsheets/d/1fj_Bhi2XPL3siwIh4sx4VRLAe31yD50oKdj5UlRYW0c/"", ""Сводка!A:AA""), 5, FALSE)"),168)</f>
        <v>168</v>
      </c>
      <c r="H3097" s="12" t="s">
        <v>5552</v>
      </c>
      <c r="I3097" s="10">
        <f ca="1">IFERROR(__xludf.DUMMYFUNCTION(" VLOOKUP(A3094, IMPORTRANGE(""https://docs.google.com/spreadsheets/d/1QNLbnkR_AongFt22vMfNzfpjZ0CjpI8QI-w0wBnYA1w/"", ""Инфа!A:AA""), 6, FALSE)"),2024)</f>
        <v>2024</v>
      </c>
      <c r="J3097" s="5">
        <f ca="1">ROUND(((5000+G3097*60)*1.3),-2)</f>
        <v>19600</v>
      </c>
      <c r="K3097" s="12" t="s">
        <v>1450</v>
      </c>
      <c r="L3097" s="15" t="s">
        <v>12060</v>
      </c>
    </row>
    <row r="3098" spans="1:12" ht="191.25">
      <c r="A3098" s="8" t="s">
        <v>12061</v>
      </c>
      <c r="B3098" s="9" t="s">
        <v>12</v>
      </c>
      <c r="C3098" s="10" t="s">
        <v>151</v>
      </c>
      <c r="D3098" s="10" t="str">
        <f ca="1">IFERROR(__xludf.DUMMYFUNCTION(" VLOOKUP(A3095, IMPORTRANGE(""https://docs.google.com/spreadsheets/d/1fj_Bhi2XPL3siwIh4sx4VRLAe31yD50oKdj5UlRYW0c/"", ""Сводка!A:AA""), 11, FALSE)"),"978-601-342-007-3")</f>
        <v>978-601-342-007-3</v>
      </c>
      <c r="E3098" s="11" t="s">
        <v>12062</v>
      </c>
      <c r="F3098" s="11" t="s">
        <v>12063</v>
      </c>
      <c r="G3098" s="12">
        <f ca="1">IFERROR(__xludf.DUMMYFUNCTION(" VLOOKUP(A3095, IMPORTRANGE(""https://docs.google.com/spreadsheets/d/1fj_Bhi2XPL3siwIh4sx4VRLAe31yD50oKdj5UlRYW0c/"", ""Сводка!A:AA""), 5, FALSE)"),208)</f>
        <v>208</v>
      </c>
      <c r="H3098" s="12" t="s">
        <v>165</v>
      </c>
      <c r="I3098" s="10">
        <f ca="1">IFERROR(__xludf.DUMMYFUNCTION(" VLOOKUP(A3095, IMPORTRANGE(""https://docs.google.com/spreadsheets/d/1QNLbnkR_AongFt22vMfNzfpjZ0CjpI8QI-w0wBnYA1w/"", ""Инфа!A:AA""), 6, FALSE)"),2024)</f>
        <v>2024</v>
      </c>
      <c r="J3098" s="5">
        <f ca="1">ROUND(((5000+G3098*30)*1.3),-2)</f>
        <v>14600</v>
      </c>
      <c r="K3098" s="12" t="s">
        <v>12064</v>
      </c>
      <c r="L3098" s="15" t="s">
        <v>12065</v>
      </c>
    </row>
    <row r="3099" spans="1:12" ht="292.5">
      <c r="A3099" s="8" t="s">
        <v>12066</v>
      </c>
      <c r="B3099" s="9" t="s">
        <v>12</v>
      </c>
      <c r="C3099" s="10" t="s">
        <v>12044</v>
      </c>
      <c r="D3099" s="10" t="str">
        <f ca="1">IFERROR(__xludf.DUMMYFUNCTION(" VLOOKUP(A3096, IMPORTRANGE(""https://docs.google.com/spreadsheets/d/1fj_Bhi2XPL3siwIh4sx4VRLAe31yD50oKdj5UlRYW0c/"", ""Сводка!A:AA""), 11, FALSE)"),"978-601-327-549-9")</f>
        <v>978-601-327-549-9</v>
      </c>
      <c r="E3099" s="11" t="s">
        <v>12067</v>
      </c>
      <c r="F3099" s="11" t="s">
        <v>12068</v>
      </c>
      <c r="G3099" s="12">
        <f ca="1">IFERROR(__xludf.DUMMYFUNCTION(" VLOOKUP(A3096, IMPORTRANGE(""https://docs.google.com/spreadsheets/d/1fj_Bhi2XPL3siwIh4sx4VRLAe31yD50oKdj5UlRYW0c/"", ""Сводка!A:AA""), 5, FALSE)"),104)</f>
        <v>104</v>
      </c>
      <c r="H3099" s="12" t="s">
        <v>47</v>
      </c>
      <c r="I3099" s="10">
        <f ca="1">IFERROR(__xludf.DUMMYFUNCTION(" VLOOKUP(A3096, IMPORTRANGE(""https://docs.google.com/spreadsheets/d/1QNLbnkR_AongFt22vMfNzfpjZ0CjpI8QI-w0wBnYA1w/"", ""Инфа!A:AA""), 6, FALSE)"),2024)</f>
        <v>2024</v>
      </c>
      <c r="J3099" s="5">
        <f ca="1">ROUND((5000+G3099*60),-2)</f>
        <v>11200</v>
      </c>
      <c r="K3099" s="12" t="s">
        <v>1450</v>
      </c>
      <c r="L3099" s="15" t="s">
        <v>12069</v>
      </c>
    </row>
    <row r="3100" spans="1:12" ht="213.75">
      <c r="A3100" s="8" t="s">
        <v>12070</v>
      </c>
      <c r="B3100" s="9" t="s">
        <v>12</v>
      </c>
      <c r="C3100" s="10" t="s">
        <v>12044</v>
      </c>
      <c r="D3100" s="10" t="str">
        <f ca="1">IFERROR(__xludf.DUMMYFUNCTION(" VLOOKUP(A3097, IMPORTRANGE(""https://docs.google.com/spreadsheets/d/1fj_Bhi2XPL3siwIh4sx4VRLAe31yD50oKdj5UlRYW0c/"", ""Сводка!A:AA""), 11, FALSE)"),"978-601-327-552-9")</f>
        <v>978-601-327-552-9</v>
      </c>
      <c r="E3100" s="11" t="s">
        <v>12067</v>
      </c>
      <c r="F3100" s="11" t="s">
        <v>12071</v>
      </c>
      <c r="G3100" s="12">
        <f ca="1">IFERROR(__xludf.DUMMYFUNCTION(" VLOOKUP(A3097, IMPORTRANGE(""https://docs.google.com/spreadsheets/d/1fj_Bhi2XPL3siwIh4sx4VRLAe31yD50oKdj5UlRYW0c/"", ""Сводка!A:AA""), 5, FALSE)"),144)</f>
        <v>144</v>
      </c>
      <c r="H3100" s="12" t="s">
        <v>106</v>
      </c>
      <c r="I3100" s="10">
        <f ca="1">IFERROR(__xludf.DUMMYFUNCTION(" VLOOKUP(A3097, IMPORTRANGE(""https://docs.google.com/spreadsheets/d/1QNLbnkR_AongFt22vMfNzfpjZ0CjpI8QI-w0wBnYA1w/"", ""Инфа!A:AA""), 6, FALSE)"),2024)</f>
        <v>2024</v>
      </c>
      <c r="J3100" s="5">
        <f ca="1">ROUND((5000+G3100*60),-2)</f>
        <v>13600</v>
      </c>
      <c r="K3100" s="12" t="s">
        <v>1450</v>
      </c>
      <c r="L3100" s="15" t="s">
        <v>12072</v>
      </c>
    </row>
    <row r="3101" spans="1:12" ht="90">
      <c r="A3101" s="8" t="s">
        <v>12073</v>
      </c>
      <c r="B3101" s="9" t="s">
        <v>12</v>
      </c>
      <c r="C3101" s="10" t="s">
        <v>443</v>
      </c>
      <c r="D3101" s="10" t="str">
        <f ca="1">IFERROR(__xludf.DUMMYFUNCTION(" VLOOKUP(A3098, IMPORTRANGE(""https://docs.google.com/spreadsheets/d/1fj_Bhi2XPL3siwIh4sx4VRLAe31yD50oKdj5UlRYW0c/"", ""Сводка!A:AA""), 11, FALSE)"),"978- 601-315-160-1")</f>
        <v>978- 601-315-160-1</v>
      </c>
      <c r="E3101" s="11" t="s">
        <v>12074</v>
      </c>
      <c r="F3101" s="11" t="s">
        <v>12075</v>
      </c>
      <c r="G3101" s="12">
        <f ca="1">IFERROR(__xludf.DUMMYFUNCTION(" VLOOKUP(A3098, IMPORTRANGE(""https://docs.google.com/spreadsheets/d/1fj_Bhi2XPL3siwIh4sx4VRLAe31yD50oKdj5UlRYW0c/"", ""Сводка!A:AA""), 5, FALSE)"),108)</f>
        <v>108</v>
      </c>
      <c r="H3101" s="12" t="s">
        <v>1908</v>
      </c>
      <c r="I3101" s="10">
        <f ca="1">IFERROR(__xludf.DUMMYFUNCTION(" VLOOKUP(A3098, IMPORTRANGE(""https://docs.google.com/spreadsheets/d/1QNLbnkR_AongFt22vMfNzfpjZ0CjpI8QI-w0wBnYA1w/"", ""Инфа!A:AA""), 6, FALSE)"),2024)</f>
        <v>2024</v>
      </c>
      <c r="J3101" s="5">
        <f ca="1">ROUND((5000+G3101*30),-2)</f>
        <v>8200</v>
      </c>
      <c r="K3101" s="12" t="s">
        <v>1240</v>
      </c>
      <c r="L3101" s="15" t="s">
        <v>12076</v>
      </c>
    </row>
    <row r="3102" spans="1:12" ht="90">
      <c r="A3102" s="8" t="s">
        <v>12077</v>
      </c>
      <c r="B3102" s="9" t="s">
        <v>12</v>
      </c>
      <c r="C3102" s="10" t="s">
        <v>443</v>
      </c>
      <c r="D3102" s="10" t="str">
        <f ca="1">IFERROR(__xludf.DUMMYFUNCTION(" VLOOKUP(A3099, IMPORTRANGE(""https://docs.google.com/spreadsheets/d/1fj_Bhi2XPL3siwIh4sx4VRLAe31yD50oKdj5UlRYW0c/"", ""Сводка!A:AA""), 11, FALSE)"),"978- 601-315-037-6")</f>
        <v>978- 601-315-037-6</v>
      </c>
      <c r="E3102" s="11" t="s">
        <v>12074</v>
      </c>
      <c r="F3102" s="11" t="s">
        <v>12078</v>
      </c>
      <c r="G3102" s="12">
        <f ca="1">IFERROR(__xludf.DUMMYFUNCTION(" VLOOKUP(A3099, IMPORTRANGE(""https://docs.google.com/spreadsheets/d/1fj_Bhi2XPL3siwIh4sx4VRLAe31yD50oKdj5UlRYW0c/"", ""Сводка!A:AA""), 5, FALSE)"),64)</f>
        <v>64</v>
      </c>
      <c r="H3102" s="12" t="s">
        <v>1908</v>
      </c>
      <c r="I3102" s="10">
        <f ca="1">IFERROR(__xludf.DUMMYFUNCTION(" VLOOKUP(A3099, IMPORTRANGE(""https://docs.google.com/spreadsheets/d/1QNLbnkR_AongFt22vMfNzfpjZ0CjpI8QI-w0wBnYA1w/"", ""Инфа!A:AA""), 6, FALSE)"),2024)</f>
        <v>2024</v>
      </c>
      <c r="J3102" s="5">
        <f ca="1">ROUND((5000+G3102*30),-2)</f>
        <v>6900</v>
      </c>
      <c r="K3102" s="12" t="s">
        <v>1240</v>
      </c>
      <c r="L3102" s="15" t="s">
        <v>12079</v>
      </c>
    </row>
    <row r="3103" spans="1:12" ht="135">
      <c r="A3103" s="8" t="s">
        <v>12080</v>
      </c>
      <c r="B3103" s="9" t="s">
        <v>12</v>
      </c>
      <c r="C3103" s="10" t="s">
        <v>443</v>
      </c>
      <c r="D3103" s="10" t="str">
        <f ca="1">IFERROR(__xludf.DUMMYFUNCTION(" VLOOKUP(A3100, IMPORTRANGE(""https://docs.google.com/spreadsheets/d/1fj_Bhi2XPL3siwIh4sx4VRLAe31yD50oKdj5UlRYW0c/"", ""Сводка!A:AA""), 11, FALSE)"),"978- 601-315-160-1")</f>
        <v>978- 601-315-160-1</v>
      </c>
      <c r="E3103" s="11" t="s">
        <v>12074</v>
      </c>
      <c r="F3103" s="11" t="s">
        <v>12081</v>
      </c>
      <c r="G3103" s="12">
        <f ca="1">IFERROR(__xludf.DUMMYFUNCTION(" VLOOKUP(A3100, IMPORTRANGE(""https://docs.google.com/spreadsheets/d/1fj_Bhi2XPL3siwIh4sx4VRLAe31yD50oKdj5UlRYW0c/"", ""Сводка!A:AA""), 5, FALSE)"),80)</f>
        <v>80</v>
      </c>
      <c r="H3103" s="12" t="s">
        <v>1908</v>
      </c>
      <c r="I3103" s="10">
        <f ca="1">IFERROR(__xludf.DUMMYFUNCTION(" VLOOKUP(A3100, IMPORTRANGE(""https://docs.google.com/spreadsheets/d/1QNLbnkR_AongFt22vMfNzfpjZ0CjpI8QI-w0wBnYA1w/"", ""Инфа!A:AA""), 6, FALSE)"),2024)</f>
        <v>2024</v>
      </c>
      <c r="J3103" s="5">
        <f ca="1">ROUND((5000+G3103*60),-2)</f>
        <v>9800</v>
      </c>
      <c r="K3103" s="12" t="s">
        <v>1240</v>
      </c>
      <c r="L3103" s="15" t="s">
        <v>12082</v>
      </c>
    </row>
    <row r="3104" spans="1:12" ht="51">
      <c r="A3104" s="8" t="s">
        <v>12083</v>
      </c>
      <c r="B3104" s="9" t="s">
        <v>12</v>
      </c>
      <c r="C3104" s="10" t="s">
        <v>151</v>
      </c>
      <c r="D3104" s="10" t="str">
        <f ca="1">IFERROR(__xludf.DUMMYFUNCTION(" VLOOKUP(A3101, IMPORTRANGE(""https://docs.google.com/spreadsheets/d/1fj_Bhi2XPL3siwIh4sx4VRLAe31yD50oKdj5UlRYW0c/"", ""Сводка!A:AA""), 11, FALSE)"),"978-601-327-267-2")</f>
        <v>978-601-327-267-2</v>
      </c>
      <c r="E3104" s="11" t="s">
        <v>12084</v>
      </c>
      <c r="F3104" s="11" t="s">
        <v>12085</v>
      </c>
      <c r="G3104" s="12">
        <f ca="1">IFERROR(__xludf.DUMMYFUNCTION(" VLOOKUP(A3101, IMPORTRANGE(""https://docs.google.com/spreadsheets/d/1fj_Bhi2XPL3siwIh4sx4VRLAe31yD50oKdj5UlRYW0c/"", ""Сводка!A:AA""), 5, FALSE)"),280)</f>
        <v>280</v>
      </c>
      <c r="H3104" s="12" t="s">
        <v>165</v>
      </c>
      <c r="I3104" s="10">
        <f ca="1">IFERROR(__xludf.DUMMYFUNCTION(" VLOOKUP(A3101, IMPORTRANGE(""https://docs.google.com/spreadsheets/d/1QNLbnkR_AongFt22vMfNzfpjZ0CjpI8QI-w0wBnYA1w/"", ""Инфа!A:AA""), 6, FALSE)"),2024)</f>
        <v>2024</v>
      </c>
      <c r="J3104" s="5">
        <f ca="1">ROUND((5000+G3104*60),-2)</f>
        <v>21800</v>
      </c>
      <c r="K3104" s="9" t="s">
        <v>408</v>
      </c>
      <c r="L3104" s="15"/>
    </row>
    <row r="3105" spans="1:12" ht="51">
      <c r="A3105" s="8" t="s">
        <v>12086</v>
      </c>
      <c r="B3105" s="9" t="s">
        <v>12</v>
      </c>
      <c r="C3105" s="10" t="s">
        <v>151</v>
      </c>
      <c r="D3105" s="10" t="str">
        <f ca="1">IFERROR(__xludf.DUMMYFUNCTION(" VLOOKUP(A3102, IMPORTRANGE(""https://docs.google.com/spreadsheets/d/1fj_Bhi2XPL3siwIh4sx4VRLAe31yD50oKdj5UlRYW0c/"", ""Сводка!A:AA""), 11, FALSE)"),"978-601-327-267-2")</f>
        <v>978-601-327-267-2</v>
      </c>
      <c r="E3105" s="11" t="s">
        <v>12084</v>
      </c>
      <c r="F3105" s="11" t="s">
        <v>12087</v>
      </c>
      <c r="G3105" s="12">
        <f ca="1">IFERROR(__xludf.DUMMYFUNCTION(" VLOOKUP(A3102, IMPORTRANGE(""https://docs.google.com/spreadsheets/d/1fj_Bhi2XPL3siwIh4sx4VRLAe31yD50oKdj5UlRYW0c/"", ""Сводка!A:AA""), 5, FALSE)"),192)</f>
        <v>192</v>
      </c>
      <c r="H3105" s="12" t="s">
        <v>165</v>
      </c>
      <c r="I3105" s="10">
        <f ca="1">IFERROR(__xludf.DUMMYFUNCTION(" VLOOKUP(A3102, IMPORTRANGE(""https://docs.google.com/spreadsheets/d/1QNLbnkR_AongFt22vMfNzfpjZ0CjpI8QI-w0wBnYA1w/"", ""Инфа!A:AA""), 6, FALSE)"),2024)</f>
        <v>2024</v>
      </c>
      <c r="J3105" s="5">
        <f ca="1">ROUND((5000+G3105*60),-2)</f>
        <v>16500</v>
      </c>
      <c r="K3105" s="9" t="s">
        <v>408</v>
      </c>
      <c r="L3105" s="15"/>
    </row>
    <row r="3106" spans="1:12" ht="180">
      <c r="A3106" s="8" t="s">
        <v>12088</v>
      </c>
      <c r="B3106" s="9" t="s">
        <v>12</v>
      </c>
      <c r="C3106" s="10" t="s">
        <v>151</v>
      </c>
      <c r="D3106" s="10" t="s">
        <v>12089</v>
      </c>
      <c r="E3106" s="11" t="s">
        <v>12090</v>
      </c>
      <c r="F3106" s="11" t="s">
        <v>12091</v>
      </c>
      <c r="G3106" s="12">
        <f ca="1">IFERROR(__xludf.DUMMYFUNCTION(" VLOOKUP(A3103, IMPORTRANGE(""https://docs.google.com/spreadsheets/d/1fj_Bhi2XPL3siwIh4sx4VRLAe31yD50oKdj5UlRYW0c/"", ""Сводка!A:AA""), 5, FALSE)"),200)</f>
        <v>200</v>
      </c>
      <c r="H3106" s="12" t="s">
        <v>282</v>
      </c>
      <c r="I3106" s="10">
        <f ca="1">IFERROR(__xludf.DUMMYFUNCTION(" VLOOKUP(A3103, IMPORTRANGE(""https://docs.google.com/spreadsheets/d/1QNLbnkR_AongFt22vMfNzfpjZ0CjpI8QI-w0wBnYA1w/"", ""Инфа!A:AA""), 6, FALSE)"),2024)</f>
        <v>2024</v>
      </c>
      <c r="J3106" s="5">
        <f ca="1">ROUND((5000+G3106*30),-2)</f>
        <v>11000</v>
      </c>
      <c r="K3106" s="12" t="s">
        <v>1581</v>
      </c>
      <c r="L3106" s="15" t="s">
        <v>12092</v>
      </c>
    </row>
    <row r="3107" spans="1:12" ht="146.25">
      <c r="A3107" s="8" t="s">
        <v>12093</v>
      </c>
      <c r="B3107" s="9" t="s">
        <v>12</v>
      </c>
      <c r="C3107" s="10" t="s">
        <v>151</v>
      </c>
      <c r="D3107" s="10" t="s">
        <v>12094</v>
      </c>
      <c r="E3107" s="11" t="s">
        <v>12095</v>
      </c>
      <c r="F3107" s="11" t="s">
        <v>12096</v>
      </c>
      <c r="G3107" s="12">
        <f ca="1">IFERROR(__xludf.DUMMYFUNCTION(" VLOOKUP(A3104, IMPORTRANGE(""https://docs.google.com/spreadsheets/d/1fj_Bhi2XPL3siwIh4sx4VRLAe31yD50oKdj5UlRYW0c/"", ""Сводка!A:AA""), 5, FALSE)"),340)</f>
        <v>340</v>
      </c>
      <c r="H3107" s="12" t="s">
        <v>282</v>
      </c>
      <c r="I3107" s="10">
        <f ca="1">IFERROR(__xludf.DUMMYFUNCTION(" VLOOKUP(A3104, IMPORTRANGE(""https://docs.google.com/spreadsheets/d/1QNLbnkR_AongFt22vMfNzfpjZ0CjpI8QI-w0wBnYA1w/"", ""Инфа!A:AA""), 6, FALSE)"),2024)</f>
        <v>2024</v>
      </c>
      <c r="J3107" s="5">
        <f ca="1">ROUND((5000+G3107*60),-2)</f>
        <v>25400</v>
      </c>
      <c r="K3107" s="12" t="s">
        <v>1581</v>
      </c>
      <c r="L3107" s="15" t="s">
        <v>12097</v>
      </c>
    </row>
    <row r="3108" spans="1:12" ht="202.5">
      <c r="A3108" s="8" t="s">
        <v>12098</v>
      </c>
      <c r="B3108" s="9" t="s">
        <v>12</v>
      </c>
      <c r="C3108" s="10" t="s">
        <v>151</v>
      </c>
      <c r="D3108" s="10" t="str">
        <f ca="1">IFERROR(__xludf.DUMMYFUNCTION(" VLOOKUP(A3105, IMPORTRANGE(""https://docs.google.com/spreadsheets/d/1fj_Bhi2XPL3siwIh4sx4VRLAe31yD50oKdj5UlRYW0c/"", ""Сводка!A:AA""), 11, FALSE)"),"978-601-342-506-1")</f>
        <v>978-601-342-506-1</v>
      </c>
      <c r="E3108" s="11" t="s">
        <v>12099</v>
      </c>
      <c r="F3108" s="11" t="s">
        <v>12100</v>
      </c>
      <c r="G3108" s="12">
        <f ca="1">IFERROR(__xludf.DUMMYFUNCTION(" VLOOKUP(A3105, IMPORTRANGE(""https://docs.google.com/spreadsheets/d/1fj_Bhi2XPL3siwIh4sx4VRLAe31yD50oKdj5UlRYW0c/"", ""Сводка!A:AA""), 5, FALSE)"),128)</f>
        <v>128</v>
      </c>
      <c r="H3108" s="12" t="s">
        <v>8730</v>
      </c>
      <c r="I3108" s="10">
        <f ca="1">IFERROR(__xludf.DUMMYFUNCTION(" VLOOKUP(A3105, IMPORTRANGE(""https://docs.google.com/spreadsheets/d/1QNLbnkR_AongFt22vMfNzfpjZ0CjpI8QI-w0wBnYA1w/"", ""Инфа!A:AA""), 6, FALSE)"),2024)</f>
        <v>2024</v>
      </c>
      <c r="J3108" s="5">
        <f ca="1">ROUND((5000+G3108*60),-2)</f>
        <v>12700</v>
      </c>
      <c r="K3108" s="12" t="s">
        <v>308</v>
      </c>
      <c r="L3108" s="15" t="s">
        <v>12101</v>
      </c>
    </row>
    <row r="3109" spans="1:12" ht="258.75">
      <c r="A3109" s="8" t="s">
        <v>12102</v>
      </c>
      <c r="B3109" s="9" t="s">
        <v>12</v>
      </c>
      <c r="C3109" s="10" t="s">
        <v>151</v>
      </c>
      <c r="D3109" s="10" t="str">
        <f ca="1">IFERROR(__xludf.DUMMYFUNCTION(" VLOOKUP(A3106, IMPORTRANGE(""https://docs.google.com/spreadsheets/d/1fj_Bhi2XPL3siwIh4sx4VRLAe31yD50oKdj5UlRYW0c/"", ""Сводка!A:AA""), 11, FALSE)"),"")</f>
        <v/>
      </c>
      <c r="E3109" s="11" t="s">
        <v>12103</v>
      </c>
      <c r="F3109" s="11" t="s">
        <v>12104</v>
      </c>
      <c r="G3109" s="12">
        <f ca="1">IFERROR(__xludf.DUMMYFUNCTION(" VLOOKUP(A3106, IMPORTRANGE(""https://docs.google.com/spreadsheets/d/1fj_Bhi2XPL3siwIh4sx4VRLAe31yD50oKdj5UlRYW0c/"", ""Сводка!A:AA""), 5, FALSE)"),132)</f>
        <v>132</v>
      </c>
      <c r="H3109" s="12" t="s">
        <v>47</v>
      </c>
      <c r="I3109" s="10">
        <f ca="1">IFERROR(__xludf.DUMMYFUNCTION(" VLOOKUP(A3106, IMPORTRANGE(""https://docs.google.com/spreadsheets/d/1QNLbnkR_AongFt22vMfNzfpjZ0CjpI8QI-w0wBnYA1w/"", ""Инфа!A:AA""), 6, FALSE)"),2024)</f>
        <v>2024</v>
      </c>
      <c r="J3109" s="5">
        <f ca="1">ROUND((5000+G3109*30),-2)</f>
        <v>9000</v>
      </c>
      <c r="K3109" s="12" t="s">
        <v>1581</v>
      </c>
      <c r="L3109" s="15" t="s">
        <v>12105</v>
      </c>
    </row>
    <row r="3110" spans="1:12" ht="135">
      <c r="A3110" s="8" t="s">
        <v>12106</v>
      </c>
      <c r="B3110" s="9" t="s">
        <v>12</v>
      </c>
      <c r="C3110" s="10" t="s">
        <v>151</v>
      </c>
      <c r="D3110" s="10" t="str">
        <f ca="1">IFERROR(__xludf.DUMMYFUNCTION(" VLOOKUP(A3107, IMPORTRANGE(""https://docs.google.com/spreadsheets/d/1fj_Bhi2XPL3siwIh4sx4VRLAe31yD50oKdj5UlRYW0c/"", ""Сводка!A:AA""), 11, FALSE)"),"978-601-327-532-1")</f>
        <v>978-601-327-532-1</v>
      </c>
      <c r="E3110" s="11" t="s">
        <v>12103</v>
      </c>
      <c r="F3110" s="11" t="s">
        <v>11959</v>
      </c>
      <c r="G3110" s="12">
        <f ca="1">IFERROR(__xludf.DUMMYFUNCTION(" VLOOKUP(A3107, IMPORTRANGE(""https://docs.google.com/spreadsheets/d/1fj_Bhi2XPL3siwIh4sx4VRLAe31yD50oKdj5UlRYW0c/"", ""Сводка!A:AA""), 5, FALSE)"),272)</f>
        <v>272</v>
      </c>
      <c r="H3110" s="12" t="s">
        <v>498</v>
      </c>
      <c r="I3110" s="10">
        <f ca="1">IFERROR(__xludf.DUMMYFUNCTION(" VLOOKUP(A3107, IMPORTRANGE(""https://docs.google.com/spreadsheets/d/1QNLbnkR_AongFt22vMfNzfpjZ0CjpI8QI-w0wBnYA1w/"", ""Инфа!A:AA""), 6, FALSE)"),2024)</f>
        <v>2024</v>
      </c>
      <c r="J3110" s="5">
        <f ca="1">ROUND((5000+G3110*30),-2)</f>
        <v>13200</v>
      </c>
      <c r="K3110" s="12" t="s">
        <v>7851</v>
      </c>
      <c r="L3110" s="15" t="s">
        <v>12107</v>
      </c>
    </row>
    <row r="3111" spans="1:12" ht="292.5">
      <c r="A3111" s="8" t="s">
        <v>12108</v>
      </c>
      <c r="B3111" s="9" t="s">
        <v>12</v>
      </c>
      <c r="C3111" s="10" t="s">
        <v>151</v>
      </c>
      <c r="D3111" s="10" t="str">
        <f ca="1">IFERROR(__xludf.DUMMYFUNCTION(" VLOOKUP(A3108, IMPORTRANGE(""https://docs.google.com/spreadsheets/d/1fj_Bhi2XPL3siwIh4sx4VRLAe31yD50oKdj5UlRYW0c/"", ""Сводка!A:AA""), 11, FALSE)"),"978-601-327-862-9")</f>
        <v>978-601-327-862-9</v>
      </c>
      <c r="E3111" s="11" t="s">
        <v>12109</v>
      </c>
      <c r="F3111" s="11" t="s">
        <v>12110</v>
      </c>
      <c r="G3111" s="12">
        <f ca="1">IFERROR(__xludf.DUMMYFUNCTION(" VLOOKUP(A3108, IMPORTRANGE(""https://docs.google.com/spreadsheets/d/1fj_Bhi2XPL3siwIh4sx4VRLAe31yD50oKdj5UlRYW0c/"", ""Сводка!A:AA""), 5, FALSE)"),256)</f>
        <v>256</v>
      </c>
      <c r="H3111" s="12" t="s">
        <v>56</v>
      </c>
      <c r="I3111" s="10">
        <f ca="1">IFERROR(__xludf.DUMMYFUNCTION(" VLOOKUP(A3108, IMPORTRANGE(""https://docs.google.com/spreadsheets/d/1QNLbnkR_AongFt22vMfNzfpjZ0CjpI8QI-w0wBnYA1w/"", ""Инфа!A:AA""), 6, FALSE)"),2024)</f>
        <v>2024</v>
      </c>
      <c r="J3111" s="5">
        <f ca="1">ROUND((5000+G3111*60),-2)</f>
        <v>20400</v>
      </c>
      <c r="K3111" s="12" t="s">
        <v>7851</v>
      </c>
      <c r="L3111" s="16" t="s">
        <v>12111</v>
      </c>
    </row>
    <row r="3112" spans="1:12" ht="213.75">
      <c r="A3112" s="8" t="s">
        <v>12112</v>
      </c>
      <c r="B3112" s="9" t="s">
        <v>12</v>
      </c>
      <c r="C3112" s="10" t="s">
        <v>151</v>
      </c>
      <c r="D3112" s="10" t="str">
        <f ca="1">IFERROR(__xludf.DUMMYFUNCTION(" VLOOKUP(A3109, IMPORTRANGE(""https://docs.google.com/spreadsheets/d/1fj_Bhi2XPL3siwIh4sx4VRLAe31yD50oKdj5UlRYW0c/"", ""Сводка!A:AA""), 11, FALSE)"),"978-601-352-281-4")</f>
        <v>978-601-352-281-4</v>
      </c>
      <c r="E3112" s="11" t="s">
        <v>12109</v>
      </c>
      <c r="F3112" s="11" t="s">
        <v>12113</v>
      </c>
      <c r="G3112" s="12">
        <f ca="1">IFERROR(__xludf.DUMMYFUNCTION(" VLOOKUP(A3109, IMPORTRANGE(""https://docs.google.com/spreadsheets/d/1fj_Bhi2XPL3siwIh4sx4VRLAe31yD50oKdj5UlRYW0c/"", ""Сводка!A:AA""), 5, FALSE)"),168)</f>
        <v>168</v>
      </c>
      <c r="H3112" s="12" t="s">
        <v>56</v>
      </c>
      <c r="I3112" s="10">
        <f ca="1">IFERROR(__xludf.DUMMYFUNCTION(" VLOOKUP(A3109, IMPORTRANGE(""https://docs.google.com/spreadsheets/d/1QNLbnkR_AongFt22vMfNzfpjZ0CjpI8QI-w0wBnYA1w/"", ""Инфа!A:AA""), 6, FALSE)"),2024)</f>
        <v>2024</v>
      </c>
      <c r="J3112" s="5">
        <f ca="1">ROUND((5000+G3112*60),-2)</f>
        <v>15100</v>
      </c>
      <c r="K3112" s="12" t="s">
        <v>308</v>
      </c>
      <c r="L3112" s="15" t="s">
        <v>12114</v>
      </c>
    </row>
    <row r="3113" spans="1:12" ht="213.75">
      <c r="A3113" s="8" t="s">
        <v>12115</v>
      </c>
      <c r="B3113" s="9" t="s">
        <v>12</v>
      </c>
      <c r="C3113" s="10" t="s">
        <v>151</v>
      </c>
      <c r="D3113" s="10" t="str">
        <f ca="1">IFERROR(__xludf.DUMMYFUNCTION(" VLOOKUP(A3110, IMPORTRANGE(""https://docs.google.com/spreadsheets/d/1fj_Bhi2XPL3siwIh4sx4VRLAe31yD50oKdj5UlRYW0c/"", ""Сводка!A:AA""), 11, FALSE)"),"978-601-352-281-4")</f>
        <v>978-601-352-281-4</v>
      </c>
      <c r="E3113" s="11" t="s">
        <v>12109</v>
      </c>
      <c r="F3113" s="11" t="s">
        <v>12116</v>
      </c>
      <c r="G3113" s="12">
        <f ca="1">IFERROR(__xludf.DUMMYFUNCTION(" VLOOKUP(A3110, IMPORTRANGE(""https://docs.google.com/spreadsheets/d/1fj_Bhi2XPL3siwIh4sx4VRLAe31yD50oKdj5UlRYW0c/"", ""Сводка!A:AA""), 5, FALSE)"),244)</f>
        <v>244</v>
      </c>
      <c r="H3113" s="12" t="s">
        <v>56</v>
      </c>
      <c r="I3113" s="10">
        <f ca="1">IFERROR(__xludf.DUMMYFUNCTION(" VLOOKUP(A3110, IMPORTRANGE(""https://docs.google.com/spreadsheets/d/1QNLbnkR_AongFt22vMfNzfpjZ0CjpI8QI-w0wBnYA1w/"", ""Инфа!A:AA""), 6, FALSE)"),2024)</f>
        <v>2024</v>
      </c>
      <c r="J3113" s="5">
        <f ca="1">ROUND((5000+G3113*30),-2)</f>
        <v>12300</v>
      </c>
      <c r="K3113" s="12" t="s">
        <v>308</v>
      </c>
      <c r="L3113" s="15" t="s">
        <v>12117</v>
      </c>
    </row>
    <row r="3114" spans="1:12" ht="180">
      <c r="A3114" s="8" t="s">
        <v>12118</v>
      </c>
      <c r="B3114" s="9" t="s">
        <v>12</v>
      </c>
      <c r="C3114" s="10" t="s">
        <v>151</v>
      </c>
      <c r="D3114" s="10" t="str">
        <f ca="1">IFERROR(__xludf.DUMMYFUNCTION(" VLOOKUP(A3111, IMPORTRANGE(""https://docs.google.com/spreadsheets/d/1fj_Bhi2XPL3siwIh4sx4VRLAe31yD50oKdj5UlRYW0c/"", ""Сводка!A:AA""), 11, FALSE)"),"978-601-327-229-0")</f>
        <v>978-601-327-229-0</v>
      </c>
      <c r="E3114" s="11" t="s">
        <v>12119</v>
      </c>
      <c r="F3114" s="11" t="s">
        <v>12120</v>
      </c>
      <c r="G3114" s="12">
        <f ca="1">IFERROR(__xludf.DUMMYFUNCTION(" VLOOKUP(A3111, IMPORTRANGE(""https://docs.google.com/spreadsheets/d/1fj_Bhi2XPL3siwIh4sx4VRLAe31yD50oKdj5UlRYW0c/"", ""Сводка!A:AA""), 5, FALSE)"),180)</f>
        <v>180</v>
      </c>
      <c r="H3114" s="12" t="s">
        <v>282</v>
      </c>
      <c r="I3114" s="10">
        <f ca="1">IFERROR(__xludf.DUMMYFUNCTION(" VLOOKUP(A3111, IMPORTRANGE(""https://docs.google.com/spreadsheets/d/1QNLbnkR_AongFt22vMfNzfpjZ0CjpI8QI-w0wBnYA1w/"", ""Инфа!A:AA""), 6, FALSE)"),2024)</f>
        <v>2024</v>
      </c>
      <c r="J3114" s="5">
        <f ca="1">ROUND((5000+G3114*60),-2)</f>
        <v>15800</v>
      </c>
      <c r="K3114" s="12" t="s">
        <v>1581</v>
      </c>
      <c r="L3114" s="15" t="s">
        <v>12121</v>
      </c>
    </row>
    <row r="3115" spans="1:12" ht="270">
      <c r="A3115" s="8" t="s">
        <v>12122</v>
      </c>
      <c r="B3115" s="9" t="s">
        <v>12</v>
      </c>
      <c r="C3115" s="84" t="s">
        <v>151</v>
      </c>
      <c r="D3115" s="10" t="s">
        <v>12123</v>
      </c>
      <c r="E3115" s="11" t="s">
        <v>12124</v>
      </c>
      <c r="F3115" s="11" t="s">
        <v>11054</v>
      </c>
      <c r="G3115" s="12">
        <f ca="1">IFERROR(__xludf.DUMMYFUNCTION(" VLOOKUP(A3112, IMPORTRANGE(""https://docs.google.com/spreadsheets/d/1fj_Bhi2XPL3siwIh4sx4VRLAe31yD50oKdj5UlRYW0c/"", ""Сводка!A:AA""), 5, FALSE)"),260)</f>
        <v>260</v>
      </c>
      <c r="H3115" s="12" t="s">
        <v>56</v>
      </c>
      <c r="I3115" s="10">
        <f ca="1">IFERROR(__xludf.DUMMYFUNCTION(" VLOOKUP(A3112, IMPORTRANGE(""https://docs.google.com/spreadsheets/d/1QNLbnkR_AongFt22vMfNzfpjZ0CjpI8QI-w0wBnYA1w/"", ""Инфа!A:AA""), 6, FALSE)"),2024)</f>
        <v>2024</v>
      </c>
      <c r="J3115" s="5">
        <f ca="1">ROUND((5000+G3115*30),-2)</f>
        <v>12800</v>
      </c>
      <c r="K3115" s="12" t="s">
        <v>308</v>
      </c>
      <c r="L3115" s="15" t="s">
        <v>12125</v>
      </c>
    </row>
    <row r="3116" spans="1:12" ht="146.25">
      <c r="A3116" s="8" t="s">
        <v>12126</v>
      </c>
      <c r="B3116" s="9" t="s">
        <v>12</v>
      </c>
      <c r="C3116" s="10" t="s">
        <v>443</v>
      </c>
      <c r="D3116" s="10" t="str">
        <f ca="1">IFERROR(__xludf.DUMMYFUNCTION(" VLOOKUP(A3113, IMPORTRANGE(""https://docs.google.com/spreadsheets/d/1fj_Bhi2XPL3siwIh4sx4VRLAe31yD50oKdj5UlRYW0c/"", ""Сводка!A:AA""), 11, FALSE)"),"978-601-342-608-2")</f>
        <v>978-601-342-608-2</v>
      </c>
      <c r="E3116" s="11" t="s">
        <v>12127</v>
      </c>
      <c r="F3116" s="11" t="s">
        <v>12128</v>
      </c>
      <c r="G3116" s="12">
        <f ca="1">IFERROR(__xludf.DUMMYFUNCTION(" VLOOKUP(A3113, IMPORTRANGE(""https://docs.google.com/spreadsheets/d/1fj_Bhi2XPL3siwIh4sx4VRLAe31yD50oKdj5UlRYW0c/"", ""Сводка!A:AA""), 5, FALSE)"),124)</f>
        <v>124</v>
      </c>
      <c r="H3116" s="12" t="s">
        <v>56</v>
      </c>
      <c r="I3116" s="10">
        <f ca="1">IFERROR(__xludf.DUMMYFUNCTION(" VLOOKUP(A3113, IMPORTRANGE(""https://docs.google.com/spreadsheets/d/1QNLbnkR_AongFt22vMfNzfpjZ0CjpI8QI-w0wBnYA1w/"", ""Инфа!A:AA""), 6, FALSE)"),2024)</f>
        <v>2024</v>
      </c>
      <c r="J3116" s="5">
        <f ca="1">ROUND((5000+G3116*60),-2)</f>
        <v>12400</v>
      </c>
      <c r="K3116" s="12" t="s">
        <v>1581</v>
      </c>
      <c r="L3116" s="15" t="s">
        <v>12129</v>
      </c>
    </row>
    <row r="3117" spans="1:12" ht="123.75">
      <c r="A3117" s="8" t="s">
        <v>12130</v>
      </c>
      <c r="B3117" s="9" t="s">
        <v>12</v>
      </c>
      <c r="C3117" s="10" t="s">
        <v>151</v>
      </c>
      <c r="D3117" s="10" t="str">
        <f ca="1">IFERROR(__xludf.DUMMYFUNCTION(" VLOOKUP(A3114, IMPORTRANGE(""https://docs.google.com/spreadsheets/d/1fj_Bhi2XPL3siwIh4sx4VRLAe31yD50oKdj5UlRYW0c/"", ""Сводка!A:AA""), 11, FALSE)"),"978-601-342-612-9")</f>
        <v>978-601-342-612-9</v>
      </c>
      <c r="E3117" s="11" t="s">
        <v>12131</v>
      </c>
      <c r="F3117" s="11" t="s">
        <v>12132</v>
      </c>
      <c r="G3117" s="12">
        <f ca="1">IFERROR(__xludf.DUMMYFUNCTION(" VLOOKUP(A3114, IMPORTRANGE(""https://docs.google.com/spreadsheets/d/1fj_Bhi2XPL3siwIh4sx4VRLAe31yD50oKdj5UlRYW0c/"", ""Сводка!A:AA""), 5, FALSE)"),252)</f>
        <v>252</v>
      </c>
      <c r="H3117" s="12" t="s">
        <v>165</v>
      </c>
      <c r="I3117" s="10">
        <f ca="1">IFERROR(__xludf.DUMMYFUNCTION(" VLOOKUP(A3114, IMPORTRANGE(""https://docs.google.com/spreadsheets/d/1QNLbnkR_AongFt22vMfNzfpjZ0CjpI8QI-w0wBnYA1w/"", ""Инфа!A:AA""), 6, FALSE)"),2024)</f>
        <v>2024</v>
      </c>
      <c r="J3117" s="5">
        <f ca="1">ROUND((5000+G3117*60),-2)</f>
        <v>20100</v>
      </c>
      <c r="K3117" s="12" t="s">
        <v>7851</v>
      </c>
      <c r="L3117" s="16" t="s">
        <v>12133</v>
      </c>
    </row>
    <row r="3118" spans="1:12" ht="225">
      <c r="A3118" s="8" t="s">
        <v>12134</v>
      </c>
      <c r="B3118" s="9" t="s">
        <v>12</v>
      </c>
      <c r="C3118" s="10" t="s">
        <v>151</v>
      </c>
      <c r="D3118" s="10" t="str">
        <f ca="1">IFERROR(__xludf.DUMMYFUNCTION(" VLOOKUP(A3115, IMPORTRANGE(""https://docs.google.com/spreadsheets/d/1fj_Bhi2XPL3siwIh4sx4VRLAe31yD50oKdj5UlRYW0c/"", ""Сводка!A:AA""), 11, FALSE)"),"")</f>
        <v/>
      </c>
      <c r="E3118" s="11" t="s">
        <v>12135</v>
      </c>
      <c r="F3118" s="11" t="s">
        <v>12136</v>
      </c>
      <c r="G3118" s="12">
        <f ca="1">IFERROR(__xludf.DUMMYFUNCTION(" VLOOKUP(A3115, IMPORTRANGE(""https://docs.google.com/spreadsheets/d/1fj_Bhi2XPL3siwIh4sx4VRLAe31yD50oKdj5UlRYW0c/"", ""Сводка!A:AA""), 5, FALSE)"),204)</f>
        <v>204</v>
      </c>
      <c r="H3118" s="12" t="s">
        <v>56</v>
      </c>
      <c r="I3118" s="10">
        <f ca="1">IFERROR(__xludf.DUMMYFUNCTION(" VLOOKUP(A3115, IMPORTRANGE(""https://docs.google.com/spreadsheets/d/1QNLbnkR_AongFt22vMfNzfpjZ0CjpI8QI-w0wBnYA1w/"", ""Инфа!A:AA""), 6, FALSE)"),2024)</f>
        <v>2024</v>
      </c>
      <c r="J3118" s="5">
        <f ca="1">ROUND((5000+G3118*30),-2)</f>
        <v>11100</v>
      </c>
      <c r="K3118" s="12" t="s">
        <v>7851</v>
      </c>
      <c r="L3118" s="15" t="s">
        <v>12137</v>
      </c>
    </row>
    <row r="3119" spans="1:12" ht="225">
      <c r="A3119" s="8" t="s">
        <v>12138</v>
      </c>
      <c r="B3119" s="9" t="s">
        <v>12</v>
      </c>
      <c r="C3119" s="10" t="s">
        <v>151</v>
      </c>
      <c r="D3119" s="10" t="str">
        <f ca="1">IFERROR(__xludf.DUMMYFUNCTION(" VLOOKUP(A3116, IMPORTRANGE(""https://docs.google.com/spreadsheets/d/1fj_Bhi2XPL3siwIh4sx4VRLAe31yD50oKdj5UlRYW0c/"", ""Сводка!A:AA""), 11, FALSE)"),"")</f>
        <v/>
      </c>
      <c r="E3119" s="11" t="s">
        <v>12135</v>
      </c>
      <c r="F3119" s="11" t="s">
        <v>12139</v>
      </c>
      <c r="G3119" s="12">
        <f ca="1">IFERROR(__xludf.DUMMYFUNCTION(" VLOOKUP(A3116, IMPORTRANGE(""https://docs.google.com/spreadsheets/d/1fj_Bhi2XPL3siwIh4sx4VRLAe31yD50oKdj5UlRYW0c/"", ""Сводка!A:AA""), 5, FALSE)"),220)</f>
        <v>220</v>
      </c>
      <c r="H3119" s="12" t="s">
        <v>56</v>
      </c>
      <c r="I3119" s="10">
        <f ca="1">IFERROR(__xludf.DUMMYFUNCTION(" VLOOKUP(A3116, IMPORTRANGE(""https://docs.google.com/spreadsheets/d/1QNLbnkR_AongFt22vMfNzfpjZ0CjpI8QI-w0wBnYA1w/"", ""Инфа!A:AA""), 6, FALSE)"),2024)</f>
        <v>2024</v>
      </c>
      <c r="J3119" s="5">
        <f ca="1">ROUND((5000+G3119*30),-2)</f>
        <v>11600</v>
      </c>
      <c r="K3119" s="12" t="s">
        <v>7851</v>
      </c>
      <c r="L3119" s="15" t="s">
        <v>12137</v>
      </c>
    </row>
    <row r="3120" spans="1:12" ht="135">
      <c r="A3120" s="8" t="s">
        <v>12140</v>
      </c>
      <c r="B3120" s="9" t="s">
        <v>12</v>
      </c>
      <c r="C3120" s="10" t="s">
        <v>151</v>
      </c>
      <c r="D3120" s="10" t="str">
        <f ca="1">IFERROR(__xludf.DUMMYFUNCTION(" VLOOKUP(A3117, IMPORTRANGE(""https://docs.google.com/spreadsheets/d/1fj_Bhi2XPL3siwIh4sx4VRLAe31yD50oKdj5UlRYW0c/"", ""Сводка!A:AA""), 11, FALSE)"),"978-301-327-230-6")</f>
        <v>978-301-327-230-6</v>
      </c>
      <c r="E3120" s="11" t="s">
        <v>12141</v>
      </c>
      <c r="F3120" s="11" t="s">
        <v>12142</v>
      </c>
      <c r="G3120" s="12">
        <f ca="1">IFERROR(__xludf.DUMMYFUNCTION(" VLOOKUP(A3117, IMPORTRANGE(""https://docs.google.com/spreadsheets/d/1fj_Bhi2XPL3siwIh4sx4VRLAe31yD50oKdj5UlRYW0c/"", ""Сводка!A:AA""), 5, FALSE)"),124)</f>
        <v>124</v>
      </c>
      <c r="H3120" s="12" t="s">
        <v>47</v>
      </c>
      <c r="I3120" s="10">
        <f ca="1">IFERROR(__xludf.DUMMYFUNCTION(" VLOOKUP(A3117, IMPORTRANGE(""https://docs.google.com/spreadsheets/d/1QNLbnkR_AongFt22vMfNzfpjZ0CjpI8QI-w0wBnYA1w/"", ""Инфа!A:AA""), 6, FALSE)"),2024)</f>
        <v>2024</v>
      </c>
      <c r="J3120" s="5">
        <f ca="1">ROUND((5000+G3120*60),-2)</f>
        <v>12400</v>
      </c>
      <c r="K3120" s="12" t="s">
        <v>1581</v>
      </c>
      <c r="L3120" s="15" t="s">
        <v>12143</v>
      </c>
    </row>
    <row r="3121" spans="1:12" ht="25.5">
      <c r="A3121" s="8" t="s">
        <v>12144</v>
      </c>
      <c r="B3121" s="9" t="s">
        <v>12</v>
      </c>
      <c r="C3121" s="10" t="s">
        <v>151</v>
      </c>
      <c r="D3121" s="10" t="str">
        <f ca="1">IFERROR(__xludf.DUMMYFUNCTION(" VLOOKUP(A3118, IMPORTRANGE(""https://docs.google.com/spreadsheets/d/1fj_Bhi2XPL3siwIh4sx4VRLAe31yD50oKdj5UlRYW0c/"", ""Сводка!A:AA""), 11, FALSE)"),"978-601-240-964-2")</f>
        <v>978-601-240-964-2</v>
      </c>
      <c r="E3121" s="11" t="s">
        <v>12145</v>
      </c>
      <c r="F3121" s="11" t="s">
        <v>12146</v>
      </c>
      <c r="G3121" s="12">
        <f ca="1">IFERROR(__xludf.DUMMYFUNCTION(" VLOOKUP(A3118, IMPORTRANGE(""https://docs.google.com/spreadsheets/d/1fj_Bhi2XPL3siwIh4sx4VRLAe31yD50oKdj5UlRYW0c/"", ""Сводка!A:AA""), 5, FALSE)"),104)</f>
        <v>104</v>
      </c>
      <c r="H3121" s="12" t="s">
        <v>47</v>
      </c>
      <c r="I3121" s="10">
        <f ca="1">IFERROR(__xludf.DUMMYFUNCTION(" VLOOKUP(A3118, IMPORTRANGE(""https://docs.google.com/spreadsheets/d/1QNLbnkR_AongFt22vMfNzfpjZ0CjpI8QI-w0wBnYA1w/"", ""Инфа!A:AA""), 6, FALSE)"),2024)</f>
        <v>2024</v>
      </c>
      <c r="J3121" s="5">
        <f ca="1">ROUND((5000+G3121*30),-2)</f>
        <v>8100</v>
      </c>
      <c r="K3121" s="12" t="s">
        <v>302</v>
      </c>
      <c r="L3121" s="15"/>
    </row>
    <row r="3122" spans="1:12" ht="101.25">
      <c r="A3122" s="8" t="s">
        <v>12147</v>
      </c>
      <c r="B3122" s="9" t="s">
        <v>12</v>
      </c>
      <c r="C3122" s="10" t="s">
        <v>151</v>
      </c>
      <c r="D3122" s="10" t="str">
        <f ca="1">IFERROR(__xludf.DUMMYFUNCTION(" VLOOKUP(A3119, IMPORTRANGE(""https://docs.google.com/spreadsheets/d/1fj_Bhi2XPL3siwIh4sx4VRLAe31yD50oKdj5UlRYW0c/"", ""Сводка!A:AA""), 11, FALSE)"),"978-601-310-009-8")</f>
        <v>978-601-310-009-8</v>
      </c>
      <c r="E3122" s="11" t="s">
        <v>12148</v>
      </c>
      <c r="F3122" s="11" t="s">
        <v>12149</v>
      </c>
      <c r="G3122" s="12">
        <f ca="1">IFERROR(__xludf.DUMMYFUNCTION(" VLOOKUP(A3119, IMPORTRANGE(""https://docs.google.com/spreadsheets/d/1fj_Bhi2XPL3siwIh4sx4VRLAe31yD50oKdj5UlRYW0c/"", ""Сводка!A:AA""), 5, FALSE)"),152)</f>
        <v>152</v>
      </c>
      <c r="H3122" s="12" t="s">
        <v>47</v>
      </c>
      <c r="I3122" s="10">
        <f ca="1">IFERROR(__xludf.DUMMYFUNCTION(" VLOOKUP(A3119, IMPORTRANGE(""https://docs.google.com/spreadsheets/d/1QNLbnkR_AongFt22vMfNzfpjZ0CjpI8QI-w0wBnYA1w/"", ""Инфа!A:AA""), 6, FALSE)"),2024)</f>
        <v>2024</v>
      </c>
      <c r="J3122" s="5">
        <f ca="1">ROUND((5000+G3122*30),-2)</f>
        <v>9600</v>
      </c>
      <c r="K3122" s="12" t="s">
        <v>302</v>
      </c>
      <c r="L3122" s="15" t="s">
        <v>12150</v>
      </c>
    </row>
    <row r="3123" spans="1:12" ht="51">
      <c r="A3123" s="8" t="s">
        <v>12151</v>
      </c>
      <c r="B3123" s="9" t="s">
        <v>12</v>
      </c>
      <c r="C3123" s="10" t="s">
        <v>151</v>
      </c>
      <c r="D3123" s="10" t="str">
        <f ca="1">IFERROR(__xludf.DUMMYFUNCTION(" VLOOKUP(A3120, IMPORTRANGE(""https://docs.google.com/spreadsheets/d/1fj_Bhi2XPL3siwIh4sx4VRLAe31yD50oKdj5UlRYW0c/"", ""Сводка!A:AA""), 11, FALSE)"),"978-601-342-130-8")</f>
        <v>978-601-342-130-8</v>
      </c>
      <c r="E3123" s="11" t="s">
        <v>2214</v>
      </c>
      <c r="F3123" s="11" t="s">
        <v>12152</v>
      </c>
      <c r="G3123" s="12">
        <f ca="1">IFERROR(__xludf.DUMMYFUNCTION(" VLOOKUP(A3120, IMPORTRANGE(""https://docs.google.com/spreadsheets/d/1fj_Bhi2XPL3siwIh4sx4VRLAe31yD50oKdj5UlRYW0c/"", ""Сводка!A:AA""), 5, FALSE)"),108)</f>
        <v>108</v>
      </c>
      <c r="H3123" s="12" t="s">
        <v>2216</v>
      </c>
      <c r="I3123" s="10">
        <f ca="1">IFERROR(__xludf.DUMMYFUNCTION(" VLOOKUP(A3120, IMPORTRANGE(""https://docs.google.com/spreadsheets/d/1QNLbnkR_AongFt22vMfNzfpjZ0CjpI8QI-w0wBnYA1w/"", ""Инфа!A:AA""), 6, FALSE)"),2024)</f>
        <v>2024</v>
      </c>
      <c r="J3123" s="5">
        <f ca="1">ROUND((5000+G3123*60),-2)</f>
        <v>11500</v>
      </c>
      <c r="K3123" s="12" t="s">
        <v>171</v>
      </c>
      <c r="L3123" s="16" t="s">
        <v>2218</v>
      </c>
    </row>
    <row r="3124" spans="1:12" ht="303.75">
      <c r="A3124" s="8" t="s">
        <v>12153</v>
      </c>
      <c r="B3124" s="9" t="s">
        <v>12</v>
      </c>
      <c r="C3124" s="10" t="s">
        <v>151</v>
      </c>
      <c r="D3124" s="10" t="str">
        <f ca="1">IFERROR(__xludf.DUMMYFUNCTION(" VLOOKUP(A3121, IMPORTRANGE(""https://docs.google.com/spreadsheets/d/1fj_Bhi2XPL3siwIh4sx4VRLAe31yD50oKdj5UlRYW0c/"", ""Сводка!A:AA""), 11, FALSE)"),"978-601-342-129-2")</f>
        <v>978-601-342-129-2</v>
      </c>
      <c r="E3124" s="11" t="s">
        <v>12154</v>
      </c>
      <c r="F3124" s="11" t="s">
        <v>12155</v>
      </c>
      <c r="G3124" s="12">
        <f ca="1">IFERROR(__xludf.DUMMYFUNCTION(" VLOOKUP(A3121, IMPORTRANGE(""https://docs.google.com/spreadsheets/d/1fj_Bhi2XPL3siwIh4sx4VRLAe31yD50oKdj5UlRYW0c/"", ""Сводка!A:AA""), 5, FALSE)"),164)</f>
        <v>164</v>
      </c>
      <c r="H3124" s="12" t="s">
        <v>24</v>
      </c>
      <c r="I3124" s="10">
        <f ca="1">IFERROR(__xludf.DUMMYFUNCTION(" VLOOKUP(A3121, IMPORTRANGE(""https://docs.google.com/spreadsheets/d/1QNLbnkR_AongFt22vMfNzfpjZ0CjpI8QI-w0wBnYA1w/"", ""Инфа!A:AA""), 6, FALSE)"),2024)</f>
        <v>2024</v>
      </c>
      <c r="J3124" s="5">
        <f ca="1">ROUND((5000+G3124*60),-2)</f>
        <v>14800</v>
      </c>
      <c r="K3124" s="12" t="s">
        <v>302</v>
      </c>
      <c r="L3124" s="15" t="s">
        <v>12156</v>
      </c>
    </row>
    <row r="3125" spans="1:12" ht="303.75">
      <c r="A3125" s="8" t="s">
        <v>12157</v>
      </c>
      <c r="B3125" s="9" t="s">
        <v>12</v>
      </c>
      <c r="C3125" s="10" t="s">
        <v>443</v>
      </c>
      <c r="D3125" s="10" t="str">
        <f ca="1">IFERROR(__xludf.DUMMYFUNCTION(" VLOOKUP(A3122, IMPORTRANGE(""https://docs.google.com/spreadsheets/d/1fj_Bhi2XPL3siwIh4sx4VRLAe31yD50oKdj5UlRYW0c/"", ""Сводка!A:AA""), 11, FALSE)"),"978-601-342-313-5")</f>
        <v>978-601-342-313-5</v>
      </c>
      <c r="E3125" s="11" t="s">
        <v>12154</v>
      </c>
      <c r="F3125" s="11" t="s">
        <v>12158</v>
      </c>
      <c r="G3125" s="12">
        <f ca="1">IFERROR(__xludf.DUMMYFUNCTION(" VLOOKUP(A3122, IMPORTRANGE(""https://docs.google.com/spreadsheets/d/1fj_Bhi2XPL3siwIh4sx4VRLAe31yD50oKdj5UlRYW0c/"", ""Сводка!A:AA""), 5, FALSE)"),156)</f>
        <v>156</v>
      </c>
      <c r="H3125" s="12" t="s">
        <v>511</v>
      </c>
      <c r="I3125" s="10">
        <f ca="1">IFERROR(__xludf.DUMMYFUNCTION(" VLOOKUP(A3122, IMPORTRANGE(""https://docs.google.com/spreadsheets/d/1QNLbnkR_AongFt22vMfNzfpjZ0CjpI8QI-w0wBnYA1w/"", ""Инфа!A:AA""), 6, FALSE)"),2024)</f>
        <v>2024</v>
      </c>
      <c r="J3125" s="5">
        <f ca="1">ROUND((5000+G3125*60),-2)</f>
        <v>14400</v>
      </c>
      <c r="K3125" s="12" t="s">
        <v>302</v>
      </c>
      <c r="L3125" s="15" t="s">
        <v>12159</v>
      </c>
    </row>
    <row r="3126" spans="1:12" ht="63.75">
      <c r="A3126" s="8" t="s">
        <v>12160</v>
      </c>
      <c r="B3126" s="9" t="s">
        <v>12</v>
      </c>
      <c r="C3126" s="10" t="s">
        <v>443</v>
      </c>
      <c r="D3126" s="10" t="str">
        <f ca="1">IFERROR(__xludf.DUMMYFUNCTION(" VLOOKUP(A3123, IMPORTRANGE(""https://docs.google.com/spreadsheets/d/1fj_Bhi2XPL3siwIh4sx4VRLAe31yD50oKdj5UlRYW0c/"", ""Сводка!A:AA""), 11, FALSE)"),"978-601-310-667-0")</f>
        <v>978-601-310-667-0</v>
      </c>
      <c r="E3126" s="11" t="s">
        <v>12161</v>
      </c>
      <c r="F3126" s="11" t="s">
        <v>12162</v>
      </c>
      <c r="G3126" s="12">
        <f ca="1">IFERROR(__xludf.DUMMYFUNCTION(" VLOOKUP(A3123, IMPORTRANGE(""https://docs.google.com/spreadsheets/d/1fj_Bhi2XPL3siwIh4sx4VRLAe31yD50oKdj5UlRYW0c/"", ""Сводка!A:AA""), 5, FALSE)"),200)</f>
        <v>200</v>
      </c>
      <c r="H3126" s="12" t="s">
        <v>106</v>
      </c>
      <c r="I3126" s="10">
        <f ca="1">IFERROR(__xludf.DUMMYFUNCTION(" VLOOKUP(A3123, IMPORTRANGE(""https://docs.google.com/spreadsheets/d/1QNLbnkR_AongFt22vMfNzfpjZ0CjpI8QI-w0wBnYA1w/"", ""Инфа!A:AA""), 6, FALSE)"),2024)</f>
        <v>2024</v>
      </c>
      <c r="J3126" s="5">
        <f ca="1">ROUND((5000+G3126*30),-2)</f>
        <v>11000</v>
      </c>
      <c r="K3126" s="12" t="s">
        <v>4043</v>
      </c>
      <c r="L3126" s="15"/>
    </row>
    <row r="3127" spans="1:12" ht="135">
      <c r="A3127" s="8" t="s">
        <v>12163</v>
      </c>
      <c r="B3127" s="9" t="s">
        <v>12</v>
      </c>
      <c r="C3127" s="10" t="s">
        <v>151</v>
      </c>
      <c r="D3127" s="10" t="str">
        <f ca="1">IFERROR(__xludf.DUMMYFUNCTION(" VLOOKUP(A3124, IMPORTRANGE(""https://docs.google.com/spreadsheets/d/1fj_Bhi2XPL3siwIh4sx4VRLAe31yD50oKdj5UlRYW0c/"", ""Сводка!A:AA""), 11, FALSE)"),"978-601-310-168-2")</f>
        <v>978-601-310-168-2</v>
      </c>
      <c r="E3127" s="11" t="s">
        <v>12164</v>
      </c>
      <c r="F3127" s="11" t="s">
        <v>12165</v>
      </c>
      <c r="G3127" s="12">
        <f ca="1">IFERROR(__xludf.DUMMYFUNCTION(" VLOOKUP(A3124, IMPORTRANGE(""https://docs.google.com/spreadsheets/d/1fj_Bhi2XPL3siwIh4sx4VRLAe31yD50oKdj5UlRYW0c/"", ""Сводка!A:AA""), 5, FALSE)"),160)</f>
        <v>160</v>
      </c>
      <c r="H3127" s="12" t="s">
        <v>47</v>
      </c>
      <c r="I3127" s="10">
        <f ca="1">IFERROR(__xludf.DUMMYFUNCTION(" VLOOKUP(A3124, IMPORTRANGE(""https://docs.google.com/spreadsheets/d/1QNLbnkR_AongFt22vMfNzfpjZ0CjpI8QI-w0wBnYA1w/"", ""Инфа!A:AA""), 6, FALSE)"),2024)</f>
        <v>2024</v>
      </c>
      <c r="J3127" s="5">
        <f ca="1">ROUND((5000+G3127*30),-2)</f>
        <v>9800</v>
      </c>
      <c r="K3127" s="12" t="s">
        <v>1483</v>
      </c>
      <c r="L3127" s="15" t="s">
        <v>12166</v>
      </c>
    </row>
    <row r="3128" spans="1:12" ht="112.5">
      <c r="A3128" s="8" t="s">
        <v>12167</v>
      </c>
      <c r="B3128" s="9" t="s">
        <v>12</v>
      </c>
      <c r="C3128" s="10" t="s">
        <v>443</v>
      </c>
      <c r="D3128" s="10" t="str">
        <f ca="1">IFERROR(__xludf.DUMMYFUNCTION(" VLOOKUP(A3125, IMPORTRANGE(""https://docs.google.com/spreadsheets/d/1fj_Bhi2XPL3siwIh4sx4VRLAe31yD50oKdj5UlRYW0c/"", ""Сводка!A:AA""), 11, FALSE)"),"978-601-7391-06-5")</f>
        <v>978-601-7391-06-5</v>
      </c>
      <c r="E3128" s="11" t="s">
        <v>12168</v>
      </c>
      <c r="F3128" s="11" t="s">
        <v>12169</v>
      </c>
      <c r="G3128" s="12">
        <f ca="1">IFERROR(__xludf.DUMMYFUNCTION(" VLOOKUP(A3125, IMPORTRANGE(""https://docs.google.com/spreadsheets/d/1fj_Bhi2XPL3siwIh4sx4VRLAe31yD50oKdj5UlRYW0c/"", ""Сводка!A:AA""), 5, FALSE)"),208)</f>
        <v>208</v>
      </c>
      <c r="H3128" s="12" t="s">
        <v>538</v>
      </c>
      <c r="I3128" s="10">
        <f ca="1">IFERROR(__xludf.DUMMYFUNCTION(" VLOOKUP(A3125, IMPORTRANGE(""https://docs.google.com/spreadsheets/d/1QNLbnkR_AongFt22vMfNzfpjZ0CjpI8QI-w0wBnYA1w/"", ""Инфа!A:AA""), 6, FALSE)"),2024)</f>
        <v>2024</v>
      </c>
      <c r="J3128" s="5">
        <f ca="1">ROUND((5000+G3128*30),-2)</f>
        <v>11200</v>
      </c>
      <c r="K3128" s="12" t="s">
        <v>1075</v>
      </c>
      <c r="L3128" s="15" t="s">
        <v>8003</v>
      </c>
    </row>
    <row r="3129" spans="1:12" ht="135">
      <c r="A3129" s="8" t="s">
        <v>12170</v>
      </c>
      <c r="B3129" s="9" t="s">
        <v>12</v>
      </c>
      <c r="C3129" s="10" t="s">
        <v>443</v>
      </c>
      <c r="D3129" s="10" t="str">
        <f ca="1">IFERROR(__xludf.DUMMYFUNCTION(" VLOOKUP(A3126, IMPORTRANGE(""https://docs.google.com/spreadsheets/d/1fj_Bhi2XPL3siwIh4sx4VRLAe31yD50oKdj5UlRYW0c/"", ""Сводка!A:AA""), 11, FALSE)"),"978-601-342-298-5")</f>
        <v>978-601-342-298-5</v>
      </c>
      <c r="E3129" s="11" t="s">
        <v>12171</v>
      </c>
      <c r="F3129" s="11" t="s">
        <v>12172</v>
      </c>
      <c r="G3129" s="12">
        <f ca="1">IFERROR(__xludf.DUMMYFUNCTION(" VLOOKUP(A3126, IMPORTRANGE(""https://docs.google.com/spreadsheets/d/1fj_Bhi2XPL3siwIh4sx4VRLAe31yD50oKdj5UlRYW0c/"", ""Сводка!A:AA""), 5, FALSE)"),108)</f>
        <v>108</v>
      </c>
      <c r="H3129" s="12" t="s">
        <v>538</v>
      </c>
      <c r="I3129" s="10">
        <f ca="1">IFERROR(__xludf.DUMMYFUNCTION(" VLOOKUP(A3126, IMPORTRANGE(""https://docs.google.com/spreadsheets/d/1QNLbnkR_AongFt22vMfNzfpjZ0CjpI8QI-w0wBnYA1w/"", ""Инфа!A:AA""), 6, FALSE)"),2024)</f>
        <v>2024</v>
      </c>
      <c r="J3129" s="5">
        <f ca="1">ROUND((5000+G3129*30),-2)</f>
        <v>8200</v>
      </c>
      <c r="K3129" s="12" t="s">
        <v>84</v>
      </c>
      <c r="L3129" s="15" t="s">
        <v>12173</v>
      </c>
    </row>
    <row r="3130" spans="1:12" ht="63.75">
      <c r="A3130" s="8" t="s">
        <v>12174</v>
      </c>
      <c r="B3130" s="9" t="s">
        <v>12</v>
      </c>
      <c r="C3130" s="10" t="s">
        <v>151</v>
      </c>
      <c r="D3130" s="10" t="str">
        <f ca="1">IFERROR(__xludf.DUMMYFUNCTION(" VLOOKUP(A3127, IMPORTRANGE(""https://docs.google.com/spreadsheets/d/1fj_Bhi2XPL3siwIh4sx4VRLAe31yD50oKdj5UlRYW0c/"", ""Сводка!A:AA""), 11, FALSE)"),"978-601-310-654-0")</f>
        <v>978-601-310-654-0</v>
      </c>
      <c r="E3130" s="11" t="s">
        <v>12175</v>
      </c>
      <c r="F3130" s="11" t="s">
        <v>12176</v>
      </c>
      <c r="G3130" s="12">
        <f ca="1">IFERROR(__xludf.DUMMYFUNCTION(" VLOOKUP(A3127, IMPORTRANGE(""https://docs.google.com/spreadsheets/d/1fj_Bhi2XPL3siwIh4sx4VRLAe31yD50oKdj5UlRYW0c/"", ""Сводка!A:AA""), 5, FALSE)"),288)</f>
        <v>288</v>
      </c>
      <c r="H3130" s="12" t="s">
        <v>106</v>
      </c>
      <c r="I3130" s="10">
        <f ca="1">IFERROR(__xludf.DUMMYFUNCTION(" VLOOKUP(A3127, IMPORTRANGE(""https://docs.google.com/spreadsheets/d/1QNLbnkR_AongFt22vMfNzfpjZ0CjpI8QI-w0wBnYA1w/"", ""Инфа!A:AA""), 6, FALSE)"),2024)</f>
        <v>2024</v>
      </c>
      <c r="J3130" s="5">
        <f ca="1">ROUND((5000+G3130*60),-2)</f>
        <v>22300</v>
      </c>
      <c r="K3130" s="12" t="s">
        <v>1240</v>
      </c>
      <c r="L3130" s="15"/>
    </row>
    <row r="3131" spans="1:12" ht="180">
      <c r="A3131" s="8" t="s">
        <v>12177</v>
      </c>
      <c r="B3131" s="9" t="s">
        <v>12</v>
      </c>
      <c r="C3131" s="10" t="s">
        <v>151</v>
      </c>
      <c r="D3131" s="10" t="str">
        <f ca="1">IFERROR(__xludf.DUMMYFUNCTION(" VLOOKUP(A3128, IMPORTRANGE(""https://docs.google.com/spreadsheets/d/1fj_Bhi2XPL3siwIh4sx4VRLAe31yD50oKdj5UlRYW0c/"", ""Сводка!A:AA""), 11, FALSE)"),"978-601-7959-27-2")</f>
        <v>978-601-7959-27-2</v>
      </c>
      <c r="E3131" s="11" t="s">
        <v>12178</v>
      </c>
      <c r="F3131" s="11" t="s">
        <v>12179</v>
      </c>
      <c r="G3131" s="12">
        <f ca="1">IFERROR(__xludf.DUMMYFUNCTION(" VLOOKUP(A3128, IMPORTRANGE(""https://docs.google.com/spreadsheets/d/1fj_Bhi2XPL3siwIh4sx4VRLAe31yD50oKdj5UlRYW0c/"", ""Сводка!A:AA""), 5, FALSE)"),306)</f>
        <v>306</v>
      </c>
      <c r="H3131" s="12" t="s">
        <v>47</v>
      </c>
      <c r="I3131" s="10">
        <f ca="1">IFERROR(__xludf.DUMMYFUNCTION(" VLOOKUP(A3128, IMPORTRANGE(""https://docs.google.com/spreadsheets/d/1QNLbnkR_AongFt22vMfNzfpjZ0CjpI8QI-w0wBnYA1w/"", ""Инфа!A:AA""), 6, FALSE)"),2024)</f>
        <v>2024</v>
      </c>
      <c r="J3131" s="5">
        <f ca="1">ROUND(((5000+G3131*30)*1.3),-2)</f>
        <v>18400</v>
      </c>
      <c r="K3131" s="12" t="s">
        <v>1450</v>
      </c>
      <c r="L3131" s="15" t="s">
        <v>12180</v>
      </c>
    </row>
    <row r="3132" spans="1:12" ht="38.25">
      <c r="A3132" s="8" t="s">
        <v>12181</v>
      </c>
      <c r="B3132" s="9" t="s">
        <v>12</v>
      </c>
      <c r="C3132" s="10" t="s">
        <v>151</v>
      </c>
      <c r="D3132" s="10" t="str">
        <f ca="1">IFERROR(__xludf.DUMMYFUNCTION(" VLOOKUP(A3129, IMPORTRANGE(""https://docs.google.com/spreadsheets/d/1fj_Bhi2XPL3siwIh4sx4VRLAe31yD50oKdj5UlRYW0c/"", ""Сводка!A:AA""), 11, FALSE)"),"978-601-240-417-3")</f>
        <v>978-601-240-417-3</v>
      </c>
      <c r="E3132" s="11" t="s">
        <v>12182</v>
      </c>
      <c r="F3132" s="11" t="s">
        <v>12183</v>
      </c>
      <c r="G3132" s="12">
        <f ca="1">IFERROR(__xludf.DUMMYFUNCTION(" VLOOKUP(A3129, IMPORTRANGE(""https://docs.google.com/spreadsheets/d/1fj_Bhi2XPL3siwIh4sx4VRLAe31yD50oKdj5UlRYW0c/"", ""Сводка!A:AA""), 5, FALSE)"),268)</f>
        <v>268</v>
      </c>
      <c r="H3132" s="12" t="s">
        <v>47</v>
      </c>
      <c r="I3132" s="10">
        <f ca="1">IFERROR(__xludf.DUMMYFUNCTION(" VLOOKUP(A3129, IMPORTRANGE(""https://docs.google.com/spreadsheets/d/1QNLbnkR_AongFt22vMfNzfpjZ0CjpI8QI-w0wBnYA1w/"", ""Инфа!A:AA""), 6, FALSE)"),2024)</f>
        <v>2024</v>
      </c>
      <c r="J3132" s="5">
        <f ca="1">ROUND((5000+G3132*30),-2)</f>
        <v>13000</v>
      </c>
      <c r="K3132" s="12" t="s">
        <v>197</v>
      </c>
      <c r="L3132" s="85" t="s">
        <v>12184</v>
      </c>
    </row>
    <row r="3133" spans="1:12" ht="78.75">
      <c r="A3133" s="8" t="s">
        <v>12185</v>
      </c>
      <c r="B3133" s="9" t="s">
        <v>12</v>
      </c>
      <c r="C3133" s="10" t="s">
        <v>443</v>
      </c>
      <c r="D3133" s="10" t="str">
        <f ca="1">IFERROR(__xludf.DUMMYFUNCTION(" VLOOKUP(A3130, IMPORTRANGE(""https://docs.google.com/spreadsheets/d/1fj_Bhi2XPL3siwIh4sx4VRLAe31yD50oKdj5UlRYW0c/"", ""Сводка!A:AA""), 11, FALSE)"),"978-601-327-036-4")</f>
        <v>978-601-327-036-4</v>
      </c>
      <c r="E3133" s="11" t="s">
        <v>12186</v>
      </c>
      <c r="F3133" s="11" t="s">
        <v>12187</v>
      </c>
      <c r="G3133" s="12">
        <f ca="1">IFERROR(__xludf.DUMMYFUNCTION(" VLOOKUP(A3130, IMPORTRANGE(""https://docs.google.com/spreadsheets/d/1fj_Bhi2XPL3siwIh4sx4VRLAe31yD50oKdj5UlRYW0c/"", ""Сводка!A:AA""), 5, FALSE)"),304)</f>
        <v>304</v>
      </c>
      <c r="H3133" s="12" t="s">
        <v>511</v>
      </c>
      <c r="I3133" s="10">
        <f ca="1">IFERROR(__xludf.DUMMYFUNCTION(" VLOOKUP(A3130, IMPORTRANGE(""https://docs.google.com/spreadsheets/d/1QNLbnkR_AongFt22vMfNzfpjZ0CjpI8QI-w0wBnYA1w/"", ""Инфа!A:AA""), 6, FALSE)"),2024)</f>
        <v>2024</v>
      </c>
      <c r="J3133" s="5">
        <f ca="1">ROUND((5000+G3133*60),-2)</f>
        <v>23200</v>
      </c>
      <c r="K3133" s="12" t="s">
        <v>243</v>
      </c>
      <c r="L3133" s="15" t="s">
        <v>12188</v>
      </c>
    </row>
    <row r="3134" spans="1:12" ht="78.75">
      <c r="A3134" s="8" t="s">
        <v>12189</v>
      </c>
      <c r="B3134" s="9" t="s">
        <v>12</v>
      </c>
      <c r="C3134" s="10" t="s">
        <v>443</v>
      </c>
      <c r="D3134" s="10" t="str">
        <f ca="1">IFERROR(__xludf.DUMMYFUNCTION(" VLOOKUP(A3131, IMPORTRANGE(""https://docs.google.com/spreadsheets/d/1fj_Bhi2XPL3siwIh4sx4VRLAe31yD50oKdj5UlRYW0c/"", ""Сводка!A:AA""), 11, FALSE)"),"978-601-327-036-4")</f>
        <v>978-601-327-036-4</v>
      </c>
      <c r="E3134" s="11" t="s">
        <v>12186</v>
      </c>
      <c r="F3134" s="11" t="s">
        <v>12190</v>
      </c>
      <c r="G3134" s="12">
        <f ca="1">IFERROR(__xludf.DUMMYFUNCTION(" VLOOKUP(A3131, IMPORTRANGE(""https://docs.google.com/spreadsheets/d/1fj_Bhi2XPL3siwIh4sx4VRLAe31yD50oKdj5UlRYW0c/"", ""Сводка!A:AA""), 5, FALSE)"),316)</f>
        <v>316</v>
      </c>
      <c r="H3134" s="12" t="s">
        <v>511</v>
      </c>
      <c r="I3134" s="10">
        <f ca="1">IFERROR(__xludf.DUMMYFUNCTION(" VLOOKUP(A3131, IMPORTRANGE(""https://docs.google.com/spreadsheets/d/1QNLbnkR_AongFt22vMfNzfpjZ0CjpI8QI-w0wBnYA1w/"", ""Инфа!A:AA""), 6, FALSE)"),2024)</f>
        <v>2024</v>
      </c>
      <c r="J3134" s="5">
        <f ca="1">ROUND((5000+G3134*60),-2)</f>
        <v>24000</v>
      </c>
      <c r="K3134" s="12" t="s">
        <v>243</v>
      </c>
      <c r="L3134" s="15" t="s">
        <v>12188</v>
      </c>
    </row>
    <row r="3135" spans="1:12" ht="101.25">
      <c r="A3135" s="8" t="s">
        <v>12191</v>
      </c>
      <c r="B3135" s="9" t="s">
        <v>12</v>
      </c>
      <c r="C3135" s="10" t="s">
        <v>151</v>
      </c>
      <c r="D3135" s="10" t="str">
        <f ca="1">IFERROR(__xludf.DUMMYFUNCTION(" VLOOKUP(A3132, IMPORTRANGE(""https://docs.google.com/spreadsheets/d/1fj_Bhi2XPL3siwIh4sx4VRLAe31yD50oKdj5UlRYW0c/"", ""Сводка!A:AA""), 11, FALSE)"),"978-601-327-499-7")</f>
        <v>978-601-327-499-7</v>
      </c>
      <c r="E3135" s="11" t="s">
        <v>12192</v>
      </c>
      <c r="F3135" s="11" t="s">
        <v>12193</v>
      </c>
      <c r="G3135" s="12">
        <f ca="1">IFERROR(__xludf.DUMMYFUNCTION(" VLOOKUP(A3132, IMPORTRANGE(""https://docs.google.com/spreadsheets/d/1fj_Bhi2XPL3siwIh4sx4VRLAe31yD50oKdj5UlRYW0c/"", ""Сводка!A:AA""), 5, FALSE)"),204)</f>
        <v>204</v>
      </c>
      <c r="H3135" s="12" t="s">
        <v>2216</v>
      </c>
      <c r="I3135" s="10">
        <f ca="1">IFERROR(__xludf.DUMMYFUNCTION(" VLOOKUP(A3132, IMPORTRANGE(""https://docs.google.com/spreadsheets/d/1QNLbnkR_AongFt22vMfNzfpjZ0CjpI8QI-w0wBnYA1w/"", ""Инфа!A:AA""), 6, FALSE)"),2024)</f>
        <v>2024</v>
      </c>
      <c r="J3135" s="5">
        <f ca="1">ROUND((5000+G3135*30),-2)</f>
        <v>11100</v>
      </c>
      <c r="K3135" s="12" t="s">
        <v>1075</v>
      </c>
      <c r="L3135" s="15" t="s">
        <v>12194</v>
      </c>
    </row>
    <row r="3136" spans="1:12" ht="51">
      <c r="A3136" s="8" t="s">
        <v>12195</v>
      </c>
      <c r="B3136" s="9" t="s">
        <v>12</v>
      </c>
      <c r="C3136" s="10" t="s">
        <v>151</v>
      </c>
      <c r="D3136" s="10" t="str">
        <f ca="1">IFERROR(__xludf.DUMMYFUNCTION(" VLOOKUP(A3133, IMPORTRANGE(""https://docs.google.com/spreadsheets/d/1fj_Bhi2XPL3siwIh4sx4VRLAe31yD50oKdj5UlRYW0c/"", ""Сводка!A:AA""), 11, FALSE)"),"978-601-327-498-0")</f>
        <v>978-601-327-498-0</v>
      </c>
      <c r="E3136" s="11" t="s">
        <v>12192</v>
      </c>
      <c r="F3136" s="11" t="s">
        <v>12196</v>
      </c>
      <c r="G3136" s="12">
        <f ca="1">IFERROR(__xludf.DUMMYFUNCTION(" VLOOKUP(A3133, IMPORTRANGE(""https://docs.google.com/spreadsheets/d/1fj_Bhi2XPL3siwIh4sx4VRLAe31yD50oKdj5UlRYW0c/"", ""Сводка!A:AA""), 5, FALSE)"),264)</f>
        <v>264</v>
      </c>
      <c r="H3136" s="12" t="s">
        <v>2216</v>
      </c>
      <c r="I3136" s="10">
        <f ca="1">IFERROR(__xludf.DUMMYFUNCTION(" VLOOKUP(A3133, IMPORTRANGE(""https://docs.google.com/spreadsheets/d/1QNLbnkR_AongFt22vMfNzfpjZ0CjpI8QI-w0wBnYA1w/"", ""Инфа!A:AA""), 6, FALSE)"),2024)</f>
        <v>2024</v>
      </c>
      <c r="J3136" s="5">
        <f ca="1">ROUND((5000+G3136*30),-2)</f>
        <v>12900</v>
      </c>
      <c r="K3136" s="12" t="s">
        <v>1075</v>
      </c>
      <c r="L3136" s="15" t="s">
        <v>12197</v>
      </c>
    </row>
    <row r="3137" spans="1:12" ht="101.25">
      <c r="A3137" s="8" t="s">
        <v>12198</v>
      </c>
      <c r="B3137" s="9" t="s">
        <v>12</v>
      </c>
      <c r="C3137" s="10" t="s">
        <v>151</v>
      </c>
      <c r="D3137" s="10" t="str">
        <f ca="1">IFERROR(__xludf.DUMMYFUNCTION(" VLOOKUP(A3134, IMPORTRANGE(""https://docs.google.com/spreadsheets/d/1fj_Bhi2XPL3siwIh4sx4VRLAe31yD50oKdj5UlRYW0c/"", ""Сводка!A:AA""), 11, FALSE)"),"978-601-342-064-6")</f>
        <v>978-601-342-064-6</v>
      </c>
      <c r="E3137" s="11" t="s">
        <v>12192</v>
      </c>
      <c r="F3137" s="11" t="s">
        <v>12199</v>
      </c>
      <c r="G3137" s="12">
        <f ca="1">IFERROR(__xludf.DUMMYFUNCTION(" VLOOKUP(A3134, IMPORTRANGE(""https://docs.google.com/spreadsheets/d/1fj_Bhi2XPL3siwIh4sx4VRLAe31yD50oKdj5UlRYW0c/"", ""Сводка!A:AA""), 5, FALSE)"),228)</f>
        <v>228</v>
      </c>
      <c r="H3137" s="12" t="s">
        <v>301</v>
      </c>
      <c r="I3137" s="10">
        <f ca="1">IFERROR(__xludf.DUMMYFUNCTION(" VLOOKUP(A3134, IMPORTRANGE(""https://docs.google.com/spreadsheets/d/1QNLbnkR_AongFt22vMfNzfpjZ0CjpI8QI-w0wBnYA1w/"", ""Инфа!A:AA""), 6, FALSE)"),2024)</f>
        <v>2024</v>
      </c>
      <c r="J3137" s="5">
        <f ca="1">ROUND((5000+G3137*60),-2)</f>
        <v>18700</v>
      </c>
      <c r="K3137" s="12" t="s">
        <v>1075</v>
      </c>
      <c r="L3137" s="15" t="s">
        <v>12200</v>
      </c>
    </row>
    <row r="3138" spans="1:12" ht="191.25">
      <c r="A3138" s="8" t="s">
        <v>12201</v>
      </c>
      <c r="B3138" s="9" t="s">
        <v>12</v>
      </c>
      <c r="C3138" s="10" t="s">
        <v>5722</v>
      </c>
      <c r="D3138" s="10" t="str">
        <f ca="1">IFERROR(__xludf.DUMMYFUNCTION(" VLOOKUP(A3135, IMPORTRANGE(""https://docs.google.com/spreadsheets/d/1fj_Bhi2XPL3siwIh4sx4VRLAe31yD50oKdj5UlRYW0c/"", ""Сводка!A:AA""), 11, FALSE)"),"978-601-342-086-8")</f>
        <v>978-601-342-086-8</v>
      </c>
      <c r="E3138" s="11" t="s">
        <v>12192</v>
      </c>
      <c r="F3138" s="11" t="s">
        <v>12202</v>
      </c>
      <c r="G3138" s="12">
        <f ca="1">IFERROR(__xludf.DUMMYFUNCTION(" VLOOKUP(A3135, IMPORTRANGE(""https://docs.google.com/spreadsheets/d/1fj_Bhi2XPL3siwIh4sx4VRLAe31yD50oKdj5UlRYW0c/"", ""Сводка!A:AA""), 5, FALSE)"),96)</f>
        <v>96</v>
      </c>
      <c r="H3138" s="12" t="s">
        <v>12203</v>
      </c>
      <c r="I3138" s="10">
        <f ca="1">IFERROR(__xludf.DUMMYFUNCTION(" VLOOKUP(A3135, IMPORTRANGE(""https://docs.google.com/spreadsheets/d/1QNLbnkR_AongFt22vMfNzfpjZ0CjpI8QI-w0wBnYA1w/"", ""Инфа!A:AA""), 6, FALSE)"),2024)</f>
        <v>2024</v>
      </c>
      <c r="J3138" s="5">
        <f ca="1">ROUND((5000+G3138*30),-2)</f>
        <v>7900</v>
      </c>
      <c r="K3138" s="12" t="s">
        <v>1075</v>
      </c>
      <c r="L3138" s="15" t="s">
        <v>12204</v>
      </c>
    </row>
    <row r="3139" spans="1:12" ht="112.5">
      <c r="A3139" s="8" t="s">
        <v>12205</v>
      </c>
      <c r="B3139" s="9" t="s">
        <v>12</v>
      </c>
      <c r="C3139" s="10" t="s">
        <v>151</v>
      </c>
      <c r="D3139" s="10" t="str">
        <f ca="1">IFERROR(__xludf.DUMMYFUNCTION(" VLOOKUP(A3136, IMPORTRANGE(""https://docs.google.com/spreadsheets/d/1fj_Bhi2XPL3siwIh4sx4VRLAe31yD50oKdj5UlRYW0c/"", ""Сводка!A:AA""), 11, FALSE)"),"978-601-327-852-0")</f>
        <v>978-601-327-852-0</v>
      </c>
      <c r="E3139" s="11" t="s">
        <v>12206</v>
      </c>
      <c r="F3139" s="11" t="s">
        <v>12207</v>
      </c>
      <c r="G3139" s="12">
        <f ca="1">IFERROR(__xludf.DUMMYFUNCTION(" VLOOKUP(A3136, IMPORTRANGE(""https://docs.google.com/spreadsheets/d/1fj_Bhi2XPL3siwIh4sx4VRLAe31yD50oKdj5UlRYW0c/"", ""Сводка!A:AA""), 5, FALSE)"),192)</f>
        <v>192</v>
      </c>
      <c r="H3139" s="12" t="s">
        <v>2216</v>
      </c>
      <c r="I3139" s="10">
        <f ca="1">IFERROR(__xludf.DUMMYFUNCTION(" VLOOKUP(A3136, IMPORTRANGE(""https://docs.google.com/spreadsheets/d/1QNLbnkR_AongFt22vMfNzfpjZ0CjpI8QI-w0wBnYA1w/"", ""Инфа!A:AA""), 6, FALSE)"),2024)</f>
        <v>2024</v>
      </c>
      <c r="J3139" s="5">
        <f ca="1">ROUND((5000+G3139*60),-2)</f>
        <v>16500</v>
      </c>
      <c r="K3139" s="12" t="s">
        <v>3371</v>
      </c>
      <c r="L3139" s="15" t="s">
        <v>12208</v>
      </c>
    </row>
    <row r="3140" spans="1:12" ht="135">
      <c r="A3140" s="8" t="s">
        <v>12209</v>
      </c>
      <c r="B3140" s="9" t="s">
        <v>12</v>
      </c>
      <c r="C3140" s="10" t="s">
        <v>151</v>
      </c>
      <c r="D3140" s="10" t="str">
        <f ca="1">IFERROR(__xludf.DUMMYFUNCTION(" VLOOKUP(A3137, IMPORTRANGE(""https://docs.google.com/spreadsheets/d/1fj_Bhi2XPL3siwIh4sx4VRLAe31yD50oKdj5UlRYW0c/"", ""Сводка!A:AA""), 11, FALSE)"),"978-601-327-866-7")</f>
        <v>978-601-327-866-7</v>
      </c>
      <c r="E3140" s="11" t="s">
        <v>12206</v>
      </c>
      <c r="F3140" s="11" t="s">
        <v>12210</v>
      </c>
      <c r="G3140" s="12">
        <f ca="1">IFERROR(__xludf.DUMMYFUNCTION(" VLOOKUP(A3137, IMPORTRANGE(""https://docs.google.com/spreadsheets/d/1fj_Bhi2XPL3siwIh4sx4VRLAe31yD50oKdj5UlRYW0c/"", ""Сводка!A:AA""), 5, FALSE)"),148)</f>
        <v>148</v>
      </c>
      <c r="H3140" s="12" t="s">
        <v>2216</v>
      </c>
      <c r="I3140" s="10">
        <f ca="1">IFERROR(__xludf.DUMMYFUNCTION(" VLOOKUP(A3137, IMPORTRANGE(""https://docs.google.com/spreadsheets/d/1QNLbnkR_AongFt22vMfNzfpjZ0CjpI8QI-w0wBnYA1w/"", ""Инфа!A:AA""), 6, FALSE)"),2024)</f>
        <v>2024</v>
      </c>
      <c r="J3140" s="5">
        <f ca="1">ROUND((5000+G3140*30),-2)</f>
        <v>9400</v>
      </c>
      <c r="K3140" s="12" t="s">
        <v>3371</v>
      </c>
      <c r="L3140" s="15" t="s">
        <v>12211</v>
      </c>
    </row>
    <row r="3141" spans="1:12" ht="90">
      <c r="A3141" s="8" t="s">
        <v>12212</v>
      </c>
      <c r="B3141" s="9" t="s">
        <v>12</v>
      </c>
      <c r="C3141" s="10" t="s">
        <v>151</v>
      </c>
      <c r="D3141" s="10" t="str">
        <f ca="1">IFERROR(__xludf.DUMMYFUNCTION(" VLOOKUP(A3138, IMPORTRANGE(""https://docs.google.com/spreadsheets/d/1fj_Bhi2XPL3siwIh4sx4VRLAe31yD50oKdj5UlRYW0c/"", ""Сводка!A:AA""), 11, FALSE)"),"978-601-342-063-9")</f>
        <v>978-601-342-063-9</v>
      </c>
      <c r="E3141" s="11" t="s">
        <v>12206</v>
      </c>
      <c r="F3141" s="11" t="s">
        <v>12213</v>
      </c>
      <c r="G3141" s="12">
        <f ca="1">IFERROR(__xludf.DUMMYFUNCTION(" VLOOKUP(A3138, IMPORTRANGE(""https://docs.google.com/spreadsheets/d/1fj_Bhi2XPL3siwIh4sx4VRLAe31yD50oKdj5UlRYW0c/"", ""Сводка!A:AA""), 5, FALSE)"),140)</f>
        <v>140</v>
      </c>
      <c r="H3141" s="12" t="s">
        <v>2216</v>
      </c>
      <c r="I3141" s="10">
        <f ca="1">IFERROR(__xludf.DUMMYFUNCTION(" VLOOKUP(A3138, IMPORTRANGE(""https://docs.google.com/spreadsheets/d/1QNLbnkR_AongFt22vMfNzfpjZ0CjpI8QI-w0wBnYA1w/"", ""Инфа!A:AA""), 6, FALSE)"),2024)</f>
        <v>2024</v>
      </c>
      <c r="J3141" s="5">
        <f ca="1">ROUND((5000+G3141*60),-2)</f>
        <v>13400</v>
      </c>
      <c r="K3141" s="12" t="s">
        <v>3371</v>
      </c>
      <c r="L3141" s="15" t="s">
        <v>12214</v>
      </c>
    </row>
    <row r="3142" spans="1:12" ht="146.25">
      <c r="A3142" s="8" t="s">
        <v>12215</v>
      </c>
      <c r="B3142" s="9" t="s">
        <v>12</v>
      </c>
      <c r="C3142" s="10" t="s">
        <v>151</v>
      </c>
      <c r="D3142" s="10" t="s">
        <v>12216</v>
      </c>
      <c r="E3142" s="11" t="s">
        <v>12206</v>
      </c>
      <c r="F3142" s="11" t="s">
        <v>12217</v>
      </c>
      <c r="G3142" s="12">
        <f ca="1">IFERROR(__xludf.DUMMYFUNCTION(" VLOOKUP(A3139, IMPORTRANGE(""https://docs.google.com/spreadsheets/d/1fj_Bhi2XPL3siwIh4sx4VRLAe31yD50oKdj5UlRYW0c/"", ""Сводка!A:AA""), 5, FALSE)"),112)</f>
        <v>112</v>
      </c>
      <c r="H3142" s="12" t="s">
        <v>6319</v>
      </c>
      <c r="I3142" s="10">
        <f ca="1">IFERROR(__xludf.DUMMYFUNCTION(" VLOOKUP(A3139, IMPORTRANGE(""https://docs.google.com/spreadsheets/d/1QNLbnkR_AongFt22vMfNzfpjZ0CjpI8QI-w0wBnYA1w/"", ""Инфа!A:AA""), 6, FALSE)"),2024)</f>
        <v>2024</v>
      </c>
      <c r="J3142" s="5">
        <f ca="1">ROUND((5000+G3142*30),-2)</f>
        <v>8400</v>
      </c>
      <c r="K3142" s="12" t="s">
        <v>3371</v>
      </c>
      <c r="L3142" s="15" t="s">
        <v>12218</v>
      </c>
    </row>
    <row r="3143" spans="1:12" ht="123.75">
      <c r="A3143" s="8" t="s">
        <v>12219</v>
      </c>
      <c r="B3143" s="9" t="s">
        <v>12</v>
      </c>
      <c r="C3143" s="10" t="s">
        <v>151</v>
      </c>
      <c r="D3143" s="10" t="str">
        <f ca="1">IFERROR(__xludf.DUMMYFUNCTION(" VLOOKUP(A3140, IMPORTRANGE(""https://docs.google.com/spreadsheets/d/1fj_Bhi2XPL3siwIh4sx4VRLAe31yD50oKdj5UlRYW0c/"", ""Сводка!A:AA""), 11, FALSE)"),"978-601-327-853-7")</f>
        <v>978-601-327-853-7</v>
      </c>
      <c r="E3143" s="11" t="s">
        <v>12206</v>
      </c>
      <c r="F3143" s="11" t="s">
        <v>12220</v>
      </c>
      <c r="G3143" s="12">
        <f ca="1">IFERROR(__xludf.DUMMYFUNCTION(" VLOOKUP(A3140, IMPORTRANGE(""https://docs.google.com/spreadsheets/d/1fj_Bhi2XPL3siwIh4sx4VRLAe31yD50oKdj5UlRYW0c/"", ""Сводка!A:AA""), 5, FALSE)"),204)</f>
        <v>204</v>
      </c>
      <c r="H3143" s="12" t="s">
        <v>2216</v>
      </c>
      <c r="I3143" s="10">
        <f ca="1">IFERROR(__xludf.DUMMYFUNCTION(" VLOOKUP(A3140, IMPORTRANGE(""https://docs.google.com/spreadsheets/d/1QNLbnkR_AongFt22vMfNzfpjZ0CjpI8QI-w0wBnYA1w/"", ""Инфа!A:AA""), 6, FALSE)"),2024)</f>
        <v>2024</v>
      </c>
      <c r="J3143" s="5">
        <f ca="1">ROUND((5000+G3143*30),-2)</f>
        <v>11100</v>
      </c>
      <c r="K3143" s="12" t="s">
        <v>3371</v>
      </c>
      <c r="L3143" s="15" t="s">
        <v>12221</v>
      </c>
    </row>
    <row r="3144" spans="1:12" ht="135">
      <c r="A3144" s="8" t="s">
        <v>12222</v>
      </c>
      <c r="B3144" s="9" t="s">
        <v>12</v>
      </c>
      <c r="C3144" s="10" t="s">
        <v>151</v>
      </c>
      <c r="D3144" s="10" t="str">
        <f ca="1">IFERROR(__xludf.DUMMYFUNCTION(" VLOOKUP(A3141, IMPORTRANGE(""https://docs.google.com/spreadsheets/d/1fj_Bhi2XPL3siwIh4sx4VRLAe31yD50oKdj5UlRYW0c/"", ""Сводка!A:AA""), 11, FALSE)"),"978-601-327-867-4")</f>
        <v>978-601-327-867-4</v>
      </c>
      <c r="E3144" s="11" t="s">
        <v>12206</v>
      </c>
      <c r="F3144" s="11" t="s">
        <v>12223</v>
      </c>
      <c r="G3144" s="12">
        <f ca="1">IFERROR(__xludf.DUMMYFUNCTION(" VLOOKUP(A3141, IMPORTRANGE(""https://docs.google.com/spreadsheets/d/1fj_Bhi2XPL3siwIh4sx4VRLAe31yD50oKdj5UlRYW0c/"", ""Сводка!A:AA""), 5, FALSE)"),156)</f>
        <v>156</v>
      </c>
      <c r="H3144" s="12" t="s">
        <v>4470</v>
      </c>
      <c r="I3144" s="10">
        <f ca="1">IFERROR(__xludf.DUMMYFUNCTION(" VLOOKUP(A3141, IMPORTRANGE(""https://docs.google.com/spreadsheets/d/1QNLbnkR_AongFt22vMfNzfpjZ0CjpI8QI-w0wBnYA1w/"", ""Инфа!A:AA""), 6, FALSE)"),2024)</f>
        <v>2024</v>
      </c>
      <c r="J3144" s="5">
        <f ca="1">ROUND((5000+G3144*30),-2)</f>
        <v>9700</v>
      </c>
      <c r="K3144" s="12" t="s">
        <v>3371</v>
      </c>
      <c r="L3144" s="15" t="s">
        <v>12224</v>
      </c>
    </row>
    <row r="3145" spans="1:12" ht="123.75">
      <c r="A3145" s="8" t="s">
        <v>12225</v>
      </c>
      <c r="B3145" s="9" t="s">
        <v>12</v>
      </c>
      <c r="C3145" s="10" t="s">
        <v>151</v>
      </c>
      <c r="D3145" s="10" t="str">
        <f ca="1">IFERROR(__xludf.DUMMYFUNCTION(" VLOOKUP(A3142, IMPORTRANGE(""https://docs.google.com/spreadsheets/d/1fj_Bhi2XPL3siwIh4sx4VRLAe31yD50oKdj5UlRYW0c/"", ""Сводка!A:AA""), 11, FALSE)"),"978-601-327-867-8")</f>
        <v>978-601-327-867-8</v>
      </c>
      <c r="E3145" s="11" t="s">
        <v>12206</v>
      </c>
      <c r="F3145" s="11" t="s">
        <v>12226</v>
      </c>
      <c r="G3145" s="12">
        <f ca="1">IFERROR(__xludf.DUMMYFUNCTION(" VLOOKUP(A3142, IMPORTRANGE(""https://docs.google.com/spreadsheets/d/1fj_Bhi2XPL3siwIh4sx4VRLAe31yD50oKdj5UlRYW0c/"", ""Сводка!A:AA""), 5, FALSE)"),152)</f>
        <v>152</v>
      </c>
      <c r="H3145" s="12" t="s">
        <v>5583</v>
      </c>
      <c r="I3145" s="10">
        <f ca="1">IFERROR(__xludf.DUMMYFUNCTION(" VLOOKUP(A3142, IMPORTRANGE(""https://docs.google.com/spreadsheets/d/1QNLbnkR_AongFt22vMfNzfpjZ0CjpI8QI-w0wBnYA1w/"", ""Инфа!A:AA""), 6, FALSE)"),2024)</f>
        <v>2024</v>
      </c>
      <c r="J3145" s="5">
        <f ca="1">ROUND((5000+G3145*30),-2)</f>
        <v>9600</v>
      </c>
      <c r="K3145" s="12" t="s">
        <v>3371</v>
      </c>
      <c r="L3145" s="15" t="s">
        <v>12227</v>
      </c>
    </row>
    <row r="3146" spans="1:12" ht="112.5">
      <c r="A3146" s="8" t="s">
        <v>12228</v>
      </c>
      <c r="B3146" s="9" t="s">
        <v>12</v>
      </c>
      <c r="C3146" s="10" t="s">
        <v>151</v>
      </c>
      <c r="D3146" s="10" t="str">
        <f ca="1">IFERROR(__xludf.DUMMYFUNCTION(" VLOOKUP(A3143, IMPORTRANGE(""https://docs.google.com/spreadsheets/d/1fj_Bhi2XPL3siwIh4sx4VRLAe31yD50oKdj5UlRYW0c/"", ""Сводка!A:AA""), 11, FALSE)"),"978-601-342-063-9")</f>
        <v>978-601-342-063-9</v>
      </c>
      <c r="E3146" s="11" t="s">
        <v>12206</v>
      </c>
      <c r="F3146" s="11" t="s">
        <v>12229</v>
      </c>
      <c r="G3146" s="12">
        <f ca="1">IFERROR(__xludf.DUMMYFUNCTION(" VLOOKUP(A3143, IMPORTRANGE(""https://docs.google.com/spreadsheets/d/1fj_Bhi2XPL3siwIh4sx4VRLAe31yD50oKdj5UlRYW0c/"", ""Сводка!A:AA""), 5, FALSE)"),200)</f>
        <v>200</v>
      </c>
      <c r="H3146" s="12" t="s">
        <v>2216</v>
      </c>
      <c r="I3146" s="10">
        <f ca="1">IFERROR(__xludf.DUMMYFUNCTION(" VLOOKUP(A3143, IMPORTRANGE(""https://docs.google.com/spreadsheets/d/1QNLbnkR_AongFt22vMfNzfpjZ0CjpI8QI-w0wBnYA1w/"", ""Инфа!A:AA""), 6, FALSE)"),2024)</f>
        <v>2024</v>
      </c>
      <c r="J3146" s="5">
        <f ca="1">ROUND((5000+G3146*60),-2)</f>
        <v>17000</v>
      </c>
      <c r="K3146" s="12" t="s">
        <v>3371</v>
      </c>
      <c r="L3146" s="15" t="s">
        <v>12230</v>
      </c>
    </row>
    <row r="3147" spans="1:12" ht="101.25">
      <c r="A3147" s="8" t="s">
        <v>12231</v>
      </c>
      <c r="B3147" s="9" t="s">
        <v>12</v>
      </c>
      <c r="C3147" s="10" t="s">
        <v>151</v>
      </c>
      <c r="D3147" s="10" t="str">
        <f ca="1">IFERROR(__xludf.DUMMYFUNCTION(" VLOOKUP(A3144, IMPORTRANGE(""https://docs.google.com/spreadsheets/d/1fj_Bhi2XPL3siwIh4sx4VRLAe31yD50oKdj5UlRYW0c/"", ""Сводка!A:AA""), 11, FALSE)"),"978-601-342-065-3")</f>
        <v>978-601-342-065-3</v>
      </c>
      <c r="E3147" s="11" t="s">
        <v>12206</v>
      </c>
      <c r="F3147" s="11" t="s">
        <v>12232</v>
      </c>
      <c r="G3147" s="12">
        <f ca="1">IFERROR(__xludf.DUMMYFUNCTION(" VLOOKUP(A3144, IMPORTRANGE(""https://docs.google.com/spreadsheets/d/1fj_Bhi2XPL3siwIh4sx4VRLAe31yD50oKdj5UlRYW0c/"", ""Сводка!A:AA""), 5, FALSE)"),200)</f>
        <v>200</v>
      </c>
      <c r="H3147" s="12" t="s">
        <v>2216</v>
      </c>
      <c r="I3147" s="10">
        <f ca="1">IFERROR(__xludf.DUMMYFUNCTION(" VLOOKUP(A3144, IMPORTRANGE(""https://docs.google.com/spreadsheets/d/1QNLbnkR_AongFt22vMfNzfpjZ0CjpI8QI-w0wBnYA1w/"", ""Инфа!A:AA""), 6, FALSE)"),2024)</f>
        <v>2024</v>
      </c>
      <c r="J3147" s="5">
        <f ca="1">ROUND((5000+G3147*60),-2)</f>
        <v>17000</v>
      </c>
      <c r="K3147" s="12" t="s">
        <v>3371</v>
      </c>
      <c r="L3147" s="15" t="s">
        <v>12233</v>
      </c>
    </row>
    <row r="3148" spans="1:12" ht="123.75">
      <c r="A3148" s="8" t="s">
        <v>12234</v>
      </c>
      <c r="B3148" s="9" t="s">
        <v>12</v>
      </c>
      <c r="C3148" s="10" t="s">
        <v>151</v>
      </c>
      <c r="D3148" s="10" t="s">
        <v>12235</v>
      </c>
      <c r="E3148" s="11" t="s">
        <v>12206</v>
      </c>
      <c r="F3148" s="11" t="s">
        <v>12236</v>
      </c>
      <c r="G3148" s="12">
        <f ca="1">IFERROR(__xludf.DUMMYFUNCTION(" VLOOKUP(A3145, IMPORTRANGE(""https://docs.google.com/spreadsheets/d/1fj_Bhi2XPL3siwIh4sx4VRLAe31yD50oKdj5UlRYW0c/"", ""Сводка!A:AA""), 5, FALSE)"),196)</f>
        <v>196</v>
      </c>
      <c r="H3148" s="12" t="s">
        <v>2216</v>
      </c>
      <c r="I3148" s="10">
        <f ca="1">IFERROR(__xludf.DUMMYFUNCTION(" VLOOKUP(A3145, IMPORTRANGE(""https://docs.google.com/spreadsheets/d/1QNLbnkR_AongFt22vMfNzfpjZ0CjpI8QI-w0wBnYA1w/"", ""Инфа!A:AA""), 6, FALSE)"),2024)</f>
        <v>2024</v>
      </c>
      <c r="J3148" s="5">
        <f ca="1">ROUND((5000+G3148*30),-2)</f>
        <v>10900</v>
      </c>
      <c r="K3148" s="12" t="s">
        <v>3371</v>
      </c>
      <c r="L3148" s="15" t="s">
        <v>12237</v>
      </c>
    </row>
    <row r="3149" spans="1:12" ht="112.5">
      <c r="A3149" s="8" t="s">
        <v>12238</v>
      </c>
      <c r="B3149" s="9" t="s">
        <v>12</v>
      </c>
      <c r="C3149" s="10" t="s">
        <v>151</v>
      </c>
      <c r="D3149" s="10" t="str">
        <f ca="1">IFERROR(__xludf.DUMMYFUNCTION(" VLOOKUP(A3146, IMPORTRANGE(""https://docs.google.com/spreadsheets/d/1fj_Bhi2XPL3siwIh4sx4VRLAe31yD50oKdj5UlRYW0c/"", ""Сводка!A:AA""), 11, FALSE)"),"978-601-342-066-0")</f>
        <v>978-601-342-066-0</v>
      </c>
      <c r="E3149" s="11" t="s">
        <v>12206</v>
      </c>
      <c r="F3149" s="11" t="s">
        <v>12239</v>
      </c>
      <c r="G3149" s="12">
        <f ca="1">IFERROR(__xludf.DUMMYFUNCTION(" VLOOKUP(A3146, IMPORTRANGE(""https://docs.google.com/spreadsheets/d/1fj_Bhi2XPL3siwIh4sx4VRLAe31yD50oKdj5UlRYW0c/"", ""Сводка!A:AA""), 5, FALSE)"),208)</f>
        <v>208</v>
      </c>
      <c r="H3149" s="12" t="s">
        <v>2216</v>
      </c>
      <c r="I3149" s="10">
        <f ca="1">IFERROR(__xludf.DUMMYFUNCTION(" VLOOKUP(A3146, IMPORTRANGE(""https://docs.google.com/spreadsheets/d/1QNLbnkR_AongFt22vMfNzfpjZ0CjpI8QI-w0wBnYA1w/"", ""Инфа!A:AA""), 6, FALSE)"),2024)</f>
        <v>2024</v>
      </c>
      <c r="J3149" s="5">
        <f ca="1">ROUND((5000+G3149*60),-2)</f>
        <v>17500</v>
      </c>
      <c r="K3149" s="12" t="s">
        <v>3371</v>
      </c>
      <c r="L3149" s="15" t="s">
        <v>12240</v>
      </c>
    </row>
    <row r="3150" spans="1:12" ht="101.25">
      <c r="A3150" s="8" t="s">
        <v>12241</v>
      </c>
      <c r="B3150" s="9" t="s">
        <v>12</v>
      </c>
      <c r="C3150" s="10" t="s">
        <v>151</v>
      </c>
      <c r="D3150" s="10" t="str">
        <f ca="1">IFERROR(__xludf.DUMMYFUNCTION(" VLOOKUP(A3147, IMPORTRANGE(""https://docs.google.com/spreadsheets/d/1fj_Bhi2XPL3siwIh4sx4VRLAe31yD50oKdj5UlRYW0c/"", ""Сводка!A:AA""), 11, FALSE)"),"978-601-327-943-5")</f>
        <v>978-601-327-943-5</v>
      </c>
      <c r="E3150" s="11" t="s">
        <v>12206</v>
      </c>
      <c r="F3150" s="11" t="s">
        <v>12242</v>
      </c>
      <c r="G3150" s="12">
        <f ca="1">IFERROR(__xludf.DUMMYFUNCTION(" VLOOKUP(A3147, IMPORTRANGE(""https://docs.google.com/spreadsheets/d/1fj_Bhi2XPL3siwIh4sx4VRLAe31yD50oKdj5UlRYW0c/"", ""Сводка!A:AA""), 5, FALSE)"),120)</f>
        <v>120</v>
      </c>
      <c r="H3150" s="12" t="s">
        <v>1921</v>
      </c>
      <c r="I3150" s="10">
        <f ca="1">IFERROR(__xludf.DUMMYFUNCTION(" VLOOKUP(A3147, IMPORTRANGE(""https://docs.google.com/spreadsheets/d/1QNLbnkR_AongFt22vMfNzfpjZ0CjpI8QI-w0wBnYA1w/"", ""Инфа!A:AA""), 6, FALSE)"),2024)</f>
        <v>2024</v>
      </c>
      <c r="J3150" s="5">
        <f ca="1">ROUND((5000+G3150*30),-2)</f>
        <v>8600</v>
      </c>
      <c r="K3150" s="12" t="s">
        <v>3371</v>
      </c>
      <c r="L3150" s="15" t="s">
        <v>12243</v>
      </c>
    </row>
    <row r="3151" spans="1:12" ht="135">
      <c r="A3151" s="8" t="s">
        <v>12244</v>
      </c>
      <c r="B3151" s="9" t="s">
        <v>12</v>
      </c>
      <c r="C3151" s="10" t="s">
        <v>151</v>
      </c>
      <c r="D3151" s="10" t="str">
        <f ca="1">IFERROR(__xludf.DUMMYFUNCTION(" VLOOKUP(A3148, IMPORTRANGE(""https://docs.google.com/spreadsheets/d/1fj_Bhi2XPL3siwIh4sx4VRLAe31yD50oKdj5UlRYW0c/"", ""Сводка!A:AA""), 11, FALSE)"),"978-601-327-938-1")</f>
        <v>978-601-327-938-1</v>
      </c>
      <c r="E3151" s="11" t="s">
        <v>12206</v>
      </c>
      <c r="F3151" s="11" t="s">
        <v>12245</v>
      </c>
      <c r="G3151" s="12">
        <f ca="1">IFERROR(__xludf.DUMMYFUNCTION(" VLOOKUP(A3148, IMPORTRANGE(""https://docs.google.com/spreadsheets/d/1fj_Bhi2XPL3siwIh4sx4VRLAe31yD50oKdj5UlRYW0c/"", ""Сводка!A:AA""), 5, FALSE)"),224)</f>
        <v>224</v>
      </c>
      <c r="H3151" s="12" t="s">
        <v>12246</v>
      </c>
      <c r="I3151" s="10">
        <f ca="1">IFERROR(__xludf.DUMMYFUNCTION(" VLOOKUP(A3148, IMPORTRANGE(""https://docs.google.com/spreadsheets/d/1QNLbnkR_AongFt22vMfNzfpjZ0CjpI8QI-w0wBnYA1w/"", ""Инфа!A:AA""), 6, FALSE)"),2024)</f>
        <v>2024</v>
      </c>
      <c r="J3151" s="5">
        <f ca="1">ROUND((5000+G3151*60),-2)</f>
        <v>18400</v>
      </c>
      <c r="K3151" s="12" t="s">
        <v>3371</v>
      </c>
      <c r="L3151" s="15" t="s">
        <v>12247</v>
      </c>
    </row>
    <row r="3152" spans="1:12" ht="101.25">
      <c r="A3152" s="8" t="s">
        <v>12248</v>
      </c>
      <c r="B3152" s="9" t="s">
        <v>12</v>
      </c>
      <c r="C3152" s="10" t="s">
        <v>151</v>
      </c>
      <c r="D3152" s="10" t="str">
        <f ca="1">IFERROR(__xludf.DUMMYFUNCTION(" VLOOKUP(A3149, IMPORTRANGE(""https://docs.google.com/spreadsheets/d/1fj_Bhi2XPL3siwIh4sx4VRLAe31yD50oKdj5UlRYW0c/"", ""Сводка!A:AA""), 11, FALSE)"),"978-601-327-942-8")</f>
        <v>978-601-327-942-8</v>
      </c>
      <c r="E3152" s="11" t="s">
        <v>12206</v>
      </c>
      <c r="F3152" s="11" t="s">
        <v>12249</v>
      </c>
      <c r="G3152" s="12">
        <f ca="1">IFERROR(__xludf.DUMMYFUNCTION(" VLOOKUP(A3149, IMPORTRANGE(""https://docs.google.com/spreadsheets/d/1fj_Bhi2XPL3siwIh4sx4VRLAe31yD50oKdj5UlRYW0c/"", ""Сводка!A:AA""), 5, FALSE)"),120)</f>
        <v>120</v>
      </c>
      <c r="H3152" s="12" t="s">
        <v>1921</v>
      </c>
      <c r="I3152" s="10">
        <f ca="1">IFERROR(__xludf.DUMMYFUNCTION(" VLOOKUP(A3149, IMPORTRANGE(""https://docs.google.com/spreadsheets/d/1QNLbnkR_AongFt22vMfNzfpjZ0CjpI8QI-w0wBnYA1w/"", ""Инфа!A:AA""), 6, FALSE)"),2024)</f>
        <v>2024</v>
      </c>
      <c r="J3152" s="5">
        <f t="shared" ref="J3152:J3163" ca="1" si="101">ROUND((5000+G3152*30),-2)</f>
        <v>8600</v>
      </c>
      <c r="K3152" s="12" t="s">
        <v>3371</v>
      </c>
      <c r="L3152" s="15" t="s">
        <v>12250</v>
      </c>
    </row>
    <row r="3153" spans="1:12" ht="101.25">
      <c r="A3153" s="8" t="s">
        <v>12251</v>
      </c>
      <c r="B3153" s="9" t="s">
        <v>12</v>
      </c>
      <c r="C3153" s="10" t="s">
        <v>151</v>
      </c>
      <c r="D3153" s="10" t="str">
        <f ca="1">IFERROR(__xludf.DUMMYFUNCTION(" VLOOKUP(A3150, IMPORTRANGE(""https://docs.google.com/spreadsheets/d/1fj_Bhi2XPL3siwIh4sx4VRLAe31yD50oKdj5UlRYW0c/"", ""Сводка!A:AA""), 11, FALSE)"),"978-601-342-100-1")</f>
        <v>978-601-342-100-1</v>
      </c>
      <c r="E3153" s="11" t="s">
        <v>12206</v>
      </c>
      <c r="F3153" s="11" t="s">
        <v>12252</v>
      </c>
      <c r="G3153" s="12">
        <f ca="1">IFERROR(__xludf.DUMMYFUNCTION(" VLOOKUP(A3150, IMPORTRANGE(""https://docs.google.com/spreadsheets/d/1fj_Bhi2XPL3siwIh4sx4VRLAe31yD50oKdj5UlRYW0c/"", ""Сводка!A:AA""), 5, FALSE)"),120)</f>
        <v>120</v>
      </c>
      <c r="H3153" s="12" t="s">
        <v>1921</v>
      </c>
      <c r="I3153" s="10">
        <f ca="1">IFERROR(__xludf.DUMMYFUNCTION(" VLOOKUP(A3150, IMPORTRANGE(""https://docs.google.com/spreadsheets/d/1QNLbnkR_AongFt22vMfNzfpjZ0CjpI8QI-w0wBnYA1w/"", ""Инфа!A:AA""), 6, FALSE)"),2024)</f>
        <v>2024</v>
      </c>
      <c r="J3153" s="5">
        <f t="shared" ca="1" si="101"/>
        <v>8600</v>
      </c>
      <c r="K3153" s="12" t="s">
        <v>3371</v>
      </c>
      <c r="L3153" s="15" t="s">
        <v>12253</v>
      </c>
    </row>
    <row r="3154" spans="1:12" ht="112.5">
      <c r="A3154" s="8" t="s">
        <v>12254</v>
      </c>
      <c r="B3154" s="9" t="s">
        <v>12</v>
      </c>
      <c r="C3154" s="10" t="s">
        <v>151</v>
      </c>
      <c r="D3154" s="10" t="str">
        <f ca="1">IFERROR(__xludf.DUMMYFUNCTION(" VLOOKUP(A3151, IMPORTRANGE(""https://docs.google.com/spreadsheets/d/1fj_Bhi2XPL3siwIh4sx4VRLAe31yD50oKdj5UlRYW0c/"", ""Сводка!A:AA""), 11, FALSE)"),"978-601-327-937-4")</f>
        <v>978-601-327-937-4</v>
      </c>
      <c r="E3154" s="11" t="s">
        <v>12206</v>
      </c>
      <c r="F3154" s="11" t="s">
        <v>12255</v>
      </c>
      <c r="G3154" s="12">
        <f ca="1">IFERROR(__xludf.DUMMYFUNCTION(" VLOOKUP(A3151, IMPORTRANGE(""https://docs.google.com/spreadsheets/d/1fj_Bhi2XPL3siwIh4sx4VRLAe31yD50oKdj5UlRYW0c/"", ""Сводка!A:AA""), 5, FALSE)"),124)</f>
        <v>124</v>
      </c>
      <c r="H3154" s="12" t="s">
        <v>1921</v>
      </c>
      <c r="I3154" s="10">
        <f ca="1">IFERROR(__xludf.DUMMYFUNCTION(" VLOOKUP(A3151, IMPORTRANGE(""https://docs.google.com/spreadsheets/d/1QNLbnkR_AongFt22vMfNzfpjZ0CjpI8QI-w0wBnYA1w/"", ""Инфа!A:AA""), 6, FALSE)"),2024)</f>
        <v>2024</v>
      </c>
      <c r="J3154" s="5">
        <f t="shared" ca="1" si="101"/>
        <v>8700</v>
      </c>
      <c r="K3154" s="12" t="s">
        <v>3371</v>
      </c>
      <c r="L3154" s="15" t="s">
        <v>12256</v>
      </c>
    </row>
    <row r="3155" spans="1:12" ht="101.25">
      <c r="A3155" s="8" t="s">
        <v>12257</v>
      </c>
      <c r="B3155" s="9" t="s">
        <v>12</v>
      </c>
      <c r="C3155" s="10" t="s">
        <v>151</v>
      </c>
      <c r="D3155" s="10" t="str">
        <f ca="1">IFERROR(__xludf.DUMMYFUNCTION(" VLOOKUP(A3152, IMPORTRANGE(""https://docs.google.com/spreadsheets/d/1fj_Bhi2XPL3siwIh4sx4VRLAe31yD50oKdj5UlRYW0c/"", ""Сводка!A:AA""), 11, FALSE)"),"978-601-327-933-6")</f>
        <v>978-601-327-933-6</v>
      </c>
      <c r="E3155" s="11" t="s">
        <v>12206</v>
      </c>
      <c r="F3155" s="11" t="s">
        <v>12258</v>
      </c>
      <c r="G3155" s="12">
        <f ca="1">IFERROR(__xludf.DUMMYFUNCTION(" VLOOKUP(A3152, IMPORTRANGE(""https://docs.google.com/spreadsheets/d/1fj_Bhi2XPL3siwIh4sx4VRLAe31yD50oKdj5UlRYW0c/"", ""Сводка!A:AA""), 5, FALSE)"),124)</f>
        <v>124</v>
      </c>
      <c r="H3155" s="12" t="s">
        <v>1921</v>
      </c>
      <c r="I3155" s="10">
        <f ca="1">IFERROR(__xludf.DUMMYFUNCTION(" VLOOKUP(A3152, IMPORTRANGE(""https://docs.google.com/spreadsheets/d/1QNLbnkR_AongFt22vMfNzfpjZ0CjpI8QI-w0wBnYA1w/"", ""Инфа!A:AA""), 6, FALSE)"),2024)</f>
        <v>2024</v>
      </c>
      <c r="J3155" s="5">
        <f t="shared" ca="1" si="101"/>
        <v>8700</v>
      </c>
      <c r="K3155" s="12" t="s">
        <v>3371</v>
      </c>
      <c r="L3155" s="15" t="s">
        <v>12259</v>
      </c>
    </row>
    <row r="3156" spans="1:12" ht="51">
      <c r="A3156" s="8" t="s">
        <v>12260</v>
      </c>
      <c r="B3156" s="9" t="s">
        <v>12</v>
      </c>
      <c r="C3156" s="10" t="s">
        <v>151</v>
      </c>
      <c r="D3156" s="10" t="str">
        <f ca="1">IFERROR(__xludf.DUMMYFUNCTION(" VLOOKUP(A3153, IMPORTRANGE(""https://docs.google.com/spreadsheets/d/1fj_Bhi2XPL3siwIh4sx4VRLAe31yD50oKdj5UlRYW0c/"", ""Сводка!A:AA""), 11, FALSE)"),"978-601-255-127-3")</f>
        <v>978-601-255-127-3</v>
      </c>
      <c r="E3156" s="25" t="s">
        <v>12261</v>
      </c>
      <c r="F3156" s="25" t="s">
        <v>12262</v>
      </c>
      <c r="G3156" s="12">
        <f ca="1">IFERROR(__xludf.DUMMYFUNCTION(" VLOOKUP(A3153, IMPORTRANGE(""https://docs.google.com/spreadsheets/d/1fj_Bhi2XPL3siwIh4sx4VRLAe31yD50oKdj5UlRYW0c/"", ""Сводка!A:AA""), 5, FALSE)"),208)</f>
        <v>208</v>
      </c>
      <c r="H3156" s="26" t="s">
        <v>282</v>
      </c>
      <c r="I3156" s="10">
        <f ca="1">IFERROR(__xludf.DUMMYFUNCTION(" VLOOKUP(A3153, IMPORTRANGE(""https://docs.google.com/spreadsheets/d/1QNLbnkR_AongFt22vMfNzfpjZ0CjpI8QI-w0wBnYA1w/"", ""Инфа!A:AA""), 6, FALSE)"),2024)</f>
        <v>2024</v>
      </c>
      <c r="J3156" s="5">
        <f t="shared" ca="1" si="101"/>
        <v>11200</v>
      </c>
      <c r="K3156" s="12" t="s">
        <v>277</v>
      </c>
      <c r="L3156" s="15" t="s">
        <v>12263</v>
      </c>
    </row>
    <row r="3157" spans="1:12" ht="25.5">
      <c r="A3157" s="8" t="s">
        <v>12264</v>
      </c>
      <c r="B3157" s="9" t="s">
        <v>12</v>
      </c>
      <c r="C3157" s="10" t="s">
        <v>443</v>
      </c>
      <c r="D3157" s="10" t="str">
        <f ca="1">IFERROR(__xludf.DUMMYFUNCTION(" VLOOKUP(A3154, IMPORTRANGE(""https://docs.google.com/spreadsheets/d/1fj_Bhi2XPL3siwIh4sx4VRLAe31yD50oKdj5UlRYW0c/"", ""Сводка!A:AA""), 11, FALSE)"),"978-601-240-475-3")</f>
        <v>978-601-240-475-3</v>
      </c>
      <c r="E3157" s="11" t="s">
        <v>12265</v>
      </c>
      <c r="F3157" s="11" t="s">
        <v>12266</v>
      </c>
      <c r="G3157" s="12">
        <f ca="1">IFERROR(__xludf.DUMMYFUNCTION(" VLOOKUP(A3154, IMPORTRANGE(""https://docs.google.com/spreadsheets/d/1fj_Bhi2XPL3siwIh4sx4VRLAe31yD50oKdj5UlRYW0c/"", ""Сводка!A:AA""), 5, FALSE)"),268)</f>
        <v>268</v>
      </c>
      <c r="H3157" s="12" t="s">
        <v>538</v>
      </c>
      <c r="I3157" s="10">
        <f ca="1">IFERROR(__xludf.DUMMYFUNCTION(" VLOOKUP(A3154, IMPORTRANGE(""https://docs.google.com/spreadsheets/d/1QNLbnkR_AongFt22vMfNzfpjZ0CjpI8QI-w0wBnYA1w/"", ""Инфа!A:AA""), 6, FALSE)"),2024)</f>
        <v>2024</v>
      </c>
      <c r="J3157" s="5">
        <f t="shared" ca="1" si="101"/>
        <v>13000</v>
      </c>
      <c r="K3157" s="12" t="s">
        <v>447</v>
      </c>
      <c r="L3157" s="15"/>
    </row>
    <row r="3158" spans="1:12" ht="202.5">
      <c r="A3158" s="8" t="s">
        <v>12267</v>
      </c>
      <c r="B3158" s="9" t="s">
        <v>12</v>
      </c>
      <c r="C3158" s="10" t="s">
        <v>151</v>
      </c>
      <c r="D3158" s="10" t="str">
        <f ca="1">IFERROR(__xludf.DUMMYFUNCTION(" VLOOKUP(A3155, IMPORTRANGE(""https://docs.google.com/spreadsheets/d/1fj_Bhi2XPL3siwIh4sx4VRLAe31yD50oKdj5UlRYW0c/"", ""Сводка!A:AA""), 11, FALSE)"),"978-601-327-842-1")</f>
        <v>978-601-327-842-1</v>
      </c>
      <c r="E3158" s="11" t="s">
        <v>12268</v>
      </c>
      <c r="F3158" s="11" t="s">
        <v>12269</v>
      </c>
      <c r="G3158" s="12">
        <f ca="1">IFERROR(__xludf.DUMMYFUNCTION(" VLOOKUP(A3155, IMPORTRANGE(""https://docs.google.com/spreadsheets/d/1fj_Bhi2XPL3siwIh4sx4VRLAe31yD50oKdj5UlRYW0c/"", ""Сводка!A:AA""), 5, FALSE)"),132)</f>
        <v>132</v>
      </c>
      <c r="H3158" s="12" t="s">
        <v>282</v>
      </c>
      <c r="I3158" s="10">
        <f ca="1">IFERROR(__xludf.DUMMYFUNCTION(" VLOOKUP(A3155, IMPORTRANGE(""https://docs.google.com/spreadsheets/d/1QNLbnkR_AongFt22vMfNzfpjZ0CjpI8QI-w0wBnYA1w/"", ""Инфа!A:AA""), 6, FALSE)"),2024)</f>
        <v>2024</v>
      </c>
      <c r="J3158" s="5">
        <f t="shared" ca="1" si="101"/>
        <v>9000</v>
      </c>
      <c r="K3158" s="12" t="s">
        <v>5309</v>
      </c>
      <c r="L3158" s="15" t="s">
        <v>12270</v>
      </c>
    </row>
    <row r="3159" spans="1:12" ht="236.25">
      <c r="A3159" s="8" t="s">
        <v>12271</v>
      </c>
      <c r="B3159" s="9" t="s">
        <v>12</v>
      </c>
      <c r="C3159" s="10" t="s">
        <v>151</v>
      </c>
      <c r="D3159" s="10" t="str">
        <f ca="1">IFERROR(__xludf.DUMMYFUNCTION(" VLOOKUP(A3156, IMPORTRANGE(""https://docs.google.com/spreadsheets/d/1fj_Bhi2XPL3siwIh4sx4VRLAe31yD50oKdj5UlRYW0c/"", ""Сводка!A:AA""), 11, FALSE)"),"978-601-327-843-8")</f>
        <v>978-601-327-843-8</v>
      </c>
      <c r="E3159" s="11" t="s">
        <v>12268</v>
      </c>
      <c r="F3159" s="11" t="s">
        <v>12272</v>
      </c>
      <c r="G3159" s="12">
        <f ca="1">IFERROR(__xludf.DUMMYFUNCTION(" VLOOKUP(A3156, IMPORTRANGE(""https://docs.google.com/spreadsheets/d/1fj_Bhi2XPL3siwIh4sx4VRLAe31yD50oKdj5UlRYW0c/"", ""Сводка!A:AA""), 5, FALSE)"),124)</f>
        <v>124</v>
      </c>
      <c r="H3159" s="12" t="s">
        <v>952</v>
      </c>
      <c r="I3159" s="10">
        <f ca="1">IFERROR(__xludf.DUMMYFUNCTION(" VLOOKUP(A3156, IMPORTRANGE(""https://docs.google.com/spreadsheets/d/1QNLbnkR_AongFt22vMfNzfpjZ0CjpI8QI-w0wBnYA1w/"", ""Инфа!A:AA""), 6, FALSE)"),2024)</f>
        <v>2024</v>
      </c>
      <c r="J3159" s="5">
        <f t="shared" ca="1" si="101"/>
        <v>8700</v>
      </c>
      <c r="K3159" s="9" t="s">
        <v>7967</v>
      </c>
      <c r="L3159" s="15" t="s">
        <v>12273</v>
      </c>
    </row>
    <row r="3160" spans="1:12" ht="225">
      <c r="A3160" s="8" t="s">
        <v>12274</v>
      </c>
      <c r="B3160" s="9" t="s">
        <v>12</v>
      </c>
      <c r="C3160" s="10" t="s">
        <v>151</v>
      </c>
      <c r="D3160" s="10" t="str">
        <f ca="1">IFERROR(__xludf.DUMMYFUNCTION(" VLOOKUP(A3157, IMPORTRANGE(""https://docs.google.com/spreadsheets/d/1fj_Bhi2XPL3siwIh4sx4VRLAe31yD50oKdj5UlRYW0c/"", ""Сводка!A:AA""), 11, FALSE)"),"978-601-327-383-0")</f>
        <v>978-601-327-383-0</v>
      </c>
      <c r="E3160" s="11" t="s">
        <v>12268</v>
      </c>
      <c r="F3160" s="11" t="s">
        <v>12275</v>
      </c>
      <c r="G3160" s="12">
        <f ca="1">IFERROR(__xludf.DUMMYFUNCTION(" VLOOKUP(A3157, IMPORTRANGE(""https://docs.google.com/spreadsheets/d/1fj_Bhi2XPL3siwIh4sx4VRLAe31yD50oKdj5UlRYW0c/"", ""Сводка!A:AA""), 5, FALSE)"),200)</f>
        <v>200</v>
      </c>
      <c r="H3160" s="12" t="s">
        <v>12276</v>
      </c>
      <c r="I3160" s="10">
        <f ca="1">IFERROR(__xludf.DUMMYFUNCTION(" VLOOKUP(A3157, IMPORTRANGE(""https://docs.google.com/spreadsheets/d/1QNLbnkR_AongFt22vMfNzfpjZ0CjpI8QI-w0wBnYA1w/"", ""Инфа!A:AA""), 6, FALSE)"),2024)</f>
        <v>2024</v>
      </c>
      <c r="J3160" s="5">
        <f t="shared" ca="1" si="101"/>
        <v>11000</v>
      </c>
      <c r="K3160" s="12" t="s">
        <v>5309</v>
      </c>
      <c r="L3160" s="15" t="s">
        <v>12277</v>
      </c>
    </row>
    <row r="3161" spans="1:12" ht="168.75">
      <c r="A3161" s="8" t="s">
        <v>12278</v>
      </c>
      <c r="B3161" s="9" t="s">
        <v>12</v>
      </c>
      <c r="C3161" s="10" t="s">
        <v>151</v>
      </c>
      <c r="D3161" s="10" t="str">
        <f ca="1">IFERROR(__xludf.DUMMYFUNCTION(" VLOOKUP(A3158, IMPORTRANGE(""https://docs.google.com/spreadsheets/d/1fj_Bhi2XPL3siwIh4sx4VRLAe31yD50oKdj5UlRYW0c/"", ""Сводка!A:AA""), 11, FALSE)"),"978-601-327-682-3")</f>
        <v>978-601-327-682-3</v>
      </c>
      <c r="E3161" s="11" t="s">
        <v>12268</v>
      </c>
      <c r="F3161" s="11" t="s">
        <v>12279</v>
      </c>
      <c r="G3161" s="12">
        <f ca="1">IFERROR(__xludf.DUMMYFUNCTION(" VLOOKUP(A3158, IMPORTRANGE(""https://docs.google.com/spreadsheets/d/1fj_Bhi2XPL3siwIh4sx4VRLAe31yD50oKdj5UlRYW0c/"", ""Сводка!A:AA""), 5, FALSE)"),340)</f>
        <v>340</v>
      </c>
      <c r="H3161" s="12" t="s">
        <v>12276</v>
      </c>
      <c r="I3161" s="10">
        <f ca="1">IFERROR(__xludf.DUMMYFUNCTION(" VLOOKUP(A3158, IMPORTRANGE(""https://docs.google.com/spreadsheets/d/1QNLbnkR_AongFt22vMfNzfpjZ0CjpI8QI-w0wBnYA1w/"", ""Инфа!A:AA""), 6, FALSE)"),2024)</f>
        <v>2024</v>
      </c>
      <c r="J3161" s="5">
        <f t="shared" ca="1" si="101"/>
        <v>15200</v>
      </c>
      <c r="K3161" s="12" t="s">
        <v>101</v>
      </c>
      <c r="L3161" s="21" t="s">
        <v>12280</v>
      </c>
    </row>
    <row r="3162" spans="1:12" ht="90">
      <c r="A3162" s="8" t="s">
        <v>12281</v>
      </c>
      <c r="B3162" s="9" t="s">
        <v>12</v>
      </c>
      <c r="C3162" s="10" t="s">
        <v>443</v>
      </c>
      <c r="D3162" s="10" t="str">
        <f ca="1">IFERROR(__xludf.DUMMYFUNCTION(" VLOOKUP(A3159, IMPORTRANGE(""https://docs.google.com/spreadsheets/d/1fj_Bhi2XPL3siwIh4sx4VRLAe31yD50oKdj5UlRYW0c/"", ""Сводка!A:AA""), 11, FALSE)"),"978-601-342-329-6")</f>
        <v>978-601-342-329-6</v>
      </c>
      <c r="E3162" s="11" t="s">
        <v>12282</v>
      </c>
      <c r="F3162" s="11" t="s">
        <v>12283</v>
      </c>
      <c r="G3162" s="12">
        <f ca="1">IFERROR(__xludf.DUMMYFUNCTION(" VLOOKUP(A3159, IMPORTRANGE(""https://docs.google.com/spreadsheets/d/1fj_Bhi2XPL3siwIh4sx4VRLAe31yD50oKdj5UlRYW0c/"", ""Сводка!A:AA""), 5, FALSE)"),100)</f>
        <v>100</v>
      </c>
      <c r="H3162" s="12" t="s">
        <v>538</v>
      </c>
      <c r="I3162" s="10">
        <f ca="1">IFERROR(__xludf.DUMMYFUNCTION(" VLOOKUP(A3159, IMPORTRANGE(""https://docs.google.com/spreadsheets/d/1QNLbnkR_AongFt22vMfNzfpjZ0CjpI8QI-w0wBnYA1w/"", ""Инфа!A:AA""), 6, FALSE)"),2024)</f>
        <v>2024</v>
      </c>
      <c r="J3162" s="5">
        <f t="shared" ca="1" si="101"/>
        <v>8000</v>
      </c>
      <c r="K3162" s="12" t="s">
        <v>148</v>
      </c>
      <c r="L3162" s="15" t="s">
        <v>12284</v>
      </c>
    </row>
    <row r="3163" spans="1:12" ht="38.25">
      <c r="A3163" s="8" t="s">
        <v>12285</v>
      </c>
      <c r="B3163" s="9" t="s">
        <v>12</v>
      </c>
      <c r="C3163" s="10" t="s">
        <v>151</v>
      </c>
      <c r="D3163" s="10" t="str">
        <f ca="1">IFERROR(__xludf.DUMMYFUNCTION(" VLOOKUP(A3160, IMPORTRANGE(""https://docs.google.com/spreadsheets/d/1fj_Bhi2XPL3siwIh4sx4VRLAe31yD50oKdj5UlRYW0c/"", ""Сводка!A:AA""), 11, FALSE)"),"978-601-310-547-5")</f>
        <v>978-601-310-547-5</v>
      </c>
      <c r="E3163" s="11" t="s">
        <v>12286</v>
      </c>
      <c r="F3163" s="11" t="s">
        <v>12287</v>
      </c>
      <c r="G3163" s="12">
        <f ca="1">IFERROR(__xludf.DUMMYFUNCTION(" VLOOKUP(A3160, IMPORTRANGE(""https://docs.google.com/spreadsheets/d/1fj_Bhi2XPL3siwIh4sx4VRLAe31yD50oKdj5UlRYW0c/"", ""Сводка!A:AA""), 5, FALSE)"),84)</f>
        <v>84</v>
      </c>
      <c r="H3163" s="12" t="s">
        <v>47</v>
      </c>
      <c r="I3163" s="10">
        <f ca="1">IFERROR(__xludf.DUMMYFUNCTION(" VLOOKUP(A3160, IMPORTRANGE(""https://docs.google.com/spreadsheets/d/1QNLbnkR_AongFt22vMfNzfpjZ0CjpI8QI-w0wBnYA1w/"", ""Инфа!A:AA""), 6, FALSE)"),2024)</f>
        <v>2024</v>
      </c>
      <c r="J3163" s="5">
        <f t="shared" ca="1" si="101"/>
        <v>7500</v>
      </c>
      <c r="K3163" s="12" t="s">
        <v>570</v>
      </c>
      <c r="L3163" s="15"/>
    </row>
    <row r="3164" spans="1:12" ht="51">
      <c r="A3164" s="8" t="s">
        <v>12288</v>
      </c>
      <c r="B3164" s="9" t="s">
        <v>12</v>
      </c>
      <c r="C3164" s="10" t="s">
        <v>151</v>
      </c>
      <c r="D3164" s="10" t="str">
        <f ca="1">IFERROR(__xludf.DUMMYFUNCTION(" VLOOKUP(A3161, IMPORTRANGE(""https://docs.google.com/spreadsheets/d/1fj_Bhi2XPL3siwIh4sx4VRLAe31yD50oKdj5UlRYW0c/"", ""Сводка!A:AA""), 11, FALSE)"),"978-601-327-098-2")</f>
        <v>978-601-327-098-2</v>
      </c>
      <c r="E3164" s="11" t="s">
        <v>12289</v>
      </c>
      <c r="F3164" s="11" t="s">
        <v>12290</v>
      </c>
      <c r="G3164" s="12">
        <f ca="1">IFERROR(__xludf.DUMMYFUNCTION(" VLOOKUP(A3161, IMPORTRANGE(""https://docs.google.com/spreadsheets/d/1fj_Bhi2XPL3siwIh4sx4VRLAe31yD50oKdj5UlRYW0c/"", ""Сводка!A:AA""), 5, FALSE)"),220)</f>
        <v>220</v>
      </c>
      <c r="H3164" s="12" t="s">
        <v>498</v>
      </c>
      <c r="I3164" s="10">
        <f ca="1">IFERROR(__xludf.DUMMYFUNCTION(" VLOOKUP(A3161, IMPORTRANGE(""https://docs.google.com/spreadsheets/d/1QNLbnkR_AongFt22vMfNzfpjZ0CjpI8QI-w0wBnYA1w/"", ""Инфа!A:AA""), 6, FALSE)"),2024)</f>
        <v>2024</v>
      </c>
      <c r="J3164" s="5">
        <f t="shared" ref="J3164:J3170" ca="1" si="102">ROUND((5000+G3164*60),-2)</f>
        <v>18200</v>
      </c>
      <c r="K3164" s="12" t="s">
        <v>440</v>
      </c>
      <c r="L3164" s="15"/>
    </row>
    <row r="3165" spans="1:12" ht="51">
      <c r="A3165" s="8" t="s">
        <v>12291</v>
      </c>
      <c r="B3165" s="9" t="s">
        <v>12</v>
      </c>
      <c r="C3165" s="10" t="s">
        <v>151</v>
      </c>
      <c r="D3165" s="10" t="str">
        <f ca="1">IFERROR(__xludf.DUMMYFUNCTION(" VLOOKUP(A3162, IMPORTRANGE(""https://docs.google.com/spreadsheets/d/1fj_Bhi2XPL3siwIh4sx4VRLAe31yD50oKdj5UlRYW0c/"", ""Сводка!A:AA""), 11, FALSE)"),"978-601-327-098-2")</f>
        <v>978-601-327-098-2</v>
      </c>
      <c r="E3165" s="11" t="s">
        <v>12289</v>
      </c>
      <c r="F3165" s="11" t="s">
        <v>12292</v>
      </c>
      <c r="G3165" s="12">
        <f ca="1">IFERROR(__xludf.DUMMYFUNCTION(" VLOOKUP(A3162, IMPORTRANGE(""https://docs.google.com/spreadsheets/d/1fj_Bhi2XPL3siwIh4sx4VRLAe31yD50oKdj5UlRYW0c/"", ""Сводка!A:AA""), 5, FALSE)"),332)</f>
        <v>332</v>
      </c>
      <c r="H3165" s="12" t="s">
        <v>498</v>
      </c>
      <c r="I3165" s="10">
        <f ca="1">IFERROR(__xludf.DUMMYFUNCTION(" VLOOKUP(A3162, IMPORTRANGE(""https://docs.google.com/spreadsheets/d/1QNLbnkR_AongFt22vMfNzfpjZ0CjpI8QI-w0wBnYA1w/"", ""Инфа!A:AA""), 6, FALSE)"),2024)</f>
        <v>2024</v>
      </c>
      <c r="J3165" s="5">
        <f t="shared" ca="1" si="102"/>
        <v>24900</v>
      </c>
      <c r="K3165" s="12" t="s">
        <v>440</v>
      </c>
      <c r="L3165" s="15"/>
    </row>
    <row r="3166" spans="1:12" ht="51">
      <c r="A3166" s="8" t="s">
        <v>12293</v>
      </c>
      <c r="B3166" s="9" t="s">
        <v>12</v>
      </c>
      <c r="C3166" s="10" t="s">
        <v>151</v>
      </c>
      <c r="D3166" s="10" t="str">
        <f ca="1">IFERROR(__xludf.DUMMYFUNCTION(" VLOOKUP(A3163, IMPORTRANGE(""https://docs.google.com/spreadsheets/d/1fj_Bhi2XPL3siwIh4sx4VRLAe31yD50oKdj5UlRYW0c/"", ""Сводка!A:AA""), 11, FALSE)"),"978-601-327-098-2")</f>
        <v>978-601-327-098-2</v>
      </c>
      <c r="E3166" s="11" t="s">
        <v>12289</v>
      </c>
      <c r="F3166" s="11" t="s">
        <v>12294</v>
      </c>
      <c r="G3166" s="12">
        <f ca="1">IFERROR(__xludf.DUMMYFUNCTION(" VLOOKUP(A3163, IMPORTRANGE(""https://docs.google.com/spreadsheets/d/1fj_Bhi2XPL3siwIh4sx4VRLAe31yD50oKdj5UlRYW0c/"", ""Сводка!A:AA""), 5, FALSE)"),128)</f>
        <v>128</v>
      </c>
      <c r="H3166" s="12" t="s">
        <v>498</v>
      </c>
      <c r="I3166" s="10">
        <f ca="1">IFERROR(__xludf.DUMMYFUNCTION(" VLOOKUP(A3163, IMPORTRANGE(""https://docs.google.com/spreadsheets/d/1QNLbnkR_AongFt22vMfNzfpjZ0CjpI8QI-w0wBnYA1w/"", ""Инфа!A:AA""), 6, FALSE)"),2024)</f>
        <v>2024</v>
      </c>
      <c r="J3166" s="5">
        <f t="shared" ca="1" si="102"/>
        <v>12700</v>
      </c>
      <c r="K3166" s="12" t="s">
        <v>440</v>
      </c>
      <c r="L3166" s="15"/>
    </row>
    <row r="3167" spans="1:12" ht="123.75">
      <c r="A3167" s="8" t="s">
        <v>12295</v>
      </c>
      <c r="B3167" s="9" t="s">
        <v>12</v>
      </c>
      <c r="C3167" s="10" t="s">
        <v>151</v>
      </c>
      <c r="D3167" s="10" t="str">
        <f ca="1">IFERROR(__xludf.DUMMYFUNCTION(" VLOOKUP(A3164, IMPORTRANGE(""https://docs.google.com/spreadsheets/d/1fj_Bhi2XPL3siwIh4sx4VRLAe31yD50oKdj5UlRYW0c/"", ""Сводка!A:AA""), 11, FALSE)"),"978-601-241-565-0")</f>
        <v>978-601-241-565-0</v>
      </c>
      <c r="E3167" s="11" t="s">
        <v>12289</v>
      </c>
      <c r="F3167" s="11" t="s">
        <v>12296</v>
      </c>
      <c r="G3167" s="12">
        <f ca="1">IFERROR(__xludf.DUMMYFUNCTION(" VLOOKUP(A3164, IMPORTRANGE(""https://docs.google.com/spreadsheets/d/1fj_Bhi2XPL3siwIh4sx4VRLAe31yD50oKdj5UlRYW0c/"", ""Сводка!A:AA""), 5, FALSE)"),240)</f>
        <v>240</v>
      </c>
      <c r="H3167" s="12" t="s">
        <v>498</v>
      </c>
      <c r="I3167" s="10">
        <f ca="1">IFERROR(__xludf.DUMMYFUNCTION(" VLOOKUP(A3164, IMPORTRANGE(""https://docs.google.com/spreadsheets/d/1QNLbnkR_AongFt22vMfNzfpjZ0CjpI8QI-w0wBnYA1w/"", ""Инфа!A:AA""), 6, FALSE)"),2024)</f>
        <v>2024</v>
      </c>
      <c r="J3167" s="5">
        <f t="shared" ca="1" si="102"/>
        <v>19400</v>
      </c>
      <c r="K3167" s="12" t="s">
        <v>440</v>
      </c>
      <c r="L3167" s="15" t="s">
        <v>12297</v>
      </c>
    </row>
    <row r="3168" spans="1:12" ht="123.75">
      <c r="A3168" s="8" t="s">
        <v>12298</v>
      </c>
      <c r="B3168" s="9" t="s">
        <v>12</v>
      </c>
      <c r="C3168" s="10" t="s">
        <v>151</v>
      </c>
      <c r="D3168" s="10" t="str">
        <f ca="1">IFERROR(__xludf.DUMMYFUNCTION(" VLOOKUP(A3165, IMPORTRANGE(""https://docs.google.com/spreadsheets/d/1fj_Bhi2XPL3siwIh4sx4VRLAe31yD50oKdj5UlRYW0c/"", ""Сводка!A:AA""), 11, FALSE)"),"978-601-241-565-0")</f>
        <v>978-601-241-565-0</v>
      </c>
      <c r="E3168" s="11" t="s">
        <v>12289</v>
      </c>
      <c r="F3168" s="11" t="s">
        <v>12299</v>
      </c>
      <c r="G3168" s="12">
        <f ca="1">IFERROR(__xludf.DUMMYFUNCTION(" VLOOKUP(A3165, IMPORTRANGE(""https://docs.google.com/spreadsheets/d/1fj_Bhi2XPL3siwIh4sx4VRLAe31yD50oKdj5UlRYW0c/"", ""Сводка!A:AA""), 5, FALSE)"),236)</f>
        <v>236</v>
      </c>
      <c r="H3168" s="12" t="s">
        <v>498</v>
      </c>
      <c r="I3168" s="10">
        <f ca="1">IFERROR(__xludf.DUMMYFUNCTION(" VLOOKUP(A3165, IMPORTRANGE(""https://docs.google.com/spreadsheets/d/1QNLbnkR_AongFt22vMfNzfpjZ0CjpI8QI-w0wBnYA1w/"", ""Инфа!A:AA""), 6, FALSE)"),2024)</f>
        <v>2024</v>
      </c>
      <c r="J3168" s="5">
        <f t="shared" ca="1" si="102"/>
        <v>19200</v>
      </c>
      <c r="K3168" s="12" t="s">
        <v>440</v>
      </c>
      <c r="L3168" s="15" t="s">
        <v>12297</v>
      </c>
    </row>
    <row r="3169" spans="1:12" ht="90">
      <c r="A3169" s="8" t="s">
        <v>12300</v>
      </c>
      <c r="B3169" s="9" t="s">
        <v>12</v>
      </c>
      <c r="C3169" s="10" t="s">
        <v>151</v>
      </c>
      <c r="D3169" s="10" t="str">
        <f ca="1">IFERROR(__xludf.DUMMYFUNCTION(" VLOOKUP(A3166, IMPORTRANGE(""https://docs.google.com/spreadsheets/d/1fj_Bhi2XPL3siwIh4sx4VRLAe31yD50oKdj5UlRYW0c/"", ""Сводка!A:AA""), 11, FALSE)"),"978-601-241-568-1")</f>
        <v>978-601-241-568-1</v>
      </c>
      <c r="E3169" s="11" t="s">
        <v>12289</v>
      </c>
      <c r="F3169" s="11" t="s">
        <v>12301</v>
      </c>
      <c r="G3169" s="12">
        <f ca="1">IFERROR(__xludf.DUMMYFUNCTION(" VLOOKUP(A3166, IMPORTRANGE(""https://docs.google.com/spreadsheets/d/1fj_Bhi2XPL3siwIh4sx4VRLAe31yD50oKdj5UlRYW0c/"", ""Сводка!A:AA""), 5, FALSE)"),348)</f>
        <v>348</v>
      </c>
      <c r="H3169" s="12" t="s">
        <v>498</v>
      </c>
      <c r="I3169" s="10">
        <f ca="1">IFERROR(__xludf.DUMMYFUNCTION(" VLOOKUP(A3166, IMPORTRANGE(""https://docs.google.com/spreadsheets/d/1QNLbnkR_AongFt22vMfNzfpjZ0CjpI8QI-w0wBnYA1w/"", ""Инфа!A:AA""), 6, FALSE)"),2024)</f>
        <v>2024</v>
      </c>
      <c r="J3169" s="5">
        <f t="shared" ca="1" si="102"/>
        <v>25900</v>
      </c>
      <c r="K3169" s="12" t="s">
        <v>440</v>
      </c>
      <c r="L3169" s="15" t="s">
        <v>12302</v>
      </c>
    </row>
    <row r="3170" spans="1:12" ht="38.25">
      <c r="A3170" s="8" t="s">
        <v>12303</v>
      </c>
      <c r="B3170" s="9" t="s">
        <v>12</v>
      </c>
      <c r="C3170" s="10" t="s">
        <v>151</v>
      </c>
      <c r="D3170" s="10" t="str">
        <f ca="1">IFERROR(__xludf.DUMMYFUNCTION(" VLOOKUP(A3167, IMPORTRANGE(""https://docs.google.com/spreadsheets/d/1fj_Bhi2XPL3siwIh4sx4VRLAe31yD50oKdj5UlRYW0c/"", ""Сводка!A:AA""), 11, FALSE)"),"978-601-310-454-6")</f>
        <v>978-601-310-454-6</v>
      </c>
      <c r="E3170" s="11" t="s">
        <v>12304</v>
      </c>
      <c r="F3170" s="11" t="s">
        <v>12305</v>
      </c>
      <c r="G3170" s="12">
        <f ca="1">IFERROR(__xludf.DUMMYFUNCTION(" VLOOKUP(A3167, IMPORTRANGE(""https://docs.google.com/spreadsheets/d/1fj_Bhi2XPL3siwIh4sx4VRLAe31yD50oKdj5UlRYW0c/"", ""Сводка!A:AA""), 5, FALSE)"),344)</f>
        <v>344</v>
      </c>
      <c r="H3170" s="12" t="s">
        <v>106</v>
      </c>
      <c r="I3170" s="10">
        <f ca="1">IFERROR(__xludf.DUMMYFUNCTION(" VLOOKUP(A3167, IMPORTRANGE(""https://docs.google.com/spreadsheets/d/1QNLbnkR_AongFt22vMfNzfpjZ0CjpI8QI-w0wBnYA1w/"", ""Инфа!A:AA""), 6, FALSE)"),2024)</f>
        <v>2024</v>
      </c>
      <c r="J3170" s="5">
        <f t="shared" ca="1" si="102"/>
        <v>25600</v>
      </c>
      <c r="K3170" s="12" t="s">
        <v>1240</v>
      </c>
      <c r="L3170" s="15"/>
    </row>
    <row r="3171" spans="1:12" ht="202.5">
      <c r="A3171" s="8" t="s">
        <v>12306</v>
      </c>
      <c r="B3171" s="9" t="s">
        <v>12</v>
      </c>
      <c r="C3171" s="10" t="s">
        <v>443</v>
      </c>
      <c r="D3171" s="10" t="str">
        <f ca="1">IFERROR(__xludf.DUMMYFUNCTION(" VLOOKUP(A3168, IMPORTRANGE(""https://docs.google.com/spreadsheets/d/1fj_Bhi2XPL3siwIh4sx4VRLAe31yD50oKdj5UlRYW0c/"", ""Сводка!A:AA""), 11, FALSE)"),"978-601-240-442-5")</f>
        <v>978-601-240-442-5</v>
      </c>
      <c r="E3171" s="11" t="s">
        <v>12307</v>
      </c>
      <c r="F3171" s="11" t="s">
        <v>12308</v>
      </c>
      <c r="G3171" s="12">
        <f ca="1">IFERROR(__xludf.DUMMYFUNCTION(" VLOOKUP(A3168, IMPORTRANGE(""https://docs.google.com/spreadsheets/d/1fj_Bhi2XPL3siwIh4sx4VRLAe31yD50oKdj5UlRYW0c/"", ""Сводка!A:AA""), 5, FALSE)"),92)</f>
        <v>92</v>
      </c>
      <c r="H3171" s="12" t="s">
        <v>538</v>
      </c>
      <c r="I3171" s="10">
        <f ca="1">IFERROR(__xludf.DUMMYFUNCTION(" VLOOKUP(A3168, IMPORTRANGE(""https://docs.google.com/spreadsheets/d/1QNLbnkR_AongFt22vMfNzfpjZ0CjpI8QI-w0wBnYA1w/"", ""Инфа!A:AA""), 6, FALSE)"),2024)</f>
        <v>2024</v>
      </c>
      <c r="J3171" s="5">
        <f ca="1">ROUND((5000+G3171*30),-2)</f>
        <v>7800</v>
      </c>
      <c r="K3171" s="9" t="s">
        <v>575</v>
      </c>
      <c r="L3171" s="15" t="s">
        <v>12309</v>
      </c>
    </row>
    <row r="3172" spans="1:12" ht="90">
      <c r="A3172" s="8" t="s">
        <v>12310</v>
      </c>
      <c r="B3172" s="9" t="s">
        <v>12</v>
      </c>
      <c r="C3172" s="10" t="s">
        <v>151</v>
      </c>
      <c r="D3172" s="10" t="str">
        <f ca="1">IFERROR(__xludf.DUMMYFUNCTION(" VLOOKUP(A3169, IMPORTRANGE(""https://docs.google.com/spreadsheets/d/1fj_Bhi2XPL3siwIh4sx4VRLAe31yD50oKdj5UlRYW0c/"", ""Сводка!A:AA""), 11, FALSE)"),"978-601-334-014-2")</f>
        <v>978-601-334-014-2</v>
      </c>
      <c r="E3172" s="11" t="s">
        <v>12311</v>
      </c>
      <c r="F3172" s="11" t="s">
        <v>12312</v>
      </c>
      <c r="G3172" s="12">
        <f ca="1">IFERROR(__xludf.DUMMYFUNCTION(" VLOOKUP(A3169, IMPORTRANGE(""https://docs.google.com/spreadsheets/d/1fj_Bhi2XPL3siwIh4sx4VRLAe31yD50oKdj5UlRYW0c/"", ""Сводка!A:AA""), 5, FALSE)"),164)</f>
        <v>164</v>
      </c>
      <c r="H3172" s="12" t="s">
        <v>165</v>
      </c>
      <c r="I3172" s="10">
        <f ca="1">IFERROR(__xludf.DUMMYFUNCTION(" VLOOKUP(A3169, IMPORTRANGE(""https://docs.google.com/spreadsheets/d/1QNLbnkR_AongFt22vMfNzfpjZ0CjpI8QI-w0wBnYA1w/"", ""Инфа!A:AA""), 6, FALSE)"),2024)</f>
        <v>2024</v>
      </c>
      <c r="J3172" s="5">
        <f ca="1">ROUND((5000+G3172*30),-2)</f>
        <v>9900</v>
      </c>
      <c r="K3172" s="12" t="s">
        <v>277</v>
      </c>
      <c r="L3172" s="15" t="s">
        <v>12313</v>
      </c>
    </row>
    <row r="3173" spans="1:12" ht="67.5">
      <c r="A3173" s="8" t="s">
        <v>12314</v>
      </c>
      <c r="B3173" s="9" t="s">
        <v>12</v>
      </c>
      <c r="C3173" s="10" t="s">
        <v>151</v>
      </c>
      <c r="D3173" s="10" t="str">
        <f ca="1">IFERROR(__xludf.DUMMYFUNCTION(" VLOOKUP(A3170, IMPORTRANGE(""https://docs.google.com/spreadsheets/d/1fj_Bhi2XPL3siwIh4sx4VRLAe31yD50oKdj5UlRYW0c/"", ""Сводка!A:AA""), 11, FALSE)"),"978-601-334-014-2")</f>
        <v>978-601-334-014-2</v>
      </c>
      <c r="E3173" s="11" t="s">
        <v>12315</v>
      </c>
      <c r="F3173" s="11" t="s">
        <v>12316</v>
      </c>
      <c r="G3173" s="12">
        <f ca="1">IFERROR(__xludf.DUMMYFUNCTION(" VLOOKUP(A3170, IMPORTRANGE(""https://docs.google.com/spreadsheets/d/1fj_Bhi2XPL3siwIh4sx4VRLAe31yD50oKdj5UlRYW0c/"", ""Сводка!A:AA""), 5, FALSE)"),160)</f>
        <v>160</v>
      </c>
      <c r="H3173" s="12" t="s">
        <v>47</v>
      </c>
      <c r="I3173" s="10">
        <f ca="1">IFERROR(__xludf.DUMMYFUNCTION(" VLOOKUP(A3170, IMPORTRANGE(""https://docs.google.com/spreadsheets/d/1QNLbnkR_AongFt22vMfNzfpjZ0CjpI8QI-w0wBnYA1w/"", ""Инфа!A:AA""), 6, FALSE)"),2024)</f>
        <v>2024</v>
      </c>
      <c r="J3173" s="5">
        <f ca="1">ROUND((5000+G3173*30),-2)</f>
        <v>9800</v>
      </c>
      <c r="K3173" s="12" t="s">
        <v>277</v>
      </c>
      <c r="L3173" s="15" t="s">
        <v>12317</v>
      </c>
    </row>
    <row r="3174" spans="1:12" ht="303.75">
      <c r="A3174" s="8" t="s">
        <v>12318</v>
      </c>
      <c r="B3174" s="9" t="s">
        <v>12</v>
      </c>
      <c r="C3174" s="10" t="s">
        <v>151</v>
      </c>
      <c r="D3174" s="10" t="str">
        <f ca="1">IFERROR(__xludf.DUMMYFUNCTION(" VLOOKUP(A3171, IMPORTRANGE(""https://docs.google.com/spreadsheets/d/1fj_Bhi2XPL3siwIh4sx4VRLAe31yD50oKdj5UlRYW0c/"", ""Сводка!A:AA""), 11, FALSE)"),"978-601-342-136-0")</f>
        <v>978-601-342-136-0</v>
      </c>
      <c r="E3174" s="11" t="s">
        <v>12319</v>
      </c>
      <c r="F3174" s="22" t="s">
        <v>12320</v>
      </c>
      <c r="G3174" s="12">
        <f ca="1">IFERROR(__xludf.DUMMYFUNCTION(" VLOOKUP(A3171, IMPORTRANGE(""https://docs.google.com/spreadsheets/d/1fj_Bhi2XPL3siwIh4sx4VRLAe31yD50oKdj5UlRYW0c/"", ""Сводка!A:AA""), 5, FALSE)"),164)</f>
        <v>164</v>
      </c>
      <c r="H3174" s="12" t="s">
        <v>165</v>
      </c>
      <c r="I3174" s="10">
        <f ca="1">IFERROR(__xludf.DUMMYFUNCTION(" VLOOKUP(A3171, IMPORTRANGE(""https://docs.google.com/spreadsheets/d/1QNLbnkR_AongFt22vMfNzfpjZ0CjpI8QI-w0wBnYA1w/"", ""Инфа!A:AA""), 6, FALSE)"),2024)</f>
        <v>2024</v>
      </c>
      <c r="J3174" s="5">
        <f ca="1">ROUND(((5000+G3174*60)*1.3),-2)</f>
        <v>19300</v>
      </c>
      <c r="K3174" s="12" t="s">
        <v>197</v>
      </c>
      <c r="L3174" s="15" t="s">
        <v>12321</v>
      </c>
    </row>
    <row r="3175" spans="1:12" ht="303.75">
      <c r="A3175" s="8" t="s">
        <v>12322</v>
      </c>
      <c r="B3175" s="9" t="s">
        <v>12</v>
      </c>
      <c r="C3175" s="10" t="s">
        <v>151</v>
      </c>
      <c r="D3175" s="10" t="str">
        <f ca="1">IFERROR(__xludf.DUMMYFUNCTION(" VLOOKUP(A3172, IMPORTRANGE(""https://docs.google.com/spreadsheets/d/1fj_Bhi2XPL3siwIh4sx4VRLAe31yD50oKdj5UlRYW0c/"", ""Сводка!A:AA""), 11, FALSE)"),"978-601-342-137-7")</f>
        <v>978-601-342-137-7</v>
      </c>
      <c r="E3175" s="11" t="s">
        <v>12323</v>
      </c>
      <c r="F3175" s="22" t="s">
        <v>12324</v>
      </c>
      <c r="G3175" s="12">
        <f ca="1">IFERROR(__xludf.DUMMYFUNCTION(" VLOOKUP(A3172, IMPORTRANGE(""https://docs.google.com/spreadsheets/d/1fj_Bhi2XPL3siwIh4sx4VRLAe31yD50oKdj5UlRYW0c/"", ""Сводка!A:AA""), 5, FALSE)"),184)</f>
        <v>184</v>
      </c>
      <c r="H3175" s="12" t="s">
        <v>165</v>
      </c>
      <c r="I3175" s="10">
        <f ca="1">IFERROR(__xludf.DUMMYFUNCTION(" VLOOKUP(A3172, IMPORTRANGE(""https://docs.google.com/spreadsheets/d/1QNLbnkR_AongFt22vMfNzfpjZ0CjpI8QI-w0wBnYA1w/"", ""Инфа!A:AA""), 6, FALSE)"),2024)</f>
        <v>2024</v>
      </c>
      <c r="J3175" s="5">
        <f ca="1">ROUND((5000+G3175*30),-2)</f>
        <v>10500</v>
      </c>
      <c r="K3175" s="12" t="s">
        <v>197</v>
      </c>
      <c r="L3175" s="15" t="s">
        <v>12325</v>
      </c>
    </row>
    <row r="3176" spans="1:12" ht="101.25">
      <c r="A3176" s="8" t="s">
        <v>12326</v>
      </c>
      <c r="B3176" s="9" t="s">
        <v>12</v>
      </c>
      <c r="C3176" s="10" t="s">
        <v>443</v>
      </c>
      <c r="D3176" s="10" t="str">
        <f ca="1">IFERROR(__xludf.DUMMYFUNCTION(" VLOOKUP(A3173, IMPORTRANGE(""https://docs.google.com/spreadsheets/d/1fj_Bhi2XPL3siwIh4sx4VRLAe31yD50oKdj5UlRYW0c/"", ""Сводка!A:AA""), 11, FALSE)"),"978-601-265-050-1")</f>
        <v>978-601-265-050-1</v>
      </c>
      <c r="E3176" s="11" t="s">
        <v>12327</v>
      </c>
      <c r="F3176" s="11" t="s">
        <v>12328</v>
      </c>
      <c r="G3176" s="12">
        <f ca="1">IFERROR(__xludf.DUMMYFUNCTION(" VLOOKUP(A3173, IMPORTRANGE(""https://docs.google.com/spreadsheets/d/1fj_Bhi2XPL3siwIh4sx4VRLAe31yD50oKdj5UlRYW0c/"", ""Сводка!A:AA""), 5, FALSE)"),192)</f>
        <v>192</v>
      </c>
      <c r="H3176" s="12" t="s">
        <v>511</v>
      </c>
      <c r="I3176" s="10">
        <f ca="1">IFERROR(__xludf.DUMMYFUNCTION(" VLOOKUP(A3173, IMPORTRANGE(""https://docs.google.com/spreadsheets/d/1QNLbnkR_AongFt22vMfNzfpjZ0CjpI8QI-w0wBnYA1w/"", ""Инфа!A:AA""), 6, FALSE)"),2024)</f>
        <v>2024</v>
      </c>
      <c r="J3176" s="5">
        <f ca="1">ROUND(((5000+G3176*60)*1.3),-2)</f>
        <v>21500</v>
      </c>
      <c r="K3176" s="12" t="s">
        <v>447</v>
      </c>
      <c r="L3176" s="15" t="s">
        <v>12329</v>
      </c>
    </row>
    <row r="3177" spans="1:12" ht="225">
      <c r="A3177" s="8" t="s">
        <v>12330</v>
      </c>
      <c r="B3177" s="9" t="s">
        <v>12</v>
      </c>
      <c r="C3177" s="10" t="s">
        <v>151</v>
      </c>
      <c r="D3177" s="10" t="str">
        <f ca="1">IFERROR(__xludf.DUMMYFUNCTION(" VLOOKUP(A3174, IMPORTRANGE(""https://docs.google.com/spreadsheets/d/1fj_Bhi2XPL3siwIh4sx4VRLAe31yD50oKdj5UlRYW0c/"", ""Сводка!A:AA""), 11, FALSE)"),"978-601-265-049-5")</f>
        <v>978-601-265-049-5</v>
      </c>
      <c r="E3177" s="11" t="s">
        <v>12327</v>
      </c>
      <c r="F3177" s="11" t="s">
        <v>12331</v>
      </c>
      <c r="G3177" s="12">
        <f ca="1">IFERROR(__xludf.DUMMYFUNCTION(" VLOOKUP(A3174, IMPORTRANGE(""https://docs.google.com/spreadsheets/d/1fj_Bhi2XPL3siwIh4sx4VRLAe31yD50oKdj5UlRYW0c/"", ""Сводка!A:AA""), 5, FALSE)"),200)</f>
        <v>200</v>
      </c>
      <c r="H3177" s="12" t="s">
        <v>498</v>
      </c>
      <c r="I3177" s="10">
        <f ca="1">IFERROR(__xludf.DUMMYFUNCTION(" VLOOKUP(A3174, IMPORTRANGE(""https://docs.google.com/spreadsheets/d/1QNLbnkR_AongFt22vMfNzfpjZ0CjpI8QI-w0wBnYA1w/"", ""Инфа!A:AA""), 6, FALSE)"),2024)</f>
        <v>2024</v>
      </c>
      <c r="J3177" s="5">
        <f ca="1">ROUND(((5000+G3177*60)*1.3),-2)</f>
        <v>22100</v>
      </c>
      <c r="K3177" s="12" t="s">
        <v>447</v>
      </c>
      <c r="L3177" s="15" t="s">
        <v>12332</v>
      </c>
    </row>
    <row r="3178" spans="1:12" ht="258.75">
      <c r="A3178" s="8" t="s">
        <v>12333</v>
      </c>
      <c r="B3178" s="9" t="s">
        <v>12</v>
      </c>
      <c r="C3178" s="10" t="s">
        <v>443</v>
      </c>
      <c r="D3178" s="10" t="str">
        <f ca="1">IFERROR(__xludf.DUMMYFUNCTION(" VLOOKUP(A3175, IMPORTRANGE(""https://docs.google.com/spreadsheets/d/1fj_Bhi2XPL3siwIh4sx4VRLAe31yD50oKdj5UlRYW0c/"", ""Сводка!A:AA""), 11, FALSE)"),"978-601-327-564-2")</f>
        <v>978-601-327-564-2</v>
      </c>
      <c r="E3178" s="11" t="s">
        <v>12334</v>
      </c>
      <c r="F3178" s="11" t="s">
        <v>12335</v>
      </c>
      <c r="G3178" s="12">
        <f ca="1">IFERROR(__xludf.DUMMYFUNCTION(" VLOOKUP(A3175, IMPORTRANGE(""https://docs.google.com/spreadsheets/d/1fj_Bhi2XPL3siwIh4sx4VRLAe31yD50oKdj5UlRYW0c/"", ""Сводка!A:AA""), 5, FALSE)"),328)</f>
        <v>328</v>
      </c>
      <c r="H3178" s="12" t="s">
        <v>511</v>
      </c>
      <c r="I3178" s="10">
        <f ca="1">IFERROR(__xludf.DUMMYFUNCTION(" VLOOKUP(A3175, IMPORTRANGE(""https://docs.google.com/spreadsheets/d/1QNLbnkR_AongFt22vMfNzfpjZ0CjpI8QI-w0wBnYA1w/"", ""Инфа!A:AA""), 6, FALSE)"),2024)</f>
        <v>2024</v>
      </c>
      <c r="J3178" s="5">
        <f ca="1">ROUND((5000+G3178*30),-2)</f>
        <v>14800</v>
      </c>
      <c r="K3178" s="12" t="s">
        <v>302</v>
      </c>
      <c r="L3178" s="15" t="s">
        <v>12336</v>
      </c>
    </row>
    <row r="3179" spans="1:12" ht="168.75">
      <c r="A3179" s="8" t="s">
        <v>12337</v>
      </c>
      <c r="B3179" s="9" t="s">
        <v>12</v>
      </c>
      <c r="C3179" s="10" t="s">
        <v>151</v>
      </c>
      <c r="D3179" s="10" t="str">
        <f ca="1">IFERROR(__xludf.DUMMYFUNCTION(" VLOOKUP(A3176, IMPORTRANGE(""https://docs.google.com/spreadsheets/d/1fj_Bhi2XPL3siwIh4sx4VRLAe31yD50oKdj5UlRYW0c/"", ""Сводка!A:AA""), 11, FALSE)"),"978-601-327-553-6")</f>
        <v>978-601-327-553-6</v>
      </c>
      <c r="E3179" s="11" t="s">
        <v>12338</v>
      </c>
      <c r="F3179" s="11" t="s">
        <v>12339</v>
      </c>
      <c r="G3179" s="12">
        <f ca="1">IFERROR(__xludf.DUMMYFUNCTION(" VLOOKUP(A3176, IMPORTRANGE(""https://docs.google.com/spreadsheets/d/1fj_Bhi2XPL3siwIh4sx4VRLAe31yD50oKdj5UlRYW0c/"", ""Сводка!A:AA""), 5, FALSE)"),156)</f>
        <v>156</v>
      </c>
      <c r="H3179" s="12" t="s">
        <v>47</v>
      </c>
      <c r="I3179" s="10">
        <f ca="1">IFERROR(__xludf.DUMMYFUNCTION(" VLOOKUP(A3176, IMPORTRANGE(""https://docs.google.com/spreadsheets/d/1QNLbnkR_AongFt22vMfNzfpjZ0CjpI8QI-w0wBnYA1w/"", ""Инфа!A:AA""), 6, FALSE)"),2024)</f>
        <v>2024</v>
      </c>
      <c r="J3179" s="5">
        <f ca="1">ROUND((5000+G3179*30),-2)</f>
        <v>9700</v>
      </c>
      <c r="K3179" s="9" t="s">
        <v>408</v>
      </c>
      <c r="L3179" s="15" t="s">
        <v>12340</v>
      </c>
    </row>
    <row r="3180" spans="1:12" ht="168.75">
      <c r="A3180" s="8" t="s">
        <v>12341</v>
      </c>
      <c r="B3180" s="9" t="s">
        <v>12</v>
      </c>
      <c r="C3180" s="10" t="s">
        <v>443</v>
      </c>
      <c r="D3180" s="10" t="str">
        <f ca="1">IFERROR(__xludf.DUMMYFUNCTION(" VLOOKUP(A3177, IMPORTRANGE(""https://docs.google.com/spreadsheets/d/1fj_Bhi2XPL3siwIh4sx4VRLAe31yD50oKdj5UlRYW0c/"", ""Сводка!A:AA""), 11, FALSE)"),"978-601-327-340-2")</f>
        <v>978-601-327-340-2</v>
      </c>
      <c r="E3180" s="11" t="s">
        <v>12342</v>
      </c>
      <c r="F3180" s="11" t="s">
        <v>12343</v>
      </c>
      <c r="G3180" s="12">
        <f ca="1">IFERROR(__xludf.DUMMYFUNCTION(" VLOOKUP(A3177, IMPORTRANGE(""https://docs.google.com/spreadsheets/d/1fj_Bhi2XPL3siwIh4sx4VRLAe31yD50oKdj5UlRYW0c/"", ""Сводка!A:AA""), 5, FALSE)"),112)</f>
        <v>112</v>
      </c>
      <c r="H3180" s="12" t="s">
        <v>538</v>
      </c>
      <c r="I3180" s="10">
        <f ca="1">IFERROR(__xludf.DUMMYFUNCTION(" VLOOKUP(A3177, IMPORTRANGE(""https://docs.google.com/spreadsheets/d/1QNLbnkR_AongFt22vMfNzfpjZ0CjpI8QI-w0wBnYA1w/"", ""Инфа!A:AA""), 6, FALSE)"),2024)</f>
        <v>2024</v>
      </c>
      <c r="J3180" s="5">
        <f ca="1">ROUND((5000+G3180*60),-2)</f>
        <v>11700</v>
      </c>
      <c r="K3180" s="9" t="s">
        <v>408</v>
      </c>
      <c r="L3180" s="15" t="s">
        <v>12344</v>
      </c>
    </row>
    <row r="3181" spans="1:12" ht="180">
      <c r="A3181" s="8" t="s">
        <v>12345</v>
      </c>
      <c r="B3181" s="9" t="s">
        <v>12</v>
      </c>
      <c r="C3181" s="10" t="s">
        <v>151</v>
      </c>
      <c r="D3181" s="10" t="str">
        <f ca="1">IFERROR(__xludf.DUMMYFUNCTION(" VLOOKUP(A3178, IMPORTRANGE(""https://docs.google.com/spreadsheets/d/1fj_Bhi2XPL3siwIh4sx4VRLAe31yD50oKdj5UlRYW0c/"", ""Сводка!A:AA""), 11, FALSE)"),"978-601-327-343-3")</f>
        <v>978-601-327-343-3</v>
      </c>
      <c r="E3181" s="11" t="s">
        <v>12346</v>
      </c>
      <c r="F3181" s="11" t="s">
        <v>12347</v>
      </c>
      <c r="G3181" s="12">
        <f ca="1">IFERROR(__xludf.DUMMYFUNCTION(" VLOOKUP(A3178, IMPORTRANGE(""https://docs.google.com/spreadsheets/d/1fj_Bhi2XPL3siwIh4sx4VRLAe31yD50oKdj5UlRYW0c/"", ""Сводка!A:AA""), 5, FALSE)"),136)</f>
        <v>136</v>
      </c>
      <c r="H3181" s="12" t="s">
        <v>282</v>
      </c>
      <c r="I3181" s="10">
        <f ca="1">IFERROR(__xludf.DUMMYFUNCTION(" VLOOKUP(A3178, IMPORTRANGE(""https://docs.google.com/spreadsheets/d/1QNLbnkR_AongFt22vMfNzfpjZ0CjpI8QI-w0wBnYA1w/"", ""Инфа!A:AA""), 6, FALSE)"),2024)</f>
        <v>2024</v>
      </c>
      <c r="J3181" s="5">
        <f ca="1">ROUND((5000+G3181*30),-2)</f>
        <v>9100</v>
      </c>
      <c r="K3181" s="9" t="s">
        <v>408</v>
      </c>
      <c r="L3181" s="15" t="s">
        <v>12348</v>
      </c>
    </row>
    <row r="3182" spans="1:12" ht="146.25">
      <c r="A3182" s="8" t="s">
        <v>12349</v>
      </c>
      <c r="B3182" s="9" t="s">
        <v>12</v>
      </c>
      <c r="C3182" s="10" t="s">
        <v>443</v>
      </c>
      <c r="D3182" s="10" t="str">
        <f ca="1">IFERROR(__xludf.DUMMYFUNCTION(" VLOOKUP(A3179, IMPORTRANGE(""https://docs.google.com/spreadsheets/d/1fj_Bhi2XPL3siwIh4sx4VRLAe31yD50oKdj5UlRYW0c/"", ""Сводка!A:AA""), 11, FALSE)"),"978-601-342-076-9")</f>
        <v>978-601-342-076-9</v>
      </c>
      <c r="E3182" s="11" t="s">
        <v>12350</v>
      </c>
      <c r="F3182" s="11" t="s">
        <v>12351</v>
      </c>
      <c r="G3182" s="12">
        <f ca="1">IFERROR(__xludf.DUMMYFUNCTION(" VLOOKUP(A3179, IMPORTRANGE(""https://docs.google.com/spreadsheets/d/1fj_Bhi2XPL3siwIh4sx4VRLAe31yD50oKdj5UlRYW0c/"", ""Сводка!A:AA""), 5, FALSE)"),308)</f>
        <v>308</v>
      </c>
      <c r="H3182" s="10" t="s">
        <v>538</v>
      </c>
      <c r="I3182" s="10">
        <f ca="1">IFERROR(__xludf.DUMMYFUNCTION(" VLOOKUP(A3179, IMPORTRANGE(""https://docs.google.com/spreadsheets/d/1QNLbnkR_AongFt22vMfNzfpjZ0CjpI8QI-w0wBnYA1w/"", ""Инфа!A:AA""), 6, FALSE)"),2024)</f>
        <v>2024</v>
      </c>
      <c r="J3182" s="5">
        <f ca="1">ROUND((5000+G3182*60),-2)</f>
        <v>23500</v>
      </c>
      <c r="K3182" s="12" t="s">
        <v>183</v>
      </c>
      <c r="L3182" s="15" t="s">
        <v>12352</v>
      </c>
    </row>
    <row r="3183" spans="1:12" ht="38.25">
      <c r="A3183" s="8" t="s">
        <v>12353</v>
      </c>
      <c r="B3183" s="9" t="s">
        <v>12</v>
      </c>
      <c r="C3183" s="10" t="s">
        <v>443</v>
      </c>
      <c r="D3183" s="10" t="str">
        <f ca="1">IFERROR(__xludf.DUMMYFUNCTION(" VLOOKUP(A3180, IMPORTRANGE(""https://docs.google.com/spreadsheets/d/1fj_Bhi2XPL3siwIh4sx4VRLAe31yD50oKdj5UlRYW0c/"", ""Сводка!A:AA""), 11, FALSE)"),"978-601-7816-32-2")</f>
        <v>978-601-7816-32-2</v>
      </c>
      <c r="E3183" s="11" t="s">
        <v>12354</v>
      </c>
      <c r="F3183" s="11" t="s">
        <v>12355</v>
      </c>
      <c r="G3183" s="12">
        <f ca="1">IFERROR(__xludf.DUMMYFUNCTION(" VLOOKUP(A3180, IMPORTRANGE(""https://docs.google.com/spreadsheets/d/1fj_Bhi2XPL3siwIh4sx4VRLAe31yD50oKdj5UlRYW0c/"", ""Сводка!A:AA""), 5, FALSE)"),292)</f>
        <v>292</v>
      </c>
      <c r="H3183" s="12" t="s">
        <v>538</v>
      </c>
      <c r="I3183" s="10">
        <f ca="1">IFERROR(__xludf.DUMMYFUNCTION(" VLOOKUP(A3180, IMPORTRANGE(""https://docs.google.com/spreadsheets/d/1QNLbnkR_AongFt22vMfNzfpjZ0CjpI8QI-w0wBnYA1w/"", ""Инфа!A:AA""), 6, FALSE)"),2024)</f>
        <v>2024</v>
      </c>
      <c r="J3183" s="5">
        <f ca="1">ROUND((5000+G3183*30),-2)</f>
        <v>13800</v>
      </c>
      <c r="K3183" s="12" t="s">
        <v>1147</v>
      </c>
      <c r="L3183" s="15"/>
    </row>
    <row r="3184" spans="1:12" ht="38.25">
      <c r="A3184" s="8" t="s">
        <v>12356</v>
      </c>
      <c r="B3184" s="9" t="s">
        <v>12</v>
      </c>
      <c r="C3184" s="10" t="s">
        <v>443</v>
      </c>
      <c r="D3184" s="10" t="str">
        <f ca="1">IFERROR(__xludf.DUMMYFUNCTION(" VLOOKUP(A3181, IMPORTRANGE(""https://docs.google.com/spreadsheets/d/1fj_Bhi2XPL3siwIh4sx4VRLAe31yD50oKdj5UlRYW0c/"", ""Сводка!A:AA""), 11, FALSE)"),"978-601-7816-30-8")</f>
        <v>978-601-7816-30-8</v>
      </c>
      <c r="E3184" s="11" t="s">
        <v>12354</v>
      </c>
      <c r="F3184" s="11" t="s">
        <v>12357</v>
      </c>
      <c r="G3184" s="12">
        <f ca="1">IFERROR(__xludf.DUMMYFUNCTION(" VLOOKUP(A3181, IMPORTRANGE(""https://docs.google.com/spreadsheets/d/1fj_Bhi2XPL3siwIh4sx4VRLAe31yD50oKdj5UlRYW0c/"", ""Сводка!A:AA""), 5, FALSE)"),308)</f>
        <v>308</v>
      </c>
      <c r="H3184" s="12" t="s">
        <v>12358</v>
      </c>
      <c r="I3184" s="10">
        <f ca="1">IFERROR(__xludf.DUMMYFUNCTION(" VLOOKUP(A3181, IMPORTRANGE(""https://docs.google.com/spreadsheets/d/1QNLbnkR_AongFt22vMfNzfpjZ0CjpI8QI-w0wBnYA1w/"", ""Инфа!A:AA""), 6, FALSE)"),2024)</f>
        <v>2024</v>
      </c>
      <c r="J3184" s="5">
        <f ca="1">ROUND((5000+G3184*30),-2)</f>
        <v>14200</v>
      </c>
      <c r="K3184" s="12" t="s">
        <v>1603</v>
      </c>
      <c r="L3184" s="15"/>
    </row>
    <row r="3185" spans="1:12" ht="101.25">
      <c r="A3185" s="8" t="s">
        <v>12359</v>
      </c>
      <c r="B3185" s="9" t="s">
        <v>12</v>
      </c>
      <c r="C3185" s="10" t="s">
        <v>443</v>
      </c>
      <c r="D3185" s="10" t="str">
        <f ca="1">IFERROR(__xludf.DUMMYFUNCTION(" VLOOKUP(A3182, IMPORTRANGE(""https://docs.google.com/spreadsheets/d/1fj_Bhi2XPL3siwIh4sx4VRLAe31yD50oKdj5UlRYW0c/"", ""Сводка!A:AA""), 11, FALSE)"),"978-601-7816-23-0")</f>
        <v>978-601-7816-23-0</v>
      </c>
      <c r="E3185" s="11" t="s">
        <v>12354</v>
      </c>
      <c r="F3185" s="11" t="s">
        <v>12360</v>
      </c>
      <c r="G3185" s="12">
        <f ca="1">IFERROR(__xludf.DUMMYFUNCTION(" VLOOKUP(A3182, IMPORTRANGE(""https://docs.google.com/spreadsheets/d/1fj_Bhi2XPL3siwIh4sx4VRLAe31yD50oKdj5UlRYW0c/"", ""Сводка!A:AA""), 5, FALSE)"),148)</f>
        <v>148</v>
      </c>
      <c r="H3185" s="12" t="s">
        <v>538</v>
      </c>
      <c r="I3185" s="10">
        <f ca="1">IFERROR(__xludf.DUMMYFUNCTION(" VLOOKUP(A3182, IMPORTRANGE(""https://docs.google.com/spreadsheets/d/1QNLbnkR_AongFt22vMfNzfpjZ0CjpI8QI-w0wBnYA1w/"", ""Инфа!A:AA""), 6, FALSE)"),2024)</f>
        <v>2024</v>
      </c>
      <c r="J3185" s="5">
        <f ca="1">ROUND((5000+G3185*60),-2)</f>
        <v>13900</v>
      </c>
      <c r="K3185" s="12" t="s">
        <v>302</v>
      </c>
      <c r="L3185" s="15" t="s">
        <v>12361</v>
      </c>
    </row>
    <row r="3186" spans="1:12" ht="168.75">
      <c r="A3186" s="8" t="s">
        <v>12362</v>
      </c>
      <c r="B3186" s="9" t="s">
        <v>12</v>
      </c>
      <c r="C3186" s="10" t="s">
        <v>443</v>
      </c>
      <c r="D3186" s="10" t="str">
        <f ca="1">IFERROR(__xludf.DUMMYFUNCTION(" VLOOKUP(A3183, IMPORTRANGE(""https://docs.google.com/spreadsheets/d/1fj_Bhi2XPL3siwIh4sx4VRLAe31yD50oKdj5UlRYW0c/"", ""Сводка!A:AA""), 11, FALSE)"),"978-601-310-072-2")</f>
        <v>978-601-310-072-2</v>
      </c>
      <c r="E3186" s="11" t="s">
        <v>12363</v>
      </c>
      <c r="F3186" s="11" t="s">
        <v>12364</v>
      </c>
      <c r="G3186" s="12" t="e">
        <f>#REF!</f>
        <v>#REF!</v>
      </c>
      <c r="H3186" s="12" t="s">
        <v>538</v>
      </c>
      <c r="I3186" s="10">
        <f ca="1">IFERROR(__xludf.DUMMYFUNCTION(" VLOOKUP(A3183, IMPORTRANGE(""https://docs.google.com/spreadsheets/d/1QNLbnkR_AongFt22vMfNzfpjZ0CjpI8QI-w0wBnYA1w/"", ""Инфа!A:AA""), 6, FALSE)"),2024)</f>
        <v>2024</v>
      </c>
      <c r="J3186" s="5" t="e">
        <f>ROUND((5000+G3186*60),-2)</f>
        <v>#REF!</v>
      </c>
      <c r="K3186" s="12" t="s">
        <v>302</v>
      </c>
      <c r="L3186" s="15" t="s">
        <v>12365</v>
      </c>
    </row>
    <row r="3187" spans="1:12" ht="157.5">
      <c r="A3187" s="8" t="s">
        <v>12366</v>
      </c>
      <c r="B3187" s="9" t="s">
        <v>12</v>
      </c>
      <c r="C3187" s="10" t="s">
        <v>151</v>
      </c>
      <c r="D3187" s="10" t="str">
        <f ca="1">IFERROR(__xludf.DUMMYFUNCTION(" VLOOKUP(A3184, IMPORTRANGE(""https://docs.google.com/spreadsheets/d/1fj_Bhi2XPL3siwIh4sx4VRLAe31yD50oKdj5UlRYW0c/"", ""Сводка!A:AA""), 11, FALSE)"),"978-9965-876-07-3")</f>
        <v>978-9965-876-07-3</v>
      </c>
      <c r="E3187" s="34" t="s">
        <v>12367</v>
      </c>
      <c r="F3187" s="34" t="s">
        <v>12368</v>
      </c>
      <c r="G3187" s="12">
        <f ca="1">IFERROR(__xludf.DUMMYFUNCTION(" VLOOKUP(A3184, IMPORTRANGE(""https://docs.google.com/spreadsheets/d/1fj_Bhi2XPL3siwIh4sx4VRLAe31yD50oKdj5UlRYW0c/"", ""Сводка!A:AA""), 5, FALSE)"),172)</f>
        <v>172</v>
      </c>
      <c r="H3187" s="35" t="s">
        <v>24</v>
      </c>
      <c r="I3187" s="10">
        <f ca="1">IFERROR(__xludf.DUMMYFUNCTION(" VLOOKUP(A3184, IMPORTRANGE(""https://docs.google.com/spreadsheets/d/1QNLbnkR_AongFt22vMfNzfpjZ0CjpI8QI-w0wBnYA1w/"", ""Инфа!A:AA""), 6, FALSE)"),2024)</f>
        <v>2024</v>
      </c>
      <c r="J3187" s="5">
        <f ca="1">ROUND((5000+G3187*30),-2)</f>
        <v>10200</v>
      </c>
      <c r="K3187" s="12" t="s">
        <v>557</v>
      </c>
      <c r="L3187" s="15" t="s">
        <v>3244</v>
      </c>
    </row>
    <row r="3188" spans="1:12" ht="38.25">
      <c r="A3188" s="8" t="s">
        <v>12369</v>
      </c>
      <c r="B3188" s="9" t="s">
        <v>12</v>
      </c>
      <c r="C3188" s="10" t="s">
        <v>443</v>
      </c>
      <c r="D3188" s="10" t="str">
        <f ca="1">IFERROR(__xludf.DUMMYFUNCTION(" VLOOKUP(A3185, IMPORTRANGE(""https://docs.google.com/spreadsheets/d/1fj_Bhi2XPL3siwIh4sx4VRLAe31yD50oKdj5UlRYW0c/"", ""Сводка!A:AA""), 11, FALSE)"),"978-601-352-382-8")</f>
        <v>978-601-352-382-8</v>
      </c>
      <c r="E3188" s="11" t="s">
        <v>12370</v>
      </c>
      <c r="F3188" s="11" t="s">
        <v>12371</v>
      </c>
      <c r="G3188" s="12">
        <f ca="1">IFERROR(__xludf.DUMMYFUNCTION(" VLOOKUP(A3185, IMPORTRANGE(""https://docs.google.com/spreadsheets/d/1fj_Bhi2XPL3siwIh4sx4VRLAe31yD50oKdj5UlRYW0c/"", ""Сводка!A:AA""), 5, FALSE)"),200)</f>
        <v>200</v>
      </c>
      <c r="H3188" s="12" t="s">
        <v>538</v>
      </c>
      <c r="I3188" s="10">
        <f ca="1">IFERROR(__xludf.DUMMYFUNCTION(" VLOOKUP(A3185, IMPORTRANGE(""https://docs.google.com/spreadsheets/d/1QNLbnkR_AongFt22vMfNzfpjZ0CjpI8QI-w0wBnYA1w/"", ""Инфа!A:AA""), 6, FALSE)"),2024)</f>
        <v>2024</v>
      </c>
      <c r="J3188" s="5">
        <f ca="1">ROUND((5000+G3188*60),-2)</f>
        <v>17000</v>
      </c>
      <c r="K3188" s="12" t="s">
        <v>302</v>
      </c>
      <c r="L3188" s="15"/>
    </row>
    <row r="3189" spans="1:12" ht="25.5">
      <c r="A3189" s="8" t="s">
        <v>12372</v>
      </c>
      <c r="B3189" s="9" t="s">
        <v>12</v>
      </c>
      <c r="C3189" s="10" t="s">
        <v>443</v>
      </c>
      <c r="D3189" s="10" t="str">
        <f ca="1">IFERROR(__xludf.DUMMYFUNCTION(" VLOOKUP(A3186, IMPORTRANGE(""https://docs.google.com/spreadsheets/d/1fj_Bhi2XPL3siwIh4sx4VRLAe31yD50oKdj5UlRYW0c/"", ""Сводка!A:AA""), 11, FALSE)"),"978-301-7816-23-0")</f>
        <v>978-301-7816-23-0</v>
      </c>
      <c r="E3189" s="11" t="s">
        <v>12373</v>
      </c>
      <c r="F3189" s="11" t="s">
        <v>12374</v>
      </c>
      <c r="G3189" s="12">
        <f ca="1">IFERROR(__xludf.DUMMYFUNCTION(" VLOOKUP(A3186, IMPORTRANGE(""https://docs.google.com/spreadsheets/d/1fj_Bhi2XPL3siwIh4sx4VRLAe31yD50oKdj5UlRYW0c/"", ""Сводка!A:AA""), 5, FALSE)"),156)</f>
        <v>156</v>
      </c>
      <c r="H3189" s="12" t="s">
        <v>511</v>
      </c>
      <c r="I3189" s="10">
        <f ca="1">IFERROR(__xludf.DUMMYFUNCTION(" VLOOKUP(A3186, IMPORTRANGE(""https://docs.google.com/spreadsheets/d/1QNLbnkR_AongFt22vMfNzfpjZ0CjpI8QI-w0wBnYA1w/"", ""Инфа!A:AA""), 6, FALSE)"),2024)</f>
        <v>2024</v>
      </c>
      <c r="J3189" s="5">
        <f ca="1">ROUND((5000+G3189*30),-2)</f>
        <v>9700</v>
      </c>
      <c r="K3189" s="12" t="s">
        <v>961</v>
      </c>
      <c r="L3189" s="15"/>
    </row>
    <row r="3190" spans="1:12" ht="25.5">
      <c r="A3190" s="8" t="s">
        <v>12375</v>
      </c>
      <c r="B3190" s="9" t="s">
        <v>12</v>
      </c>
      <c r="C3190" s="10" t="s">
        <v>151</v>
      </c>
      <c r="D3190" s="10" t="s">
        <v>12376</v>
      </c>
      <c r="E3190" s="11" t="s">
        <v>12377</v>
      </c>
      <c r="F3190" s="11" t="s">
        <v>12378</v>
      </c>
      <c r="G3190" s="12">
        <f ca="1">IFERROR(__xludf.DUMMYFUNCTION(" VLOOKUP(A3187, IMPORTRANGE(""https://docs.google.com/spreadsheets/d/1fj_Bhi2XPL3siwIh4sx4VRLAe31yD50oKdj5UlRYW0c/"", ""Сводка!A:AA""), 5, FALSE)"),100)</f>
        <v>100</v>
      </c>
      <c r="H3190" s="12" t="s">
        <v>47</v>
      </c>
      <c r="I3190" s="10">
        <f ca="1">IFERROR(__xludf.DUMMYFUNCTION(" VLOOKUP(A3187, IMPORTRANGE(""https://docs.google.com/spreadsheets/d/1QNLbnkR_AongFt22vMfNzfpjZ0CjpI8QI-w0wBnYA1w/"", ""Инфа!A:AA""), 6, FALSE)"),2024)</f>
        <v>2024</v>
      </c>
      <c r="J3190" s="5">
        <f ca="1">ROUND((5000+G3190*30),-2)</f>
        <v>8000</v>
      </c>
      <c r="K3190" s="12" t="s">
        <v>1581</v>
      </c>
      <c r="L3190" s="15"/>
    </row>
    <row r="3191" spans="1:12" ht="25.5">
      <c r="A3191" s="8" t="s">
        <v>12379</v>
      </c>
      <c r="B3191" s="9" t="s">
        <v>12</v>
      </c>
      <c r="C3191" s="10" t="s">
        <v>151</v>
      </c>
      <c r="D3191" s="10" t="str">
        <f ca="1">IFERROR(__xludf.DUMMYFUNCTION(" VLOOKUP(A3188, IMPORTRANGE(""https://docs.google.com/spreadsheets/d/1fj_Bhi2XPL3siwIh4sx4VRLAe31yD50oKdj5UlRYW0c/"", ""Сводка!A:AA""), 11, FALSE)"),"978-601-352-398-9")</f>
        <v>978-601-352-398-9</v>
      </c>
      <c r="E3191" s="11" t="s">
        <v>12380</v>
      </c>
      <c r="F3191" s="11" t="s">
        <v>12381</v>
      </c>
      <c r="G3191" s="12">
        <f ca="1">IFERROR(__xludf.DUMMYFUNCTION(" VLOOKUP(A3188, IMPORTRANGE(""https://docs.google.com/spreadsheets/d/1fj_Bhi2XPL3siwIh4sx4VRLAe31yD50oKdj5UlRYW0c/"", ""Сводка!A:AA""), 5, FALSE)"),164)</f>
        <v>164</v>
      </c>
      <c r="H3191" s="12" t="s">
        <v>47</v>
      </c>
      <c r="I3191" s="10">
        <f ca="1">IFERROR(__xludf.DUMMYFUNCTION(" VLOOKUP(A3188, IMPORTRANGE(""https://docs.google.com/spreadsheets/d/1QNLbnkR_AongFt22vMfNzfpjZ0CjpI8QI-w0wBnYA1w/"", ""Инфа!A:AA""), 6, FALSE)"),2024)</f>
        <v>2024</v>
      </c>
      <c r="J3191" s="5">
        <f ca="1">ROUND((5000+G3191*30),-2)</f>
        <v>9900</v>
      </c>
      <c r="K3191" s="12" t="s">
        <v>1581</v>
      </c>
      <c r="L3191" s="15"/>
    </row>
    <row r="3192" spans="1:12" ht="25.5">
      <c r="A3192" s="8" t="s">
        <v>12382</v>
      </c>
      <c r="B3192" s="9" t="s">
        <v>12</v>
      </c>
      <c r="C3192" s="10" t="s">
        <v>151</v>
      </c>
      <c r="D3192" s="10" t="str">
        <f ca="1">IFERROR(__xludf.DUMMYFUNCTION(" VLOOKUP(A3189, IMPORTRANGE(""https://docs.google.com/spreadsheets/d/1fj_Bhi2XPL3siwIh4sx4VRLAe31yD50oKdj5UlRYW0c/"", ""Сводка!A:AA""), 11, FALSE)"),"978-601-352-399-6")</f>
        <v>978-601-352-399-6</v>
      </c>
      <c r="E3192" s="11" t="s">
        <v>12380</v>
      </c>
      <c r="F3192" s="11" t="s">
        <v>12383</v>
      </c>
      <c r="G3192" s="12">
        <f ca="1">IFERROR(__xludf.DUMMYFUNCTION(" VLOOKUP(A3189, IMPORTRANGE(""https://docs.google.com/spreadsheets/d/1fj_Bhi2XPL3siwIh4sx4VRLAe31yD50oKdj5UlRYW0c/"", ""Сводка!A:AA""), 5, FALSE)"),184)</f>
        <v>184</v>
      </c>
      <c r="H3192" s="12" t="s">
        <v>47</v>
      </c>
      <c r="I3192" s="10">
        <f ca="1">IFERROR(__xludf.DUMMYFUNCTION(" VLOOKUP(A3189, IMPORTRANGE(""https://docs.google.com/spreadsheets/d/1QNLbnkR_AongFt22vMfNzfpjZ0CjpI8QI-w0wBnYA1w/"", ""Инфа!A:AA""), 6, FALSE)"),2024)</f>
        <v>2024</v>
      </c>
      <c r="J3192" s="5">
        <f ca="1">ROUND((5000+G3192*30),-2)</f>
        <v>10500</v>
      </c>
      <c r="K3192" s="12" t="s">
        <v>1581</v>
      </c>
      <c r="L3192" s="15"/>
    </row>
    <row r="3193" spans="1:12" ht="102">
      <c r="A3193" s="8" t="s">
        <v>12384</v>
      </c>
      <c r="B3193" s="9" t="s">
        <v>12</v>
      </c>
      <c r="C3193" s="10" t="s">
        <v>443</v>
      </c>
      <c r="D3193" s="10" t="str">
        <f ca="1">IFERROR(__xludf.DUMMYFUNCTION(" VLOOKUP(A3190, IMPORTRANGE(""https://docs.google.com/spreadsheets/d/1fj_Bhi2XPL3siwIh4sx4VRLAe31yD50oKdj5UlRYW0c/"", ""Сводка!A:AA""), 11, FALSE)"),"978-601-327-704-2")</f>
        <v>978-601-327-704-2</v>
      </c>
      <c r="E3193" s="11" t="s">
        <v>5397</v>
      </c>
      <c r="F3193" s="11" t="s">
        <v>12385</v>
      </c>
      <c r="G3193" s="12">
        <f ca="1">IFERROR(__xludf.DUMMYFUNCTION(" VLOOKUP(A3190, IMPORTRANGE(""https://docs.google.com/spreadsheets/d/1fj_Bhi2XPL3siwIh4sx4VRLAe31yD50oKdj5UlRYW0c/"", ""Сводка!A:AA""), 5, FALSE)"),280)</f>
        <v>280</v>
      </c>
      <c r="H3193" s="12" t="s">
        <v>2664</v>
      </c>
      <c r="I3193" s="10">
        <f ca="1">IFERROR(__xludf.DUMMYFUNCTION(" VLOOKUP(A3190, IMPORTRANGE(""https://docs.google.com/spreadsheets/d/1QNLbnkR_AongFt22vMfNzfpjZ0CjpI8QI-w0wBnYA1w/"", ""Инфа!A:AA""), 6, FALSE)"),2024)</f>
        <v>2024</v>
      </c>
      <c r="J3193" s="5">
        <f ca="1">ROUND((5000+G3193*60),-2)</f>
        <v>21800</v>
      </c>
      <c r="K3193" s="12" t="s">
        <v>447</v>
      </c>
      <c r="L3193" s="15" t="s">
        <v>12386</v>
      </c>
    </row>
    <row r="3194" spans="1:12" ht="112.5">
      <c r="A3194" s="8" t="s">
        <v>12387</v>
      </c>
      <c r="B3194" s="9" t="s">
        <v>12</v>
      </c>
      <c r="C3194" s="10" t="s">
        <v>443</v>
      </c>
      <c r="D3194" s="10" t="str">
        <f ca="1">IFERROR(__xludf.DUMMYFUNCTION(" VLOOKUP(A3191, IMPORTRANGE(""https://docs.google.com/spreadsheets/d/1fj_Bhi2XPL3siwIh4sx4VRLAe31yD50oKdj5UlRYW0c/"", ""Сводка!A:AA""), 11, FALSE)"),"978-601-327-849-0")</f>
        <v>978-601-327-849-0</v>
      </c>
      <c r="E3194" s="11" t="s">
        <v>5397</v>
      </c>
      <c r="F3194" s="11" t="s">
        <v>12388</v>
      </c>
      <c r="G3194" s="12">
        <f ca="1">IFERROR(__xludf.DUMMYFUNCTION(" VLOOKUP(A3191, IMPORTRANGE(""https://docs.google.com/spreadsheets/d/1fj_Bhi2XPL3siwIh4sx4VRLAe31yD50oKdj5UlRYW0c/"", ""Сводка!A:AA""), 5, FALSE)"),136)</f>
        <v>136</v>
      </c>
      <c r="H3194" s="12" t="s">
        <v>556</v>
      </c>
      <c r="I3194" s="10">
        <f ca="1">IFERROR(__xludf.DUMMYFUNCTION(" VLOOKUP(A3191, IMPORTRANGE(""https://docs.google.com/spreadsheets/d/1QNLbnkR_AongFt22vMfNzfpjZ0CjpI8QI-w0wBnYA1w/"", ""Инфа!A:AA""), 6, FALSE)"),2024)</f>
        <v>2024</v>
      </c>
      <c r="J3194" s="5">
        <f ca="1">ROUND((5000+G3194*60),-2)</f>
        <v>13200</v>
      </c>
      <c r="K3194" s="12" t="s">
        <v>447</v>
      </c>
      <c r="L3194" s="15" t="s">
        <v>12389</v>
      </c>
    </row>
    <row r="3195" spans="1:12" ht="78.75">
      <c r="A3195" s="8" t="s">
        <v>12390</v>
      </c>
      <c r="B3195" s="9" t="s">
        <v>12</v>
      </c>
      <c r="C3195" s="10" t="s">
        <v>443</v>
      </c>
      <c r="D3195" s="10" t="str">
        <f ca="1">IFERROR(__xludf.DUMMYFUNCTION(" VLOOKUP(A3192, IMPORTRANGE(""https://docs.google.com/spreadsheets/d/1fj_Bhi2XPL3siwIh4sx4VRLAe31yD50oKdj5UlRYW0c/"", ""Сводка!A:AA""), 11, FALSE)"),"978-601-327-695-3")</f>
        <v>978-601-327-695-3</v>
      </c>
      <c r="E3195" s="11" t="s">
        <v>12391</v>
      </c>
      <c r="F3195" s="11" t="s">
        <v>12392</v>
      </c>
      <c r="G3195" s="12">
        <f ca="1">IFERROR(__xludf.DUMMYFUNCTION(" VLOOKUP(A3192, IMPORTRANGE(""https://docs.google.com/spreadsheets/d/1fj_Bhi2XPL3siwIh4sx4VRLAe31yD50oKdj5UlRYW0c/"", ""Сводка!A:AA""), 5, FALSE)"),104)</f>
        <v>104</v>
      </c>
      <c r="H3195" s="12" t="s">
        <v>538</v>
      </c>
      <c r="I3195" s="10">
        <f ca="1">IFERROR(__xludf.DUMMYFUNCTION(" VLOOKUP(A3192, IMPORTRANGE(""https://docs.google.com/spreadsheets/d/1QNLbnkR_AongFt22vMfNzfpjZ0CjpI8QI-w0wBnYA1w/"", ""Инфа!A:AA""), 6, FALSE)"),2024)</f>
        <v>2024</v>
      </c>
      <c r="J3195" s="5">
        <f ca="1">ROUND((5000+G3195*30),-2)</f>
        <v>8100</v>
      </c>
      <c r="K3195" s="12" t="s">
        <v>447</v>
      </c>
      <c r="L3195" s="15" t="s">
        <v>12393</v>
      </c>
    </row>
    <row r="3196" spans="1:12" ht="146.25">
      <c r="A3196" s="8" t="s">
        <v>12394</v>
      </c>
      <c r="B3196" s="9" t="s">
        <v>12</v>
      </c>
      <c r="C3196" s="10" t="s">
        <v>443</v>
      </c>
      <c r="D3196" s="10" t="str">
        <f ca="1">IFERROR(__xludf.DUMMYFUNCTION(" VLOOKUP(A3193, IMPORTRANGE(""https://docs.google.com/spreadsheets/d/1fj_Bhi2XPL3siwIh4sx4VRLAe31yD50oKdj5UlRYW0c/"", ""Сводка!A:AA""), 11, FALSE)"),"978-601-327-473-7")</f>
        <v>978-601-327-473-7</v>
      </c>
      <c r="E3196" s="11" t="s">
        <v>12395</v>
      </c>
      <c r="F3196" s="11" t="s">
        <v>12396</v>
      </c>
      <c r="G3196" s="12">
        <f ca="1">IFERROR(__xludf.DUMMYFUNCTION(" VLOOKUP(A3193, IMPORTRANGE(""https://docs.google.com/spreadsheets/d/1fj_Bhi2XPL3siwIh4sx4VRLAe31yD50oKdj5UlRYW0c/"", ""Сводка!A:AA""), 5, FALSE)"),104)</f>
        <v>104</v>
      </c>
      <c r="H3196" s="12" t="s">
        <v>538</v>
      </c>
      <c r="I3196" s="10">
        <f ca="1">IFERROR(__xludf.DUMMYFUNCTION(" VLOOKUP(A3193, IMPORTRANGE(""https://docs.google.com/spreadsheets/d/1QNLbnkR_AongFt22vMfNzfpjZ0CjpI8QI-w0wBnYA1w/"", ""Инфа!A:AA""), 6, FALSE)"),2024)</f>
        <v>2024</v>
      </c>
      <c r="J3196" s="5">
        <f ca="1">ROUND((5000+G3196*60),-2)</f>
        <v>11200</v>
      </c>
      <c r="K3196" s="12" t="s">
        <v>447</v>
      </c>
      <c r="L3196" s="15" t="s">
        <v>12397</v>
      </c>
    </row>
    <row r="3197" spans="1:12" ht="146.25">
      <c r="A3197" s="8" t="s">
        <v>12398</v>
      </c>
      <c r="B3197" s="9" t="s">
        <v>12</v>
      </c>
      <c r="C3197" s="10" t="s">
        <v>443</v>
      </c>
      <c r="D3197" s="10" t="str">
        <f ca="1">IFERROR(__xludf.DUMMYFUNCTION(" VLOOKUP(A3194, IMPORTRANGE(""https://docs.google.com/spreadsheets/d/1fj_Bhi2XPL3siwIh4sx4VRLAe31yD50oKdj5UlRYW0c/"", ""Сводка!A:AA""), 11, FALSE)"),"978-601-327-850-6")</f>
        <v>978-601-327-850-6</v>
      </c>
      <c r="E3197" s="11" t="s">
        <v>12399</v>
      </c>
      <c r="F3197" s="11" t="s">
        <v>12400</v>
      </c>
      <c r="G3197" s="12">
        <f ca="1">IFERROR(__xludf.DUMMYFUNCTION(" VLOOKUP(A3194, IMPORTRANGE(""https://docs.google.com/spreadsheets/d/1fj_Bhi2XPL3siwIh4sx4VRLAe31yD50oKdj5UlRYW0c/"", ""Сводка!A:AA""), 5, FALSE)"),172)</f>
        <v>172</v>
      </c>
      <c r="H3197" s="12" t="s">
        <v>511</v>
      </c>
      <c r="I3197" s="10">
        <f ca="1">IFERROR(__xludf.DUMMYFUNCTION(" VLOOKUP(A3194, IMPORTRANGE(""https://docs.google.com/spreadsheets/d/1QNLbnkR_AongFt22vMfNzfpjZ0CjpI8QI-w0wBnYA1w/"", ""Инфа!A:AA""), 6, FALSE)"),2024)</f>
        <v>2024</v>
      </c>
      <c r="J3197" s="5">
        <f ca="1">ROUND((5000+G3197*60),-2)</f>
        <v>15300</v>
      </c>
      <c r="K3197" s="12" t="s">
        <v>447</v>
      </c>
      <c r="L3197" s="15" t="s">
        <v>12401</v>
      </c>
    </row>
    <row r="3198" spans="1:12" ht="157.5">
      <c r="A3198" s="8" t="s">
        <v>12402</v>
      </c>
      <c r="B3198" s="9" t="s">
        <v>12</v>
      </c>
      <c r="C3198" s="10" t="s">
        <v>443</v>
      </c>
      <c r="D3198" s="10" t="str">
        <f ca="1">IFERROR(__xludf.DUMMYFUNCTION(" VLOOKUP(A3195, IMPORTRANGE(""https://docs.google.com/spreadsheets/d/1fj_Bhi2XPL3siwIh4sx4VRLAe31yD50oKdj5UlRYW0c/"", ""Сводка!A:AA""), 11, FALSE)"),"978-601-327-841-4")</f>
        <v>978-601-327-841-4</v>
      </c>
      <c r="E3198" s="11" t="s">
        <v>12399</v>
      </c>
      <c r="F3198" s="11" t="s">
        <v>12403</v>
      </c>
      <c r="G3198" s="12">
        <f ca="1">IFERROR(__xludf.DUMMYFUNCTION(" VLOOKUP(A3195, IMPORTRANGE(""https://docs.google.com/spreadsheets/d/1fj_Bhi2XPL3siwIh4sx4VRLAe31yD50oKdj5UlRYW0c/"", ""Сводка!A:AA""), 5, FALSE)"),240)</f>
        <v>240</v>
      </c>
      <c r="H3198" s="12" t="s">
        <v>538</v>
      </c>
      <c r="I3198" s="10">
        <f ca="1">IFERROR(__xludf.DUMMYFUNCTION(" VLOOKUP(A3195, IMPORTRANGE(""https://docs.google.com/spreadsheets/d/1QNLbnkR_AongFt22vMfNzfpjZ0CjpI8QI-w0wBnYA1w/"", ""Инфа!A:AA""), 6, FALSE)"),2024)</f>
        <v>2024</v>
      </c>
      <c r="J3198" s="5">
        <f ca="1">ROUND((5000+G3198*60),-2)</f>
        <v>19400</v>
      </c>
      <c r="K3198" s="12" t="s">
        <v>447</v>
      </c>
      <c r="L3198" s="15" t="s">
        <v>12404</v>
      </c>
    </row>
    <row r="3199" spans="1:12" ht="191.25">
      <c r="A3199" s="8" t="s">
        <v>12405</v>
      </c>
      <c r="B3199" s="9" t="s">
        <v>12</v>
      </c>
      <c r="C3199" s="10" t="s">
        <v>443</v>
      </c>
      <c r="D3199" s="10" t="str">
        <f ca="1">IFERROR(__xludf.DUMMYFUNCTION(" VLOOKUP(A3196, IMPORTRANGE(""https://docs.google.com/spreadsheets/d/1fj_Bhi2XPL3siwIh4sx4VRLAe31yD50oKdj5UlRYW0c/"", ""Сводка!A:AA""), 11, FALSE)"),"978-601-327-660-1")</f>
        <v>978-601-327-660-1</v>
      </c>
      <c r="E3199" s="11" t="s">
        <v>12406</v>
      </c>
      <c r="F3199" s="11" t="s">
        <v>12407</v>
      </c>
      <c r="G3199" s="12">
        <f ca="1">IFERROR(__xludf.DUMMYFUNCTION(" VLOOKUP(A3196, IMPORTRANGE(""https://docs.google.com/spreadsheets/d/1fj_Bhi2XPL3siwIh4sx4VRLAe31yD50oKdj5UlRYW0c/"", ""Сводка!A:AA""), 5, FALSE)"),288)</f>
        <v>288</v>
      </c>
      <c r="H3199" s="12" t="s">
        <v>538</v>
      </c>
      <c r="I3199" s="10">
        <f ca="1">IFERROR(__xludf.DUMMYFUNCTION(" VLOOKUP(A3196, IMPORTRANGE(""https://docs.google.com/spreadsheets/d/1QNLbnkR_AongFt22vMfNzfpjZ0CjpI8QI-w0wBnYA1w/"", ""Инфа!A:AA""), 6, FALSE)"),2024)</f>
        <v>2024</v>
      </c>
      <c r="J3199" s="5">
        <f ca="1">ROUND((5000+G3199*60),-2)</f>
        <v>22300</v>
      </c>
      <c r="K3199" s="12" t="s">
        <v>447</v>
      </c>
      <c r="L3199" s="15" t="s">
        <v>12408</v>
      </c>
    </row>
    <row r="3200" spans="1:12" ht="112.5">
      <c r="A3200" s="8" t="s">
        <v>12409</v>
      </c>
      <c r="B3200" s="9" t="s">
        <v>12</v>
      </c>
      <c r="C3200" s="10" t="s">
        <v>443</v>
      </c>
      <c r="D3200" s="10" t="str">
        <f ca="1">IFERROR(__xludf.DUMMYFUNCTION(" VLOOKUP(A3197, IMPORTRANGE(""https://docs.google.com/spreadsheets/d/1fj_Bhi2XPL3siwIh4sx4VRLAe31yD50oKdj5UlRYW0c/"", ""Сводка!A:AA""), 11, FALSE)"),"978-601-327-241-2")</f>
        <v>978-601-327-241-2</v>
      </c>
      <c r="E3200" s="11" t="s">
        <v>12410</v>
      </c>
      <c r="F3200" s="11" t="s">
        <v>12411</v>
      </c>
      <c r="G3200" s="12">
        <f ca="1">IFERROR(__xludf.DUMMYFUNCTION(" VLOOKUP(A3197, IMPORTRANGE(""https://docs.google.com/spreadsheets/d/1fj_Bhi2XPL3siwIh4sx4VRLAe31yD50oKdj5UlRYW0c/"", ""Сводка!A:AA""), 5, FALSE)"),116)</f>
        <v>116</v>
      </c>
      <c r="H3200" s="12" t="s">
        <v>12412</v>
      </c>
      <c r="I3200" s="10">
        <f ca="1">IFERROR(__xludf.DUMMYFUNCTION(" VLOOKUP(A3197, IMPORTRANGE(""https://docs.google.com/spreadsheets/d/1QNLbnkR_AongFt22vMfNzfpjZ0CjpI8QI-w0wBnYA1w/"", ""Инфа!A:AA""), 6, FALSE)"),2024)</f>
        <v>2024</v>
      </c>
      <c r="J3200" s="5">
        <f ca="1">ROUND((5000+G3200*30),-2)</f>
        <v>8500</v>
      </c>
      <c r="K3200" s="12" t="s">
        <v>447</v>
      </c>
      <c r="L3200" s="15" t="s">
        <v>12413</v>
      </c>
    </row>
    <row r="3201" spans="1:12" ht="112.5">
      <c r="A3201" s="8" t="s">
        <v>12414</v>
      </c>
      <c r="B3201" s="9" t="s">
        <v>12</v>
      </c>
      <c r="C3201" s="10" t="s">
        <v>443</v>
      </c>
      <c r="D3201" s="10" t="str">
        <f ca="1">IFERROR(__xludf.DUMMYFUNCTION(" VLOOKUP(A3198, IMPORTRANGE(""https://docs.google.com/spreadsheets/d/1fj_Bhi2XPL3siwIh4sx4VRLAe31yD50oKdj5UlRYW0c/"", ""Сводка!A:AA""), 11, FALSE)"),"978-601-327-841-4")</f>
        <v>978-601-327-841-4</v>
      </c>
      <c r="E3201" s="11" t="s">
        <v>12410</v>
      </c>
      <c r="F3201" s="11" t="s">
        <v>12415</v>
      </c>
      <c r="G3201" s="12">
        <f ca="1">IFERROR(__xludf.DUMMYFUNCTION(" VLOOKUP(A3198, IMPORTRANGE(""https://docs.google.com/spreadsheets/d/1fj_Bhi2XPL3siwIh4sx4VRLAe31yD50oKdj5UlRYW0c/"", ""Сводка!A:AA""), 5, FALSE)"),204)</f>
        <v>204</v>
      </c>
      <c r="H3201" s="12" t="s">
        <v>12412</v>
      </c>
      <c r="I3201" s="10">
        <f ca="1">IFERROR(__xludf.DUMMYFUNCTION(" VLOOKUP(A3198, IMPORTRANGE(""https://docs.google.com/spreadsheets/d/1QNLbnkR_AongFt22vMfNzfpjZ0CjpI8QI-w0wBnYA1w/"", ""Инфа!A:AA""), 6, FALSE)"),2024)</f>
        <v>2024</v>
      </c>
      <c r="J3201" s="5">
        <f ca="1">ROUND((5000+G3201*60),-2)</f>
        <v>17200</v>
      </c>
      <c r="K3201" s="12" t="s">
        <v>447</v>
      </c>
      <c r="L3201" s="15" t="s">
        <v>12416</v>
      </c>
    </row>
    <row r="3202" spans="1:12" ht="102">
      <c r="A3202" s="8" t="s">
        <v>12417</v>
      </c>
      <c r="B3202" s="9" t="s">
        <v>12</v>
      </c>
      <c r="C3202" s="10" t="s">
        <v>443</v>
      </c>
      <c r="D3202" s="10" t="str">
        <f ca="1">IFERROR(__xludf.DUMMYFUNCTION(" VLOOKUP(A3199, IMPORTRANGE(""https://docs.google.com/spreadsheets/d/1fj_Bhi2XPL3siwIh4sx4VRLAe31yD50oKdj5UlRYW0c/"", ""Сводка!A:AA""), 11, FALSE)"),"978-601-327-440-9")</f>
        <v>978-601-327-440-9</v>
      </c>
      <c r="E3202" s="11" t="s">
        <v>12410</v>
      </c>
      <c r="F3202" s="11" t="s">
        <v>12418</v>
      </c>
      <c r="G3202" s="12">
        <f ca="1">IFERROR(__xludf.DUMMYFUNCTION(" VLOOKUP(A3199, IMPORTRANGE(""https://docs.google.com/spreadsheets/d/1fj_Bhi2XPL3siwIh4sx4VRLAe31yD50oKdj5UlRYW0c/"", ""Сводка!A:AA""), 5, FALSE)"),92)</f>
        <v>92</v>
      </c>
      <c r="H3202" s="12" t="s">
        <v>2664</v>
      </c>
      <c r="I3202" s="10">
        <f ca="1">IFERROR(__xludf.DUMMYFUNCTION(" VLOOKUP(A3199, IMPORTRANGE(""https://docs.google.com/spreadsheets/d/1QNLbnkR_AongFt22vMfNzfpjZ0CjpI8QI-w0wBnYA1w/"", ""Инфа!A:AA""), 6, FALSE)"),2024)</f>
        <v>2024</v>
      </c>
      <c r="J3202" s="5">
        <f ca="1">ROUND((5000+G3202*30),-2)</f>
        <v>7800</v>
      </c>
      <c r="K3202" s="12" t="s">
        <v>447</v>
      </c>
      <c r="L3202" s="15" t="s">
        <v>12419</v>
      </c>
    </row>
    <row r="3203" spans="1:12" ht="102">
      <c r="A3203" s="8" t="s">
        <v>12420</v>
      </c>
      <c r="B3203" s="9" t="s">
        <v>12</v>
      </c>
      <c r="C3203" s="10" t="s">
        <v>443</v>
      </c>
      <c r="D3203" s="10" t="str">
        <f ca="1">IFERROR(__xludf.DUMMYFUNCTION(" VLOOKUP(A3200, IMPORTRANGE(""https://docs.google.com/spreadsheets/d/1fj_Bhi2XPL3siwIh4sx4VRLAe31yD50oKdj5UlRYW0c/"", ""Сводка!A:AA""), 11, FALSE)"),"978-601-327-471-3")</f>
        <v>978-601-327-471-3</v>
      </c>
      <c r="E3203" s="11" t="s">
        <v>12421</v>
      </c>
      <c r="F3203" s="11" t="s">
        <v>12422</v>
      </c>
      <c r="G3203" s="12">
        <f ca="1">IFERROR(__xludf.DUMMYFUNCTION(" VLOOKUP(A3200, IMPORTRANGE(""https://docs.google.com/spreadsheets/d/1fj_Bhi2XPL3siwIh4sx4VRLAe31yD50oKdj5UlRYW0c/"", ""Сводка!A:AA""), 5, FALSE)"),144)</f>
        <v>144</v>
      </c>
      <c r="H3203" s="12" t="s">
        <v>2664</v>
      </c>
      <c r="I3203" s="10">
        <f ca="1">IFERROR(__xludf.DUMMYFUNCTION(" VLOOKUP(A3200, IMPORTRANGE(""https://docs.google.com/spreadsheets/d/1QNLbnkR_AongFt22vMfNzfpjZ0CjpI8QI-w0wBnYA1w/"", ""Инфа!A:AA""), 6, FALSE)"),2024)</f>
        <v>2024</v>
      </c>
      <c r="J3203" s="5">
        <f ca="1">ROUND((5000+G3203*30),-2)</f>
        <v>9300</v>
      </c>
      <c r="K3203" s="12" t="s">
        <v>447</v>
      </c>
      <c r="L3203" s="15" t="s">
        <v>12419</v>
      </c>
    </row>
    <row r="3204" spans="1:12" ht="180">
      <c r="A3204" s="8" t="s">
        <v>12423</v>
      </c>
      <c r="B3204" s="9" t="s">
        <v>12</v>
      </c>
      <c r="C3204" s="10" t="s">
        <v>151</v>
      </c>
      <c r="D3204" s="10" t="str">
        <f ca="1">IFERROR(__xludf.DUMMYFUNCTION(" VLOOKUP(A3201, IMPORTRANGE(""https://docs.google.com/spreadsheets/d/1fj_Bhi2XPL3siwIh4sx4VRLAe31yD50oKdj5UlRYW0c/"", ""Сводка!A:AA""), 11, FALSE)"),"978-601-327-472-0")</f>
        <v>978-601-327-472-0</v>
      </c>
      <c r="E3204" s="11" t="s">
        <v>12421</v>
      </c>
      <c r="F3204" s="11" t="s">
        <v>12424</v>
      </c>
      <c r="G3204" s="12">
        <f ca="1">IFERROR(__xludf.DUMMYFUNCTION(" VLOOKUP(A3201, IMPORTRANGE(""https://docs.google.com/spreadsheets/d/1fj_Bhi2XPL3siwIh4sx4VRLAe31yD50oKdj5UlRYW0c/"", ""Сводка!A:AA""), 5, FALSE)"),152)</f>
        <v>152</v>
      </c>
      <c r="H3204" s="12" t="s">
        <v>12425</v>
      </c>
      <c r="I3204" s="10">
        <f ca="1">IFERROR(__xludf.DUMMYFUNCTION(" VLOOKUP(A3201, IMPORTRANGE(""https://docs.google.com/spreadsheets/d/1QNLbnkR_AongFt22vMfNzfpjZ0CjpI8QI-w0wBnYA1w/"", ""Инфа!A:AA""), 6, FALSE)"),2024)</f>
        <v>2024</v>
      </c>
      <c r="J3204" s="5">
        <f ca="1">ROUND((5000+G3204*30),-2)</f>
        <v>9600</v>
      </c>
      <c r="K3204" s="12" t="s">
        <v>447</v>
      </c>
      <c r="L3204" s="15" t="s">
        <v>12426</v>
      </c>
    </row>
    <row r="3205" spans="1:12" ht="90">
      <c r="A3205" s="8" t="s">
        <v>12427</v>
      </c>
      <c r="B3205" s="9" t="s">
        <v>12</v>
      </c>
      <c r="C3205" s="10" t="s">
        <v>13</v>
      </c>
      <c r="D3205" s="10" t="str">
        <f ca="1">IFERROR(__xludf.DUMMYFUNCTION(" VLOOKUP(A3202, IMPORTRANGE(""https://docs.google.com/spreadsheets/d/1fj_Bhi2XPL3siwIh4sx4VRLAe31yD50oKdj5UlRYW0c/"", ""Сводка!A:AA""), 11, FALSE)"),"978-601-327-471-3")</f>
        <v>978-601-327-471-3</v>
      </c>
      <c r="E3205" s="11" t="s">
        <v>12428</v>
      </c>
      <c r="F3205" s="11" t="s">
        <v>12429</v>
      </c>
      <c r="G3205" s="12">
        <f ca="1">IFERROR(__xludf.DUMMYFUNCTION(" VLOOKUP(A3202, IMPORTRANGE(""https://docs.google.com/spreadsheets/d/1fj_Bhi2XPL3siwIh4sx4VRLAe31yD50oKdj5UlRYW0c/"", ""Сводка!A:AA""), 5, FALSE)"),84)</f>
        <v>84</v>
      </c>
      <c r="H3205" s="12" t="s">
        <v>47</v>
      </c>
      <c r="I3205" s="10">
        <f ca="1">IFERROR(__xludf.DUMMYFUNCTION(" VLOOKUP(A3202, IMPORTRANGE(""https://docs.google.com/spreadsheets/d/1QNLbnkR_AongFt22vMfNzfpjZ0CjpI8QI-w0wBnYA1w/"", ""Инфа!A:AA""), 6, FALSE)"),2024)</f>
        <v>2024</v>
      </c>
      <c r="J3205" s="5">
        <f ca="1">ROUND((5000+G3205*30),-2)</f>
        <v>7500</v>
      </c>
      <c r="K3205" s="12" t="s">
        <v>447</v>
      </c>
      <c r="L3205" s="15" t="s">
        <v>12430</v>
      </c>
    </row>
    <row r="3206" spans="1:12" ht="101.25">
      <c r="A3206" s="8" t="s">
        <v>12431</v>
      </c>
      <c r="B3206" s="9" t="s">
        <v>12</v>
      </c>
      <c r="C3206" s="10" t="s">
        <v>13</v>
      </c>
      <c r="D3206" s="10" t="str">
        <f ca="1">IFERROR(__xludf.DUMMYFUNCTION(" VLOOKUP(A3203, IMPORTRANGE(""https://docs.google.com/spreadsheets/d/1fj_Bhi2XPL3siwIh4sx4VRLAe31yD50oKdj5UlRYW0c/"", ""Сводка!A:AA""), 11, FALSE)"),"")</f>
        <v/>
      </c>
      <c r="E3206" s="11" t="s">
        <v>12428</v>
      </c>
      <c r="F3206" s="11" t="s">
        <v>12432</v>
      </c>
      <c r="G3206" s="12" t="e">
        <f>#REF!</f>
        <v>#REF!</v>
      </c>
      <c r="H3206" s="12" t="s">
        <v>47</v>
      </c>
      <c r="I3206" s="10">
        <f ca="1">IFERROR(__xludf.DUMMYFUNCTION(" VLOOKUP(A3203, IMPORTRANGE(""https://docs.google.com/spreadsheets/d/1QNLbnkR_AongFt22vMfNzfpjZ0CjpI8QI-w0wBnYA1w/"", ""Инфа!A:AA""), 6, FALSE)"),2024)</f>
        <v>2024</v>
      </c>
      <c r="J3206" s="5" t="e">
        <f>ROUND((5000+G3206*60),-2)</f>
        <v>#REF!</v>
      </c>
      <c r="K3206" s="12" t="s">
        <v>447</v>
      </c>
      <c r="L3206" s="15" t="s">
        <v>12433</v>
      </c>
    </row>
    <row r="3207" spans="1:12" ht="90">
      <c r="A3207" s="8" t="s">
        <v>12434</v>
      </c>
      <c r="B3207" s="9" t="s">
        <v>12</v>
      </c>
      <c r="C3207" s="10" t="s">
        <v>443</v>
      </c>
      <c r="D3207" s="10" t="str">
        <f ca="1">IFERROR(__xludf.DUMMYFUNCTION(" VLOOKUP(A3204, IMPORTRANGE(""https://docs.google.com/spreadsheets/d/1fj_Bhi2XPL3siwIh4sx4VRLAe31yD50oKdj5UlRYW0c/"", ""Сводка!A:AA""), 11, FALSE)"),"978-601-327-840-7")</f>
        <v>978-601-327-840-7</v>
      </c>
      <c r="E3207" s="11" t="s">
        <v>12435</v>
      </c>
      <c r="F3207" s="11" t="s">
        <v>12436</v>
      </c>
      <c r="G3207" s="12">
        <f ca="1">IFERROR(__xludf.DUMMYFUNCTION(" VLOOKUP(A3204, IMPORTRANGE(""https://docs.google.com/spreadsheets/d/1fj_Bhi2XPL3siwIh4sx4VRLAe31yD50oKdj5UlRYW0c/"", ""Сводка!A:AA""), 5, FALSE)"),132)</f>
        <v>132</v>
      </c>
      <c r="H3207" s="12" t="s">
        <v>2664</v>
      </c>
      <c r="I3207" s="10">
        <f ca="1">IFERROR(__xludf.DUMMYFUNCTION(" VLOOKUP(A3204, IMPORTRANGE(""https://docs.google.com/spreadsheets/d/1QNLbnkR_AongFt22vMfNzfpjZ0CjpI8QI-w0wBnYA1w/"", ""Инфа!A:AA""), 6, FALSE)"),2024)</f>
        <v>2024</v>
      </c>
      <c r="J3207" s="5">
        <f ca="1">ROUND((5000+G3207*60),-2)</f>
        <v>12900</v>
      </c>
      <c r="K3207" s="12" t="s">
        <v>447</v>
      </c>
      <c r="L3207" s="15" t="s">
        <v>12437</v>
      </c>
    </row>
    <row r="3208" spans="1:12" ht="67.5">
      <c r="A3208" s="8" t="s">
        <v>12438</v>
      </c>
      <c r="B3208" s="9" t="s">
        <v>12</v>
      </c>
      <c r="C3208" s="10" t="s">
        <v>443</v>
      </c>
      <c r="D3208" s="10" t="str">
        <f ca="1">IFERROR(__xludf.DUMMYFUNCTION(" VLOOKUP(A3205, IMPORTRANGE(""https://docs.google.com/spreadsheets/d/1fj_Bhi2XPL3siwIh4sx4VRLAe31yD50oKdj5UlRYW0c/"", ""Сводка!A:AA""), 11, FALSE)"),"978-601-327-572-7")</f>
        <v>978-601-327-572-7</v>
      </c>
      <c r="E3208" s="11" t="s">
        <v>12439</v>
      </c>
      <c r="F3208" s="11" t="s">
        <v>12440</v>
      </c>
      <c r="G3208" s="12">
        <f ca="1">IFERROR(__xludf.DUMMYFUNCTION(" VLOOKUP(A3205, IMPORTRANGE(""https://docs.google.com/spreadsheets/d/1fj_Bhi2XPL3siwIh4sx4VRLAe31yD50oKdj5UlRYW0c/"", ""Сводка!A:AA""), 5, FALSE)"),72)</f>
        <v>72</v>
      </c>
      <c r="H3208" s="12" t="s">
        <v>777</v>
      </c>
      <c r="I3208" s="10">
        <f ca="1">IFERROR(__xludf.DUMMYFUNCTION(" VLOOKUP(A3205, IMPORTRANGE(""https://docs.google.com/spreadsheets/d/1QNLbnkR_AongFt22vMfNzfpjZ0CjpI8QI-w0wBnYA1w/"", ""Инфа!A:AA""), 6, FALSE)"),2024)</f>
        <v>2024</v>
      </c>
      <c r="J3208" s="5">
        <f ca="1">ROUND((5000+G3208*30),-2)</f>
        <v>7200</v>
      </c>
      <c r="K3208" s="9" t="s">
        <v>619</v>
      </c>
      <c r="L3208" s="15" t="s">
        <v>12441</v>
      </c>
    </row>
    <row r="3209" spans="1:12" ht="56.25">
      <c r="A3209" s="8" t="s">
        <v>12442</v>
      </c>
      <c r="B3209" s="9" t="s">
        <v>12</v>
      </c>
      <c r="C3209" s="10" t="s">
        <v>2342</v>
      </c>
      <c r="D3209" s="10" t="str">
        <f ca="1">IFERROR(__xludf.DUMMYFUNCTION(" VLOOKUP(A3206, IMPORTRANGE(""https://docs.google.com/spreadsheets/d/1fj_Bhi2XPL3siwIh4sx4VRLAe31yD50oKdj5UlRYW0c/"", ""Сводка!A:AA""), 11, FALSE)"),"978-601-327-571-0")</f>
        <v>978-601-327-571-0</v>
      </c>
      <c r="E3209" s="11" t="s">
        <v>12439</v>
      </c>
      <c r="F3209" s="11" t="s">
        <v>12443</v>
      </c>
      <c r="G3209" s="12">
        <f ca="1">IFERROR(__xludf.DUMMYFUNCTION(" VLOOKUP(A3206, IMPORTRANGE(""https://docs.google.com/spreadsheets/d/1fj_Bhi2XPL3siwIh4sx4VRLAe31yD50oKdj5UlRYW0c/"", ""Сводка!A:AA""), 5, FALSE)"),84)</f>
        <v>84</v>
      </c>
      <c r="H3209" s="12" t="s">
        <v>3419</v>
      </c>
      <c r="I3209" s="10">
        <f ca="1">IFERROR(__xludf.DUMMYFUNCTION(" VLOOKUP(A3206, IMPORTRANGE(""https://docs.google.com/spreadsheets/d/1QNLbnkR_AongFt22vMfNzfpjZ0CjpI8QI-w0wBnYA1w/"", ""Инфа!A:AA""), 6, FALSE)"),2024)</f>
        <v>2024</v>
      </c>
      <c r="J3209" s="5">
        <f ca="1">ROUND((5000+G3209*30),-2)</f>
        <v>7500</v>
      </c>
      <c r="K3209" s="9" t="s">
        <v>619</v>
      </c>
      <c r="L3209" s="15" t="s">
        <v>12444</v>
      </c>
    </row>
    <row r="3210" spans="1:12" ht="135">
      <c r="A3210" s="8" t="s">
        <v>12445</v>
      </c>
      <c r="B3210" s="9" t="s">
        <v>12</v>
      </c>
      <c r="C3210" s="10" t="s">
        <v>2342</v>
      </c>
      <c r="D3210" s="10" t="str">
        <f ca="1">IFERROR(__xludf.DUMMYFUNCTION(" VLOOKUP(A3207, IMPORTRANGE(""https://docs.google.com/spreadsheets/d/1fj_Bhi2XPL3siwIh4sx4VRLAe31yD50oKdj5UlRYW0c/"", ""Сводка!A:AA""), 11, FALSE)"),"978-601-327-567-3")</f>
        <v>978-601-327-567-3</v>
      </c>
      <c r="E3210" s="11" t="s">
        <v>12446</v>
      </c>
      <c r="F3210" s="11" t="s">
        <v>12447</v>
      </c>
      <c r="G3210" s="12">
        <f ca="1">IFERROR(__xludf.DUMMYFUNCTION(" VLOOKUP(A3207, IMPORTRANGE(""https://docs.google.com/spreadsheets/d/1fj_Bhi2XPL3siwIh4sx4VRLAe31yD50oKdj5UlRYW0c/"", ""Сводка!A:AA""), 5, FALSE)"),92)</f>
        <v>92</v>
      </c>
      <c r="H3210" s="12" t="s">
        <v>5552</v>
      </c>
      <c r="I3210" s="10">
        <f ca="1">IFERROR(__xludf.DUMMYFUNCTION(" VLOOKUP(A3207, IMPORTRANGE(""https://docs.google.com/spreadsheets/d/1QNLbnkR_AongFt22vMfNzfpjZ0CjpI8QI-w0wBnYA1w/"", ""Инфа!A:AA""), 6, FALSE)"),2024)</f>
        <v>2024</v>
      </c>
      <c r="J3210" s="5">
        <f ca="1">ROUND((5000+G3210*30),-2)</f>
        <v>7800</v>
      </c>
      <c r="K3210" s="9" t="s">
        <v>619</v>
      </c>
      <c r="L3210" s="15" t="s">
        <v>12448</v>
      </c>
    </row>
    <row r="3211" spans="1:12" ht="247.5">
      <c r="A3211" s="8" t="s">
        <v>12449</v>
      </c>
      <c r="B3211" s="9" t="s">
        <v>12</v>
      </c>
      <c r="C3211" s="10" t="s">
        <v>151</v>
      </c>
      <c r="D3211" s="10" t="str">
        <f ca="1">IFERROR(__xludf.DUMMYFUNCTION(" VLOOKUP(A3208, IMPORTRANGE(""https://docs.google.com/spreadsheets/d/1fj_Bhi2XPL3siwIh4sx4VRLAe31yD50oKdj5UlRYW0c/"", ""Сводка!A:AA""), 11, FALSE)"),"978-601-327-533-8")</f>
        <v>978-601-327-533-8</v>
      </c>
      <c r="E3211" s="11" t="s">
        <v>12450</v>
      </c>
      <c r="F3211" s="11" t="s">
        <v>12451</v>
      </c>
      <c r="G3211" s="12">
        <f ca="1">IFERROR(__xludf.DUMMYFUNCTION(" VLOOKUP(A3208, IMPORTRANGE(""https://docs.google.com/spreadsheets/d/1fj_Bhi2XPL3siwIh4sx4VRLAe31yD50oKdj5UlRYW0c/"", ""Сводка!A:AA""), 5, FALSE)"),148)</f>
        <v>148</v>
      </c>
      <c r="H3211" s="12" t="s">
        <v>47</v>
      </c>
      <c r="I3211" s="10">
        <f ca="1">IFERROR(__xludf.DUMMYFUNCTION(" VLOOKUP(A3208, IMPORTRANGE(""https://docs.google.com/spreadsheets/d/1QNLbnkR_AongFt22vMfNzfpjZ0CjpI8QI-w0wBnYA1w/"", ""Инфа!A:AA""), 6, FALSE)"),2024)</f>
        <v>2024</v>
      </c>
      <c r="J3211" s="5">
        <f ca="1">ROUND((5000+G3211*60),-2)</f>
        <v>13900</v>
      </c>
      <c r="K3211" s="9" t="s">
        <v>408</v>
      </c>
      <c r="L3211" s="15" t="s">
        <v>12452</v>
      </c>
    </row>
    <row r="3212" spans="1:12" ht="225">
      <c r="A3212" s="8" t="s">
        <v>12453</v>
      </c>
      <c r="B3212" s="9" t="s">
        <v>12</v>
      </c>
      <c r="C3212" s="10" t="s">
        <v>151</v>
      </c>
      <c r="D3212" s="10" t="str">
        <f ca="1">IFERROR(__xludf.DUMMYFUNCTION(" VLOOKUP(A3209, IMPORTRANGE(""https://docs.google.com/spreadsheets/d/1fj_Bhi2XPL3siwIh4sx4VRLAe31yD50oKdj5UlRYW0c/"", ""Сводка!A:AA""), 11, FALSE)"),"978-601-342-505-4")</f>
        <v>978-601-342-505-4</v>
      </c>
      <c r="E3212" s="11" t="s">
        <v>12454</v>
      </c>
      <c r="F3212" s="11" t="s">
        <v>12455</v>
      </c>
      <c r="G3212" s="12">
        <f ca="1">IFERROR(__xludf.DUMMYFUNCTION(" VLOOKUP(A3209, IMPORTRANGE(""https://docs.google.com/spreadsheets/d/1fj_Bhi2XPL3siwIh4sx4VRLAe31yD50oKdj5UlRYW0c/"", ""Сводка!A:AA""), 5, FALSE)"),124)</f>
        <v>124</v>
      </c>
      <c r="H3212" s="12" t="s">
        <v>9258</v>
      </c>
      <c r="I3212" s="10">
        <f ca="1">IFERROR(__xludf.DUMMYFUNCTION(" VLOOKUP(A3209, IMPORTRANGE(""https://docs.google.com/spreadsheets/d/1QNLbnkR_AongFt22vMfNzfpjZ0CjpI8QI-w0wBnYA1w/"", ""Инфа!A:AA""), 6, FALSE)"),2024)</f>
        <v>2024</v>
      </c>
      <c r="J3212" s="5">
        <f ca="1">ROUND((5000+G3212*30),-2)</f>
        <v>8700</v>
      </c>
      <c r="K3212" s="12" t="s">
        <v>570</v>
      </c>
      <c r="L3212" s="15" t="s">
        <v>12456</v>
      </c>
    </row>
    <row r="3213" spans="1:12" ht="157.5">
      <c r="A3213" s="8" t="s">
        <v>12457</v>
      </c>
      <c r="B3213" s="9" t="s">
        <v>12</v>
      </c>
      <c r="C3213" s="10" t="s">
        <v>443</v>
      </c>
      <c r="D3213" s="10" t="str">
        <f ca="1">IFERROR(__xludf.DUMMYFUNCTION(" VLOOKUP(A3210, IMPORTRANGE(""https://docs.google.com/spreadsheets/d/1fj_Bhi2XPL3siwIh4sx4VRLAe31yD50oKdj5UlRYW0c/"", ""Сводка!A:AA""), 11, FALSE)"),"978-601-7816-04-9")</f>
        <v>978-601-7816-04-9</v>
      </c>
      <c r="E3213" s="11" t="s">
        <v>12458</v>
      </c>
      <c r="F3213" s="11" t="s">
        <v>12459</v>
      </c>
      <c r="G3213" s="12">
        <f ca="1">IFERROR(__xludf.DUMMYFUNCTION(" VLOOKUP(A3210, IMPORTRANGE(""https://docs.google.com/spreadsheets/d/1fj_Bhi2XPL3siwIh4sx4VRLAe31yD50oKdj5UlRYW0c/"", ""Сводка!A:AA""), 5, FALSE)"),180)</f>
        <v>180</v>
      </c>
      <c r="H3213" s="12" t="s">
        <v>538</v>
      </c>
      <c r="I3213" s="10">
        <f ca="1">IFERROR(__xludf.DUMMYFUNCTION(" VLOOKUP(A3210, IMPORTRANGE(""https://docs.google.com/spreadsheets/d/1QNLbnkR_AongFt22vMfNzfpjZ0CjpI8QI-w0wBnYA1w/"", ""Инфа!A:AA""), 6, FALSE)"),2024)</f>
        <v>2024</v>
      </c>
      <c r="J3213" s="5">
        <f ca="1">ROUND((5000+G3213*60),-2)</f>
        <v>15800</v>
      </c>
      <c r="K3213" s="12" t="s">
        <v>1947</v>
      </c>
      <c r="L3213" s="15" t="s">
        <v>12460</v>
      </c>
    </row>
    <row r="3214" spans="1:12" ht="63.75">
      <c r="A3214" s="8" t="s">
        <v>12461</v>
      </c>
      <c r="B3214" s="9" t="s">
        <v>12</v>
      </c>
      <c r="C3214" s="10" t="s">
        <v>443</v>
      </c>
      <c r="D3214" s="10" t="str">
        <f ca="1">IFERROR(__xludf.DUMMYFUNCTION(" VLOOKUP(A3211, IMPORTRANGE(""https://docs.google.com/spreadsheets/d/1fj_Bhi2XPL3siwIh4sx4VRLAe31yD50oKdj5UlRYW0c/"", ""Сводка!A:AA""), 11, FALSE)"),"978-601-327-898-8")</f>
        <v>978-601-327-898-8</v>
      </c>
      <c r="E3214" s="11" t="s">
        <v>12462</v>
      </c>
      <c r="F3214" s="11" t="s">
        <v>12463</v>
      </c>
      <c r="G3214" s="12">
        <f ca="1">IFERROR(__xludf.DUMMYFUNCTION(" VLOOKUP(A3211, IMPORTRANGE(""https://docs.google.com/spreadsheets/d/1fj_Bhi2XPL3siwIh4sx4VRLAe31yD50oKdj5UlRYW0c/"", ""Сводка!A:AA""), 5, FALSE)"),152)</f>
        <v>152</v>
      </c>
      <c r="H3214" s="12" t="s">
        <v>24</v>
      </c>
      <c r="I3214" s="10">
        <f ca="1">IFERROR(__xludf.DUMMYFUNCTION(" VLOOKUP(A3211, IMPORTRANGE(""https://docs.google.com/spreadsheets/d/1QNLbnkR_AongFt22vMfNzfpjZ0CjpI8QI-w0wBnYA1w/"", ""Инфа!A:AA""), 6, FALSE)"),2024)</f>
        <v>2024</v>
      </c>
      <c r="J3214" s="5">
        <f ca="1">ROUND((5000+G3214*30),-2)</f>
        <v>9600</v>
      </c>
      <c r="K3214" s="12" t="s">
        <v>2421</v>
      </c>
      <c r="L3214" s="15" t="s">
        <v>12464</v>
      </c>
    </row>
    <row r="3215" spans="1:12" ht="33.75">
      <c r="A3215" s="8" t="s">
        <v>12465</v>
      </c>
      <c r="B3215" s="9" t="s">
        <v>12</v>
      </c>
      <c r="C3215" s="10" t="s">
        <v>443</v>
      </c>
      <c r="D3215" s="10" t="str">
        <f ca="1">IFERROR(__xludf.DUMMYFUNCTION(" VLOOKUP(A3212, IMPORTRANGE(""https://docs.google.com/spreadsheets/d/1fj_Bhi2XPL3siwIh4sx4VRLAe31yD50oKdj5UlRYW0c/"", ""Сводка!A:AA""), 11, FALSE)"),"978-601-327-187-3")</f>
        <v>978-601-327-187-3</v>
      </c>
      <c r="E3215" s="11" t="s">
        <v>12466</v>
      </c>
      <c r="F3215" s="11" t="s">
        <v>972</v>
      </c>
      <c r="G3215" s="12">
        <f ca="1">IFERROR(__xludf.DUMMYFUNCTION(" VLOOKUP(A3212, IMPORTRANGE(""https://docs.google.com/spreadsheets/d/1fj_Bhi2XPL3siwIh4sx4VRLAe31yD50oKdj5UlRYW0c/"", ""Сводка!A:AA""), 5, FALSE)"),252)</f>
        <v>252</v>
      </c>
      <c r="H3215" s="12"/>
      <c r="I3215" s="10">
        <f ca="1">IFERROR(__xludf.DUMMYFUNCTION(" VLOOKUP(A3212, IMPORTRANGE(""https://docs.google.com/spreadsheets/d/1QNLbnkR_AongFt22vMfNzfpjZ0CjpI8QI-w0wBnYA1w/"", ""Инфа!A:AA""), 6, FALSE)"),2024)</f>
        <v>2024</v>
      </c>
      <c r="J3215" s="5">
        <f ca="1">ROUND((5000+G3215*30),-2)</f>
        <v>12600</v>
      </c>
      <c r="K3215" s="12" t="s">
        <v>160</v>
      </c>
      <c r="L3215" s="15" t="s">
        <v>12467</v>
      </c>
    </row>
    <row r="3216" spans="1:12" ht="146.25">
      <c r="A3216" s="8" t="s">
        <v>12468</v>
      </c>
      <c r="B3216" s="9" t="s">
        <v>12</v>
      </c>
      <c r="C3216" s="10" t="s">
        <v>151</v>
      </c>
      <c r="D3216" s="10" t="str">
        <f ca="1">IFERROR(__xludf.DUMMYFUNCTION(" VLOOKUP(A3213, IMPORTRANGE(""https://docs.google.com/spreadsheets/d/1fj_Bhi2XPL3siwIh4sx4VRLAe31yD50oKdj5UlRYW0c/"", ""Сводка!A:AA""), 11, FALSE)"),"978–9965–440–50-2")</f>
        <v>978–9965–440–50-2</v>
      </c>
      <c r="E3216" s="11" t="s">
        <v>12469</v>
      </c>
      <c r="F3216" s="11" t="s">
        <v>12470</v>
      </c>
      <c r="G3216" s="12">
        <f ca="1">IFERROR(__xludf.DUMMYFUNCTION(" VLOOKUP(A3213, IMPORTRANGE(""https://docs.google.com/spreadsheets/d/1fj_Bhi2XPL3siwIh4sx4VRLAe31yD50oKdj5UlRYW0c/"", ""Сводка!A:AA""), 5, FALSE)"),140)</f>
        <v>140</v>
      </c>
      <c r="H3216" s="12" t="s">
        <v>24</v>
      </c>
      <c r="I3216" s="10">
        <f ca="1">IFERROR(__xludf.DUMMYFUNCTION(" VLOOKUP(A3213, IMPORTRANGE(""https://docs.google.com/spreadsheets/d/1QNLbnkR_AongFt22vMfNzfpjZ0CjpI8QI-w0wBnYA1w/"", ""Инфа!A:AA""), 6, FALSE)"),2024)</f>
        <v>2024</v>
      </c>
      <c r="J3216" s="5">
        <f ca="1">ROUND((5000+G3216*30),-2)</f>
        <v>9200</v>
      </c>
      <c r="K3216" s="12" t="s">
        <v>69</v>
      </c>
      <c r="L3216" s="16" t="s">
        <v>12471</v>
      </c>
    </row>
    <row r="3217" spans="1:12" ht="90">
      <c r="A3217" s="8" t="s">
        <v>12472</v>
      </c>
      <c r="B3217" s="9" t="s">
        <v>12</v>
      </c>
      <c r="C3217" s="13" t="s">
        <v>151</v>
      </c>
      <c r="D3217" s="10" t="str">
        <f ca="1">IFERROR(__xludf.DUMMYFUNCTION(" VLOOKUP(A3214, IMPORTRANGE(""https://docs.google.com/spreadsheets/d/1fj_Bhi2XPL3siwIh4sx4VRLAe31yD50oKdj5UlRYW0c/"", ""Сводка!A:AA""), 11, FALSE)"),"978-601-342-465-1")</f>
        <v>978-601-342-465-1</v>
      </c>
      <c r="E3217" s="19" t="s">
        <v>12473</v>
      </c>
      <c r="F3217" s="19" t="s">
        <v>12474</v>
      </c>
      <c r="G3217" s="12">
        <f ca="1">IFERROR(__xludf.DUMMYFUNCTION(" VLOOKUP(A3214, IMPORTRANGE(""https://docs.google.com/spreadsheets/d/1fj_Bhi2XPL3siwIh4sx4VRLAe31yD50oKdj5UlRYW0c/"", ""Сводка!A:AA""), 5, FALSE)"),104)</f>
        <v>104</v>
      </c>
      <c r="H3217" s="9" t="s">
        <v>24</v>
      </c>
      <c r="I3217" s="10">
        <f ca="1">IFERROR(__xludf.DUMMYFUNCTION(" VLOOKUP(A3214, IMPORTRANGE(""https://docs.google.com/spreadsheets/d/1QNLbnkR_AongFt22vMfNzfpjZ0CjpI8QI-w0wBnYA1w/"", ""Инфа!A:AA""), 6, FALSE)"),2024)</f>
        <v>2024</v>
      </c>
      <c r="J3217" s="5">
        <f ca="1">ROUND((5000+G3217*60),-2)</f>
        <v>11200</v>
      </c>
      <c r="K3217" s="9" t="s">
        <v>69</v>
      </c>
      <c r="L3217" s="21" t="s">
        <v>12475</v>
      </c>
    </row>
    <row r="3218" spans="1:12" ht="101.25">
      <c r="A3218" s="8" t="s">
        <v>12476</v>
      </c>
      <c r="B3218" s="9" t="s">
        <v>12</v>
      </c>
      <c r="C3218" s="10" t="s">
        <v>151</v>
      </c>
      <c r="D3218" s="10" t="str">
        <f ca="1">IFERROR(__xludf.DUMMYFUNCTION(" VLOOKUP(A3215, IMPORTRANGE(""https://docs.google.com/spreadsheets/d/1fj_Bhi2XPL3siwIh4sx4VRLAe31yD50oKdj5UlRYW0c/"", ""Сводка!A:AA""), 11, FALSE)"),"978-601-327-649-6")</f>
        <v>978-601-327-649-6</v>
      </c>
      <c r="E3218" s="11" t="s">
        <v>12477</v>
      </c>
      <c r="F3218" s="11" t="s">
        <v>12478</v>
      </c>
      <c r="G3218" s="12">
        <f ca="1">IFERROR(__xludf.DUMMYFUNCTION(" VLOOKUP(A3215, IMPORTRANGE(""https://docs.google.com/spreadsheets/d/1fj_Bhi2XPL3siwIh4sx4VRLAe31yD50oKdj5UlRYW0c/"", ""Сводка!A:AA""), 5, FALSE)"),152)</f>
        <v>152</v>
      </c>
      <c r="H3218" s="12" t="s">
        <v>47</v>
      </c>
      <c r="I3218" s="10">
        <f ca="1">IFERROR(__xludf.DUMMYFUNCTION(" VLOOKUP(A3215, IMPORTRANGE(""https://docs.google.com/spreadsheets/d/1QNLbnkR_AongFt22vMfNzfpjZ0CjpI8QI-w0wBnYA1w/"", ""Инфа!A:AA""), 6, FALSE)"),2024)</f>
        <v>2024</v>
      </c>
      <c r="J3218" s="5">
        <f ca="1">ROUND((5000+G3218*60),-2)</f>
        <v>14100</v>
      </c>
      <c r="K3218" s="12" t="s">
        <v>17</v>
      </c>
      <c r="L3218" s="15" t="s">
        <v>12479</v>
      </c>
    </row>
    <row r="3219" spans="1:12" ht="112.5">
      <c r="A3219" s="8" t="s">
        <v>12480</v>
      </c>
      <c r="B3219" s="9" t="s">
        <v>12</v>
      </c>
      <c r="C3219" s="10" t="s">
        <v>443</v>
      </c>
      <c r="D3219" s="10" t="str">
        <f ca="1">IFERROR(__xludf.DUMMYFUNCTION(" VLOOKUP(A3216, IMPORTRANGE(""https://docs.google.com/spreadsheets/d/1fj_Bhi2XPL3siwIh4sx4VRLAe31yD50oKdj5UlRYW0c/"", ""Сводка!A:AA""), 11, FALSE)"),"978-601-327-648-9")</f>
        <v>978-601-327-648-9</v>
      </c>
      <c r="E3219" s="11" t="s">
        <v>12477</v>
      </c>
      <c r="F3219" s="11" t="s">
        <v>12481</v>
      </c>
      <c r="G3219" s="12">
        <f ca="1">IFERROR(__xludf.DUMMYFUNCTION(" VLOOKUP(A3216, IMPORTRANGE(""https://docs.google.com/spreadsheets/d/1fj_Bhi2XPL3siwIh4sx4VRLAe31yD50oKdj5UlRYW0c/"", ""Сводка!A:AA""), 5, FALSE)"),136)</f>
        <v>136</v>
      </c>
      <c r="H3219" s="12" t="s">
        <v>538</v>
      </c>
      <c r="I3219" s="10">
        <f ca="1">IFERROR(__xludf.DUMMYFUNCTION(" VLOOKUP(A3216, IMPORTRANGE(""https://docs.google.com/spreadsheets/d/1QNLbnkR_AongFt22vMfNzfpjZ0CjpI8QI-w0wBnYA1w/"", ""Инфа!A:AA""), 6, FALSE)"),2024)</f>
        <v>2024</v>
      </c>
      <c r="J3219" s="5">
        <f ca="1">ROUND((5000+G3219*30),-2)</f>
        <v>9100</v>
      </c>
      <c r="K3219" s="12" t="s">
        <v>17</v>
      </c>
      <c r="L3219" s="15" t="s">
        <v>12482</v>
      </c>
    </row>
    <row r="3220" spans="1:12" ht="101.25">
      <c r="A3220" s="8" t="s">
        <v>12483</v>
      </c>
      <c r="B3220" s="9" t="s">
        <v>12</v>
      </c>
      <c r="C3220" s="10" t="s">
        <v>151</v>
      </c>
      <c r="D3220" s="10" t="str">
        <f ca="1">IFERROR(__xludf.DUMMYFUNCTION(" VLOOKUP(A3217, IMPORTRANGE(""https://docs.google.com/spreadsheets/d/1fj_Bhi2XPL3siwIh4sx4VRLAe31yD50oKdj5UlRYW0c/"", ""Сводка!A:AA""), 11, FALSE)"),"978-601-327-817-9")</f>
        <v>978-601-327-817-9</v>
      </c>
      <c r="E3220" s="11" t="s">
        <v>12477</v>
      </c>
      <c r="F3220" s="11" t="s">
        <v>12484</v>
      </c>
      <c r="G3220" s="12">
        <f ca="1">IFERROR(__xludf.DUMMYFUNCTION(" VLOOKUP(A3217, IMPORTRANGE(""https://docs.google.com/spreadsheets/d/1fj_Bhi2XPL3siwIh4sx4VRLAe31yD50oKdj5UlRYW0c/"", ""Сводка!A:AA""), 5, FALSE)"),76)</f>
        <v>76</v>
      </c>
      <c r="H3220" s="12" t="s">
        <v>12425</v>
      </c>
      <c r="I3220" s="10">
        <f ca="1">IFERROR(__xludf.DUMMYFUNCTION(" VLOOKUP(A3217, IMPORTRANGE(""https://docs.google.com/spreadsheets/d/1QNLbnkR_AongFt22vMfNzfpjZ0CjpI8QI-w0wBnYA1w/"", ""Инфа!A:AA""), 6, FALSE)"),2024)</f>
        <v>2024</v>
      </c>
      <c r="J3220" s="5">
        <f ca="1">ROUND((5000+G3220*30),-2)</f>
        <v>7300</v>
      </c>
      <c r="K3220" s="12" t="s">
        <v>17</v>
      </c>
      <c r="L3220" s="15" t="s">
        <v>12485</v>
      </c>
    </row>
    <row r="3221" spans="1:12" ht="140.25">
      <c r="A3221" s="8" t="s">
        <v>12486</v>
      </c>
      <c r="B3221" s="9" t="s">
        <v>12</v>
      </c>
      <c r="C3221" s="10" t="s">
        <v>443</v>
      </c>
      <c r="D3221" s="10" t="str">
        <f ca="1">IFERROR(__xludf.DUMMYFUNCTION(" VLOOKUP(A3218, IMPORTRANGE(""https://docs.google.com/spreadsheets/d/1fj_Bhi2XPL3siwIh4sx4VRLAe31yD50oKdj5UlRYW0c/"", ""Сводка!A:AA""), 11, FALSE)"),"978-601-327-818-6")</f>
        <v>978-601-327-818-6</v>
      </c>
      <c r="E3221" s="11" t="s">
        <v>12477</v>
      </c>
      <c r="F3221" s="11" t="s">
        <v>12487</v>
      </c>
      <c r="G3221" s="12">
        <f ca="1">IFERROR(__xludf.DUMMYFUNCTION(" VLOOKUP(A3218, IMPORTRANGE(""https://docs.google.com/spreadsheets/d/1fj_Bhi2XPL3siwIh4sx4VRLAe31yD50oKdj5UlRYW0c/"", ""Сводка!A:AA""), 5, FALSE)"),76)</f>
        <v>76</v>
      </c>
      <c r="H3221" s="12" t="s">
        <v>556</v>
      </c>
      <c r="I3221" s="10">
        <f ca="1">IFERROR(__xludf.DUMMYFUNCTION(" VLOOKUP(A3218, IMPORTRANGE(""https://docs.google.com/spreadsheets/d/1QNLbnkR_AongFt22vMfNzfpjZ0CjpI8QI-w0wBnYA1w/"", ""Инфа!A:AA""), 6, FALSE)"),2024)</f>
        <v>2024</v>
      </c>
      <c r="J3221" s="5">
        <f ca="1">ROUND((5000+G3221*30),-2)</f>
        <v>7300</v>
      </c>
      <c r="K3221" s="12" t="s">
        <v>17</v>
      </c>
      <c r="L3221" s="15" t="s">
        <v>12488</v>
      </c>
    </row>
    <row r="3222" spans="1:12" ht="146.25">
      <c r="A3222" s="8" t="s">
        <v>12489</v>
      </c>
      <c r="B3222" s="9" t="s">
        <v>12</v>
      </c>
      <c r="C3222" s="10" t="s">
        <v>443</v>
      </c>
      <c r="D3222" s="10" t="str">
        <f ca="1">IFERROR(__xludf.DUMMYFUNCTION(" VLOOKUP(A3219, IMPORTRANGE(""https://docs.google.com/spreadsheets/d/1fj_Bhi2XPL3siwIh4sx4VRLAe31yD50oKdj5UlRYW0c/"", ""Сводка!A:AA""), 11, FALSE)"),"978-601-310-036-4")</f>
        <v>978-601-310-036-4</v>
      </c>
      <c r="E3222" s="11" t="s">
        <v>12490</v>
      </c>
      <c r="F3222" s="11" t="s">
        <v>12491</v>
      </c>
      <c r="G3222" s="12">
        <f ca="1">IFERROR(__xludf.DUMMYFUNCTION(" VLOOKUP(A3219, IMPORTRANGE(""https://docs.google.com/spreadsheets/d/1fj_Bhi2XPL3siwIh4sx4VRLAe31yD50oKdj5UlRYW0c/"", ""Сводка!A:AA""), 5, FALSE)"),88)</f>
        <v>88</v>
      </c>
      <c r="H3222" s="12" t="s">
        <v>538</v>
      </c>
      <c r="I3222" s="10">
        <f ca="1">IFERROR(__xludf.DUMMYFUNCTION(" VLOOKUP(A3219, IMPORTRANGE(""https://docs.google.com/spreadsheets/d/1QNLbnkR_AongFt22vMfNzfpjZ0CjpI8QI-w0wBnYA1w/"", ""Инфа!A:AA""), 6, FALSE)"),2024)</f>
        <v>2024</v>
      </c>
      <c r="J3222" s="5">
        <f ca="1">ROUND((5000+G3222*60),-2)</f>
        <v>10300</v>
      </c>
      <c r="K3222" s="12" t="s">
        <v>308</v>
      </c>
      <c r="L3222" s="15" t="s">
        <v>12492</v>
      </c>
    </row>
    <row r="3223" spans="1:12" ht="135">
      <c r="A3223" s="8" t="s">
        <v>12493</v>
      </c>
      <c r="B3223" s="9" t="s">
        <v>12</v>
      </c>
      <c r="C3223" s="10" t="s">
        <v>151</v>
      </c>
      <c r="D3223" s="10" t="str">
        <f ca="1">IFERROR(__xludf.DUMMYFUNCTION(" VLOOKUP(A3220, IMPORTRANGE(""https://docs.google.com/spreadsheets/d/1fj_Bhi2XPL3siwIh4sx4VRLAe31yD50oKdj5UlRYW0c/"", ""Сводка!A:AA""), 11, FALSE)"),"978-601-240-976-5")</f>
        <v>978-601-240-976-5</v>
      </c>
      <c r="E3223" s="11" t="s">
        <v>12490</v>
      </c>
      <c r="F3223" s="11" t="s">
        <v>12494</v>
      </c>
      <c r="G3223" s="12">
        <f ca="1">IFERROR(__xludf.DUMMYFUNCTION(" VLOOKUP(A3220, IMPORTRANGE(""https://docs.google.com/spreadsheets/d/1fj_Bhi2XPL3siwIh4sx4VRLAe31yD50oKdj5UlRYW0c/"", ""Сводка!A:AA""), 5, FALSE)"),104)</f>
        <v>104</v>
      </c>
      <c r="H3223" s="12" t="s">
        <v>47</v>
      </c>
      <c r="I3223" s="10">
        <f ca="1">IFERROR(__xludf.DUMMYFUNCTION(" VLOOKUP(A3220, IMPORTRANGE(""https://docs.google.com/spreadsheets/d/1QNLbnkR_AongFt22vMfNzfpjZ0CjpI8QI-w0wBnYA1w/"", ""Инфа!A:AA""), 6, FALSE)"),2024)</f>
        <v>2024</v>
      </c>
      <c r="J3223" s="5">
        <f ca="1">ROUND((5000+G3223*60),-2)</f>
        <v>11200</v>
      </c>
      <c r="K3223" s="12" t="s">
        <v>308</v>
      </c>
      <c r="L3223" s="15" t="s">
        <v>12495</v>
      </c>
    </row>
    <row r="3224" spans="1:12" ht="51">
      <c r="A3224" s="8" t="s">
        <v>12496</v>
      </c>
      <c r="B3224" s="9" t="s">
        <v>12</v>
      </c>
      <c r="C3224" s="10" t="s">
        <v>151</v>
      </c>
      <c r="D3224" s="10" t="str">
        <f ca="1">IFERROR(__xludf.DUMMYFUNCTION(" VLOOKUP(A3221, IMPORTRANGE(""https://docs.google.com/spreadsheets/d/1fj_Bhi2XPL3siwIh4sx4VRLAe31yD50oKdj5UlRYW0c/"", ""Сводка!A:AA""), 11, FALSE)"),"978-601-342-116-2")</f>
        <v>978-601-342-116-2</v>
      </c>
      <c r="E3224" s="25" t="s">
        <v>12497</v>
      </c>
      <c r="F3224" s="25" t="s">
        <v>12498</v>
      </c>
      <c r="G3224" s="12">
        <f ca="1">IFERROR(__xludf.DUMMYFUNCTION(" VLOOKUP(A3221, IMPORTRANGE(""https://docs.google.com/spreadsheets/d/1fj_Bhi2XPL3siwIh4sx4VRLAe31yD50oKdj5UlRYW0c/"", ""Сводка!A:AA""), 5, FALSE)"),216)</f>
        <v>216</v>
      </c>
      <c r="H3224" s="26" t="s">
        <v>1870</v>
      </c>
      <c r="I3224" s="10">
        <f ca="1">IFERROR(__xludf.DUMMYFUNCTION(" VLOOKUP(A3221, IMPORTRANGE(""https://docs.google.com/spreadsheets/d/1QNLbnkR_AongFt22vMfNzfpjZ0CjpI8QI-w0wBnYA1w/"", ""Инфа!A:AA""), 6, FALSE)"),2024)</f>
        <v>2024</v>
      </c>
      <c r="J3224" s="5">
        <f t="shared" ref="J3224:J3236" ca="1" si="103">ROUND((5000+G3224*30),-2)</f>
        <v>11500</v>
      </c>
      <c r="K3224" s="12" t="s">
        <v>26</v>
      </c>
      <c r="L3224" s="15"/>
    </row>
    <row r="3225" spans="1:12" ht="51">
      <c r="A3225" s="8" t="s">
        <v>12499</v>
      </c>
      <c r="B3225" s="9" t="s">
        <v>12</v>
      </c>
      <c r="C3225" s="10" t="s">
        <v>151</v>
      </c>
      <c r="D3225" s="10" t="str">
        <f ca="1">IFERROR(__xludf.DUMMYFUNCTION(" VLOOKUP(A3222, IMPORTRANGE(""https://docs.google.com/spreadsheets/d/1fj_Bhi2XPL3siwIh4sx4VRLAe31yD50oKdj5UlRYW0c/"", ""Сводка!A:AA""), 11, FALSE)"),"978-601-342-116-2")</f>
        <v>978-601-342-116-2</v>
      </c>
      <c r="E3225" s="25" t="s">
        <v>12497</v>
      </c>
      <c r="F3225" s="25" t="s">
        <v>12500</v>
      </c>
      <c r="G3225" s="12">
        <f ca="1">IFERROR(__xludf.DUMMYFUNCTION(" VLOOKUP(A3222, IMPORTRANGE(""https://docs.google.com/spreadsheets/d/1fj_Bhi2XPL3siwIh4sx4VRLAe31yD50oKdj5UlRYW0c/"", ""Сводка!A:AA""), 5, FALSE)"),134)</f>
        <v>134</v>
      </c>
      <c r="H3225" s="26" t="s">
        <v>1870</v>
      </c>
      <c r="I3225" s="10">
        <f ca="1">IFERROR(__xludf.DUMMYFUNCTION(" VLOOKUP(A3222, IMPORTRANGE(""https://docs.google.com/spreadsheets/d/1QNLbnkR_AongFt22vMfNzfpjZ0CjpI8QI-w0wBnYA1w/"", ""Инфа!A:AA""), 6, FALSE)"),2024)</f>
        <v>2024</v>
      </c>
      <c r="J3225" s="5">
        <f t="shared" ca="1" si="103"/>
        <v>9000</v>
      </c>
      <c r="K3225" s="12" t="s">
        <v>26</v>
      </c>
      <c r="L3225" s="15"/>
    </row>
    <row r="3226" spans="1:12" ht="51">
      <c r="A3226" s="8" t="s">
        <v>12501</v>
      </c>
      <c r="B3226" s="9" t="s">
        <v>12</v>
      </c>
      <c r="C3226" s="10" t="s">
        <v>151</v>
      </c>
      <c r="D3226" s="10" t="str">
        <f ca="1">IFERROR(__xludf.DUMMYFUNCTION(" VLOOKUP(A3223, IMPORTRANGE(""https://docs.google.com/spreadsheets/d/1fj_Bhi2XPL3siwIh4sx4VRLAe31yD50oKdj5UlRYW0c/"", ""Сводка!A:AA""), 11, FALSE)"),"978-601-342-116-2")</f>
        <v>978-601-342-116-2</v>
      </c>
      <c r="E3226" s="25" t="s">
        <v>12497</v>
      </c>
      <c r="F3226" s="25" t="s">
        <v>12502</v>
      </c>
      <c r="G3226" s="12">
        <f ca="1">IFERROR(__xludf.DUMMYFUNCTION(" VLOOKUP(A3223, IMPORTRANGE(""https://docs.google.com/spreadsheets/d/1fj_Bhi2XPL3siwIh4sx4VRLAe31yD50oKdj5UlRYW0c/"", ""Сводка!A:AA""), 5, FALSE)"),180)</f>
        <v>180</v>
      </c>
      <c r="H3226" s="26" t="s">
        <v>1870</v>
      </c>
      <c r="I3226" s="10">
        <f ca="1">IFERROR(__xludf.DUMMYFUNCTION(" VLOOKUP(A3223, IMPORTRANGE(""https://docs.google.com/spreadsheets/d/1QNLbnkR_AongFt22vMfNzfpjZ0CjpI8QI-w0wBnYA1w/"", ""Инфа!A:AA""), 6, FALSE)"),2024)</f>
        <v>2024</v>
      </c>
      <c r="J3226" s="5">
        <f t="shared" ca="1" si="103"/>
        <v>10400</v>
      </c>
      <c r="K3226" s="12" t="s">
        <v>26</v>
      </c>
      <c r="L3226" s="15"/>
    </row>
    <row r="3227" spans="1:12" ht="51">
      <c r="A3227" s="8" t="s">
        <v>12503</v>
      </c>
      <c r="B3227" s="9" t="s">
        <v>12</v>
      </c>
      <c r="C3227" s="10" t="s">
        <v>151</v>
      </c>
      <c r="D3227" s="10" t="str">
        <f ca="1">IFERROR(__xludf.DUMMYFUNCTION(" VLOOKUP(A3224, IMPORTRANGE(""https://docs.google.com/spreadsheets/d/1fj_Bhi2XPL3siwIh4sx4VRLAe31yD50oKdj5UlRYW0c/"", ""Сводка!A:AA""), 11, FALSE)"),"978-601-342-116-2")</f>
        <v>978-601-342-116-2</v>
      </c>
      <c r="E3227" s="25" t="s">
        <v>12497</v>
      </c>
      <c r="F3227" s="25" t="s">
        <v>12504</v>
      </c>
      <c r="G3227" s="12">
        <f ca="1">IFERROR(__xludf.DUMMYFUNCTION(" VLOOKUP(A3224, IMPORTRANGE(""https://docs.google.com/spreadsheets/d/1fj_Bhi2XPL3siwIh4sx4VRLAe31yD50oKdj5UlRYW0c/"", ""Сводка!A:AA""), 5, FALSE)"),160)</f>
        <v>160</v>
      </c>
      <c r="H3227" s="26" t="s">
        <v>1870</v>
      </c>
      <c r="I3227" s="10">
        <f ca="1">IFERROR(__xludf.DUMMYFUNCTION(" VLOOKUP(A3224, IMPORTRANGE(""https://docs.google.com/spreadsheets/d/1QNLbnkR_AongFt22vMfNzfpjZ0CjpI8QI-w0wBnYA1w/"", ""Инфа!A:AA""), 6, FALSE)"),2024)</f>
        <v>2024</v>
      </c>
      <c r="J3227" s="5">
        <f t="shared" ca="1" si="103"/>
        <v>9800</v>
      </c>
      <c r="K3227" s="12" t="s">
        <v>26</v>
      </c>
      <c r="L3227" s="15"/>
    </row>
    <row r="3228" spans="1:12" ht="101.25">
      <c r="A3228" s="8" t="s">
        <v>12505</v>
      </c>
      <c r="B3228" s="9" t="s">
        <v>12</v>
      </c>
      <c r="C3228" s="10" t="s">
        <v>151</v>
      </c>
      <c r="D3228" s="10" t="str">
        <f ca="1">IFERROR(__xludf.DUMMYFUNCTION(" VLOOKUP(A3225, IMPORTRANGE(""https://docs.google.com/spreadsheets/d/1fj_Bhi2XPL3siwIh4sx4VRLAe31yD50oKdj5UlRYW0c/"", ""Сводка!A:AA""), 11, FALSE)"),"978-601-13-0469-6")</f>
        <v>978-601-13-0469-6</v>
      </c>
      <c r="E3228" s="11" t="s">
        <v>12506</v>
      </c>
      <c r="F3228" s="11" t="s">
        <v>12507</v>
      </c>
      <c r="G3228" s="12">
        <f ca="1">IFERROR(__xludf.DUMMYFUNCTION(" VLOOKUP(A3225, IMPORTRANGE(""https://docs.google.com/spreadsheets/d/1fj_Bhi2XPL3siwIh4sx4VRLAe31yD50oKdj5UlRYW0c/"", ""Сводка!A:AA""), 5, FALSE)"),232)</f>
        <v>232</v>
      </c>
      <c r="H3228" s="12" t="s">
        <v>47</v>
      </c>
      <c r="I3228" s="10">
        <f ca="1">IFERROR(__xludf.DUMMYFUNCTION(" VLOOKUP(A3225, IMPORTRANGE(""https://docs.google.com/spreadsheets/d/1QNLbnkR_AongFt22vMfNzfpjZ0CjpI8QI-w0wBnYA1w/"", ""Инфа!A:AA""), 6, FALSE)"),2024)</f>
        <v>2024</v>
      </c>
      <c r="J3228" s="5">
        <f t="shared" ca="1" si="103"/>
        <v>12000</v>
      </c>
      <c r="K3228" s="12" t="s">
        <v>26</v>
      </c>
      <c r="L3228" s="15" t="s">
        <v>12508</v>
      </c>
    </row>
    <row r="3229" spans="1:12" ht="101.25">
      <c r="A3229" s="8" t="s">
        <v>12509</v>
      </c>
      <c r="B3229" s="9" t="s">
        <v>12</v>
      </c>
      <c r="C3229" s="10" t="s">
        <v>151</v>
      </c>
      <c r="D3229" s="10" t="str">
        <f ca="1">IFERROR(__xludf.DUMMYFUNCTION(" VLOOKUP(A3226, IMPORTRANGE(""https://docs.google.com/spreadsheets/d/1fj_Bhi2XPL3siwIh4sx4VRLAe31yD50oKdj5UlRYW0c/"", ""Сводка!A:AA""), 11, FALSE)"),"978-601-13-0469-6")</f>
        <v>978-601-13-0469-6</v>
      </c>
      <c r="E3229" s="11" t="s">
        <v>12506</v>
      </c>
      <c r="F3229" s="11" t="s">
        <v>12510</v>
      </c>
      <c r="G3229" s="12">
        <f ca="1">IFERROR(__xludf.DUMMYFUNCTION(" VLOOKUP(A3226, IMPORTRANGE(""https://docs.google.com/spreadsheets/d/1fj_Bhi2XPL3siwIh4sx4VRLAe31yD50oKdj5UlRYW0c/"", ""Сводка!A:AA""), 5, FALSE)"),236)</f>
        <v>236</v>
      </c>
      <c r="H3229" s="12" t="s">
        <v>47</v>
      </c>
      <c r="I3229" s="10">
        <f ca="1">IFERROR(__xludf.DUMMYFUNCTION(" VLOOKUP(A3226, IMPORTRANGE(""https://docs.google.com/spreadsheets/d/1QNLbnkR_AongFt22vMfNzfpjZ0CjpI8QI-w0wBnYA1w/"", ""Инфа!A:AA""), 6, FALSE)"),2024)</f>
        <v>2024</v>
      </c>
      <c r="J3229" s="5">
        <f t="shared" ca="1" si="103"/>
        <v>12100</v>
      </c>
      <c r="K3229" s="12" t="s">
        <v>26</v>
      </c>
      <c r="L3229" s="15" t="s">
        <v>12508</v>
      </c>
    </row>
    <row r="3230" spans="1:12" ht="236.25">
      <c r="A3230" s="8" t="s">
        <v>12511</v>
      </c>
      <c r="B3230" s="9" t="s">
        <v>12</v>
      </c>
      <c r="C3230" s="10" t="s">
        <v>151</v>
      </c>
      <c r="D3230" s="10" t="str">
        <f ca="1">IFERROR(__xludf.DUMMYFUNCTION(" VLOOKUP(A3227, IMPORTRANGE(""https://docs.google.com/spreadsheets/d/1fj_Bhi2XPL3siwIh4sx4VRLAe31yD50oKdj5UlRYW0c/"", ""Сводка!A:AA""), 11, FALSE)"),"978-601-342-973-5")</f>
        <v>978-601-342-973-5</v>
      </c>
      <c r="E3230" s="11" t="s">
        <v>12512</v>
      </c>
      <c r="F3230" s="11" t="s">
        <v>12513</v>
      </c>
      <c r="G3230" s="12">
        <f ca="1">IFERROR(__xludf.DUMMYFUNCTION(" VLOOKUP(A3227, IMPORTRANGE(""https://docs.google.com/spreadsheets/d/1fj_Bhi2XPL3siwIh4sx4VRLAe31yD50oKdj5UlRYW0c/"", ""Сводка!A:AA""), 5, FALSE)"),264)</f>
        <v>264</v>
      </c>
      <c r="H3230" s="12" t="s">
        <v>282</v>
      </c>
      <c r="I3230" s="10">
        <f ca="1">IFERROR(__xludf.DUMMYFUNCTION(" VLOOKUP(A3227, IMPORTRANGE(""https://docs.google.com/spreadsheets/d/1QNLbnkR_AongFt22vMfNzfpjZ0CjpI8QI-w0wBnYA1w/"", ""Инфа!A:AA""), 6, FALSE)"),2024)</f>
        <v>2024</v>
      </c>
      <c r="J3230" s="5">
        <f t="shared" ca="1" si="103"/>
        <v>12900</v>
      </c>
      <c r="K3230" s="12" t="s">
        <v>575</v>
      </c>
      <c r="L3230" s="15" t="s">
        <v>12514</v>
      </c>
    </row>
    <row r="3231" spans="1:12" ht="202.5">
      <c r="A3231" s="8" t="s">
        <v>12515</v>
      </c>
      <c r="B3231" s="9" t="s">
        <v>12</v>
      </c>
      <c r="C3231" s="10" t="s">
        <v>443</v>
      </c>
      <c r="D3231" s="10" t="str">
        <f ca="1">IFERROR(__xludf.DUMMYFUNCTION(" VLOOKUP(A3228, IMPORTRANGE(""https://docs.google.com/spreadsheets/d/1fj_Bhi2XPL3siwIh4sx4VRLAe31yD50oKdj5UlRYW0c/"", ""Сводка!A:AA""), 11, FALSE)"),"978-601-342-973-6")</f>
        <v>978-601-342-973-6</v>
      </c>
      <c r="E3231" s="11" t="s">
        <v>12516</v>
      </c>
      <c r="F3231" s="11" t="s">
        <v>12517</v>
      </c>
      <c r="G3231" s="12">
        <f ca="1">IFERROR(__xludf.DUMMYFUNCTION(" VLOOKUP(A3228, IMPORTRANGE(""https://docs.google.com/spreadsheets/d/1fj_Bhi2XPL3siwIh4sx4VRLAe31yD50oKdj5UlRYW0c/"", ""Сводка!A:AA""), 5, FALSE)"),248)</f>
        <v>248</v>
      </c>
      <c r="H3231" s="12" t="s">
        <v>777</v>
      </c>
      <c r="I3231" s="10">
        <f ca="1">IFERROR(__xludf.DUMMYFUNCTION(" VLOOKUP(A3228, IMPORTRANGE(""https://docs.google.com/spreadsheets/d/1QNLbnkR_AongFt22vMfNzfpjZ0CjpI8QI-w0wBnYA1w/"", ""Инфа!A:AA""), 6, FALSE)"),2024)</f>
        <v>2024</v>
      </c>
      <c r="J3231" s="5">
        <f t="shared" ca="1" si="103"/>
        <v>12400</v>
      </c>
      <c r="K3231" s="12" t="s">
        <v>575</v>
      </c>
      <c r="L3231" s="15" t="s">
        <v>12518</v>
      </c>
    </row>
    <row r="3232" spans="1:12" ht="191.25">
      <c r="A3232" s="8" t="s">
        <v>12519</v>
      </c>
      <c r="B3232" s="9" t="s">
        <v>12</v>
      </c>
      <c r="C3232" s="10" t="s">
        <v>151</v>
      </c>
      <c r="D3232" s="10" t="str">
        <f ca="1">IFERROR(__xludf.DUMMYFUNCTION(" VLOOKUP(A3229, IMPORTRANGE(""https://docs.google.com/spreadsheets/d/1fj_Bhi2XPL3siwIh4sx4VRLAe31yD50oKdj5UlRYW0c/"", ""Сводка!A:AA""), 11, FALSE)"),"978-601-327-923-7")</f>
        <v>978-601-327-923-7</v>
      </c>
      <c r="E3232" s="11" t="s">
        <v>12520</v>
      </c>
      <c r="F3232" s="11" t="s">
        <v>12521</v>
      </c>
      <c r="G3232" s="12">
        <f ca="1">IFERROR(__xludf.DUMMYFUNCTION(" VLOOKUP(A3229, IMPORTRANGE(""https://docs.google.com/spreadsheets/d/1fj_Bhi2XPL3siwIh4sx4VRLAe31yD50oKdj5UlRYW0c/"", ""Сводка!A:AA""), 5, FALSE)"),296)</f>
        <v>296</v>
      </c>
      <c r="H3232" s="12" t="s">
        <v>2216</v>
      </c>
      <c r="I3232" s="10">
        <f ca="1">IFERROR(__xludf.DUMMYFUNCTION(" VLOOKUP(A3229, IMPORTRANGE(""https://docs.google.com/spreadsheets/d/1QNLbnkR_AongFt22vMfNzfpjZ0CjpI8QI-w0wBnYA1w/"", ""Инфа!A:AA""), 6, FALSE)"),2024)</f>
        <v>2024</v>
      </c>
      <c r="J3232" s="5">
        <f t="shared" ca="1" si="103"/>
        <v>13900</v>
      </c>
      <c r="K3232" s="12" t="s">
        <v>26</v>
      </c>
      <c r="L3232" s="15" t="s">
        <v>12522</v>
      </c>
    </row>
    <row r="3233" spans="1:12" ht="191.25">
      <c r="A3233" s="8" t="s">
        <v>12523</v>
      </c>
      <c r="B3233" s="9" t="s">
        <v>12</v>
      </c>
      <c r="C3233" s="10" t="s">
        <v>151</v>
      </c>
      <c r="D3233" s="10" t="str">
        <f ca="1">IFERROR(__xludf.DUMMYFUNCTION(" VLOOKUP(A3230, IMPORTRANGE(""https://docs.google.com/spreadsheets/d/1fj_Bhi2XPL3siwIh4sx4VRLAe31yD50oKdj5UlRYW0c/"", ""Сводка!A:AA""), 11, FALSE)"),"978-601-327-923-7")</f>
        <v>978-601-327-923-7</v>
      </c>
      <c r="E3233" s="11" t="s">
        <v>12520</v>
      </c>
      <c r="F3233" s="11" t="s">
        <v>12524</v>
      </c>
      <c r="G3233" s="12">
        <f ca="1">IFERROR(__xludf.DUMMYFUNCTION(" VLOOKUP(A3230, IMPORTRANGE(""https://docs.google.com/spreadsheets/d/1fj_Bhi2XPL3siwIh4sx4VRLAe31yD50oKdj5UlRYW0c/"", ""Сводка!A:AA""), 5, FALSE)"),304)</f>
        <v>304</v>
      </c>
      <c r="H3233" s="12" t="s">
        <v>2216</v>
      </c>
      <c r="I3233" s="10">
        <f ca="1">IFERROR(__xludf.DUMMYFUNCTION(" VLOOKUP(A3230, IMPORTRANGE(""https://docs.google.com/spreadsheets/d/1QNLbnkR_AongFt22vMfNzfpjZ0CjpI8QI-w0wBnYA1w/"", ""Инфа!A:AA""), 6, FALSE)"),2024)</f>
        <v>2024</v>
      </c>
      <c r="J3233" s="5">
        <f t="shared" ca="1" si="103"/>
        <v>14100</v>
      </c>
      <c r="K3233" s="12" t="s">
        <v>26</v>
      </c>
      <c r="L3233" s="15" t="s">
        <v>12525</v>
      </c>
    </row>
    <row r="3234" spans="1:12" ht="101.25">
      <c r="A3234" s="8" t="s">
        <v>12526</v>
      </c>
      <c r="B3234" s="9" t="s">
        <v>12</v>
      </c>
      <c r="C3234" s="10" t="s">
        <v>151</v>
      </c>
      <c r="D3234" s="10" t="str">
        <f ca="1">IFERROR(__xludf.DUMMYFUNCTION(" VLOOKUP(A3231, IMPORTRANGE(""https://docs.google.com/spreadsheets/d/1fj_Bhi2XPL3siwIh4sx4VRLAe31yD50oKdj5UlRYW0c/"", ""Сводка!A:AA""), 11, FALSE)"),"978-601-327-620-5")</f>
        <v>978-601-327-620-5</v>
      </c>
      <c r="E3234" s="11" t="s">
        <v>12506</v>
      </c>
      <c r="F3234" s="11" t="s">
        <v>12527</v>
      </c>
      <c r="G3234" s="12">
        <f ca="1">IFERROR(__xludf.DUMMYFUNCTION(" VLOOKUP(A3231, IMPORTRANGE(""https://docs.google.com/spreadsheets/d/1fj_Bhi2XPL3siwIh4sx4VRLAe31yD50oKdj5UlRYW0c/"", ""Сводка!A:AA""), 5, FALSE)"),252)</f>
        <v>252</v>
      </c>
      <c r="H3234" s="12" t="s">
        <v>498</v>
      </c>
      <c r="I3234" s="10">
        <f ca="1">IFERROR(__xludf.DUMMYFUNCTION(" VLOOKUP(A3231, IMPORTRANGE(""https://docs.google.com/spreadsheets/d/1QNLbnkR_AongFt22vMfNzfpjZ0CjpI8QI-w0wBnYA1w/"", ""Инфа!A:AA""), 6, FALSE)"),2024)</f>
        <v>2024</v>
      </c>
      <c r="J3234" s="5">
        <f t="shared" ca="1" si="103"/>
        <v>12600</v>
      </c>
      <c r="K3234" s="12" t="s">
        <v>26</v>
      </c>
      <c r="L3234" s="15" t="s">
        <v>9038</v>
      </c>
    </row>
    <row r="3235" spans="1:12" ht="236.25">
      <c r="A3235" s="8" t="s">
        <v>12528</v>
      </c>
      <c r="B3235" s="9" t="s">
        <v>12</v>
      </c>
      <c r="C3235" s="10" t="s">
        <v>443</v>
      </c>
      <c r="D3235" s="10" t="str">
        <f ca="1">IFERROR(__xludf.DUMMYFUNCTION(" VLOOKUP(A3232, IMPORTRANGE(""https://docs.google.com/spreadsheets/d/1fj_Bhi2XPL3siwIh4sx4VRLAe31yD50oKdj5UlRYW0c/"", ""Сводка!A:AA""), 11, FALSE)"),"978-601-327-924-4")</f>
        <v>978-601-327-924-4</v>
      </c>
      <c r="E3235" s="11" t="s">
        <v>12529</v>
      </c>
      <c r="F3235" s="11" t="s">
        <v>12530</v>
      </c>
      <c r="G3235" s="12">
        <f ca="1">IFERROR(__xludf.DUMMYFUNCTION(" VLOOKUP(A3232, IMPORTRANGE(""https://docs.google.com/spreadsheets/d/1fj_Bhi2XPL3siwIh4sx4VRLAe31yD50oKdj5UlRYW0c/"", ""Сводка!A:AA""), 5, FALSE)"),292)</f>
        <v>292</v>
      </c>
      <c r="H3235" s="12" t="s">
        <v>1016</v>
      </c>
      <c r="I3235" s="10">
        <f ca="1">IFERROR(__xludf.DUMMYFUNCTION(" VLOOKUP(A3232, IMPORTRANGE(""https://docs.google.com/spreadsheets/d/1QNLbnkR_AongFt22vMfNzfpjZ0CjpI8QI-w0wBnYA1w/"", ""Инфа!A:AA""), 6, FALSE)"),2024)</f>
        <v>2024</v>
      </c>
      <c r="J3235" s="5">
        <f t="shared" ca="1" si="103"/>
        <v>13800</v>
      </c>
      <c r="K3235" s="12" t="s">
        <v>26</v>
      </c>
      <c r="L3235" s="15" t="s">
        <v>12531</v>
      </c>
    </row>
    <row r="3236" spans="1:12" ht="236.25">
      <c r="A3236" s="8" t="s">
        <v>12532</v>
      </c>
      <c r="B3236" s="9" t="s">
        <v>12</v>
      </c>
      <c r="C3236" s="10" t="s">
        <v>443</v>
      </c>
      <c r="D3236" s="10" t="str">
        <f ca="1">IFERROR(__xludf.DUMMYFUNCTION(" VLOOKUP(A3233, IMPORTRANGE(""https://docs.google.com/spreadsheets/d/1fj_Bhi2XPL3siwIh4sx4VRLAe31yD50oKdj5UlRYW0c/"", ""Сводка!A:AA""), 11, FALSE)"),"978-601-327-924-4")</f>
        <v>978-601-327-924-4</v>
      </c>
      <c r="E3236" s="11" t="s">
        <v>12529</v>
      </c>
      <c r="F3236" s="11" t="s">
        <v>12533</v>
      </c>
      <c r="G3236" s="12">
        <f ca="1">IFERROR(__xludf.DUMMYFUNCTION(" VLOOKUP(A3233, IMPORTRANGE(""https://docs.google.com/spreadsheets/d/1fj_Bhi2XPL3siwIh4sx4VRLAe31yD50oKdj5UlRYW0c/"", ""Сводка!A:AA""), 5, FALSE)"),268)</f>
        <v>268</v>
      </c>
      <c r="H3236" s="12" t="s">
        <v>1016</v>
      </c>
      <c r="I3236" s="10">
        <f ca="1">IFERROR(__xludf.DUMMYFUNCTION(" VLOOKUP(A3233, IMPORTRANGE(""https://docs.google.com/spreadsheets/d/1QNLbnkR_AongFt22vMfNzfpjZ0CjpI8QI-w0wBnYA1w/"", ""Инфа!A:AA""), 6, FALSE)"),2024)</f>
        <v>2024</v>
      </c>
      <c r="J3236" s="5">
        <f t="shared" ca="1" si="103"/>
        <v>13000</v>
      </c>
      <c r="K3236" s="12" t="s">
        <v>26</v>
      </c>
      <c r="L3236" s="15" t="s">
        <v>12531</v>
      </c>
    </row>
    <row r="3237" spans="1:12" ht="202.5">
      <c r="A3237" s="8" t="s">
        <v>12534</v>
      </c>
      <c r="B3237" s="9" t="s">
        <v>12</v>
      </c>
      <c r="C3237" s="10" t="s">
        <v>151</v>
      </c>
      <c r="D3237" s="10" t="str">
        <f ca="1">IFERROR(__xludf.DUMMYFUNCTION(" VLOOKUP(A3234, IMPORTRANGE(""https://docs.google.com/spreadsheets/d/1fj_Bhi2XPL3siwIh4sx4VRLAe31yD50oKdj5UlRYW0c/"", ""Сводка!A:AA""), 11, FALSE)"),"978-601-342-345-6")</f>
        <v>978-601-342-345-6</v>
      </c>
      <c r="E3237" s="11" t="s">
        <v>12535</v>
      </c>
      <c r="F3237" s="11" t="s">
        <v>12536</v>
      </c>
      <c r="G3237" s="12">
        <f ca="1">IFERROR(__xludf.DUMMYFUNCTION(" VLOOKUP(A3234, IMPORTRANGE(""https://docs.google.com/spreadsheets/d/1fj_Bhi2XPL3siwIh4sx4VRLAe31yD50oKdj5UlRYW0c/"", ""Сводка!A:AA""), 5, FALSE)"),204)</f>
        <v>204</v>
      </c>
      <c r="H3237" s="12" t="s">
        <v>2216</v>
      </c>
      <c r="I3237" s="10">
        <f ca="1">IFERROR(__xludf.DUMMYFUNCTION(" VLOOKUP(A3234, IMPORTRANGE(""https://docs.google.com/spreadsheets/d/1QNLbnkR_AongFt22vMfNzfpjZ0CjpI8QI-w0wBnYA1w/"", ""Инфа!A:AA""), 6, FALSE)"),2024)</f>
        <v>2024</v>
      </c>
      <c r="J3237" s="5">
        <f ca="1">ROUND((5000+G3237*60),-2)</f>
        <v>17200</v>
      </c>
      <c r="K3237" s="12" t="s">
        <v>765</v>
      </c>
      <c r="L3237" s="15" t="s">
        <v>12537</v>
      </c>
    </row>
    <row r="3238" spans="1:12" ht="180">
      <c r="A3238" s="8" t="s">
        <v>12538</v>
      </c>
      <c r="B3238" s="9" t="s">
        <v>12</v>
      </c>
      <c r="C3238" s="10" t="s">
        <v>443</v>
      </c>
      <c r="D3238" s="10" t="str">
        <f ca="1">IFERROR(__xludf.DUMMYFUNCTION(" VLOOKUP(A3235, IMPORTRANGE(""https://docs.google.com/spreadsheets/d/1fj_Bhi2XPL3siwIh4sx4VRLAe31yD50oKdj5UlRYW0c/"", ""Сводка!A:AA""), 11, FALSE)"),"978-601-342-344-9")</f>
        <v>978-601-342-344-9</v>
      </c>
      <c r="E3238" s="11" t="s">
        <v>12535</v>
      </c>
      <c r="F3238" s="11" t="s">
        <v>12539</v>
      </c>
      <c r="G3238" s="12">
        <f ca="1">IFERROR(__xludf.DUMMYFUNCTION(" VLOOKUP(A3235, IMPORTRANGE(""https://docs.google.com/spreadsheets/d/1fj_Bhi2XPL3siwIh4sx4VRLAe31yD50oKdj5UlRYW0c/"", ""Сводка!A:AA""), 5, FALSE)"),200)</f>
        <v>200</v>
      </c>
      <c r="H3238" s="12" t="s">
        <v>1727</v>
      </c>
      <c r="I3238" s="10">
        <f ca="1">IFERROR(__xludf.DUMMYFUNCTION(" VLOOKUP(A3235, IMPORTRANGE(""https://docs.google.com/spreadsheets/d/1QNLbnkR_AongFt22vMfNzfpjZ0CjpI8QI-w0wBnYA1w/"", ""Инфа!A:AA""), 6, FALSE)"),2024)</f>
        <v>2024</v>
      </c>
      <c r="J3238" s="5">
        <f ca="1">ROUND((5000+G3238*60),-2)</f>
        <v>17000</v>
      </c>
      <c r="K3238" s="12" t="s">
        <v>765</v>
      </c>
      <c r="L3238" s="15" t="s">
        <v>12540</v>
      </c>
    </row>
    <row r="3239" spans="1:12" ht="180">
      <c r="A3239" s="8" t="s">
        <v>12541</v>
      </c>
      <c r="B3239" s="9" t="s">
        <v>12</v>
      </c>
      <c r="C3239" s="10" t="s">
        <v>151</v>
      </c>
      <c r="D3239" s="10" t="str">
        <f ca="1">IFERROR(__xludf.DUMMYFUNCTION(" VLOOKUP(A3236, IMPORTRANGE(""https://docs.google.com/spreadsheets/d/1fj_Bhi2XPL3siwIh4sx4VRLAe31yD50oKdj5UlRYW0c/"", ""Сводка!A:AA""), 11, FALSE)"),"978-601-342-346-3")</f>
        <v>978-601-342-346-3</v>
      </c>
      <c r="E3239" s="11" t="s">
        <v>12535</v>
      </c>
      <c r="F3239" s="11" t="s">
        <v>12542</v>
      </c>
      <c r="G3239" s="12">
        <f ca="1">IFERROR(__xludf.DUMMYFUNCTION(" VLOOKUP(A3236, IMPORTRANGE(""https://docs.google.com/spreadsheets/d/1fj_Bhi2XPL3siwIh4sx4VRLAe31yD50oKdj5UlRYW0c/"", ""Сводка!A:AA""), 5, FALSE)"),108)</f>
        <v>108</v>
      </c>
      <c r="H3239" s="12" t="s">
        <v>12543</v>
      </c>
      <c r="I3239" s="10">
        <f ca="1">IFERROR(__xludf.DUMMYFUNCTION(" VLOOKUP(A3236, IMPORTRANGE(""https://docs.google.com/spreadsheets/d/1QNLbnkR_AongFt22vMfNzfpjZ0CjpI8QI-w0wBnYA1w/"", ""Инфа!A:AA""), 6, FALSE)"),2024)</f>
        <v>2024</v>
      </c>
      <c r="J3239" s="5">
        <f ca="1">ROUND((5000+G3239*60),-2)</f>
        <v>11500</v>
      </c>
      <c r="K3239" s="12" t="s">
        <v>765</v>
      </c>
      <c r="L3239" s="15" t="s">
        <v>12544</v>
      </c>
    </row>
    <row r="3240" spans="1:12" ht="168.75">
      <c r="A3240" s="8" t="s">
        <v>12545</v>
      </c>
      <c r="B3240" s="9" t="s">
        <v>12</v>
      </c>
      <c r="C3240" s="10" t="s">
        <v>443</v>
      </c>
      <c r="D3240" s="10" t="str">
        <f ca="1">IFERROR(__xludf.DUMMYFUNCTION(" VLOOKUP(A3237, IMPORTRANGE(""https://docs.google.com/spreadsheets/d/1fj_Bhi2XPL3siwIh4sx4VRLAe31yD50oKdj5UlRYW0c/"", ""Сводка!A:AA""), 11, FALSE)"),"978-601-342-338-8")</f>
        <v>978-601-342-338-8</v>
      </c>
      <c r="E3240" s="11" t="s">
        <v>12535</v>
      </c>
      <c r="F3240" s="11" t="s">
        <v>12546</v>
      </c>
      <c r="G3240" s="12">
        <f ca="1">IFERROR(__xludf.DUMMYFUNCTION(" VLOOKUP(A3237, IMPORTRANGE(""https://docs.google.com/spreadsheets/d/1fj_Bhi2XPL3siwIh4sx4VRLAe31yD50oKdj5UlRYW0c/"", ""Сводка!A:AA""), 5, FALSE)"),108)</f>
        <v>108</v>
      </c>
      <c r="H3240" s="12" t="s">
        <v>777</v>
      </c>
      <c r="I3240" s="10">
        <f ca="1">IFERROR(__xludf.DUMMYFUNCTION(" VLOOKUP(A3237, IMPORTRANGE(""https://docs.google.com/spreadsheets/d/1QNLbnkR_AongFt22vMfNzfpjZ0CjpI8QI-w0wBnYA1w/"", ""Инфа!A:AA""), 6, FALSE)"),2024)</f>
        <v>2024</v>
      </c>
      <c r="J3240" s="5">
        <f ca="1">ROUND((5000+G3240*30),-2)</f>
        <v>8200</v>
      </c>
      <c r="K3240" s="12" t="s">
        <v>765</v>
      </c>
      <c r="L3240" s="15" t="s">
        <v>12547</v>
      </c>
    </row>
    <row r="3241" spans="1:12" ht="78.75">
      <c r="A3241" s="8" t="s">
        <v>12548</v>
      </c>
      <c r="B3241" s="9" t="s">
        <v>12</v>
      </c>
      <c r="C3241" s="10" t="s">
        <v>151</v>
      </c>
      <c r="D3241" s="10" t="str">
        <f ca="1">IFERROR(__xludf.DUMMYFUNCTION(" VLOOKUP(A3238, IMPORTRANGE(""https://docs.google.com/spreadsheets/d/1fj_Bhi2XPL3siwIh4sx4VRLAe31yD50oKdj5UlRYW0c/"", ""Сводка!A:AA""), 11, FALSE)"),"978-601-310-916-9")</f>
        <v>978-601-310-916-9</v>
      </c>
      <c r="E3241" s="11" t="s">
        <v>12549</v>
      </c>
      <c r="F3241" s="11" t="s">
        <v>12550</v>
      </c>
      <c r="G3241" s="12">
        <f ca="1">IFERROR(__xludf.DUMMYFUNCTION(" VLOOKUP(A3238, IMPORTRANGE(""https://docs.google.com/spreadsheets/d/1fj_Bhi2XPL3siwIh4sx4VRLAe31yD50oKdj5UlRYW0c/"", ""Сводка!A:AA""), 5, FALSE)"),324)</f>
        <v>324</v>
      </c>
      <c r="H3241" s="12" t="s">
        <v>47</v>
      </c>
      <c r="I3241" s="10">
        <f ca="1">IFERROR(__xludf.DUMMYFUNCTION(" VLOOKUP(A3238, IMPORTRANGE(""https://docs.google.com/spreadsheets/d/1QNLbnkR_AongFt22vMfNzfpjZ0CjpI8QI-w0wBnYA1w/"", ""Инфа!A:AA""), 6, FALSE)"),2024)</f>
        <v>2024</v>
      </c>
      <c r="J3241" s="5">
        <f ca="1">ROUND(((5000+G3241*30)*1.3),-2)</f>
        <v>19100</v>
      </c>
      <c r="K3241" s="12" t="s">
        <v>4314</v>
      </c>
      <c r="L3241" s="15" t="s">
        <v>12551</v>
      </c>
    </row>
    <row r="3242" spans="1:12" ht="78.75">
      <c r="A3242" s="8" t="s">
        <v>12552</v>
      </c>
      <c r="B3242" s="9" t="s">
        <v>12</v>
      </c>
      <c r="C3242" s="10" t="s">
        <v>151</v>
      </c>
      <c r="D3242" s="10" t="str">
        <f ca="1">IFERROR(__xludf.DUMMYFUNCTION(" VLOOKUP(A3239, IMPORTRANGE(""https://docs.google.com/spreadsheets/d/1fj_Bhi2XPL3siwIh4sx4VRLAe31yD50oKdj5UlRYW0c/"", ""Сводка!A:AA""), 11, FALSE)"),"978-601-310-916-9")</f>
        <v>978-601-310-916-9</v>
      </c>
      <c r="E3242" s="11" t="s">
        <v>12549</v>
      </c>
      <c r="F3242" s="11" t="s">
        <v>12553</v>
      </c>
      <c r="G3242" s="12">
        <f ca="1">IFERROR(__xludf.DUMMYFUNCTION(" VLOOKUP(A3239, IMPORTRANGE(""https://docs.google.com/spreadsheets/d/1fj_Bhi2XPL3siwIh4sx4VRLAe31yD50oKdj5UlRYW0c/"", ""Сводка!A:AA""), 5, FALSE)"),204)</f>
        <v>204</v>
      </c>
      <c r="H3242" s="12" t="s">
        <v>47</v>
      </c>
      <c r="I3242" s="10">
        <f ca="1">IFERROR(__xludf.DUMMYFUNCTION(" VLOOKUP(A3239, IMPORTRANGE(""https://docs.google.com/spreadsheets/d/1QNLbnkR_AongFt22vMfNzfpjZ0CjpI8QI-w0wBnYA1w/"", ""Инфа!A:AA""), 6, FALSE)"),2024)</f>
        <v>2024</v>
      </c>
      <c r="J3242" s="5">
        <f ca="1">ROUND(((5000+G3242*60)*1.3),-2)</f>
        <v>22400</v>
      </c>
      <c r="K3242" s="12" t="s">
        <v>4314</v>
      </c>
      <c r="L3242" s="15" t="s">
        <v>12551</v>
      </c>
    </row>
    <row r="3243" spans="1:12" ht="123.75">
      <c r="A3243" s="8" t="s">
        <v>12554</v>
      </c>
      <c r="B3243" s="9" t="s">
        <v>12</v>
      </c>
      <c r="C3243" s="10" t="s">
        <v>443</v>
      </c>
      <c r="D3243" s="10" t="str">
        <f ca="1">IFERROR(__xludf.DUMMYFUNCTION(" VLOOKUP(A3240, IMPORTRANGE(""https://docs.google.com/spreadsheets/d/1fj_Bhi2XPL3siwIh4sx4VRLAe31yD50oKdj5UlRYW0c/"", ""Сводка!A:AA""), 11, FALSE)"),"978-601-327-854-4")</f>
        <v>978-601-327-854-4</v>
      </c>
      <c r="E3243" s="11" t="s">
        <v>12555</v>
      </c>
      <c r="F3243" s="11" t="s">
        <v>12556</v>
      </c>
      <c r="G3243" s="12">
        <f ca="1">IFERROR(__xludf.DUMMYFUNCTION(" VLOOKUP(A3240, IMPORTRANGE(""https://docs.google.com/spreadsheets/d/1fj_Bhi2XPL3siwIh4sx4VRLAe31yD50oKdj5UlRYW0c/"", ""Сводка!A:AA""), 5, FALSE)"),204)</f>
        <v>204</v>
      </c>
      <c r="H3243" s="12" t="s">
        <v>446</v>
      </c>
      <c r="I3243" s="10">
        <f ca="1">IFERROR(__xludf.DUMMYFUNCTION(" VLOOKUP(A3240, IMPORTRANGE(""https://docs.google.com/spreadsheets/d/1QNLbnkR_AongFt22vMfNzfpjZ0CjpI8QI-w0wBnYA1w/"", ""Инфа!A:AA""), 6, FALSE)"),2024)</f>
        <v>2024</v>
      </c>
      <c r="J3243" s="5">
        <f ca="1">ROUND((5000+G3243*60),-2)</f>
        <v>17200</v>
      </c>
      <c r="K3243" s="12" t="s">
        <v>12557</v>
      </c>
      <c r="L3243" s="15" t="s">
        <v>12558</v>
      </c>
    </row>
    <row r="3244" spans="1:12" ht="236.25">
      <c r="A3244" s="8" t="s">
        <v>12559</v>
      </c>
      <c r="B3244" s="9" t="s">
        <v>12</v>
      </c>
      <c r="C3244" s="10" t="s">
        <v>151</v>
      </c>
      <c r="D3244" s="10" t="str">
        <f ca="1">IFERROR(__xludf.DUMMYFUNCTION(" VLOOKUP(A3241, IMPORTRANGE(""https://docs.google.com/spreadsheets/d/1fj_Bhi2XPL3siwIh4sx4VRLAe31yD50oKdj5UlRYW0c/"", ""Сводка!A:AA""), 11, FALSE)"),"978-601-75-66-38-8")</f>
        <v>978-601-75-66-38-8</v>
      </c>
      <c r="E3244" s="11" t="s">
        <v>12560</v>
      </c>
      <c r="F3244" s="11" t="s">
        <v>4043</v>
      </c>
      <c r="G3244" s="12">
        <f ca="1">IFERROR(__xludf.DUMMYFUNCTION(" VLOOKUP(A3241, IMPORTRANGE(""https://docs.google.com/spreadsheets/d/1fj_Bhi2XPL3siwIh4sx4VRLAe31yD50oKdj5UlRYW0c/"", ""Сводка!A:AA""), 5, FALSE)"),336)</f>
        <v>336</v>
      </c>
      <c r="H3244" s="12" t="s">
        <v>47</v>
      </c>
      <c r="I3244" s="10">
        <f ca="1">IFERROR(__xludf.DUMMYFUNCTION(" VLOOKUP(A3241, IMPORTRANGE(""https://docs.google.com/spreadsheets/d/1QNLbnkR_AongFt22vMfNzfpjZ0CjpI8QI-w0wBnYA1w/"", ""Инфа!A:AA""), 6, FALSE)"),2024)</f>
        <v>2024</v>
      </c>
      <c r="J3244" s="5">
        <f ca="1">ROUND((5000+G3244*30),-2)</f>
        <v>15100</v>
      </c>
      <c r="K3244" s="12" t="s">
        <v>160</v>
      </c>
      <c r="L3244" s="15" t="s">
        <v>12561</v>
      </c>
    </row>
    <row r="3245" spans="1:12" ht="135">
      <c r="A3245" s="8" t="s">
        <v>12562</v>
      </c>
      <c r="B3245" s="9" t="s">
        <v>12</v>
      </c>
      <c r="C3245" s="10" t="s">
        <v>151</v>
      </c>
      <c r="D3245" s="10" t="str">
        <f ca="1">IFERROR(__xludf.DUMMYFUNCTION(" VLOOKUP(A3242, IMPORTRANGE(""https://docs.google.com/spreadsheets/d/1fj_Bhi2XPL3siwIh4sx4VRLAe31yD50oKdj5UlRYW0c/"", ""Сводка!A:AA""), 11, FALSE)"),"")</f>
        <v/>
      </c>
      <c r="E3245" s="11" t="s">
        <v>12563</v>
      </c>
      <c r="F3245" s="11" t="s">
        <v>12564</v>
      </c>
      <c r="G3245" s="12">
        <f ca="1">IFERROR(__xludf.DUMMYFUNCTION(" VLOOKUP(A3242, IMPORTRANGE(""https://docs.google.com/spreadsheets/d/1fj_Bhi2XPL3siwIh4sx4VRLAe31yD50oKdj5UlRYW0c/"", ""Сводка!A:AA""), 5, FALSE)"),92)</f>
        <v>92</v>
      </c>
      <c r="H3245" s="12" t="s">
        <v>47</v>
      </c>
      <c r="I3245" s="10">
        <f ca="1">IFERROR(__xludf.DUMMYFUNCTION(" VLOOKUP(A3242, IMPORTRANGE(""https://docs.google.com/spreadsheets/d/1QNLbnkR_AongFt22vMfNzfpjZ0CjpI8QI-w0wBnYA1w/"", ""Инфа!A:AA""), 6, FALSE)"),2024)</f>
        <v>2024</v>
      </c>
      <c r="J3245" s="5">
        <f ca="1">ROUND((5000+G3245*30),-2)</f>
        <v>7800</v>
      </c>
      <c r="K3245" s="12" t="s">
        <v>37</v>
      </c>
      <c r="L3245" s="15" t="s">
        <v>12565</v>
      </c>
    </row>
    <row r="3246" spans="1:12" ht="213.75">
      <c r="A3246" s="8" t="s">
        <v>12566</v>
      </c>
      <c r="B3246" s="9" t="s">
        <v>12</v>
      </c>
      <c r="C3246" s="10" t="s">
        <v>151</v>
      </c>
      <c r="D3246" s="10" t="str">
        <f ca="1">IFERROR(__xludf.DUMMYFUNCTION(" VLOOKUP(A3243, IMPORTRANGE(""https://docs.google.com/spreadsheets/d/1fj_Bhi2XPL3siwIh4sx4VRLAe31yD50oKdj5UlRYW0c/"", ""Сводка!A:AA""), 11, FALSE)"),"978-601-310-149-1")</f>
        <v>978-601-310-149-1</v>
      </c>
      <c r="E3246" s="11" t="s">
        <v>12567</v>
      </c>
      <c r="F3246" s="11" t="s">
        <v>12568</v>
      </c>
      <c r="G3246" s="12" t="e">
        <f>#REF!</f>
        <v>#REF!</v>
      </c>
      <c r="H3246" s="12" t="s">
        <v>12569</v>
      </c>
      <c r="I3246" s="10">
        <f ca="1">IFERROR(__xludf.DUMMYFUNCTION(" VLOOKUP(A3243, IMPORTRANGE(""https://docs.google.com/spreadsheets/d/1QNLbnkR_AongFt22vMfNzfpjZ0CjpI8QI-w0wBnYA1w/"", ""Инфа!A:AA""), 6, FALSE)"),2024)</f>
        <v>2024</v>
      </c>
      <c r="J3246" s="5" t="e">
        <f>ROUND((5000+G3246*30),-2)</f>
        <v>#REF!</v>
      </c>
      <c r="K3246" s="9" t="s">
        <v>575</v>
      </c>
      <c r="L3246" s="15" t="s">
        <v>12570</v>
      </c>
    </row>
    <row r="3247" spans="1:12" ht="168.75">
      <c r="A3247" s="8" t="s">
        <v>12571</v>
      </c>
      <c r="B3247" s="9" t="s">
        <v>12</v>
      </c>
      <c r="C3247" s="10" t="s">
        <v>151</v>
      </c>
      <c r="D3247" s="10" t="str">
        <f ca="1">IFERROR(__xludf.DUMMYFUNCTION(" VLOOKUP(A3244, IMPORTRANGE(""https://docs.google.com/spreadsheets/d/1fj_Bhi2XPL3siwIh4sx4VRLAe31yD50oKdj5UlRYW0c/"", ""Сводка!A:AA""), 11, FALSE)"),"978-601-310-153-8")</f>
        <v>978-601-310-153-8</v>
      </c>
      <c r="E3247" s="11" t="s">
        <v>12572</v>
      </c>
      <c r="F3247" s="19" t="s">
        <v>12573</v>
      </c>
      <c r="G3247" s="12">
        <f ca="1">IFERROR(__xludf.DUMMYFUNCTION(" VLOOKUP(A3244, IMPORTRANGE(""https://docs.google.com/spreadsheets/d/1fj_Bhi2XPL3siwIh4sx4VRLAe31yD50oKdj5UlRYW0c/"", ""Сводка!A:AA""), 5, FALSE)"),240)</f>
        <v>240</v>
      </c>
      <c r="H3247" s="12" t="s">
        <v>47</v>
      </c>
      <c r="I3247" s="10">
        <f ca="1">IFERROR(__xludf.DUMMYFUNCTION(" VLOOKUP(A3244, IMPORTRANGE(""https://docs.google.com/spreadsheets/d/1QNLbnkR_AongFt22vMfNzfpjZ0CjpI8QI-w0wBnYA1w/"", ""Инфа!A:AA""), 6, FALSE)"),2024)</f>
        <v>2024</v>
      </c>
      <c r="J3247" s="5">
        <f ca="1">ROUND((5000+G3247*30),-2)</f>
        <v>12200</v>
      </c>
      <c r="K3247" s="9" t="s">
        <v>575</v>
      </c>
      <c r="L3247" s="15" t="s">
        <v>12574</v>
      </c>
    </row>
    <row r="3248" spans="1:12" ht="191.25">
      <c r="A3248" s="8" t="s">
        <v>12575</v>
      </c>
      <c r="B3248" s="9" t="s">
        <v>12</v>
      </c>
      <c r="C3248" s="10" t="s">
        <v>151</v>
      </c>
      <c r="D3248" s="10" t="str">
        <f ca="1">IFERROR(__xludf.DUMMYFUNCTION(" VLOOKUP(A3245, IMPORTRANGE(""https://docs.google.com/spreadsheets/d/1fj_Bhi2XPL3siwIh4sx4VRLAe31yD50oKdj5UlRYW0c/"", ""Сводка!A:AA""), 11, FALSE)"),"978-601-327-655-7")</f>
        <v>978-601-327-655-7</v>
      </c>
      <c r="E3248" s="11" t="s">
        <v>12576</v>
      </c>
      <c r="F3248" s="11" t="s">
        <v>12577</v>
      </c>
      <c r="G3248" s="12">
        <f ca="1">IFERROR(__xludf.DUMMYFUNCTION(" VLOOKUP(A3245, IMPORTRANGE(""https://docs.google.com/spreadsheets/d/1fj_Bhi2XPL3siwIh4sx4VRLAe31yD50oKdj5UlRYW0c/"", ""Сводка!A:AA""), 5, FALSE)"),136)</f>
        <v>136</v>
      </c>
      <c r="H3248" s="12" t="s">
        <v>1577</v>
      </c>
      <c r="I3248" s="10">
        <f ca="1">IFERROR(__xludf.DUMMYFUNCTION(" VLOOKUP(A3245, IMPORTRANGE(""https://docs.google.com/spreadsheets/d/1QNLbnkR_AongFt22vMfNzfpjZ0CjpI8QI-w0wBnYA1w/"", ""Инфа!A:AA""), 6, FALSE)"),2024)</f>
        <v>2024</v>
      </c>
      <c r="J3248" s="5">
        <f ca="1">ROUND((5000+G3248*60),-2)</f>
        <v>13200</v>
      </c>
      <c r="K3248" s="12" t="s">
        <v>78</v>
      </c>
      <c r="L3248" s="15" t="s">
        <v>12578</v>
      </c>
    </row>
    <row r="3249" spans="1:12" ht="258.75">
      <c r="A3249" s="8" t="s">
        <v>12579</v>
      </c>
      <c r="B3249" s="9" t="s">
        <v>12</v>
      </c>
      <c r="C3249" s="10" t="s">
        <v>151</v>
      </c>
      <c r="D3249" s="10" t="str">
        <f ca="1">IFERROR(__xludf.DUMMYFUNCTION(" VLOOKUP(A3246, IMPORTRANGE(""https://docs.google.com/spreadsheets/d/1fj_Bhi2XPL3siwIh4sx4VRLAe31yD50oKdj5UlRYW0c/"", ""Сводка!A:AA""), 11, FALSE)"),"978-601-257-045-8")</f>
        <v>978-601-257-045-8</v>
      </c>
      <c r="E3249" s="11" t="s">
        <v>12576</v>
      </c>
      <c r="F3249" s="11" t="s">
        <v>1794</v>
      </c>
      <c r="G3249" s="12">
        <f ca="1">IFERROR(__xludf.DUMMYFUNCTION(" VLOOKUP(A3246, IMPORTRANGE(""https://docs.google.com/spreadsheets/d/1fj_Bhi2XPL3siwIh4sx4VRLAe31yD50oKdj5UlRYW0c/"", ""Сводка!A:AA""), 5, FALSE)"),260)</f>
        <v>260</v>
      </c>
      <c r="H3249" s="12" t="s">
        <v>165</v>
      </c>
      <c r="I3249" s="10">
        <f ca="1">IFERROR(__xludf.DUMMYFUNCTION(" VLOOKUP(A3246, IMPORTRANGE(""https://docs.google.com/spreadsheets/d/1QNLbnkR_AongFt22vMfNzfpjZ0CjpI8QI-w0wBnYA1w/"", ""Инфа!A:AA""), 6, FALSE)"),2024)</f>
        <v>2024</v>
      </c>
      <c r="J3249" s="5">
        <f ca="1">ROUND((5000+G3249*60),-2)</f>
        <v>20600</v>
      </c>
      <c r="K3249" s="12" t="s">
        <v>78</v>
      </c>
      <c r="L3249" s="15" t="s">
        <v>12580</v>
      </c>
    </row>
    <row r="3250" spans="1:12" ht="180">
      <c r="A3250" s="8" t="s">
        <v>12581</v>
      </c>
      <c r="B3250" s="9" t="s">
        <v>12</v>
      </c>
      <c r="C3250" s="10" t="s">
        <v>151</v>
      </c>
      <c r="D3250" s="10" t="str">
        <f ca="1">IFERROR(__xludf.DUMMYFUNCTION(" VLOOKUP(A3247, IMPORTRANGE(""https://docs.google.com/spreadsheets/d/1fj_Bhi2XPL3siwIh4sx4VRLAe31yD50oKdj5UlRYW0c/"", ""Сводка!A:AA""), 11, FALSE)"),"")</f>
        <v/>
      </c>
      <c r="E3250" s="11" t="s">
        <v>12576</v>
      </c>
      <c r="F3250" s="11" t="s">
        <v>12582</v>
      </c>
      <c r="G3250" s="12">
        <f ca="1">IFERROR(__xludf.DUMMYFUNCTION(" VLOOKUP(A3247, IMPORTRANGE(""https://docs.google.com/spreadsheets/d/1fj_Bhi2XPL3siwIh4sx4VRLAe31yD50oKdj5UlRYW0c/"", ""Сводка!A:AA""), 5, FALSE)"),64)</f>
        <v>64</v>
      </c>
      <c r="H3250" s="12" t="s">
        <v>12583</v>
      </c>
      <c r="I3250" s="10">
        <f ca="1">IFERROR(__xludf.DUMMYFUNCTION(" VLOOKUP(A3247, IMPORTRANGE(""https://docs.google.com/spreadsheets/d/1QNLbnkR_AongFt22vMfNzfpjZ0CjpI8QI-w0wBnYA1w/"", ""Инфа!A:AA""), 6, FALSE)"),2024)</f>
        <v>2024</v>
      </c>
      <c r="J3250" s="5">
        <f ca="1">ROUND((5000+G3250*30),-2)</f>
        <v>6900</v>
      </c>
      <c r="K3250" s="12" t="s">
        <v>78</v>
      </c>
      <c r="L3250" s="15" t="s">
        <v>12584</v>
      </c>
    </row>
    <row r="3251" spans="1:12" ht="303.75">
      <c r="A3251" s="8" t="s">
        <v>12585</v>
      </c>
      <c r="B3251" s="9" t="s">
        <v>12</v>
      </c>
      <c r="C3251" s="10" t="s">
        <v>151</v>
      </c>
      <c r="D3251" s="10" t="str">
        <f ca="1">IFERROR(__xludf.DUMMYFUNCTION(" VLOOKUP(A3248, IMPORTRANGE(""https://docs.google.com/spreadsheets/d/1fj_Bhi2XPL3siwIh4sx4VRLAe31yD50oKdj5UlRYW0c/"", ""Сводка!A:AA""), 11, FALSE)"),"978-601-327-987-9")</f>
        <v>978-601-327-987-9</v>
      </c>
      <c r="E3251" s="11" t="s">
        <v>12576</v>
      </c>
      <c r="F3251" s="11" t="s">
        <v>12586</v>
      </c>
      <c r="G3251" s="12">
        <f ca="1">IFERROR(__xludf.DUMMYFUNCTION(" VLOOKUP(A3248, IMPORTRANGE(""https://docs.google.com/spreadsheets/d/1fj_Bhi2XPL3siwIh4sx4VRLAe31yD50oKdj5UlRYW0c/"", ""Сводка!A:AA""), 5, FALSE)"),120)</f>
        <v>120</v>
      </c>
      <c r="H3251" s="12" t="s">
        <v>165</v>
      </c>
      <c r="I3251" s="10">
        <f ca="1">IFERROR(__xludf.DUMMYFUNCTION(" VLOOKUP(A3248, IMPORTRANGE(""https://docs.google.com/spreadsheets/d/1QNLbnkR_AongFt22vMfNzfpjZ0CjpI8QI-w0wBnYA1w/"", ""Инфа!A:AA""), 6, FALSE)"),2023)</f>
        <v>2023</v>
      </c>
      <c r="J3251" s="5">
        <f t="shared" ref="J3251:J3257" ca="1" si="104">ROUND((5000+G3251*60),-2)</f>
        <v>12200</v>
      </c>
      <c r="K3251" s="12" t="s">
        <v>11019</v>
      </c>
      <c r="L3251" s="15" t="s">
        <v>12587</v>
      </c>
    </row>
    <row r="3252" spans="1:12" ht="303.75">
      <c r="A3252" s="8" t="s">
        <v>12588</v>
      </c>
      <c r="B3252" s="9" t="s">
        <v>12</v>
      </c>
      <c r="C3252" s="10" t="s">
        <v>443</v>
      </c>
      <c r="D3252" s="10" t="str">
        <f ca="1">IFERROR(__xludf.DUMMYFUNCTION(" VLOOKUP(A3249, IMPORTRANGE(""https://docs.google.com/spreadsheets/d/1fj_Bhi2XPL3siwIh4sx4VRLAe31yD50oKdj5UlRYW0c/"", ""Сводка!A:AA""), 11, FALSE)"),"978-9965-824-78-4")</f>
        <v>978-9965-824-78-4</v>
      </c>
      <c r="E3252" s="11" t="s">
        <v>12589</v>
      </c>
      <c r="F3252" s="11" t="s">
        <v>12590</v>
      </c>
      <c r="G3252" s="12">
        <f ca="1">IFERROR(__xludf.DUMMYFUNCTION(" VLOOKUP(A3249, IMPORTRANGE(""https://docs.google.com/spreadsheets/d/1fj_Bhi2XPL3siwIh4sx4VRLAe31yD50oKdj5UlRYW0c/"", ""Сводка!A:AA""), 5, FALSE)"),252)</f>
        <v>252</v>
      </c>
      <c r="H3252" s="12" t="s">
        <v>446</v>
      </c>
      <c r="I3252" s="10">
        <f ca="1">IFERROR(__xludf.DUMMYFUNCTION(" VLOOKUP(A3249, IMPORTRANGE(""https://docs.google.com/spreadsheets/d/1QNLbnkR_AongFt22vMfNzfpjZ0CjpI8QI-w0wBnYA1w/"", ""Инфа!A:AA""), 6, FALSE)"),2024)</f>
        <v>2024</v>
      </c>
      <c r="J3252" s="5">
        <f t="shared" ca="1" si="104"/>
        <v>20100</v>
      </c>
      <c r="K3252" s="12" t="s">
        <v>78</v>
      </c>
      <c r="L3252" s="15" t="s">
        <v>12591</v>
      </c>
    </row>
    <row r="3253" spans="1:12" ht="303.75">
      <c r="A3253" s="8" t="s">
        <v>12592</v>
      </c>
      <c r="B3253" s="9" t="s">
        <v>12</v>
      </c>
      <c r="C3253" s="10" t="s">
        <v>151</v>
      </c>
      <c r="D3253" s="10" t="str">
        <f ca="1">IFERROR(__xludf.DUMMYFUNCTION(" VLOOKUP(A3250, IMPORTRANGE(""https://docs.google.com/spreadsheets/d/1fj_Bhi2XPL3siwIh4sx4VRLAe31yD50oKdj5UlRYW0c/"", ""Сводка!A:AA""), 11, FALSE)"),"978-9965-824-74-6")</f>
        <v>978-9965-824-74-6</v>
      </c>
      <c r="E3253" s="11" t="s">
        <v>12593</v>
      </c>
      <c r="F3253" s="11" t="s">
        <v>12594</v>
      </c>
      <c r="G3253" s="12">
        <f ca="1">IFERROR(__xludf.DUMMYFUNCTION(" VLOOKUP(A3250, IMPORTRANGE(""https://docs.google.com/spreadsheets/d/1fj_Bhi2XPL3siwIh4sx4VRLAe31yD50oKdj5UlRYW0c/"", ""Сводка!A:AA""), 5, FALSE)"),284)</f>
        <v>284</v>
      </c>
      <c r="H3253" s="12" t="s">
        <v>165</v>
      </c>
      <c r="I3253" s="10">
        <f ca="1">IFERROR(__xludf.DUMMYFUNCTION(" VLOOKUP(A3250, IMPORTRANGE(""https://docs.google.com/spreadsheets/d/1QNLbnkR_AongFt22vMfNzfpjZ0CjpI8QI-w0wBnYA1w/"", ""Инфа!A:AA""), 6, FALSE)"),2024)</f>
        <v>2024</v>
      </c>
      <c r="J3253" s="5">
        <f t="shared" ca="1" si="104"/>
        <v>22000</v>
      </c>
      <c r="K3253" s="12" t="s">
        <v>78</v>
      </c>
      <c r="L3253" s="15" t="s">
        <v>12595</v>
      </c>
    </row>
    <row r="3254" spans="1:12" ht="94.5">
      <c r="A3254" s="8" t="s">
        <v>12596</v>
      </c>
      <c r="B3254" s="9" t="s">
        <v>12</v>
      </c>
      <c r="C3254" s="10" t="s">
        <v>151</v>
      </c>
      <c r="D3254" s="10" t="str">
        <f ca="1">IFERROR(__xludf.DUMMYFUNCTION(" VLOOKUP(A3251, IMPORTRANGE(""https://docs.google.com/spreadsheets/d/1fj_Bhi2XPL3siwIh4sx4VRLAe31yD50oKdj5UlRYW0c/"", ""Сводка!A:AA""), 11, FALSE)"),"978-601-342-255-8")</f>
        <v>978-601-342-255-8</v>
      </c>
      <c r="E3254" s="11" t="s">
        <v>12597</v>
      </c>
      <c r="F3254" s="11" t="s">
        <v>12598</v>
      </c>
      <c r="G3254" s="12">
        <f ca="1">IFERROR(__xludf.DUMMYFUNCTION(" VLOOKUP(A3251, IMPORTRANGE(""https://docs.google.com/spreadsheets/d/1fj_Bhi2XPL3siwIh4sx4VRLAe31yD50oKdj5UlRYW0c/"", ""Сводка!A:AA""), 5, FALSE)"),132)</f>
        <v>132</v>
      </c>
      <c r="H3254" s="12" t="s">
        <v>165</v>
      </c>
      <c r="I3254" s="10">
        <f ca="1">IFERROR(__xludf.DUMMYFUNCTION(" VLOOKUP(A3251, IMPORTRANGE(""https://docs.google.com/spreadsheets/d/1QNLbnkR_AongFt22vMfNzfpjZ0CjpI8QI-w0wBnYA1w/"", ""Инфа!A:AA""), 6, FALSE)"),2024)</f>
        <v>2024</v>
      </c>
      <c r="J3254" s="5">
        <f t="shared" ca="1" si="104"/>
        <v>12900</v>
      </c>
      <c r="K3254" s="12" t="s">
        <v>78</v>
      </c>
      <c r="L3254" s="20" t="s">
        <v>12599</v>
      </c>
    </row>
    <row r="3255" spans="1:12" ht="191.25">
      <c r="A3255" s="8" t="s">
        <v>12600</v>
      </c>
      <c r="B3255" s="9" t="s">
        <v>12</v>
      </c>
      <c r="C3255" s="10" t="s">
        <v>151</v>
      </c>
      <c r="D3255" s="10" t="str">
        <f ca="1">IFERROR(__xludf.DUMMYFUNCTION(" VLOOKUP(A3252, IMPORTRANGE(""https://docs.google.com/spreadsheets/d/1fj_Bhi2XPL3siwIh4sx4VRLAe31yD50oKdj5UlRYW0c/"", ""Сводка!A:AA""), 11, FALSE)"),"978-601-327-988-6")</f>
        <v>978-601-327-988-6</v>
      </c>
      <c r="E3255" s="11" t="s">
        <v>12601</v>
      </c>
      <c r="F3255" s="11" t="s">
        <v>12602</v>
      </c>
      <c r="G3255" s="12">
        <f ca="1">IFERROR(__xludf.DUMMYFUNCTION(" VLOOKUP(A3252, IMPORTRANGE(""https://docs.google.com/spreadsheets/d/1fj_Bhi2XPL3siwIh4sx4VRLAe31yD50oKdj5UlRYW0c/"", ""Сводка!A:AA""), 5, FALSE)"),148)</f>
        <v>148</v>
      </c>
      <c r="H3255" s="12" t="s">
        <v>165</v>
      </c>
      <c r="I3255" s="10">
        <f ca="1">IFERROR(__xludf.DUMMYFUNCTION(" VLOOKUP(A3252, IMPORTRANGE(""https://docs.google.com/spreadsheets/d/1QNLbnkR_AongFt22vMfNzfpjZ0CjpI8QI-w0wBnYA1w/"", ""Инфа!A:AA""), 6, FALSE)"),2024)</f>
        <v>2024</v>
      </c>
      <c r="J3255" s="5">
        <f t="shared" ca="1" si="104"/>
        <v>13900</v>
      </c>
      <c r="K3255" s="12" t="s">
        <v>11019</v>
      </c>
      <c r="L3255" s="15" t="s">
        <v>12603</v>
      </c>
    </row>
    <row r="3256" spans="1:12" ht="236.25">
      <c r="A3256" s="8" t="s">
        <v>12604</v>
      </c>
      <c r="B3256" s="9" t="s">
        <v>12</v>
      </c>
      <c r="C3256" s="10" t="s">
        <v>443</v>
      </c>
      <c r="D3256" s="10" t="str">
        <f ca="1">IFERROR(__xludf.DUMMYFUNCTION(" VLOOKUP(A3253, IMPORTRANGE(""https://docs.google.com/spreadsheets/d/1fj_Bhi2XPL3siwIh4sx4VRLAe31yD50oKdj5UlRYW0c/"", ""Сводка!A:AA""), 11, FALSE)"),"978-601-327-833-9")</f>
        <v>978-601-327-833-9</v>
      </c>
      <c r="E3256" s="11" t="s">
        <v>12605</v>
      </c>
      <c r="F3256" s="11" t="s">
        <v>12606</v>
      </c>
      <c r="G3256" s="12">
        <f ca="1">IFERROR(__xludf.DUMMYFUNCTION(" VLOOKUP(A3253, IMPORTRANGE(""https://docs.google.com/spreadsheets/d/1fj_Bhi2XPL3siwIh4sx4VRLAe31yD50oKdj5UlRYW0c/"", ""Сводка!A:AA""), 5, FALSE)"),144)</f>
        <v>144</v>
      </c>
      <c r="H3256" s="12" t="s">
        <v>2664</v>
      </c>
      <c r="I3256" s="10">
        <f ca="1">IFERROR(__xludf.DUMMYFUNCTION(" VLOOKUP(A3253, IMPORTRANGE(""https://docs.google.com/spreadsheets/d/1QNLbnkR_AongFt22vMfNzfpjZ0CjpI8QI-w0wBnYA1w/"", ""Инфа!A:AA""), 6, FALSE)"),2024)</f>
        <v>2024</v>
      </c>
      <c r="J3256" s="5">
        <f t="shared" ca="1" si="104"/>
        <v>13600</v>
      </c>
      <c r="K3256" s="12" t="s">
        <v>78</v>
      </c>
      <c r="L3256" s="15" t="s">
        <v>12607</v>
      </c>
    </row>
    <row r="3257" spans="1:12" ht="135">
      <c r="A3257" s="8" t="s">
        <v>12608</v>
      </c>
      <c r="B3257" s="9" t="s">
        <v>12</v>
      </c>
      <c r="C3257" s="10" t="s">
        <v>443</v>
      </c>
      <c r="D3257" s="10" t="str">
        <f ca="1">IFERROR(__xludf.DUMMYFUNCTION(" VLOOKUP(A3254, IMPORTRANGE(""https://docs.google.com/spreadsheets/d/1fj_Bhi2XPL3siwIh4sx4VRLAe31yD50oKdj5UlRYW0c/"", ""Сводка!A:AA""), 11, FALSE)"),"9965-451-99-0")</f>
        <v>9965-451-99-0</v>
      </c>
      <c r="E3257" s="11" t="s">
        <v>12609</v>
      </c>
      <c r="F3257" s="11" t="s">
        <v>12610</v>
      </c>
      <c r="G3257" s="12" t="e">
        <f>#REF!</f>
        <v>#REF!</v>
      </c>
      <c r="H3257" s="12" t="s">
        <v>538</v>
      </c>
      <c r="I3257" s="10">
        <f ca="1">IFERROR(__xludf.DUMMYFUNCTION(" VLOOKUP(A3254, IMPORTRANGE(""https://docs.google.com/spreadsheets/d/1QNLbnkR_AongFt22vMfNzfpjZ0CjpI8QI-w0wBnYA1w/"", ""Инфа!A:AA""), 6, FALSE)"),2024)</f>
        <v>2024</v>
      </c>
      <c r="J3257" s="5" t="e">
        <f t="shared" si="104"/>
        <v>#REF!</v>
      </c>
      <c r="K3257" s="12" t="s">
        <v>78</v>
      </c>
      <c r="L3257" s="16" t="s">
        <v>12611</v>
      </c>
    </row>
    <row r="3258" spans="1:12" ht="225">
      <c r="A3258" s="8" t="s">
        <v>12612</v>
      </c>
      <c r="B3258" s="9" t="s">
        <v>12</v>
      </c>
      <c r="C3258" s="10" t="s">
        <v>151</v>
      </c>
      <c r="D3258" s="10" t="str">
        <f ca="1">IFERROR(__xludf.DUMMYFUNCTION(" VLOOKUP(A3255, IMPORTRANGE(""https://docs.google.com/spreadsheets/d/1fj_Bhi2XPL3siwIh4sx4VRLAe31yD50oKdj5UlRYW0c/"", ""Сводка!A:AA""), 11, FALSE)"),"978-601-342-460-6")</f>
        <v>978-601-342-460-6</v>
      </c>
      <c r="E3258" s="11" t="s">
        <v>12613</v>
      </c>
      <c r="F3258" s="11" t="s">
        <v>12614</v>
      </c>
      <c r="G3258" s="12">
        <f ca="1">IFERROR(__xludf.DUMMYFUNCTION(" VLOOKUP(A3255, IMPORTRANGE(""https://docs.google.com/spreadsheets/d/1fj_Bhi2XPL3siwIh4sx4VRLAe31yD50oKdj5UlRYW0c/"", ""Сводка!A:AA""), 5, FALSE)"),92)</f>
        <v>92</v>
      </c>
      <c r="H3258" s="12" t="s">
        <v>165</v>
      </c>
      <c r="I3258" s="10">
        <f ca="1">IFERROR(__xludf.DUMMYFUNCTION(" VLOOKUP(A3255, IMPORTRANGE(""https://docs.google.com/spreadsheets/d/1QNLbnkR_AongFt22vMfNzfpjZ0CjpI8QI-w0wBnYA1w/"", ""Инфа!A:AA""), 6, FALSE)"),2023)</f>
        <v>2023</v>
      </c>
      <c r="J3258" s="5">
        <f t="shared" ref="J3258:J3265" ca="1" si="105">ROUND((5000+G3258*30),-2)</f>
        <v>7800</v>
      </c>
      <c r="K3258" s="12" t="s">
        <v>213</v>
      </c>
      <c r="L3258" s="15" t="s">
        <v>12615</v>
      </c>
    </row>
    <row r="3259" spans="1:12" ht="247.5">
      <c r="A3259" s="8" t="s">
        <v>12616</v>
      </c>
      <c r="B3259" s="9" t="s">
        <v>12</v>
      </c>
      <c r="C3259" s="10" t="s">
        <v>443</v>
      </c>
      <c r="D3259" s="10" t="str">
        <f ca="1">IFERROR(__xludf.DUMMYFUNCTION(" VLOOKUP(A3256, IMPORTRANGE(""https://docs.google.com/spreadsheets/d/1fj_Bhi2XPL3siwIh4sx4VRLAe31yD50oKdj5UlRYW0c/"", ""Сводка!A:AA""), 11, FALSE)"),"978-601-310-881-0")</f>
        <v>978-601-310-881-0</v>
      </c>
      <c r="E3259" s="11" t="s">
        <v>12617</v>
      </c>
      <c r="F3259" s="11" t="s">
        <v>12618</v>
      </c>
      <c r="G3259" s="12">
        <f ca="1">IFERROR(__xludf.DUMMYFUNCTION(" VLOOKUP(A3256, IMPORTRANGE(""https://docs.google.com/spreadsheets/d/1fj_Bhi2XPL3siwIh4sx4VRLAe31yD50oKdj5UlRYW0c/"", ""Сводка!A:AA""), 5, FALSE)"),224)</f>
        <v>224</v>
      </c>
      <c r="H3259" s="12" t="s">
        <v>538</v>
      </c>
      <c r="I3259" s="10">
        <f ca="1">IFERROR(__xludf.DUMMYFUNCTION(" VLOOKUP(A3256, IMPORTRANGE(""https://docs.google.com/spreadsheets/d/1QNLbnkR_AongFt22vMfNzfpjZ0CjpI8QI-w0wBnYA1w/"", ""Инфа!A:AA""), 6, FALSE)"),2024)</f>
        <v>2024</v>
      </c>
      <c r="J3259" s="5">
        <f t="shared" ca="1" si="105"/>
        <v>11700</v>
      </c>
      <c r="K3259" s="12" t="s">
        <v>243</v>
      </c>
      <c r="L3259" s="15" t="s">
        <v>12619</v>
      </c>
    </row>
    <row r="3260" spans="1:12" ht="247.5">
      <c r="A3260" s="8" t="s">
        <v>12620</v>
      </c>
      <c r="B3260" s="9" t="s">
        <v>12</v>
      </c>
      <c r="C3260" s="10" t="s">
        <v>443</v>
      </c>
      <c r="D3260" s="10" t="str">
        <f ca="1">IFERROR(__xludf.DUMMYFUNCTION(" VLOOKUP(A3257, IMPORTRANGE(""https://docs.google.com/spreadsheets/d/1fj_Bhi2XPL3siwIh4sx4VRLAe31yD50oKdj5UlRYW0c/"", ""Сводка!A:AA""), 11, FALSE)"),"978-601-310-881-0")</f>
        <v>978-601-310-881-0</v>
      </c>
      <c r="E3260" s="11" t="s">
        <v>12617</v>
      </c>
      <c r="F3260" s="11" t="s">
        <v>12621</v>
      </c>
      <c r="G3260" s="12">
        <f ca="1">IFERROR(__xludf.DUMMYFUNCTION(" VLOOKUP(A3257, IMPORTRANGE(""https://docs.google.com/spreadsheets/d/1fj_Bhi2XPL3siwIh4sx4VRLAe31yD50oKdj5UlRYW0c/"", ""Сводка!A:AA""), 5, FALSE)"),260)</f>
        <v>260</v>
      </c>
      <c r="H3260" s="12" t="s">
        <v>538</v>
      </c>
      <c r="I3260" s="10">
        <f ca="1">IFERROR(__xludf.DUMMYFUNCTION(" VLOOKUP(A3257, IMPORTRANGE(""https://docs.google.com/spreadsheets/d/1QNLbnkR_AongFt22vMfNzfpjZ0CjpI8QI-w0wBnYA1w/"", ""Инфа!A:AA""), 6, FALSE)"),2024)</f>
        <v>2024</v>
      </c>
      <c r="J3260" s="5">
        <f t="shared" ca="1" si="105"/>
        <v>12800</v>
      </c>
      <c r="K3260" s="12" t="s">
        <v>243</v>
      </c>
      <c r="L3260" s="15" t="s">
        <v>12619</v>
      </c>
    </row>
    <row r="3261" spans="1:12" ht="51">
      <c r="A3261" s="8" t="s">
        <v>12622</v>
      </c>
      <c r="B3261" s="9" t="s">
        <v>12</v>
      </c>
      <c r="C3261" s="10" t="s">
        <v>443</v>
      </c>
      <c r="D3261" s="10" t="str">
        <f ca="1">IFERROR(__xludf.DUMMYFUNCTION(" VLOOKUP(A3258, IMPORTRANGE(""https://docs.google.com/spreadsheets/d/1fj_Bhi2XPL3siwIh4sx4VRLAe31yD50oKdj5UlRYW0c/"", ""Сводка!A:AA""), 11, FALSE)"),"978-601-240-233-9")</f>
        <v>978-601-240-233-9</v>
      </c>
      <c r="E3261" s="11" t="s">
        <v>12623</v>
      </c>
      <c r="F3261" s="11" t="s">
        <v>12624</v>
      </c>
      <c r="G3261" s="12">
        <f ca="1">IFERROR(__xludf.DUMMYFUNCTION(" VLOOKUP(A3258, IMPORTRANGE(""https://docs.google.com/spreadsheets/d/1fj_Bhi2XPL3siwIh4sx4VRLAe31yD50oKdj5UlRYW0c/"", ""Сводка!A:AA""), 5, FALSE)"),196)</f>
        <v>196</v>
      </c>
      <c r="H3261" s="12" t="s">
        <v>538</v>
      </c>
      <c r="I3261" s="10">
        <f ca="1">IFERROR(__xludf.DUMMYFUNCTION(" VLOOKUP(A3258, IMPORTRANGE(""https://docs.google.com/spreadsheets/d/1QNLbnkR_AongFt22vMfNzfpjZ0CjpI8QI-w0wBnYA1w/"", ""Инфа!A:AA""), 6, FALSE)"),2024)</f>
        <v>2024</v>
      </c>
      <c r="J3261" s="5">
        <f t="shared" ca="1" si="105"/>
        <v>10900</v>
      </c>
      <c r="K3261" s="12" t="s">
        <v>139</v>
      </c>
      <c r="L3261" s="15"/>
    </row>
    <row r="3262" spans="1:12" ht="25.5">
      <c r="A3262" s="8" t="s">
        <v>12625</v>
      </c>
      <c r="B3262" s="9" t="s">
        <v>12</v>
      </c>
      <c r="C3262" s="10" t="s">
        <v>443</v>
      </c>
      <c r="D3262" s="10" t="str">
        <f ca="1">IFERROR(__xludf.DUMMYFUNCTION(" VLOOKUP(A3259, IMPORTRANGE(""https://docs.google.com/spreadsheets/d/1fj_Bhi2XPL3siwIh4sx4VRLAe31yD50oKdj5UlRYW0c/"", ""Сводка!A:AA""), 11, FALSE)"),"978-601-240-234-6")</f>
        <v>978-601-240-234-6</v>
      </c>
      <c r="E3262" s="11" t="s">
        <v>12623</v>
      </c>
      <c r="F3262" s="11" t="s">
        <v>12626</v>
      </c>
      <c r="G3262" s="12">
        <f ca="1">IFERROR(__xludf.DUMMYFUNCTION(" VLOOKUP(A3259, IMPORTRANGE(""https://docs.google.com/spreadsheets/d/1fj_Bhi2XPL3siwIh4sx4VRLAe31yD50oKdj5UlRYW0c/"", ""Сводка!A:AA""), 5, FALSE)"),320)</f>
        <v>320</v>
      </c>
      <c r="H3262" s="12" t="s">
        <v>538</v>
      </c>
      <c r="I3262" s="10">
        <f ca="1">IFERROR(__xludf.DUMMYFUNCTION(" VLOOKUP(A3259, IMPORTRANGE(""https://docs.google.com/spreadsheets/d/1QNLbnkR_AongFt22vMfNzfpjZ0CjpI8QI-w0wBnYA1w/"", ""Инфа!A:AA""), 6, FALSE)"),2024)</f>
        <v>2024</v>
      </c>
      <c r="J3262" s="5">
        <f t="shared" ca="1" si="105"/>
        <v>14600</v>
      </c>
      <c r="K3262" s="12" t="s">
        <v>961</v>
      </c>
      <c r="L3262" s="15"/>
    </row>
    <row r="3263" spans="1:12" ht="51">
      <c r="A3263" s="8" t="s">
        <v>12627</v>
      </c>
      <c r="B3263" s="9" t="s">
        <v>12</v>
      </c>
      <c r="C3263" s="10" t="s">
        <v>443</v>
      </c>
      <c r="D3263" s="10" t="str">
        <f ca="1">IFERROR(__xludf.DUMMYFUNCTION(" VLOOKUP(A3260, IMPORTRANGE(""https://docs.google.com/spreadsheets/d/1fj_Bhi2XPL3siwIh4sx4VRLAe31yD50oKdj5UlRYW0c/"", ""Сводка!A:AA""), 11, FALSE)"),"978-601-240-234-6")</f>
        <v>978-601-240-234-6</v>
      </c>
      <c r="E3263" s="11" t="s">
        <v>12623</v>
      </c>
      <c r="F3263" s="11" t="s">
        <v>12628</v>
      </c>
      <c r="G3263" s="12">
        <f ca="1">IFERROR(__xludf.DUMMYFUNCTION(" VLOOKUP(A3260, IMPORTRANGE(""https://docs.google.com/spreadsheets/d/1fj_Bhi2XPL3siwIh4sx4VRLAe31yD50oKdj5UlRYW0c/"", ""Сводка!A:AA""), 5, FALSE)"),324)</f>
        <v>324</v>
      </c>
      <c r="H3263" s="12" t="s">
        <v>511</v>
      </c>
      <c r="I3263" s="10">
        <f ca="1">IFERROR(__xludf.DUMMYFUNCTION(" VLOOKUP(A3260, IMPORTRANGE(""https://docs.google.com/spreadsheets/d/1QNLbnkR_AongFt22vMfNzfpjZ0CjpI8QI-w0wBnYA1w/"", ""Инфа!A:AA""), 6, FALSE)"),2024)</f>
        <v>2024</v>
      </c>
      <c r="J3263" s="5">
        <f t="shared" ca="1" si="105"/>
        <v>14700</v>
      </c>
      <c r="K3263" s="9" t="s">
        <v>271</v>
      </c>
      <c r="L3263" s="15"/>
    </row>
    <row r="3264" spans="1:12" ht="56.25">
      <c r="A3264" s="8" t="s">
        <v>12629</v>
      </c>
      <c r="B3264" s="9" t="s">
        <v>12</v>
      </c>
      <c r="C3264" s="10" t="s">
        <v>443</v>
      </c>
      <c r="D3264" s="10" t="str">
        <f ca="1">IFERROR(__xludf.DUMMYFUNCTION(" VLOOKUP(A3261, IMPORTRANGE(""https://docs.google.com/spreadsheets/d/1fj_Bhi2XPL3siwIh4sx4VRLAe31yD50oKdj5UlRYW0c/"", ""Сводка!A:AA""), 11, FALSE)"),"978-601-310-774-5")</f>
        <v>978-601-310-774-5</v>
      </c>
      <c r="E3264" s="11" t="s">
        <v>12623</v>
      </c>
      <c r="F3264" s="11" t="s">
        <v>12630</v>
      </c>
      <c r="G3264" s="12">
        <f ca="1">IFERROR(__xludf.DUMMYFUNCTION(" VLOOKUP(A3261, IMPORTRANGE(""https://docs.google.com/spreadsheets/d/1fj_Bhi2XPL3siwIh4sx4VRLAe31yD50oKdj5UlRYW0c/"", ""Сводка!A:AA""), 5, FALSE)"),208)</f>
        <v>208</v>
      </c>
      <c r="H3264" s="12" t="s">
        <v>671</v>
      </c>
      <c r="I3264" s="10">
        <f ca="1">IFERROR(__xludf.DUMMYFUNCTION(" VLOOKUP(A3261, IMPORTRANGE(""https://docs.google.com/spreadsheets/d/1QNLbnkR_AongFt22vMfNzfpjZ0CjpI8QI-w0wBnYA1w/"", ""Инфа!A:AA""), 6, FALSE)"),2024)</f>
        <v>2024</v>
      </c>
      <c r="J3264" s="5">
        <f t="shared" ca="1" si="105"/>
        <v>11200</v>
      </c>
      <c r="K3264" s="9" t="s">
        <v>408</v>
      </c>
      <c r="L3264" s="15" t="s">
        <v>12631</v>
      </c>
    </row>
    <row r="3265" spans="1:12" ht="25.5">
      <c r="A3265" s="8" t="s">
        <v>12632</v>
      </c>
      <c r="B3265" s="9" t="s">
        <v>12</v>
      </c>
      <c r="C3265" s="10" t="s">
        <v>443</v>
      </c>
      <c r="D3265" s="10" t="str">
        <f ca="1">IFERROR(__xludf.DUMMYFUNCTION(" VLOOKUP(A3262, IMPORTRANGE(""https://docs.google.com/spreadsheets/d/1fj_Bhi2XPL3siwIh4sx4VRLAe31yD50oKdj5UlRYW0c/"", ""Сводка!A:AA""), 11, FALSE)"),"978-601-240-231-5")</f>
        <v>978-601-240-231-5</v>
      </c>
      <c r="E3265" s="11" t="s">
        <v>12623</v>
      </c>
      <c r="F3265" s="11" t="s">
        <v>12633</v>
      </c>
      <c r="G3265" s="12">
        <f ca="1">IFERROR(__xludf.DUMMYFUNCTION(" VLOOKUP(A3262, IMPORTRANGE(""https://docs.google.com/spreadsheets/d/1fj_Bhi2XPL3siwIh4sx4VRLAe31yD50oKdj5UlRYW0c/"", ""Сводка!A:AA""), 5, FALSE)"),288)</f>
        <v>288</v>
      </c>
      <c r="H3265" s="12" t="s">
        <v>538</v>
      </c>
      <c r="I3265" s="10">
        <f ca="1">IFERROR(__xludf.DUMMYFUNCTION(" VLOOKUP(A3262, IMPORTRANGE(""https://docs.google.com/spreadsheets/d/1QNLbnkR_AongFt22vMfNzfpjZ0CjpI8QI-w0wBnYA1w/"", ""Инфа!A:AA""), 6, FALSE)"),2024)</f>
        <v>2024</v>
      </c>
      <c r="J3265" s="5">
        <f t="shared" ca="1" si="105"/>
        <v>13600</v>
      </c>
      <c r="K3265" s="9" t="s">
        <v>271</v>
      </c>
      <c r="L3265" s="15"/>
    </row>
    <row r="3266" spans="1:12" ht="63.75">
      <c r="A3266" s="8" t="s">
        <v>12634</v>
      </c>
      <c r="B3266" s="9" t="s">
        <v>12</v>
      </c>
      <c r="C3266" s="10" t="s">
        <v>443</v>
      </c>
      <c r="D3266" s="10" t="str">
        <f ca="1">IFERROR(__xludf.DUMMYFUNCTION(" VLOOKUP(A3263, IMPORTRANGE(""https://docs.google.com/spreadsheets/d/1fj_Bhi2XPL3siwIh4sx4VRLAe31yD50oKdj5UlRYW0c/"", ""Сводка!A:AA""), 11, FALSE)"),"978-601-327-062-3")</f>
        <v>978-601-327-062-3</v>
      </c>
      <c r="E3266" s="11" t="s">
        <v>12623</v>
      </c>
      <c r="F3266" s="11" t="s">
        <v>12635</v>
      </c>
      <c r="G3266" s="12">
        <f ca="1">IFERROR(__xludf.DUMMYFUNCTION(" VLOOKUP(A3263, IMPORTRANGE(""https://docs.google.com/spreadsheets/d/1fj_Bhi2XPL3siwIh4sx4VRLAe31yD50oKdj5UlRYW0c/"", ""Сводка!A:AA""), 5, FALSE)"),244)</f>
        <v>244</v>
      </c>
      <c r="H3266" s="12" t="s">
        <v>511</v>
      </c>
      <c r="I3266" s="10">
        <f ca="1">IFERROR(__xludf.DUMMYFUNCTION(" VLOOKUP(A3263, IMPORTRANGE(""https://docs.google.com/spreadsheets/d/1QNLbnkR_AongFt22vMfNzfpjZ0CjpI8QI-w0wBnYA1w/"", ""Инфа!A:AA""), 6, FALSE)"),2024)</f>
        <v>2024</v>
      </c>
      <c r="J3266" s="5">
        <f ca="1">ROUND((5000+G3266*60),-2)</f>
        <v>19600</v>
      </c>
      <c r="K3266" s="12" t="s">
        <v>139</v>
      </c>
      <c r="L3266" s="15" t="s">
        <v>12636</v>
      </c>
    </row>
    <row r="3267" spans="1:12" ht="101.25">
      <c r="A3267" s="8" t="s">
        <v>12637</v>
      </c>
      <c r="B3267" s="9" t="s">
        <v>12</v>
      </c>
      <c r="C3267" s="10" t="s">
        <v>443</v>
      </c>
      <c r="D3267" s="10" t="str">
        <f ca="1">IFERROR(__xludf.DUMMYFUNCTION(" VLOOKUP(A3264, IMPORTRANGE(""https://docs.google.com/spreadsheets/d/1fj_Bhi2XPL3siwIh4sx4VRLAe31yD50oKdj5UlRYW0c/"", ""Сводка!A:AA""), 11, FALSE)"),"978-601-240-231-5")</f>
        <v>978-601-240-231-5</v>
      </c>
      <c r="E3267" s="11" t="s">
        <v>12623</v>
      </c>
      <c r="F3267" s="11" t="s">
        <v>12638</v>
      </c>
      <c r="G3267" s="12" t="e">
        <f>#REF!</f>
        <v>#REF!</v>
      </c>
      <c r="H3267" s="12" t="s">
        <v>511</v>
      </c>
      <c r="I3267" s="10">
        <f ca="1">IFERROR(__xludf.DUMMYFUNCTION(" VLOOKUP(A3264, IMPORTRANGE(""https://docs.google.com/spreadsheets/d/1QNLbnkR_AongFt22vMfNzfpjZ0CjpI8QI-w0wBnYA1w/"", ""Инфа!A:AA""), 6, FALSE)"),2024)</f>
        <v>2024</v>
      </c>
      <c r="J3267" s="5" t="e">
        <f>ROUND((5000+G3267*30),-2)</f>
        <v>#REF!</v>
      </c>
      <c r="K3267" s="9" t="s">
        <v>271</v>
      </c>
      <c r="L3267" s="15" t="s">
        <v>12639</v>
      </c>
    </row>
    <row r="3268" spans="1:12" ht="135">
      <c r="A3268" s="8" t="s">
        <v>12640</v>
      </c>
      <c r="B3268" s="9" t="s">
        <v>12</v>
      </c>
      <c r="C3268" s="10" t="s">
        <v>443</v>
      </c>
      <c r="D3268" s="10" t="s">
        <v>12641</v>
      </c>
      <c r="E3268" s="11" t="s">
        <v>12623</v>
      </c>
      <c r="F3268" s="11" t="s">
        <v>12642</v>
      </c>
      <c r="G3268" s="12">
        <f ca="1">IFERROR(__xludf.DUMMYFUNCTION(" VLOOKUP(A3265, IMPORTRANGE(""https://docs.google.com/spreadsheets/d/1fj_Bhi2XPL3siwIh4sx4VRLAe31yD50oKdj5UlRYW0c/"", ""Сводка!A:AA""), 5, FALSE)"),144)</f>
        <v>144</v>
      </c>
      <c r="H3268" s="12" t="s">
        <v>511</v>
      </c>
      <c r="I3268" s="10">
        <f ca="1">IFERROR(__xludf.DUMMYFUNCTION(" VLOOKUP(A3265, IMPORTRANGE(""https://docs.google.com/spreadsheets/d/1QNLbnkR_AongFt22vMfNzfpjZ0CjpI8QI-w0wBnYA1w/"", ""Инфа!A:AA""), 6, FALSE)"),2024)</f>
        <v>2024</v>
      </c>
      <c r="J3268" s="5">
        <f ca="1">ROUND((5000+G3268*60),-2)</f>
        <v>13600</v>
      </c>
      <c r="K3268" s="12" t="s">
        <v>139</v>
      </c>
      <c r="L3268" s="15" t="s">
        <v>12643</v>
      </c>
    </row>
    <row r="3269" spans="1:12" ht="112.5">
      <c r="A3269" s="8" t="s">
        <v>12644</v>
      </c>
      <c r="B3269" s="9" t="s">
        <v>12</v>
      </c>
      <c r="C3269" s="10" t="s">
        <v>443</v>
      </c>
      <c r="D3269" s="10" t="str">
        <f ca="1">IFERROR(__xludf.DUMMYFUNCTION(" VLOOKUP(A3266, IMPORTRANGE(""https://docs.google.com/spreadsheets/d/1fj_Bhi2XPL3siwIh4sx4VRLAe31yD50oKdj5UlRYW0c/"", ""Сводка!A:AA""), 11, FALSE)"),"978-601-240-230-8")</f>
        <v>978-601-240-230-8</v>
      </c>
      <c r="E3269" s="11" t="s">
        <v>12623</v>
      </c>
      <c r="F3269" s="11" t="s">
        <v>12645</v>
      </c>
      <c r="G3269" s="12">
        <f ca="1">IFERROR(__xludf.DUMMYFUNCTION(" VLOOKUP(A3266, IMPORTRANGE(""https://docs.google.com/spreadsheets/d/1fj_Bhi2XPL3siwIh4sx4VRLAe31yD50oKdj5UlRYW0c/"", ""Сводка!A:AA""), 5, FALSE)"),108)</f>
        <v>108</v>
      </c>
      <c r="H3269" s="12" t="s">
        <v>511</v>
      </c>
      <c r="I3269" s="10">
        <f ca="1">IFERROR(__xludf.DUMMYFUNCTION(" VLOOKUP(A3266, IMPORTRANGE(""https://docs.google.com/spreadsheets/d/1QNLbnkR_AongFt22vMfNzfpjZ0CjpI8QI-w0wBnYA1w/"", ""Инфа!A:AA""), 6, FALSE)"),2024)</f>
        <v>2024</v>
      </c>
      <c r="J3269" s="5">
        <f t="shared" ref="J3269:J3274" ca="1" si="106">ROUND((5000+G3269*30),-2)</f>
        <v>8200</v>
      </c>
      <c r="K3269" s="9" t="s">
        <v>271</v>
      </c>
      <c r="L3269" s="15" t="s">
        <v>12646</v>
      </c>
    </row>
    <row r="3270" spans="1:12" ht="38.25">
      <c r="A3270" s="8" t="s">
        <v>12647</v>
      </c>
      <c r="B3270" s="9" t="s">
        <v>12</v>
      </c>
      <c r="C3270" s="10" t="s">
        <v>443</v>
      </c>
      <c r="D3270" s="10" t="s">
        <v>12648</v>
      </c>
      <c r="E3270" s="19" t="s">
        <v>12649</v>
      </c>
      <c r="F3270" s="11" t="s">
        <v>12650</v>
      </c>
      <c r="G3270" s="12">
        <f ca="1">IFERROR(__xludf.DUMMYFUNCTION(" VLOOKUP(A3267, IMPORTRANGE(""https://docs.google.com/spreadsheets/d/1fj_Bhi2XPL3siwIh4sx4VRLAe31yD50oKdj5UlRYW0c/"", ""Сводка!A:AA""), 5, FALSE)"),96)</f>
        <v>96</v>
      </c>
      <c r="H3270" s="12" t="s">
        <v>538</v>
      </c>
      <c r="I3270" s="10">
        <f ca="1">IFERROR(__xludf.DUMMYFUNCTION(" VLOOKUP(A3267, IMPORTRANGE(""https://docs.google.com/spreadsheets/d/1QNLbnkR_AongFt22vMfNzfpjZ0CjpI8QI-w0wBnYA1w/"", ""Инфа!A:AA""), 6, FALSE)"),2024)</f>
        <v>2024</v>
      </c>
      <c r="J3270" s="5">
        <f t="shared" ca="1" si="106"/>
        <v>7900</v>
      </c>
      <c r="K3270" s="9" t="s">
        <v>592</v>
      </c>
      <c r="L3270" s="15"/>
    </row>
    <row r="3271" spans="1:12" ht="51">
      <c r="A3271" s="8" t="s">
        <v>12651</v>
      </c>
      <c r="B3271" s="9" t="s">
        <v>12</v>
      </c>
      <c r="C3271" s="10" t="s">
        <v>151</v>
      </c>
      <c r="D3271" s="10" t="str">
        <f ca="1">IFERROR(__xludf.DUMMYFUNCTION(" VLOOKUP(A3268, IMPORTRANGE(""https://docs.google.com/spreadsheets/d/1fj_Bhi2XPL3siwIh4sx4VRLAe31yD50oKdj5UlRYW0c/"", ""Сводка!A:AA""), 11, FALSE)"),"978-601-240-241-4")</f>
        <v>978-601-240-241-4</v>
      </c>
      <c r="E3271" s="19" t="s">
        <v>12649</v>
      </c>
      <c r="F3271" s="11" t="s">
        <v>12652</v>
      </c>
      <c r="G3271" s="12">
        <f ca="1">IFERROR(__xludf.DUMMYFUNCTION(" VLOOKUP(A3268, IMPORTRANGE(""https://docs.google.com/spreadsheets/d/1fj_Bhi2XPL3siwIh4sx4VRLAe31yD50oKdj5UlRYW0c/"", ""Сводка!A:AA""), 5, FALSE)"),112)</f>
        <v>112</v>
      </c>
      <c r="H3271" s="12" t="s">
        <v>47</v>
      </c>
      <c r="I3271" s="10">
        <f ca="1">IFERROR(__xludf.DUMMYFUNCTION(" VLOOKUP(A3268, IMPORTRANGE(""https://docs.google.com/spreadsheets/d/1QNLbnkR_AongFt22vMfNzfpjZ0CjpI8QI-w0wBnYA1w/"", ""Инфа!A:AA""), 6, FALSE)"),2024)</f>
        <v>2024</v>
      </c>
      <c r="J3271" s="5">
        <f t="shared" ca="1" si="106"/>
        <v>8400</v>
      </c>
      <c r="K3271" s="12" t="s">
        <v>308</v>
      </c>
      <c r="L3271" s="15"/>
    </row>
    <row r="3272" spans="1:12" ht="51">
      <c r="A3272" s="8" t="s">
        <v>12653</v>
      </c>
      <c r="B3272" s="9" t="s">
        <v>12</v>
      </c>
      <c r="C3272" s="10" t="s">
        <v>443</v>
      </c>
      <c r="D3272" s="10" t="str">
        <f ca="1">IFERROR(__xludf.DUMMYFUNCTION(" VLOOKUP(A3269, IMPORTRANGE(""https://docs.google.com/spreadsheets/d/1fj_Bhi2XPL3siwIh4sx4VRLAe31yD50oKdj5UlRYW0c/"", ""Сводка!A:AA""), 11, FALSE)"),"978-601-327-011-1")</f>
        <v>978-601-327-011-1</v>
      </c>
      <c r="E3272" s="86" t="s">
        <v>12654</v>
      </c>
      <c r="F3272" s="11" t="s">
        <v>12655</v>
      </c>
      <c r="G3272" s="12">
        <f ca="1">IFERROR(__xludf.DUMMYFUNCTION(" VLOOKUP(A3269, IMPORTRANGE(""https://docs.google.com/spreadsheets/d/1fj_Bhi2XPL3siwIh4sx4VRLAe31yD50oKdj5UlRYW0c/"", ""Сводка!A:AA""), 5, FALSE)"),164)</f>
        <v>164</v>
      </c>
      <c r="H3272" s="12" t="s">
        <v>12656</v>
      </c>
      <c r="I3272" s="10">
        <f ca="1">IFERROR(__xludf.DUMMYFUNCTION(" VLOOKUP(A3269, IMPORTRANGE(""https://docs.google.com/spreadsheets/d/1QNLbnkR_AongFt22vMfNzfpjZ0CjpI8QI-w0wBnYA1w/"", ""Инфа!A:AA""), 6, FALSE)"),2024)</f>
        <v>2024</v>
      </c>
      <c r="J3272" s="5">
        <f t="shared" ca="1" si="106"/>
        <v>9900</v>
      </c>
      <c r="K3272" s="12" t="s">
        <v>1075</v>
      </c>
      <c r="L3272" s="15"/>
    </row>
    <row r="3273" spans="1:12" ht="202.5">
      <c r="A3273" s="8" t="s">
        <v>12657</v>
      </c>
      <c r="B3273" s="9" t="s">
        <v>12</v>
      </c>
      <c r="C3273" s="10" t="s">
        <v>443</v>
      </c>
      <c r="D3273" s="10" t="str">
        <f ca="1">IFERROR(__xludf.DUMMYFUNCTION(" VLOOKUP(A3270, IMPORTRANGE(""https://docs.google.com/spreadsheets/d/1fj_Bhi2XPL3siwIh4sx4VRLAe31yD50oKdj5UlRYW0c/"", ""Сводка!A:AA""), 11, FALSE)"),"978-601-342-681-5")</f>
        <v>978-601-342-681-5</v>
      </c>
      <c r="E3273" s="11" t="s">
        <v>12658</v>
      </c>
      <c r="F3273" s="11" t="s">
        <v>12659</v>
      </c>
      <c r="G3273" s="12">
        <f ca="1">IFERROR(__xludf.DUMMYFUNCTION(" VLOOKUP(A3270, IMPORTRANGE(""https://docs.google.com/spreadsheets/d/1fj_Bhi2XPL3siwIh4sx4VRLAe31yD50oKdj5UlRYW0c/"", ""Сводка!A:AA""), 5, FALSE)"),128)</f>
        <v>128</v>
      </c>
      <c r="H3273" s="12" t="s">
        <v>446</v>
      </c>
      <c r="I3273" s="10">
        <f ca="1">IFERROR(__xludf.DUMMYFUNCTION(" VLOOKUP(A3270, IMPORTRANGE(""https://docs.google.com/spreadsheets/d/1QNLbnkR_AongFt22vMfNzfpjZ0CjpI8QI-w0wBnYA1w/"", ""Инфа!A:AA""), 6, FALSE)"),2024)</f>
        <v>2024</v>
      </c>
      <c r="J3273" s="5">
        <f t="shared" ca="1" si="106"/>
        <v>8800</v>
      </c>
      <c r="K3273" s="12" t="s">
        <v>2645</v>
      </c>
      <c r="L3273" s="15" t="s">
        <v>12660</v>
      </c>
    </row>
    <row r="3274" spans="1:12" ht="258.75">
      <c r="A3274" s="8" t="s">
        <v>12661</v>
      </c>
      <c r="B3274" s="9" t="s">
        <v>12</v>
      </c>
      <c r="C3274" s="10" t="s">
        <v>443</v>
      </c>
      <c r="D3274" s="10" t="str">
        <f ca="1">IFERROR(__xludf.DUMMYFUNCTION(" VLOOKUP(A3271, IMPORTRANGE(""https://docs.google.com/spreadsheets/d/1fj_Bhi2XPL3siwIh4sx4VRLAe31yD50oKdj5UlRYW0c/"", ""Сводка!A:AA""), 11, FALSE)"),"978-601-342-580-1")</f>
        <v>978-601-342-580-1</v>
      </c>
      <c r="E3274" s="11" t="s">
        <v>12662</v>
      </c>
      <c r="F3274" s="11" t="s">
        <v>12663</v>
      </c>
      <c r="G3274" s="12">
        <f ca="1">IFERROR(__xludf.DUMMYFUNCTION(" VLOOKUP(A3271, IMPORTRANGE(""https://docs.google.com/spreadsheets/d/1fj_Bhi2XPL3siwIh4sx4VRLAe31yD50oKdj5UlRYW0c/"", ""Сводка!A:AA""), 5, FALSE)"),212)</f>
        <v>212</v>
      </c>
      <c r="H3274" s="12" t="s">
        <v>446</v>
      </c>
      <c r="I3274" s="10">
        <f ca="1">IFERROR(__xludf.DUMMYFUNCTION(" VLOOKUP(A3271, IMPORTRANGE(""https://docs.google.com/spreadsheets/d/1QNLbnkR_AongFt22vMfNzfpjZ0CjpI8QI-w0wBnYA1w/"", ""Инфа!A:AA""), 6, FALSE)"),2024)</f>
        <v>2024</v>
      </c>
      <c r="J3274" s="5">
        <f t="shared" ca="1" si="106"/>
        <v>11400</v>
      </c>
      <c r="K3274" s="12" t="s">
        <v>2645</v>
      </c>
      <c r="L3274" s="15" t="s">
        <v>12664</v>
      </c>
    </row>
    <row r="3275" spans="1:12" ht="202.5">
      <c r="A3275" s="8" t="s">
        <v>12665</v>
      </c>
      <c r="B3275" s="9" t="s">
        <v>12</v>
      </c>
      <c r="C3275" s="10" t="s">
        <v>443</v>
      </c>
      <c r="D3275" s="10" t="str">
        <f ca="1">IFERROR(__xludf.DUMMYFUNCTION(" VLOOKUP(A3272, IMPORTRANGE(""https://docs.google.com/spreadsheets/d/1fj_Bhi2XPL3siwIh4sx4VRLAe31yD50oKdj5UlRYW0c/"", ""Сводка!A:AA""), 11, FALSE)"),"978-601-310-869-8")</f>
        <v>978-601-310-869-8</v>
      </c>
      <c r="E3275" s="11" t="s">
        <v>12666</v>
      </c>
      <c r="F3275" s="11" t="s">
        <v>12667</v>
      </c>
      <c r="G3275" s="12">
        <f ca="1">IFERROR(__xludf.DUMMYFUNCTION(" VLOOKUP(A3272, IMPORTRANGE(""https://docs.google.com/spreadsheets/d/1fj_Bhi2XPL3siwIh4sx4VRLAe31yD50oKdj5UlRYW0c/"", ""Сводка!A:AA""), 5, FALSE)"),268)</f>
        <v>268</v>
      </c>
      <c r="H3275" s="12" t="s">
        <v>511</v>
      </c>
      <c r="I3275" s="10">
        <f ca="1">IFERROR(__xludf.DUMMYFUNCTION(" VLOOKUP(A3272, IMPORTRANGE(""https://docs.google.com/spreadsheets/d/1QNLbnkR_AongFt22vMfNzfpjZ0CjpI8QI-w0wBnYA1w/"", ""Инфа!A:AA""), 6, FALSE)"),2024)</f>
        <v>2024</v>
      </c>
      <c r="J3275" s="5">
        <f ca="1">ROUND((5000+G3275*60),-2)</f>
        <v>21100</v>
      </c>
      <c r="K3275" s="12" t="s">
        <v>302</v>
      </c>
      <c r="L3275" s="15" t="s">
        <v>12668</v>
      </c>
    </row>
    <row r="3276" spans="1:12" ht="202.5">
      <c r="A3276" s="8" t="s">
        <v>12669</v>
      </c>
      <c r="B3276" s="9" t="s">
        <v>12</v>
      </c>
      <c r="C3276" s="10" t="s">
        <v>443</v>
      </c>
      <c r="D3276" s="10" t="str">
        <f ca="1">IFERROR(__xludf.DUMMYFUNCTION(" VLOOKUP(A3273, IMPORTRANGE(""https://docs.google.com/spreadsheets/d/1fj_Bhi2XPL3siwIh4sx4VRLAe31yD50oKdj5UlRYW0c/"", ""Сводка!A:AA""), 11, FALSE)"),"978-601-310-869-8")</f>
        <v>978-601-310-869-8</v>
      </c>
      <c r="E3276" s="11" t="s">
        <v>12666</v>
      </c>
      <c r="F3276" s="11" t="s">
        <v>12670</v>
      </c>
      <c r="G3276" s="12">
        <f ca="1">IFERROR(__xludf.DUMMYFUNCTION(" VLOOKUP(A3273, IMPORTRANGE(""https://docs.google.com/spreadsheets/d/1fj_Bhi2XPL3siwIh4sx4VRLAe31yD50oKdj5UlRYW0c/"", ""Сводка!A:AA""), 5, FALSE)"),264)</f>
        <v>264</v>
      </c>
      <c r="H3276" s="12" t="s">
        <v>511</v>
      </c>
      <c r="I3276" s="10">
        <f ca="1">IFERROR(__xludf.DUMMYFUNCTION(" VLOOKUP(A3273, IMPORTRANGE(""https://docs.google.com/spreadsheets/d/1QNLbnkR_AongFt22vMfNzfpjZ0CjpI8QI-w0wBnYA1w/"", ""Инфа!A:AA""), 6, FALSE)"),2024)</f>
        <v>2024</v>
      </c>
      <c r="J3276" s="5">
        <f ca="1">ROUND((5000+G3276*60),-2)</f>
        <v>20800</v>
      </c>
      <c r="K3276" s="12" t="s">
        <v>302</v>
      </c>
      <c r="L3276" s="15" t="s">
        <v>12668</v>
      </c>
    </row>
    <row r="3277" spans="1:12" ht="135">
      <c r="A3277" s="8" t="s">
        <v>12671</v>
      </c>
      <c r="B3277" s="9" t="s">
        <v>12</v>
      </c>
      <c r="C3277" s="65" t="s">
        <v>443</v>
      </c>
      <c r="D3277" s="10" t="str">
        <f ca="1">IFERROR(__xludf.DUMMYFUNCTION(" VLOOKUP(A3274, IMPORTRANGE(""https://docs.google.com/spreadsheets/d/1fj_Bhi2XPL3siwIh4sx4VRLAe31yD50oKdj5UlRYW0c/"", ""Сводка!A:AA""), 11, FALSE)"),"978-601-240-652-9")</f>
        <v>978-601-240-652-9</v>
      </c>
      <c r="E3277" s="34" t="s">
        <v>12672</v>
      </c>
      <c r="F3277" s="34" t="s">
        <v>12673</v>
      </c>
      <c r="G3277" s="12">
        <f ca="1">IFERROR(__xludf.DUMMYFUNCTION(" VLOOKUP(A3274, IMPORTRANGE(""https://docs.google.com/spreadsheets/d/1fj_Bhi2XPL3siwIh4sx4VRLAe31yD50oKdj5UlRYW0c/"", ""Сводка!A:AA""), 5, FALSE)"),204)</f>
        <v>204</v>
      </c>
      <c r="H3277" s="35" t="s">
        <v>12674</v>
      </c>
      <c r="I3277" s="10">
        <f ca="1">IFERROR(__xludf.DUMMYFUNCTION(" VLOOKUP(A3274, IMPORTRANGE(""https://docs.google.com/spreadsheets/d/1QNLbnkR_AongFt22vMfNzfpjZ0CjpI8QI-w0wBnYA1w/"", ""Инфа!A:AA""), 6, FALSE)"),2024)</f>
        <v>2024</v>
      </c>
      <c r="J3277" s="5">
        <f ca="1">ROUND((5000+G3277*30),-2)</f>
        <v>11100</v>
      </c>
      <c r="K3277" s="35" t="s">
        <v>447</v>
      </c>
      <c r="L3277" s="66" t="s">
        <v>12675</v>
      </c>
    </row>
    <row r="3278" spans="1:12" ht="146.25">
      <c r="A3278" s="8" t="s">
        <v>12676</v>
      </c>
      <c r="B3278" s="9" t="s">
        <v>12</v>
      </c>
      <c r="C3278" s="10" t="s">
        <v>443</v>
      </c>
      <c r="D3278" s="10" t="str">
        <f ca="1">IFERROR(__xludf.DUMMYFUNCTION(" VLOOKUP(A3275, IMPORTRANGE(""https://docs.google.com/spreadsheets/d/1fj_Bhi2XPL3siwIh4sx4VRLAe31yD50oKdj5UlRYW0c/"", ""Сводка!A:AA""), 11, FALSE)"),"978-601-310-838-4")</f>
        <v>978-601-310-838-4</v>
      </c>
      <c r="E3278" s="11" t="s">
        <v>12677</v>
      </c>
      <c r="F3278" s="11" t="s">
        <v>12678</v>
      </c>
      <c r="G3278" s="12">
        <f ca="1">IFERROR(__xludf.DUMMYFUNCTION(" VLOOKUP(A3275, IMPORTRANGE(""https://docs.google.com/spreadsheets/d/1fj_Bhi2XPL3siwIh4sx4VRLAe31yD50oKdj5UlRYW0c/"", ""Сводка!A:AA""), 5, FALSE)"),216)</f>
        <v>216</v>
      </c>
      <c r="H3278" s="12" t="s">
        <v>446</v>
      </c>
      <c r="I3278" s="10">
        <f ca="1">IFERROR(__xludf.DUMMYFUNCTION(" VLOOKUP(A3275, IMPORTRANGE(""https://docs.google.com/spreadsheets/d/1QNLbnkR_AongFt22vMfNzfpjZ0CjpI8QI-w0wBnYA1w/"", ""Инфа!A:AA""), 6, FALSE)"),2024)</f>
        <v>2024</v>
      </c>
      <c r="J3278" s="5">
        <f ca="1">ROUND((5000+G3278*30),-2)</f>
        <v>11500</v>
      </c>
      <c r="K3278" s="9" t="s">
        <v>539</v>
      </c>
      <c r="L3278" s="15" t="s">
        <v>12679</v>
      </c>
    </row>
    <row r="3279" spans="1:12" ht="168.75">
      <c r="A3279" s="8" t="s">
        <v>12680</v>
      </c>
      <c r="B3279" s="9" t="s">
        <v>12</v>
      </c>
      <c r="C3279" s="10" t="s">
        <v>443</v>
      </c>
      <c r="D3279" s="10" t="str">
        <f ca="1">IFERROR(__xludf.DUMMYFUNCTION(" VLOOKUP(A3276, IMPORTRANGE(""https://docs.google.com/spreadsheets/d/1fj_Bhi2XPL3siwIh4sx4VRLAe31yD50oKdj5UlRYW0c/"", ""Сводка!A:AA""), 11, FALSE)"),"978-601-240-893-5")</f>
        <v>978-601-240-893-5</v>
      </c>
      <c r="E3279" s="11" t="s">
        <v>12681</v>
      </c>
      <c r="F3279" s="11" t="s">
        <v>12682</v>
      </c>
      <c r="G3279" s="12">
        <f ca="1">IFERROR(__xludf.DUMMYFUNCTION(" VLOOKUP(A3276, IMPORTRANGE(""https://docs.google.com/spreadsheets/d/1fj_Bhi2XPL3siwIh4sx4VRLAe31yD50oKdj5UlRYW0c/"", ""Сводка!A:AA""), 5, FALSE)"),238)</f>
        <v>238</v>
      </c>
      <c r="H3279" s="12" t="s">
        <v>538</v>
      </c>
      <c r="I3279" s="10">
        <f ca="1">IFERROR(__xludf.DUMMYFUNCTION(" VLOOKUP(A3276, IMPORTRANGE(""https://docs.google.com/spreadsheets/d/1QNLbnkR_AongFt22vMfNzfpjZ0CjpI8QI-w0wBnYA1w/"", ""Инфа!A:AA""), 6, FALSE)"),2024)</f>
        <v>2024</v>
      </c>
      <c r="J3279" s="5">
        <f ca="1">ROUND(((5000+G3279*30)*1.3),-2)</f>
        <v>15800</v>
      </c>
      <c r="K3279" s="12" t="s">
        <v>1603</v>
      </c>
      <c r="L3279" s="15" t="s">
        <v>12683</v>
      </c>
    </row>
    <row r="3280" spans="1:12" ht="123.75">
      <c r="A3280" s="8" t="s">
        <v>12684</v>
      </c>
      <c r="B3280" s="9" t="s">
        <v>12</v>
      </c>
      <c r="C3280" s="10" t="s">
        <v>443</v>
      </c>
      <c r="D3280" s="10" t="str">
        <f ca="1">IFERROR(__xludf.DUMMYFUNCTION(" VLOOKUP(A3277, IMPORTRANGE(""https://docs.google.com/spreadsheets/d/1fj_Bhi2XPL3siwIh4sx4VRLAe31yD50oKdj5UlRYW0c/"", ""Сводка!A:AA""), 11, FALSE)"),"978-601-327-207-8")</f>
        <v>978-601-327-207-8</v>
      </c>
      <c r="E3280" s="11" t="s">
        <v>12685</v>
      </c>
      <c r="F3280" s="11" t="s">
        <v>12686</v>
      </c>
      <c r="G3280" s="12">
        <f ca="1">IFERROR(__xludf.DUMMYFUNCTION(" VLOOKUP(A3277, IMPORTRANGE(""https://docs.google.com/spreadsheets/d/1fj_Bhi2XPL3siwIh4sx4VRLAe31yD50oKdj5UlRYW0c/"", ""Сводка!A:AA""), 5, FALSE)"),128)</f>
        <v>128</v>
      </c>
      <c r="H3280" s="12" t="s">
        <v>1024</v>
      </c>
      <c r="I3280" s="10">
        <f ca="1">IFERROR(__xludf.DUMMYFUNCTION(" VLOOKUP(A3277, IMPORTRANGE(""https://docs.google.com/spreadsheets/d/1QNLbnkR_AongFt22vMfNzfpjZ0CjpI8QI-w0wBnYA1w/"", ""Инфа!A:AA""), 6, FALSE)"),2024)</f>
        <v>2024</v>
      </c>
      <c r="J3280" s="5">
        <f t="shared" ref="J3280:J3292" ca="1" si="107">ROUND((5000+G3280*30),-2)</f>
        <v>8800</v>
      </c>
      <c r="K3280" s="9" t="s">
        <v>539</v>
      </c>
      <c r="L3280" s="15" t="s">
        <v>12687</v>
      </c>
    </row>
    <row r="3281" spans="1:12" ht="101.25">
      <c r="A3281" s="8" t="s">
        <v>12688</v>
      </c>
      <c r="B3281" s="9" t="s">
        <v>12</v>
      </c>
      <c r="C3281" s="10" t="s">
        <v>443</v>
      </c>
      <c r="D3281" s="10" t="str">
        <f ca="1">IFERROR(__xludf.DUMMYFUNCTION(" VLOOKUP(A3278, IMPORTRANGE(""https://docs.google.com/spreadsheets/d/1fj_Bhi2XPL3siwIh4sx4VRLAe31yD50oKdj5UlRYW0c/"", ""Сводка!A:AA""), 11, FALSE)"),"978-601-327-363-1")</f>
        <v>978-601-327-363-1</v>
      </c>
      <c r="E3281" s="11" t="s">
        <v>12685</v>
      </c>
      <c r="F3281" s="11" t="s">
        <v>12689</v>
      </c>
      <c r="G3281" s="12">
        <f ca="1">IFERROR(__xludf.DUMMYFUNCTION(" VLOOKUP(A3278, IMPORTRANGE(""https://docs.google.com/spreadsheets/d/1fj_Bhi2XPL3siwIh4sx4VRLAe31yD50oKdj5UlRYW0c/"", ""Сводка!A:AA""), 5, FALSE)"),208)</f>
        <v>208</v>
      </c>
      <c r="H3281" s="12" t="s">
        <v>1024</v>
      </c>
      <c r="I3281" s="10">
        <f ca="1">IFERROR(__xludf.DUMMYFUNCTION(" VLOOKUP(A3278, IMPORTRANGE(""https://docs.google.com/spreadsheets/d/1QNLbnkR_AongFt22vMfNzfpjZ0CjpI8QI-w0wBnYA1w/"", ""Инфа!A:AA""), 6, FALSE)"),2024)</f>
        <v>2024</v>
      </c>
      <c r="J3281" s="5">
        <f t="shared" ca="1" si="107"/>
        <v>11200</v>
      </c>
      <c r="K3281" s="9" t="s">
        <v>539</v>
      </c>
      <c r="L3281" s="15" t="s">
        <v>12690</v>
      </c>
    </row>
    <row r="3282" spans="1:12" ht="157.5">
      <c r="A3282" s="8" t="s">
        <v>12691</v>
      </c>
      <c r="B3282" s="9" t="s">
        <v>12</v>
      </c>
      <c r="C3282" s="10" t="s">
        <v>443</v>
      </c>
      <c r="D3282" s="10" t="str">
        <f ca="1">IFERROR(__xludf.DUMMYFUNCTION(" VLOOKUP(A3279, IMPORTRANGE(""https://docs.google.com/spreadsheets/d/1fj_Bhi2XPL3siwIh4sx4VRLAe31yD50oKdj5UlRYW0c/"", ""Сводка!A:AA""), 11, FALSE)"),"978-601-327-206-1")</f>
        <v>978-601-327-206-1</v>
      </c>
      <c r="E3282" s="11" t="s">
        <v>12692</v>
      </c>
      <c r="F3282" s="11" t="s">
        <v>12693</v>
      </c>
      <c r="G3282" s="12">
        <f ca="1">IFERROR(__xludf.DUMMYFUNCTION(" VLOOKUP(A3279, IMPORTRANGE(""https://docs.google.com/spreadsheets/d/1fj_Bhi2XPL3siwIh4sx4VRLAe31yD50oKdj5UlRYW0c/"", ""Сводка!A:AA""), 5, FALSE)"),200)</f>
        <v>200</v>
      </c>
      <c r="H3282" s="12" t="s">
        <v>1024</v>
      </c>
      <c r="I3282" s="10">
        <f ca="1">IFERROR(__xludf.DUMMYFUNCTION(" VLOOKUP(A3279, IMPORTRANGE(""https://docs.google.com/spreadsheets/d/1QNLbnkR_AongFt22vMfNzfpjZ0CjpI8QI-w0wBnYA1w/"", ""Инфа!A:AA""), 6, FALSE)"),2024)</f>
        <v>2024</v>
      </c>
      <c r="J3282" s="5">
        <f t="shared" ca="1" si="107"/>
        <v>11000</v>
      </c>
      <c r="K3282" s="9" t="s">
        <v>539</v>
      </c>
      <c r="L3282" s="15" t="s">
        <v>12694</v>
      </c>
    </row>
    <row r="3283" spans="1:12" ht="90">
      <c r="A3283" s="8" t="s">
        <v>12695</v>
      </c>
      <c r="B3283" s="9" t="s">
        <v>12</v>
      </c>
      <c r="C3283" s="10" t="s">
        <v>443</v>
      </c>
      <c r="D3283" s="10" t="str">
        <f ca="1">IFERROR(__xludf.DUMMYFUNCTION(" VLOOKUP(A3280, IMPORTRANGE(""https://docs.google.com/spreadsheets/d/1fj_Bhi2XPL3siwIh4sx4VRLAe31yD50oKdj5UlRYW0c/"", ""Сводка!A:AA""), 11, FALSE)"),"978-601-327-203-0")</f>
        <v>978-601-327-203-0</v>
      </c>
      <c r="E3283" s="11" t="s">
        <v>12692</v>
      </c>
      <c r="F3283" s="11" t="s">
        <v>12696</v>
      </c>
      <c r="G3283" s="12">
        <f ca="1">IFERROR(__xludf.DUMMYFUNCTION(" VLOOKUP(A3280, IMPORTRANGE(""https://docs.google.com/spreadsheets/d/1fj_Bhi2XPL3siwIh4sx4VRLAe31yD50oKdj5UlRYW0c/"", ""Сводка!A:AA""), 5, FALSE)"),136)</f>
        <v>136</v>
      </c>
      <c r="H3283" s="12" t="s">
        <v>1024</v>
      </c>
      <c r="I3283" s="10">
        <f ca="1">IFERROR(__xludf.DUMMYFUNCTION(" VLOOKUP(A3280, IMPORTRANGE(""https://docs.google.com/spreadsheets/d/1QNLbnkR_AongFt22vMfNzfpjZ0CjpI8QI-w0wBnYA1w/"", ""Инфа!A:AA""), 6, FALSE)"),2024)</f>
        <v>2024</v>
      </c>
      <c r="J3283" s="5">
        <f t="shared" ca="1" si="107"/>
        <v>9100</v>
      </c>
      <c r="K3283" s="9" t="s">
        <v>539</v>
      </c>
      <c r="L3283" s="15" t="s">
        <v>12697</v>
      </c>
    </row>
    <row r="3284" spans="1:12" ht="135">
      <c r="A3284" s="8" t="s">
        <v>12698</v>
      </c>
      <c r="B3284" s="9" t="s">
        <v>12</v>
      </c>
      <c r="C3284" s="10" t="s">
        <v>443</v>
      </c>
      <c r="D3284" s="10" t="str">
        <f ca="1">IFERROR(__xludf.DUMMYFUNCTION(" VLOOKUP(A3281, IMPORTRANGE(""https://docs.google.com/spreadsheets/d/1fj_Bhi2XPL3siwIh4sx4VRLAe31yD50oKdj5UlRYW0c/"", ""Сводка!A:AA""), 11, FALSE)"),"978-601-327-182-8")</f>
        <v>978-601-327-182-8</v>
      </c>
      <c r="E3284" s="11" t="s">
        <v>12699</v>
      </c>
      <c r="F3284" s="11" t="s">
        <v>12700</v>
      </c>
      <c r="G3284" s="12">
        <f ca="1">IFERROR(__xludf.DUMMYFUNCTION(" VLOOKUP(A3281, IMPORTRANGE(""https://docs.google.com/spreadsheets/d/1fj_Bhi2XPL3siwIh4sx4VRLAe31yD50oKdj5UlRYW0c/"", ""Сводка!A:AA""), 5, FALSE)"),124)</f>
        <v>124</v>
      </c>
      <c r="H3284" s="12" t="s">
        <v>106</v>
      </c>
      <c r="I3284" s="10">
        <f ca="1">IFERROR(__xludf.DUMMYFUNCTION(" VLOOKUP(A3281, IMPORTRANGE(""https://docs.google.com/spreadsheets/d/1QNLbnkR_AongFt22vMfNzfpjZ0CjpI8QI-w0wBnYA1w/"", ""Инфа!A:AA""), 6, FALSE)"),2024)</f>
        <v>2024</v>
      </c>
      <c r="J3284" s="5">
        <f t="shared" ca="1" si="107"/>
        <v>8700</v>
      </c>
      <c r="K3284" s="12" t="s">
        <v>539</v>
      </c>
      <c r="L3284" s="15" t="s">
        <v>12701</v>
      </c>
    </row>
    <row r="3285" spans="1:12" ht="281.25">
      <c r="A3285" s="8" t="s">
        <v>12702</v>
      </c>
      <c r="B3285" s="9" t="s">
        <v>12</v>
      </c>
      <c r="C3285" s="10" t="s">
        <v>443</v>
      </c>
      <c r="D3285" s="10" t="str">
        <f ca="1">IFERROR(__xludf.DUMMYFUNCTION(" VLOOKUP(A3282, IMPORTRANGE(""https://docs.google.com/spreadsheets/d/1fj_Bhi2XPL3siwIh4sx4VRLAe31yD50oKdj5UlRYW0c/"", ""Сводка!A:AA""), 11, FALSE)"),"978-601-240-900-0")</f>
        <v>978-601-240-900-0</v>
      </c>
      <c r="E3285" s="11" t="s">
        <v>12703</v>
      </c>
      <c r="F3285" s="11" t="s">
        <v>12704</v>
      </c>
      <c r="G3285" s="12">
        <f ca="1">IFERROR(__xludf.DUMMYFUNCTION(" VLOOKUP(A3282, IMPORTRANGE(""https://docs.google.com/spreadsheets/d/1fj_Bhi2XPL3siwIh4sx4VRLAe31yD50oKdj5UlRYW0c/"", ""Сводка!A:AA""), 5, FALSE)"),124)</f>
        <v>124</v>
      </c>
      <c r="H3285" s="12" t="s">
        <v>538</v>
      </c>
      <c r="I3285" s="10">
        <f ca="1">IFERROR(__xludf.DUMMYFUNCTION(" VLOOKUP(A3282, IMPORTRANGE(""https://docs.google.com/spreadsheets/d/1QNLbnkR_AongFt22vMfNzfpjZ0CjpI8QI-w0wBnYA1w/"", ""Инфа!A:AA""), 6, FALSE)"),2024)</f>
        <v>2024</v>
      </c>
      <c r="J3285" s="5">
        <f t="shared" ca="1" si="107"/>
        <v>8700</v>
      </c>
      <c r="K3285" s="12" t="s">
        <v>12705</v>
      </c>
      <c r="L3285" s="15" t="s">
        <v>12706</v>
      </c>
    </row>
    <row r="3286" spans="1:12" ht="180">
      <c r="A3286" s="8" t="s">
        <v>12707</v>
      </c>
      <c r="B3286" s="9" t="s">
        <v>12</v>
      </c>
      <c r="C3286" s="13" t="s">
        <v>443</v>
      </c>
      <c r="D3286" s="10" t="str">
        <f ca="1">IFERROR(__xludf.DUMMYFUNCTION(" VLOOKUP(A3283, IMPORTRANGE(""https://docs.google.com/spreadsheets/d/1fj_Bhi2XPL3siwIh4sx4VRLAe31yD50oKdj5UlRYW0c/"", ""Сводка!A:AA""), 11, FALSE)"),"978-601-310-595-6")</f>
        <v>978-601-310-595-6</v>
      </c>
      <c r="E3286" s="19" t="s">
        <v>12708</v>
      </c>
      <c r="F3286" s="19" t="s">
        <v>12709</v>
      </c>
      <c r="G3286" s="12">
        <f ca="1">IFERROR(__xludf.DUMMYFUNCTION(" VLOOKUP(A3283, IMPORTRANGE(""https://docs.google.com/spreadsheets/d/1fj_Bhi2XPL3siwIh4sx4VRLAe31yD50oKdj5UlRYW0c/"", ""Сводка!A:AA""), 5, FALSE)"),116)</f>
        <v>116</v>
      </c>
      <c r="H3286" s="9" t="s">
        <v>10434</v>
      </c>
      <c r="I3286" s="10">
        <f ca="1">IFERROR(__xludf.DUMMYFUNCTION(" VLOOKUP(A3283, IMPORTRANGE(""https://docs.google.com/spreadsheets/d/1QNLbnkR_AongFt22vMfNzfpjZ0CjpI8QI-w0wBnYA1w/"", ""Инфа!A:AA""), 6, FALSE)"),2024)</f>
        <v>2024</v>
      </c>
      <c r="J3286" s="5">
        <f t="shared" ca="1" si="107"/>
        <v>8500</v>
      </c>
      <c r="K3286" s="12" t="s">
        <v>160</v>
      </c>
      <c r="L3286" s="21" t="s">
        <v>12710</v>
      </c>
    </row>
    <row r="3287" spans="1:12" ht="180">
      <c r="A3287" s="8" t="s">
        <v>12711</v>
      </c>
      <c r="B3287" s="9" t="s">
        <v>12</v>
      </c>
      <c r="C3287" s="10" t="s">
        <v>443</v>
      </c>
      <c r="D3287" s="10" t="str">
        <f ca="1">IFERROR(__xludf.DUMMYFUNCTION(" VLOOKUP(A3284, IMPORTRANGE(""https://docs.google.com/spreadsheets/d/1fj_Bhi2XPL3siwIh4sx4VRLAe31yD50oKdj5UlRYW0c/"", ""Сводка!A:AA""), 11, FALSE)"),"978-601-342-242-8")</f>
        <v>978-601-342-242-8</v>
      </c>
      <c r="E3287" s="11" t="s">
        <v>12712</v>
      </c>
      <c r="F3287" s="11" t="s">
        <v>12713</v>
      </c>
      <c r="G3287" s="12">
        <f ca="1">IFERROR(__xludf.DUMMYFUNCTION(" VLOOKUP(A3284, IMPORTRANGE(""https://docs.google.com/spreadsheets/d/1fj_Bhi2XPL3siwIh4sx4VRLAe31yD50oKdj5UlRYW0c/"", ""Сводка!A:AA""), 5, FALSE)"),296)</f>
        <v>296</v>
      </c>
      <c r="H3287" s="12" t="s">
        <v>538</v>
      </c>
      <c r="I3287" s="10">
        <f ca="1">IFERROR(__xludf.DUMMYFUNCTION(" VLOOKUP(A3284, IMPORTRANGE(""https://docs.google.com/spreadsheets/d/1QNLbnkR_AongFt22vMfNzfpjZ0CjpI8QI-w0wBnYA1w/"", ""Инфа!A:AA""), 6, FALSE)"),2024)</f>
        <v>2024</v>
      </c>
      <c r="J3287" s="5">
        <f t="shared" ca="1" si="107"/>
        <v>13900</v>
      </c>
      <c r="K3287" s="12" t="s">
        <v>592</v>
      </c>
      <c r="L3287" s="15" t="s">
        <v>12714</v>
      </c>
    </row>
    <row r="3288" spans="1:12" ht="281.25">
      <c r="A3288" s="8" t="s">
        <v>12715</v>
      </c>
      <c r="B3288" s="9" t="s">
        <v>12</v>
      </c>
      <c r="C3288" s="10" t="s">
        <v>443</v>
      </c>
      <c r="D3288" s="10" t="str">
        <f ca="1">IFERROR(__xludf.DUMMYFUNCTION(" VLOOKUP(A3285, IMPORTRANGE(""https://docs.google.com/spreadsheets/d/1fj_Bhi2XPL3siwIh4sx4VRLAe31yD50oKdj5UlRYW0c/"", ""Сводка!A:AA""), 11, FALSE)"),"978-601-342-243-5")</f>
        <v>978-601-342-243-5</v>
      </c>
      <c r="E3288" s="11" t="s">
        <v>12712</v>
      </c>
      <c r="F3288" s="11" t="s">
        <v>12716</v>
      </c>
      <c r="G3288" s="12">
        <f ca="1">IFERROR(__xludf.DUMMYFUNCTION(" VLOOKUP(A3285, IMPORTRANGE(""https://docs.google.com/spreadsheets/d/1fj_Bhi2XPL3siwIh4sx4VRLAe31yD50oKdj5UlRYW0c/"", ""Сводка!A:AA""), 5, FALSE)"),328)</f>
        <v>328</v>
      </c>
      <c r="H3288" s="12" t="s">
        <v>446</v>
      </c>
      <c r="I3288" s="10">
        <f ca="1">IFERROR(__xludf.DUMMYFUNCTION(" VLOOKUP(A3285, IMPORTRANGE(""https://docs.google.com/spreadsheets/d/1QNLbnkR_AongFt22vMfNzfpjZ0CjpI8QI-w0wBnYA1w/"", ""Инфа!A:AA""), 6, FALSE)"),2024)</f>
        <v>2024</v>
      </c>
      <c r="J3288" s="5">
        <f t="shared" ca="1" si="107"/>
        <v>14800</v>
      </c>
      <c r="K3288" s="12" t="s">
        <v>592</v>
      </c>
      <c r="L3288" s="15" t="s">
        <v>12717</v>
      </c>
    </row>
    <row r="3289" spans="1:12" ht="191.25">
      <c r="A3289" s="8" t="s">
        <v>12718</v>
      </c>
      <c r="B3289" s="9" t="s">
        <v>12</v>
      </c>
      <c r="C3289" s="10" t="s">
        <v>443</v>
      </c>
      <c r="D3289" s="10" t="str">
        <f ca="1">IFERROR(__xludf.DUMMYFUNCTION(" VLOOKUP(A3286, IMPORTRANGE(""https://docs.google.com/spreadsheets/d/1fj_Bhi2XPL3siwIh4sx4VRLAe31yD50oKdj5UlRYW0c/"", ""Сводка!A:AA""), 11, FALSE)"),"978-601-327-228-3")</f>
        <v>978-601-327-228-3</v>
      </c>
      <c r="E3289" s="11" t="s">
        <v>12719</v>
      </c>
      <c r="F3289" s="11" t="s">
        <v>12720</v>
      </c>
      <c r="G3289" s="12">
        <f ca="1">IFERROR(__xludf.DUMMYFUNCTION(" VLOOKUP(A3286, IMPORTRANGE(""https://docs.google.com/spreadsheets/d/1fj_Bhi2XPL3siwIh4sx4VRLAe31yD50oKdj5UlRYW0c/"", ""Сводка!A:AA""), 5, FALSE)"),168)</f>
        <v>168</v>
      </c>
      <c r="H3289" s="12" t="s">
        <v>446</v>
      </c>
      <c r="I3289" s="10">
        <f ca="1">IFERROR(__xludf.DUMMYFUNCTION(" VLOOKUP(A3286, IMPORTRANGE(""https://docs.google.com/spreadsheets/d/1QNLbnkR_AongFt22vMfNzfpjZ0CjpI8QI-w0wBnYA1w/"", ""Инфа!A:AA""), 6, FALSE)"),2024)</f>
        <v>2024</v>
      </c>
      <c r="J3289" s="5">
        <f t="shared" ca="1" si="107"/>
        <v>10000</v>
      </c>
      <c r="K3289" s="12" t="s">
        <v>160</v>
      </c>
      <c r="L3289" s="15" t="s">
        <v>12721</v>
      </c>
    </row>
    <row r="3290" spans="1:12" ht="168.75">
      <c r="A3290" s="8" t="s">
        <v>12722</v>
      </c>
      <c r="B3290" s="9" t="s">
        <v>12</v>
      </c>
      <c r="C3290" s="10" t="s">
        <v>443</v>
      </c>
      <c r="D3290" s="10" t="str">
        <f ca="1">IFERROR(__xludf.DUMMYFUNCTION(" VLOOKUP(A3287, IMPORTRANGE(""https://docs.google.com/spreadsheets/d/1fj_Bhi2XPL3siwIh4sx4VRLAe31yD50oKdj5UlRYW0c/"", ""Сводка!A:AA""), 11, FALSE)"),"978-601-327-825-4")</f>
        <v>978-601-327-825-4</v>
      </c>
      <c r="E3290" s="11" t="s">
        <v>12723</v>
      </c>
      <c r="F3290" s="11" t="s">
        <v>12724</v>
      </c>
      <c r="G3290" s="12">
        <f ca="1">IFERROR(__xludf.DUMMYFUNCTION(" VLOOKUP(A3287, IMPORTRANGE(""https://docs.google.com/spreadsheets/d/1fj_Bhi2XPL3siwIh4sx4VRLAe31yD50oKdj5UlRYW0c/"", ""Сводка!A:AA""), 5, FALSE)"),140)</f>
        <v>140</v>
      </c>
      <c r="H3290" s="12" t="s">
        <v>511</v>
      </c>
      <c r="I3290" s="10">
        <f ca="1">IFERROR(__xludf.DUMMYFUNCTION(" VLOOKUP(A3287, IMPORTRANGE(""https://docs.google.com/spreadsheets/d/1QNLbnkR_AongFt22vMfNzfpjZ0CjpI8QI-w0wBnYA1w/"", ""Инфа!A:AA""), 6, FALSE)"),2024)</f>
        <v>2024</v>
      </c>
      <c r="J3290" s="5">
        <f t="shared" ca="1" si="107"/>
        <v>9200</v>
      </c>
      <c r="K3290" s="12" t="s">
        <v>17</v>
      </c>
      <c r="L3290" s="15" t="s">
        <v>12725</v>
      </c>
    </row>
    <row r="3291" spans="1:12" ht="225">
      <c r="A3291" s="8" t="s">
        <v>12726</v>
      </c>
      <c r="B3291" s="9" t="s">
        <v>12</v>
      </c>
      <c r="C3291" s="10" t="s">
        <v>443</v>
      </c>
      <c r="D3291" s="10" t="str">
        <f ca="1">IFERROR(__xludf.DUMMYFUNCTION(" VLOOKUP(A3288, IMPORTRANGE(""https://docs.google.com/spreadsheets/d/1fj_Bhi2XPL3siwIh4sx4VRLAe31yD50oKdj5UlRYW0c/"", ""Сводка!A:AA""), 11, FALSE)"),"978-601-323-020-7")</f>
        <v>978-601-323-020-7</v>
      </c>
      <c r="E3291" s="11" t="s">
        <v>12727</v>
      </c>
      <c r="F3291" s="11" t="s">
        <v>12728</v>
      </c>
      <c r="G3291" s="12">
        <f ca="1">IFERROR(__xludf.DUMMYFUNCTION(" VLOOKUP(A3288, IMPORTRANGE(""https://docs.google.com/spreadsheets/d/1fj_Bhi2XPL3siwIh4sx4VRLAe31yD50oKdj5UlRYW0c/"", ""Сводка!A:AA""), 5, FALSE)"),156)</f>
        <v>156</v>
      </c>
      <c r="H3291" s="12" t="s">
        <v>106</v>
      </c>
      <c r="I3291" s="10">
        <f ca="1">IFERROR(__xludf.DUMMYFUNCTION(" VLOOKUP(A3288, IMPORTRANGE(""https://docs.google.com/spreadsheets/d/1QNLbnkR_AongFt22vMfNzfpjZ0CjpI8QI-w0wBnYA1w/"", ""Инфа!A:AA""), 6, FALSE)"),2024)</f>
        <v>2024</v>
      </c>
      <c r="J3291" s="5">
        <f t="shared" ca="1" si="107"/>
        <v>9700</v>
      </c>
      <c r="K3291" s="12" t="s">
        <v>1581</v>
      </c>
      <c r="L3291" s="15" t="s">
        <v>12729</v>
      </c>
    </row>
    <row r="3292" spans="1:12" ht="25.5">
      <c r="A3292" s="8" t="s">
        <v>12730</v>
      </c>
      <c r="B3292" s="9" t="s">
        <v>12</v>
      </c>
      <c r="C3292" s="10" t="s">
        <v>443</v>
      </c>
      <c r="D3292" s="10" t="str">
        <f ca="1">IFERROR(__xludf.DUMMYFUNCTION(" VLOOKUP(A3289, IMPORTRANGE(""https://docs.google.com/spreadsheets/d/1fj_Bhi2XPL3siwIh4sx4VRLAe31yD50oKdj5UlRYW0c/"", ""Сводка!A:AA""), 11, FALSE)"),"987-601-310-277-1")</f>
        <v>987-601-310-277-1</v>
      </c>
      <c r="E3292" s="11" t="s">
        <v>12731</v>
      </c>
      <c r="F3292" s="11" t="s">
        <v>12732</v>
      </c>
      <c r="G3292" s="12">
        <f ca="1">IFERROR(__xludf.DUMMYFUNCTION(" VLOOKUP(A3289, IMPORTRANGE(""https://docs.google.com/spreadsheets/d/1fj_Bhi2XPL3siwIh4sx4VRLAe31yD50oKdj5UlRYW0c/"", ""Сводка!A:AA""), 5, FALSE)"),196)</f>
        <v>196</v>
      </c>
      <c r="H3292" s="12" t="s">
        <v>538</v>
      </c>
      <c r="I3292" s="10">
        <f ca="1">IFERROR(__xludf.DUMMYFUNCTION(" VLOOKUP(A3289, IMPORTRANGE(""https://docs.google.com/spreadsheets/d/1QNLbnkR_AongFt22vMfNzfpjZ0CjpI8QI-w0wBnYA1w/"", ""Инфа!A:AA""), 6, FALSE)"),2024)</f>
        <v>2024</v>
      </c>
      <c r="J3292" s="5">
        <f t="shared" ca="1" si="107"/>
        <v>10900</v>
      </c>
      <c r="K3292" s="12" t="s">
        <v>26</v>
      </c>
      <c r="L3292" s="15"/>
    </row>
    <row r="3293" spans="1:12" ht="25.5">
      <c r="A3293" s="8" t="s">
        <v>12733</v>
      </c>
      <c r="B3293" s="9" t="s">
        <v>12</v>
      </c>
      <c r="C3293" s="10" t="s">
        <v>443</v>
      </c>
      <c r="D3293" s="10" t="str">
        <f ca="1">IFERROR(__xludf.DUMMYFUNCTION(" VLOOKUP(A3290, IMPORTRANGE(""https://docs.google.com/spreadsheets/d/1fj_Bhi2XPL3siwIh4sx4VRLAe31yD50oKdj5UlRYW0c/"", ""Сводка!A:AA""), 11, FALSE)"),"987-601-310-278-8")</f>
        <v>987-601-310-278-8</v>
      </c>
      <c r="E3293" s="11" t="s">
        <v>12731</v>
      </c>
      <c r="F3293" s="11" t="s">
        <v>12734</v>
      </c>
      <c r="G3293" s="12">
        <f ca="1">IFERROR(__xludf.DUMMYFUNCTION(" VLOOKUP(A3290, IMPORTRANGE(""https://docs.google.com/spreadsheets/d/1fj_Bhi2XPL3siwIh4sx4VRLAe31yD50oKdj5UlRYW0c/"", ""Сводка!A:AA""), 5, FALSE)"),260)</f>
        <v>260</v>
      </c>
      <c r="H3293" s="12" t="s">
        <v>511</v>
      </c>
      <c r="I3293" s="10">
        <f ca="1">IFERROR(__xludf.DUMMYFUNCTION(" VLOOKUP(A3290, IMPORTRANGE(""https://docs.google.com/spreadsheets/d/1QNLbnkR_AongFt22vMfNzfpjZ0CjpI8QI-w0wBnYA1w/"", ""Инфа!A:AA""), 6, FALSE)"),2024)</f>
        <v>2024</v>
      </c>
      <c r="J3293" s="5">
        <f ca="1">ROUND((5000+G3293*60),-2)</f>
        <v>20600</v>
      </c>
      <c r="K3293" s="12" t="s">
        <v>26</v>
      </c>
      <c r="L3293" s="15"/>
    </row>
    <row r="3294" spans="1:12" ht="213.75">
      <c r="A3294" s="8" t="s">
        <v>12735</v>
      </c>
      <c r="B3294" s="9" t="s">
        <v>12</v>
      </c>
      <c r="C3294" s="10" t="s">
        <v>443</v>
      </c>
      <c r="D3294" s="10" t="s">
        <v>12736</v>
      </c>
      <c r="E3294" s="11" t="s">
        <v>12737</v>
      </c>
      <c r="F3294" s="11" t="s">
        <v>12738</v>
      </c>
      <c r="G3294" s="12">
        <f ca="1">IFERROR(__xludf.DUMMYFUNCTION(" VLOOKUP(A3291, IMPORTRANGE(""https://docs.google.com/spreadsheets/d/1fj_Bhi2XPL3siwIh4sx4VRLAe31yD50oKdj5UlRYW0c/"", ""Сводка!A:AA""), 5, FALSE)"),140)</f>
        <v>140</v>
      </c>
      <c r="H3294" s="12" t="s">
        <v>12739</v>
      </c>
      <c r="I3294" s="10">
        <f ca="1">IFERROR(__xludf.DUMMYFUNCTION(" VLOOKUP(A3291, IMPORTRANGE(""https://docs.google.com/spreadsheets/d/1QNLbnkR_AongFt22vMfNzfpjZ0CjpI8QI-w0wBnYA1w/"", ""Инфа!A:AA""), 6, FALSE)"),2024)</f>
        <v>2024</v>
      </c>
      <c r="J3294" s="5">
        <f ca="1">ROUND((5000+G3294*30),-2)</f>
        <v>9200</v>
      </c>
      <c r="K3294" s="12" t="s">
        <v>12740</v>
      </c>
      <c r="L3294" s="15" t="s">
        <v>12741</v>
      </c>
    </row>
    <row r="3295" spans="1:12" ht="33.75">
      <c r="A3295" s="8" t="s">
        <v>12742</v>
      </c>
      <c r="B3295" s="9" t="s">
        <v>12</v>
      </c>
      <c r="C3295" s="10" t="s">
        <v>443</v>
      </c>
      <c r="D3295" s="10" t="str">
        <f ca="1">IFERROR(__xludf.DUMMYFUNCTION(" VLOOKUP(A3292, IMPORTRANGE(""https://docs.google.com/spreadsheets/d/1fj_Bhi2XPL3siwIh4sx4VRLAe31yD50oKdj5UlRYW0c/"", ""Сводка!A:AA""), 11, FALSE)"),"978-601-240-607-9")</f>
        <v>978-601-240-607-9</v>
      </c>
      <c r="E3295" s="11" t="s">
        <v>12743</v>
      </c>
      <c r="F3295" s="11" t="s">
        <v>12744</v>
      </c>
      <c r="G3295" s="12">
        <f ca="1">IFERROR(__xludf.DUMMYFUNCTION(" VLOOKUP(A3292, IMPORTRANGE(""https://docs.google.com/spreadsheets/d/1fj_Bhi2XPL3siwIh4sx4VRLAe31yD50oKdj5UlRYW0c/"", ""Сводка!A:AA""), 5, FALSE)"),92)</f>
        <v>92</v>
      </c>
      <c r="H3295" s="12" t="s">
        <v>3054</v>
      </c>
      <c r="I3295" s="10">
        <f ca="1">IFERROR(__xludf.DUMMYFUNCTION(" VLOOKUP(A3292, IMPORTRANGE(""https://docs.google.com/spreadsheets/d/1QNLbnkR_AongFt22vMfNzfpjZ0CjpI8QI-w0wBnYA1w/"", ""Инфа!A:AA""), 6, FALSE)"),2024)</f>
        <v>2024</v>
      </c>
      <c r="J3295" s="5">
        <f ca="1">ROUND((5000+G3295*60),-2)</f>
        <v>10500</v>
      </c>
      <c r="K3295" s="12" t="s">
        <v>1075</v>
      </c>
      <c r="L3295" s="15" t="s">
        <v>12745</v>
      </c>
    </row>
    <row r="3296" spans="1:12" ht="76.5">
      <c r="A3296" s="8" t="s">
        <v>12746</v>
      </c>
      <c r="B3296" s="9" t="s">
        <v>12</v>
      </c>
      <c r="C3296" s="10" t="s">
        <v>443</v>
      </c>
      <c r="D3296" s="10" t="str">
        <f ca="1">IFERROR(__xludf.DUMMYFUNCTION(" VLOOKUP(A3293, IMPORTRANGE(""https://docs.google.com/spreadsheets/d/1fj_Bhi2XPL3siwIh4sx4VRLAe31yD50oKdj5UlRYW0c/"", ""Сводка!A:AA""), 11, FALSE)"),"978-601-240-607-8")</f>
        <v>978-601-240-607-8</v>
      </c>
      <c r="E3296" s="11" t="s">
        <v>12747</v>
      </c>
      <c r="F3296" s="11" t="s">
        <v>12748</v>
      </c>
      <c r="G3296" s="12">
        <f ca="1">IFERROR(__xludf.DUMMYFUNCTION(" VLOOKUP(A3293, IMPORTRANGE(""https://docs.google.com/spreadsheets/d/1fj_Bhi2XPL3siwIh4sx4VRLAe31yD50oKdj5UlRYW0c/"", ""Сводка!A:AA""), 5, FALSE)"),152)</f>
        <v>152</v>
      </c>
      <c r="H3296" s="12" t="s">
        <v>446</v>
      </c>
      <c r="I3296" s="10">
        <f ca="1">IFERROR(__xludf.DUMMYFUNCTION(" VLOOKUP(A3293, IMPORTRANGE(""https://docs.google.com/spreadsheets/d/1QNLbnkR_AongFt22vMfNzfpjZ0CjpI8QI-w0wBnYA1w/"", ""Инфа!A:AA""), 6, FALSE)"),2024)</f>
        <v>2024</v>
      </c>
      <c r="J3296" s="5">
        <f ca="1">ROUND((5000+G3296*30),-2)</f>
        <v>9600</v>
      </c>
      <c r="K3296" s="9" t="s">
        <v>26</v>
      </c>
      <c r="L3296" s="15" t="s">
        <v>12749</v>
      </c>
    </row>
    <row r="3297" spans="1:12" ht="25.5">
      <c r="A3297" s="8" t="s">
        <v>12750</v>
      </c>
      <c r="B3297" s="9" t="s">
        <v>12</v>
      </c>
      <c r="C3297" s="10" t="s">
        <v>443</v>
      </c>
      <c r="D3297" s="10" t="str">
        <f ca="1">IFERROR(__xludf.DUMMYFUNCTION(" VLOOKUP(A3294, IMPORTRANGE(""https://docs.google.com/spreadsheets/d/1fj_Bhi2XPL3siwIh4sx4VRLAe31yD50oKdj5UlRYW0c/"", ""Сводка!A:AA""), 11, FALSE)"),"5-7667-8106-7")</f>
        <v>5-7667-8106-7</v>
      </c>
      <c r="E3297" s="11" t="s">
        <v>12751</v>
      </c>
      <c r="F3297" s="11" t="s">
        <v>12752</v>
      </c>
      <c r="G3297" s="12">
        <f ca="1">IFERROR(__xludf.DUMMYFUNCTION(" VLOOKUP(A3294, IMPORTRANGE(""https://docs.google.com/spreadsheets/d/1fj_Bhi2XPL3siwIh4sx4VRLAe31yD50oKdj5UlRYW0c/"", ""Сводка!A:AA""), 5, FALSE)"),344)</f>
        <v>344</v>
      </c>
      <c r="H3297" s="12" t="s">
        <v>511</v>
      </c>
      <c r="I3297" s="10">
        <f ca="1">IFERROR(__xludf.DUMMYFUNCTION(" VLOOKUP(A3294, IMPORTRANGE(""https://docs.google.com/spreadsheets/d/1QNLbnkR_AongFt22vMfNzfpjZ0CjpI8QI-w0wBnYA1w/"", ""Инфа!A:AA""), 6, FALSE)"),2024)</f>
        <v>2024</v>
      </c>
      <c r="J3297" s="5">
        <f ca="1">ROUND((5000+G3297*30),-2)</f>
        <v>15300</v>
      </c>
      <c r="K3297" s="12" t="s">
        <v>302</v>
      </c>
      <c r="L3297" s="15"/>
    </row>
    <row r="3298" spans="1:12" ht="146.25">
      <c r="A3298" s="8" t="s">
        <v>12753</v>
      </c>
      <c r="B3298" s="9" t="s">
        <v>12</v>
      </c>
      <c r="C3298" s="10" t="s">
        <v>443</v>
      </c>
      <c r="D3298" s="10" t="str">
        <f ca="1">IFERROR(__xludf.DUMMYFUNCTION(" VLOOKUP(A3295, IMPORTRANGE(""https://docs.google.com/spreadsheets/d/1fj_Bhi2XPL3siwIh4sx4VRLAe31yD50oKdj5UlRYW0c/"", ""Сводка!A:AA""), 11, FALSE)"),"978-601-327-404-1")</f>
        <v>978-601-327-404-1</v>
      </c>
      <c r="E3298" s="22" t="s">
        <v>12754</v>
      </c>
      <c r="F3298" s="22" t="s">
        <v>12755</v>
      </c>
      <c r="G3298" s="12">
        <f ca="1">IFERROR(__xludf.DUMMYFUNCTION(" VLOOKUP(A3295, IMPORTRANGE(""https://docs.google.com/spreadsheets/d/1fj_Bhi2XPL3siwIh4sx4VRLAe31yD50oKdj5UlRYW0c/"", ""Сводка!A:AA""), 5, FALSE)"),344)</f>
        <v>344</v>
      </c>
      <c r="H3298" s="10" t="s">
        <v>12358</v>
      </c>
      <c r="I3298" s="10">
        <f ca="1">IFERROR(__xludf.DUMMYFUNCTION(" VLOOKUP(A3295, IMPORTRANGE(""https://docs.google.com/spreadsheets/d/1QNLbnkR_AongFt22vMfNzfpjZ0CjpI8QI-w0wBnYA1w/"", ""Инфа!A:AA""), 6, FALSE)"),2024)</f>
        <v>2024</v>
      </c>
      <c r="J3298" s="5">
        <f ca="1">ROUND((5000+G3298*30),-2)</f>
        <v>15300</v>
      </c>
      <c r="K3298" s="10" t="s">
        <v>139</v>
      </c>
      <c r="L3298" s="23" t="s">
        <v>12756</v>
      </c>
    </row>
    <row r="3299" spans="1:12" ht="202.5">
      <c r="A3299" s="8" t="s">
        <v>12757</v>
      </c>
      <c r="B3299" s="9" t="s">
        <v>12</v>
      </c>
      <c r="C3299" s="10" t="s">
        <v>443</v>
      </c>
      <c r="D3299" s="10" t="str">
        <f ca="1">IFERROR(__xludf.DUMMYFUNCTION(" VLOOKUP(A3296, IMPORTRANGE(""https://docs.google.com/spreadsheets/d/1fj_Bhi2XPL3siwIh4sx4VRLAe31yD50oKdj5UlRYW0c/"", ""Сводка!A:AA""), 11, FALSE)"),"978-601-240-295-8")</f>
        <v>978-601-240-295-8</v>
      </c>
      <c r="E3299" s="11" t="s">
        <v>12758</v>
      </c>
      <c r="F3299" s="11" t="s">
        <v>12759</v>
      </c>
      <c r="G3299" s="12" t="e">
        <f>#REF!</f>
        <v>#REF!</v>
      </c>
      <c r="H3299" s="12" t="s">
        <v>446</v>
      </c>
      <c r="I3299" s="10">
        <f ca="1">IFERROR(__xludf.DUMMYFUNCTION(" VLOOKUP(A3296, IMPORTRANGE(""https://docs.google.com/spreadsheets/d/1QNLbnkR_AongFt22vMfNzfpjZ0CjpI8QI-w0wBnYA1w/"", ""Инфа!A:AA""), 6, FALSE)"),2024)</f>
        <v>2024</v>
      </c>
      <c r="J3299" s="5" t="e">
        <f>ROUND((5000+G3299*30),-2)</f>
        <v>#REF!</v>
      </c>
      <c r="K3299" s="12" t="s">
        <v>1299</v>
      </c>
      <c r="L3299" s="15" t="s">
        <v>12760</v>
      </c>
    </row>
    <row r="3300" spans="1:12" ht="157.5">
      <c r="A3300" s="8" t="s">
        <v>12761</v>
      </c>
      <c r="B3300" s="9" t="s">
        <v>12</v>
      </c>
      <c r="C3300" s="10" t="s">
        <v>443</v>
      </c>
      <c r="D3300" s="10" t="str">
        <f ca="1">IFERROR(__xludf.DUMMYFUNCTION(" VLOOKUP(A3297, IMPORTRANGE(""https://docs.google.com/spreadsheets/d/1fj_Bhi2XPL3siwIh4sx4VRLAe31yD50oKdj5UlRYW0c/"", ""Сводка!A:AA""), 11, FALSE)"),"978- 601-315-037-9")</f>
        <v>978- 601-315-037-9</v>
      </c>
      <c r="E3300" s="11" t="s">
        <v>12758</v>
      </c>
      <c r="F3300" s="11" t="s">
        <v>12762</v>
      </c>
      <c r="G3300" s="12">
        <f ca="1">IFERROR(__xludf.DUMMYFUNCTION(" VLOOKUP(A3297, IMPORTRANGE(""https://docs.google.com/spreadsheets/d/1fj_Bhi2XPL3siwIh4sx4VRLAe31yD50oKdj5UlRYW0c/"", ""Сводка!A:AA""), 5, FALSE)"),188)</f>
        <v>188</v>
      </c>
      <c r="H3300" s="12" t="s">
        <v>446</v>
      </c>
      <c r="I3300" s="10">
        <f ca="1">IFERROR(__xludf.DUMMYFUNCTION(" VLOOKUP(A3297, IMPORTRANGE(""https://docs.google.com/spreadsheets/d/1QNLbnkR_AongFt22vMfNzfpjZ0CjpI8QI-w0wBnYA1w/"", ""Инфа!A:AA""), 6, FALSE)"),2024)</f>
        <v>2024</v>
      </c>
      <c r="J3300" s="5">
        <f ca="1">ROUND((5000+G3300*30),-2)</f>
        <v>10600</v>
      </c>
      <c r="K3300" s="12" t="s">
        <v>204</v>
      </c>
      <c r="L3300" s="15" t="s">
        <v>12763</v>
      </c>
    </row>
    <row r="3301" spans="1:12" ht="236.25">
      <c r="A3301" s="8" t="s">
        <v>12764</v>
      </c>
      <c r="B3301" s="9" t="s">
        <v>12</v>
      </c>
      <c r="C3301" s="13" t="s">
        <v>443</v>
      </c>
      <c r="D3301" s="10" t="str">
        <f ca="1">IFERROR(__xludf.DUMMYFUNCTION(" VLOOKUP(A3298, IMPORTRANGE(""https://docs.google.com/spreadsheets/d/1fj_Bhi2XPL3siwIh4sx4VRLAe31yD50oKdj5UlRYW0c/"", ""Сводка!A:AA""), 11, FALSE)"),"978-601-240-712-9")</f>
        <v>978-601-240-712-9</v>
      </c>
      <c r="E3301" s="19" t="s">
        <v>12765</v>
      </c>
      <c r="F3301" s="19" t="s">
        <v>12766</v>
      </c>
      <c r="G3301" s="12">
        <f ca="1">IFERROR(__xludf.DUMMYFUNCTION(" VLOOKUP(A3298, IMPORTRANGE(""https://docs.google.com/spreadsheets/d/1fj_Bhi2XPL3siwIh4sx4VRLAe31yD50oKdj5UlRYW0c/"", ""Сводка!A:AA""), 5, FALSE)"),336)</f>
        <v>336</v>
      </c>
      <c r="H3301" s="12" t="s">
        <v>538</v>
      </c>
      <c r="I3301" s="10">
        <f ca="1">IFERROR(__xludf.DUMMYFUNCTION(" VLOOKUP(A3298, IMPORTRANGE(""https://docs.google.com/spreadsheets/d/1QNLbnkR_AongFt22vMfNzfpjZ0CjpI8QI-w0wBnYA1w/"", ""Инфа!A:AA""), 6, FALSE)"),2024)</f>
        <v>2024</v>
      </c>
      <c r="J3301" s="5">
        <f ca="1">ROUND(((5000+G3301*60)*1.3),-2)</f>
        <v>32700</v>
      </c>
      <c r="K3301" s="12" t="s">
        <v>961</v>
      </c>
      <c r="L3301" s="15" t="s">
        <v>12767</v>
      </c>
    </row>
    <row r="3302" spans="1:12" ht="213.75">
      <c r="A3302" s="8" t="s">
        <v>12768</v>
      </c>
      <c r="B3302" s="9" t="s">
        <v>12</v>
      </c>
      <c r="C3302" s="10" t="s">
        <v>443</v>
      </c>
      <c r="D3302" s="10" t="str">
        <f ca="1">IFERROR(__xludf.DUMMYFUNCTION(" VLOOKUP(A3299, IMPORTRANGE(""https://docs.google.com/spreadsheets/d/1fj_Bhi2XPL3siwIh4sx4VRLAe31yD50oKdj5UlRYW0c/"", ""Сводка!A:AA""), 11, FALSE)"),"978-601-310-947-3")</f>
        <v>978-601-310-947-3</v>
      </c>
      <c r="E3302" s="11" t="s">
        <v>12769</v>
      </c>
      <c r="F3302" s="11" t="s">
        <v>12770</v>
      </c>
      <c r="G3302" s="12">
        <f ca="1">IFERROR(__xludf.DUMMYFUNCTION(" VLOOKUP(A3299, IMPORTRANGE(""https://docs.google.com/spreadsheets/d/1fj_Bhi2XPL3siwIh4sx4VRLAe31yD50oKdj5UlRYW0c/"", ""Сводка!A:AA""), 5, FALSE)"),288)</f>
        <v>288</v>
      </c>
      <c r="H3302" s="12" t="s">
        <v>671</v>
      </c>
      <c r="I3302" s="10">
        <f ca="1">IFERROR(__xludf.DUMMYFUNCTION(" VLOOKUP(A3299, IMPORTRANGE(""https://docs.google.com/spreadsheets/d/1QNLbnkR_AongFt22vMfNzfpjZ0CjpI8QI-w0wBnYA1w/"", ""Инфа!A:AA""), 6, FALSE)"),2024)</f>
        <v>2024</v>
      </c>
      <c r="J3302" s="5">
        <f ca="1">ROUND(((5000+G3302*30)*1.3),-2)</f>
        <v>17700</v>
      </c>
      <c r="K3302" s="9" t="s">
        <v>539</v>
      </c>
      <c r="L3302" s="15" t="s">
        <v>12771</v>
      </c>
    </row>
    <row r="3303" spans="1:12" ht="202.5">
      <c r="A3303" s="8" t="s">
        <v>12772</v>
      </c>
      <c r="B3303" s="9" t="s">
        <v>12</v>
      </c>
      <c r="C3303" s="10" t="s">
        <v>151</v>
      </c>
      <c r="D3303" s="10" t="str">
        <f ca="1">IFERROR(__xludf.DUMMYFUNCTION(" VLOOKUP(A3300, IMPORTRANGE(""https://docs.google.com/spreadsheets/d/1fj_Bhi2XPL3siwIh4sx4VRLAe31yD50oKdj5UlRYW0c/"", ""Сводка!A:AA""), 11, FALSE)"),"978-601-327-618-6")</f>
        <v>978-601-327-618-6</v>
      </c>
      <c r="E3303" s="11" t="s">
        <v>12773</v>
      </c>
      <c r="F3303" s="11" t="s">
        <v>12774</v>
      </c>
      <c r="G3303" s="12">
        <f ca="1">IFERROR(__xludf.DUMMYFUNCTION(" VLOOKUP(A3300, IMPORTRANGE(""https://docs.google.com/spreadsheets/d/1fj_Bhi2XPL3siwIh4sx4VRLAe31yD50oKdj5UlRYW0c/"", ""Сводка!A:AA""), 5, FALSE)"),164)</f>
        <v>164</v>
      </c>
      <c r="H3303" s="12" t="s">
        <v>498</v>
      </c>
      <c r="I3303" s="10">
        <f ca="1">IFERROR(__xludf.DUMMYFUNCTION(" VLOOKUP(A3300, IMPORTRANGE(""https://docs.google.com/spreadsheets/d/1QNLbnkR_AongFt22vMfNzfpjZ0CjpI8QI-w0wBnYA1w/"", ""Инфа!A:AA""), 6, FALSE)"),2024)</f>
        <v>2024</v>
      </c>
      <c r="J3303" s="5">
        <f t="shared" ref="J3303:J3308" ca="1" si="108">ROUND((5000+G3303*30),-2)</f>
        <v>9900</v>
      </c>
      <c r="K3303" s="12" t="s">
        <v>243</v>
      </c>
      <c r="L3303" s="15" t="s">
        <v>12775</v>
      </c>
    </row>
    <row r="3304" spans="1:12" ht="202.5">
      <c r="A3304" s="8" t="s">
        <v>12776</v>
      </c>
      <c r="B3304" s="9" t="s">
        <v>12</v>
      </c>
      <c r="C3304" s="10" t="s">
        <v>151</v>
      </c>
      <c r="D3304" s="10" t="str">
        <f ca="1">IFERROR(__xludf.DUMMYFUNCTION(" VLOOKUP(A3301, IMPORTRANGE(""https://docs.google.com/spreadsheets/d/1fj_Bhi2XPL3siwIh4sx4VRLAe31yD50oKdj5UlRYW0c/"", ""Сводка!A:AA""), 11, FALSE)"),"978-601-327-618-6")</f>
        <v>978-601-327-618-6</v>
      </c>
      <c r="E3304" s="11" t="s">
        <v>12773</v>
      </c>
      <c r="F3304" s="11" t="s">
        <v>12777</v>
      </c>
      <c r="G3304" s="12">
        <f ca="1">IFERROR(__xludf.DUMMYFUNCTION(" VLOOKUP(A3301, IMPORTRANGE(""https://docs.google.com/spreadsheets/d/1fj_Bhi2XPL3siwIh4sx4VRLAe31yD50oKdj5UlRYW0c/"", ""Сводка!A:AA""), 5, FALSE)"),192)</f>
        <v>192</v>
      </c>
      <c r="H3304" s="12" t="s">
        <v>498</v>
      </c>
      <c r="I3304" s="10">
        <f ca="1">IFERROR(__xludf.DUMMYFUNCTION(" VLOOKUP(A3301, IMPORTRANGE(""https://docs.google.com/spreadsheets/d/1QNLbnkR_AongFt22vMfNzfpjZ0CjpI8QI-w0wBnYA1w/"", ""Инфа!A:AA""), 6, FALSE)"),2024)</f>
        <v>2024</v>
      </c>
      <c r="J3304" s="5">
        <f t="shared" ca="1" si="108"/>
        <v>10800</v>
      </c>
      <c r="K3304" s="12" t="s">
        <v>243</v>
      </c>
      <c r="L3304" s="15" t="s">
        <v>12775</v>
      </c>
    </row>
    <row r="3305" spans="1:12" ht="281.25">
      <c r="A3305" s="8" t="s">
        <v>12778</v>
      </c>
      <c r="B3305" s="9" t="s">
        <v>12</v>
      </c>
      <c r="C3305" s="10" t="s">
        <v>443</v>
      </c>
      <c r="D3305" s="10" t="str">
        <f ca="1">IFERROR(__xludf.DUMMYFUNCTION(" VLOOKUP(A3302, IMPORTRANGE(""https://docs.google.com/spreadsheets/d/1fj_Bhi2XPL3siwIh4sx4VRLAe31yD50oKdj5UlRYW0c/"", ""Сводка!A:AA""), 11, FALSE)"),"978-601-327-650-2")</f>
        <v>978-601-327-650-2</v>
      </c>
      <c r="E3305" s="11" t="s">
        <v>12779</v>
      </c>
      <c r="F3305" s="11" t="s">
        <v>12780</v>
      </c>
      <c r="G3305" s="12">
        <f ca="1">IFERROR(__xludf.DUMMYFUNCTION(" VLOOKUP(A3302, IMPORTRANGE(""https://docs.google.com/spreadsheets/d/1fj_Bhi2XPL3siwIh4sx4VRLAe31yD50oKdj5UlRYW0c/"", ""Сводка!A:AA""), 5, FALSE)"),160)</f>
        <v>160</v>
      </c>
      <c r="H3305" s="12" t="s">
        <v>511</v>
      </c>
      <c r="I3305" s="10">
        <f ca="1">IFERROR(__xludf.DUMMYFUNCTION(" VLOOKUP(A3302, IMPORTRANGE(""https://docs.google.com/spreadsheets/d/1QNLbnkR_AongFt22vMfNzfpjZ0CjpI8QI-w0wBnYA1w/"", ""Инфа!A:AA""), 6, FALSE)"),2024)</f>
        <v>2024</v>
      </c>
      <c r="J3305" s="5">
        <f t="shared" ca="1" si="108"/>
        <v>9800</v>
      </c>
      <c r="K3305" s="12" t="s">
        <v>243</v>
      </c>
      <c r="L3305" s="15" t="s">
        <v>12781</v>
      </c>
    </row>
    <row r="3306" spans="1:12" ht="281.25">
      <c r="A3306" s="8" t="s">
        <v>12782</v>
      </c>
      <c r="B3306" s="9" t="s">
        <v>12</v>
      </c>
      <c r="C3306" s="10" t="s">
        <v>443</v>
      </c>
      <c r="D3306" s="10" t="str">
        <f ca="1">IFERROR(__xludf.DUMMYFUNCTION(" VLOOKUP(A3303, IMPORTRANGE(""https://docs.google.com/spreadsheets/d/1fj_Bhi2XPL3siwIh4sx4VRLAe31yD50oKdj5UlRYW0c/"", ""Сводка!A:AA""), 11, FALSE)"),"978-601-327-650-2")</f>
        <v>978-601-327-650-2</v>
      </c>
      <c r="E3306" s="11" t="s">
        <v>12779</v>
      </c>
      <c r="F3306" s="11" t="s">
        <v>12783</v>
      </c>
      <c r="G3306" s="12">
        <f ca="1">IFERROR(__xludf.DUMMYFUNCTION(" VLOOKUP(A3303, IMPORTRANGE(""https://docs.google.com/spreadsheets/d/1fj_Bhi2XPL3siwIh4sx4VRLAe31yD50oKdj5UlRYW0c/"", ""Сводка!A:AA""), 5, FALSE)"),192)</f>
        <v>192</v>
      </c>
      <c r="H3306" s="12" t="s">
        <v>511</v>
      </c>
      <c r="I3306" s="10">
        <f ca="1">IFERROR(__xludf.DUMMYFUNCTION(" VLOOKUP(A3303, IMPORTRANGE(""https://docs.google.com/spreadsheets/d/1QNLbnkR_AongFt22vMfNzfpjZ0CjpI8QI-w0wBnYA1w/"", ""Инфа!A:AA""), 6, FALSE)"),2024)</f>
        <v>2024</v>
      </c>
      <c r="J3306" s="5">
        <f t="shared" ca="1" si="108"/>
        <v>10800</v>
      </c>
      <c r="K3306" s="12" t="s">
        <v>243</v>
      </c>
      <c r="L3306" s="15" t="s">
        <v>12781</v>
      </c>
    </row>
    <row r="3307" spans="1:12" ht="123.75">
      <c r="A3307" s="8" t="s">
        <v>12784</v>
      </c>
      <c r="B3307" s="9" t="s">
        <v>12</v>
      </c>
      <c r="C3307" s="10" t="s">
        <v>443</v>
      </c>
      <c r="D3307" s="10" t="str">
        <f ca="1">IFERROR(__xludf.DUMMYFUNCTION(" VLOOKUP(A3304, IMPORTRANGE(""https://docs.google.com/spreadsheets/d/1fj_Bhi2XPL3siwIh4sx4VRLAe31yD50oKdj5UlRYW0c/"", ""Сводка!A:AA""), 11, FALSE)"),"978-601-240-892-8")</f>
        <v>978-601-240-892-8</v>
      </c>
      <c r="E3307" s="11" t="s">
        <v>12785</v>
      </c>
      <c r="F3307" s="11" t="s">
        <v>12786</v>
      </c>
      <c r="G3307" s="12">
        <f ca="1">IFERROR(__xludf.DUMMYFUNCTION(" VLOOKUP(A3304, IMPORTRANGE(""https://docs.google.com/spreadsheets/d/1fj_Bhi2XPL3siwIh4sx4VRLAe31yD50oKdj5UlRYW0c/"", ""Сводка!A:AA""), 5, FALSE)"),92)</f>
        <v>92</v>
      </c>
      <c r="H3307" s="12" t="s">
        <v>2664</v>
      </c>
      <c r="I3307" s="10">
        <f ca="1">IFERROR(__xludf.DUMMYFUNCTION(" VLOOKUP(A3304, IMPORTRANGE(""https://docs.google.com/spreadsheets/d/1QNLbnkR_AongFt22vMfNzfpjZ0CjpI8QI-w0wBnYA1w/"", ""Инфа!A:AA""), 6, FALSE)"),2024)</f>
        <v>2024</v>
      </c>
      <c r="J3307" s="5">
        <f t="shared" ca="1" si="108"/>
        <v>7800</v>
      </c>
      <c r="K3307" s="12" t="s">
        <v>308</v>
      </c>
      <c r="L3307" s="15" t="s">
        <v>12787</v>
      </c>
    </row>
    <row r="3308" spans="1:12" ht="213.75">
      <c r="A3308" s="8" t="s">
        <v>12788</v>
      </c>
      <c r="B3308" s="9" t="s">
        <v>12</v>
      </c>
      <c r="C3308" s="10" t="s">
        <v>443</v>
      </c>
      <c r="D3308" s="10" t="str">
        <f ca="1">IFERROR(__xludf.DUMMYFUNCTION(" VLOOKUP(A3305, IMPORTRANGE(""https://docs.google.com/spreadsheets/d/1fj_Bhi2XPL3siwIh4sx4VRLAe31yD50oKdj5UlRYW0c/"", ""Сводка!A:AA""), 11, FALSE)"),"978-601-327-202-3")</f>
        <v>978-601-327-202-3</v>
      </c>
      <c r="E3308" s="11" t="s">
        <v>12789</v>
      </c>
      <c r="F3308" s="11" t="s">
        <v>12790</v>
      </c>
      <c r="G3308" s="12">
        <f ca="1">IFERROR(__xludf.DUMMYFUNCTION(" VLOOKUP(A3305, IMPORTRANGE(""https://docs.google.com/spreadsheets/d/1fj_Bhi2XPL3siwIh4sx4VRLAe31yD50oKdj5UlRYW0c/"", ""Сводка!A:AA""), 5, FALSE)"),80)</f>
        <v>80</v>
      </c>
      <c r="H3308" s="12" t="s">
        <v>538</v>
      </c>
      <c r="I3308" s="10">
        <f ca="1">IFERROR(__xludf.DUMMYFUNCTION(" VLOOKUP(A3305, IMPORTRANGE(""https://docs.google.com/spreadsheets/d/1QNLbnkR_AongFt22vMfNzfpjZ0CjpI8QI-w0wBnYA1w/"", ""Инфа!A:AA""), 6, FALSE)"),2024)</f>
        <v>2024</v>
      </c>
      <c r="J3308" s="5">
        <f t="shared" ca="1" si="108"/>
        <v>7400</v>
      </c>
      <c r="K3308" s="12" t="s">
        <v>11553</v>
      </c>
      <c r="L3308" s="15" t="s">
        <v>12791</v>
      </c>
    </row>
    <row r="3309" spans="1:12" ht="123.75">
      <c r="A3309" s="8" t="s">
        <v>12792</v>
      </c>
      <c r="B3309" s="9" t="s">
        <v>12</v>
      </c>
      <c r="C3309" s="10" t="s">
        <v>443</v>
      </c>
      <c r="D3309" s="10" t="str">
        <f ca="1">IFERROR(__xludf.DUMMYFUNCTION(" VLOOKUP(A3306, IMPORTRANGE(""https://docs.google.com/spreadsheets/d/1fj_Bhi2XPL3siwIh4sx4VRLAe31yD50oKdj5UlRYW0c/"", ""Сводка!A:AA""), 11, FALSE)"),"978-601-342-665-5")</f>
        <v>978-601-342-665-5</v>
      </c>
      <c r="E3309" s="11" t="s">
        <v>12793</v>
      </c>
      <c r="F3309" s="11" t="s">
        <v>12794</v>
      </c>
      <c r="G3309" s="12">
        <f ca="1">IFERROR(__xludf.DUMMYFUNCTION(" VLOOKUP(A3306, IMPORTRANGE(""https://docs.google.com/spreadsheets/d/1fj_Bhi2XPL3siwIh4sx4VRLAe31yD50oKdj5UlRYW0c/"", ""Сводка!A:AA""), 5, FALSE)"),344)</f>
        <v>344</v>
      </c>
      <c r="H3309" s="12" t="s">
        <v>538</v>
      </c>
      <c r="I3309" s="10">
        <f ca="1">IFERROR(__xludf.DUMMYFUNCTION(" VLOOKUP(A3306, IMPORTRANGE(""https://docs.google.com/spreadsheets/d/1QNLbnkR_AongFt22vMfNzfpjZ0CjpI8QI-w0wBnYA1w/"", ""Инфа!A:AA""), 6, FALSE)"),2024)</f>
        <v>2024</v>
      </c>
      <c r="J3309" s="5">
        <f ca="1">ROUND((5000+G3309*60),-2)</f>
        <v>25600</v>
      </c>
      <c r="K3309" s="12" t="s">
        <v>12795</v>
      </c>
      <c r="L3309" s="15" t="s">
        <v>12796</v>
      </c>
    </row>
    <row r="3310" spans="1:12" ht="123.75">
      <c r="A3310" s="8" t="s">
        <v>12797</v>
      </c>
      <c r="B3310" s="9" t="s">
        <v>12</v>
      </c>
      <c r="C3310" s="10" t="s">
        <v>443</v>
      </c>
      <c r="D3310" s="10" t="str">
        <f ca="1">IFERROR(__xludf.DUMMYFUNCTION(" VLOOKUP(A3307, IMPORTRANGE(""https://docs.google.com/spreadsheets/d/1fj_Bhi2XPL3siwIh4sx4VRLAe31yD50oKdj5UlRYW0c/"", ""Сводка!A:AA""), 11, FALSE)"),"978-601-342-664-8")</f>
        <v>978-601-342-664-8</v>
      </c>
      <c r="E3310" s="11" t="s">
        <v>12793</v>
      </c>
      <c r="F3310" s="11" t="s">
        <v>12798</v>
      </c>
      <c r="G3310" s="12">
        <f ca="1">IFERROR(__xludf.DUMMYFUNCTION(" VLOOKUP(A3307, IMPORTRANGE(""https://docs.google.com/spreadsheets/d/1fj_Bhi2XPL3siwIh4sx4VRLAe31yD50oKdj5UlRYW0c/"", ""Сводка!A:AA""), 5, FALSE)"),232)</f>
        <v>232</v>
      </c>
      <c r="H3310" s="12" t="s">
        <v>538</v>
      </c>
      <c r="I3310" s="10">
        <f ca="1">IFERROR(__xludf.DUMMYFUNCTION(" VLOOKUP(A3307, IMPORTRANGE(""https://docs.google.com/spreadsheets/d/1QNLbnkR_AongFt22vMfNzfpjZ0CjpI8QI-w0wBnYA1w/"", ""Инфа!A:AA""), 6, FALSE)"),2024)</f>
        <v>2024</v>
      </c>
      <c r="J3310" s="5">
        <f ca="1">ROUND((5000+G3310*60),-2)</f>
        <v>18900</v>
      </c>
      <c r="K3310" s="12" t="s">
        <v>12795</v>
      </c>
      <c r="L3310" s="15" t="s">
        <v>12796</v>
      </c>
    </row>
    <row r="3311" spans="1:12" ht="123.75">
      <c r="A3311" s="8" t="s">
        <v>12799</v>
      </c>
      <c r="B3311" s="9" t="s">
        <v>12</v>
      </c>
      <c r="C3311" s="10" t="s">
        <v>443</v>
      </c>
      <c r="D3311" s="10" t="str">
        <f ca="1">IFERROR(__xludf.DUMMYFUNCTION(" VLOOKUP(A3308, IMPORTRANGE(""https://docs.google.com/spreadsheets/d/1fj_Bhi2XPL3siwIh4sx4VRLAe31yD50oKdj5UlRYW0c/"", ""Сводка!A:AA""), 11, FALSE)"),"978-601-342-720-1")</f>
        <v>978-601-342-720-1</v>
      </c>
      <c r="E3311" s="11" t="s">
        <v>12800</v>
      </c>
      <c r="F3311" s="11" t="s">
        <v>12801</v>
      </c>
      <c r="G3311" s="12">
        <f ca="1">IFERROR(__xludf.DUMMYFUNCTION(" VLOOKUP(A3308, IMPORTRANGE(""https://docs.google.com/spreadsheets/d/1fj_Bhi2XPL3siwIh4sx4VRLAe31yD50oKdj5UlRYW0c/"", ""Сводка!A:AA""), 5, FALSE)"),248)</f>
        <v>248</v>
      </c>
      <c r="H3311" s="12" t="s">
        <v>24</v>
      </c>
      <c r="I3311" s="10">
        <f ca="1">IFERROR(__xludf.DUMMYFUNCTION(" VLOOKUP(A3308, IMPORTRANGE(""https://docs.google.com/spreadsheets/d/1QNLbnkR_AongFt22vMfNzfpjZ0CjpI8QI-w0wBnYA1w/"", ""Инфа!A:AA""), 6, FALSE)"),2024)</f>
        <v>2024</v>
      </c>
      <c r="J3311" s="5">
        <f ca="1">ROUND((5000+G3311*60),-2)</f>
        <v>19900</v>
      </c>
      <c r="K3311" s="12" t="s">
        <v>12802</v>
      </c>
      <c r="L3311" s="15" t="s">
        <v>12803</v>
      </c>
    </row>
    <row r="3312" spans="1:12" ht="146.25">
      <c r="A3312" s="8" t="s">
        <v>12804</v>
      </c>
      <c r="B3312" s="9" t="s">
        <v>12</v>
      </c>
      <c r="C3312" s="10" t="s">
        <v>443</v>
      </c>
      <c r="D3312" s="10" t="str">
        <f ca="1">IFERROR(__xludf.DUMMYFUNCTION(" VLOOKUP(A3309, IMPORTRANGE(""https://docs.google.com/spreadsheets/d/1fj_Bhi2XPL3siwIh4sx4VRLAe31yD50oKdj5UlRYW0c/"", ""Сводка!A:AA""), 11, FALSE)"),"978-601-3278-3-8")</f>
        <v>978-601-3278-3-8</v>
      </c>
      <c r="E3312" s="11" t="s">
        <v>12805</v>
      </c>
      <c r="F3312" s="11" t="s">
        <v>12806</v>
      </c>
      <c r="G3312" s="12">
        <f ca="1">IFERROR(__xludf.DUMMYFUNCTION(" VLOOKUP(A3309, IMPORTRANGE(""https://docs.google.com/spreadsheets/d/1fj_Bhi2XPL3siwIh4sx4VRLAe31yD50oKdj5UlRYW0c/"", ""Сводка!A:AA""), 5, FALSE)"),128)</f>
        <v>128</v>
      </c>
      <c r="H3312" s="12" t="s">
        <v>1908</v>
      </c>
      <c r="I3312" s="10">
        <f ca="1">IFERROR(__xludf.DUMMYFUNCTION(" VLOOKUP(A3309, IMPORTRANGE(""https://docs.google.com/spreadsheets/d/1QNLbnkR_AongFt22vMfNzfpjZ0CjpI8QI-w0wBnYA1w/"", ""Инфа!A:AA""), 6, FALSE)"),2024)</f>
        <v>2024</v>
      </c>
      <c r="J3312" s="5">
        <f ca="1">ROUND((5000+G3312*30),-2)</f>
        <v>8800</v>
      </c>
      <c r="K3312" s="12" t="s">
        <v>12807</v>
      </c>
      <c r="L3312" s="15" t="s">
        <v>12808</v>
      </c>
    </row>
    <row r="3313" spans="1:12" ht="78.75">
      <c r="A3313" s="8" t="s">
        <v>12809</v>
      </c>
      <c r="B3313" s="9" t="s">
        <v>12</v>
      </c>
      <c r="C3313" s="10" t="s">
        <v>443</v>
      </c>
      <c r="D3313" s="10" t="str">
        <f ca="1">IFERROR(__xludf.DUMMYFUNCTION(" VLOOKUP(A3310, IMPORTRANGE(""https://docs.google.com/spreadsheets/d/1fj_Bhi2XPL3siwIh4sx4VRLAe31yD50oKdj5UlRYW0c/"", ""Сводка!A:AA""), 11, FALSE)"),"978-601-327-239")</f>
        <v>978-601-327-239</v>
      </c>
      <c r="E3313" s="11" t="s">
        <v>12810</v>
      </c>
      <c r="F3313" s="11" t="s">
        <v>12811</v>
      </c>
      <c r="G3313" s="12">
        <f ca="1">IFERROR(__xludf.DUMMYFUNCTION(" VLOOKUP(A3310, IMPORTRANGE(""https://docs.google.com/spreadsheets/d/1fj_Bhi2XPL3siwIh4sx4VRLAe31yD50oKdj5UlRYW0c/"", ""Сводка!A:AA""), 5, FALSE)"),100)</f>
        <v>100</v>
      </c>
      <c r="H3313" s="12" t="s">
        <v>446</v>
      </c>
      <c r="I3313" s="10">
        <f ca="1">IFERROR(__xludf.DUMMYFUNCTION(" VLOOKUP(A3310, IMPORTRANGE(""https://docs.google.com/spreadsheets/d/1QNLbnkR_AongFt22vMfNzfpjZ0CjpI8QI-w0wBnYA1w/"", ""Инфа!A:AA""), 6, FALSE)"),2024)</f>
        <v>2024</v>
      </c>
      <c r="J3313" s="5">
        <f ca="1">ROUND((5000+G3313*60),-2)</f>
        <v>11000</v>
      </c>
      <c r="K3313" s="12" t="s">
        <v>1075</v>
      </c>
      <c r="L3313" s="15" t="s">
        <v>12812</v>
      </c>
    </row>
    <row r="3314" spans="1:12" ht="303.75">
      <c r="A3314" s="8" t="s">
        <v>12813</v>
      </c>
      <c r="B3314" s="9" t="s">
        <v>12</v>
      </c>
      <c r="C3314" s="10" t="s">
        <v>443</v>
      </c>
      <c r="D3314" s="10" t="str">
        <f ca="1">IFERROR(__xludf.DUMMYFUNCTION(" VLOOKUP(A3311, IMPORTRANGE(""https://docs.google.com/spreadsheets/d/1fj_Bhi2XPL3siwIh4sx4VRLAe31yD50oKdj5UlRYW0c/"", ""Сводка!A:AA""), 11, FALSE)"),"9965 - 9117 - 4 – 6")</f>
        <v>9965 - 9117 - 4 – 6</v>
      </c>
      <c r="E3314" s="11" t="s">
        <v>12814</v>
      </c>
      <c r="F3314" s="11" t="s">
        <v>12815</v>
      </c>
      <c r="G3314" s="12">
        <f ca="1">IFERROR(__xludf.DUMMYFUNCTION(" VLOOKUP(A3311, IMPORTRANGE(""https://docs.google.com/spreadsheets/d/1fj_Bhi2XPL3siwIh4sx4VRLAe31yD50oKdj5UlRYW0c/"", ""Сводка!A:AA""), 5, FALSE)"),240)</f>
        <v>240</v>
      </c>
      <c r="H3314" s="12" t="s">
        <v>538</v>
      </c>
      <c r="I3314" s="10">
        <f ca="1">IFERROR(__xludf.DUMMYFUNCTION(" VLOOKUP(A3311, IMPORTRANGE(""https://docs.google.com/spreadsheets/d/1QNLbnkR_AongFt22vMfNzfpjZ0CjpI8QI-w0wBnYA1w/"", ""Инфа!A:AA""), 6, FALSE)"),2024)</f>
        <v>2024</v>
      </c>
      <c r="J3314" s="5">
        <f ca="1">ROUND((5000+G3314*30),-2)</f>
        <v>12200</v>
      </c>
      <c r="K3314" s="12" t="s">
        <v>557</v>
      </c>
      <c r="L3314" s="15" t="s">
        <v>12816</v>
      </c>
    </row>
    <row r="3315" spans="1:12" ht="213.75">
      <c r="A3315" s="8" t="s">
        <v>12817</v>
      </c>
      <c r="B3315" s="9" t="s">
        <v>12</v>
      </c>
      <c r="C3315" s="10" t="s">
        <v>443</v>
      </c>
      <c r="D3315" s="10" t="str">
        <f ca="1">IFERROR(__xludf.DUMMYFUNCTION(" VLOOKUP(A3312, IMPORTRANGE(""https://docs.google.com/spreadsheets/d/1fj_Bhi2XPL3siwIh4sx4VRLAe31yD50oKdj5UlRYW0c/"", ""Сводка!A:AA""), 11, FALSE)"),"987-601-310-620-5")</f>
        <v>987-601-310-620-5</v>
      </c>
      <c r="E3315" s="11" t="s">
        <v>12818</v>
      </c>
      <c r="F3315" s="11" t="s">
        <v>12819</v>
      </c>
      <c r="G3315" s="12">
        <f ca="1">IFERROR(__xludf.DUMMYFUNCTION(" VLOOKUP(A3312, IMPORTRANGE(""https://docs.google.com/spreadsheets/d/1fj_Bhi2XPL3siwIh4sx4VRLAe31yD50oKdj5UlRYW0c/"", ""Сводка!A:AA""), 5, FALSE)"),348)</f>
        <v>348</v>
      </c>
      <c r="H3315" s="12"/>
      <c r="I3315" s="10">
        <f ca="1">IFERROR(__xludf.DUMMYFUNCTION(" VLOOKUP(A3312, IMPORTRANGE(""https://docs.google.com/spreadsheets/d/1QNLbnkR_AongFt22vMfNzfpjZ0CjpI8QI-w0wBnYA1w/"", ""Инфа!A:AA""), 6, FALSE)"),2024)</f>
        <v>2024</v>
      </c>
      <c r="J3315" s="5">
        <f ca="1">ROUND((5000+G3315*30),-2)</f>
        <v>15400</v>
      </c>
      <c r="K3315" s="9" t="s">
        <v>171</v>
      </c>
      <c r="L3315" s="15" t="s">
        <v>12820</v>
      </c>
    </row>
    <row r="3316" spans="1:12" ht="213.75">
      <c r="A3316" s="8" t="s">
        <v>12821</v>
      </c>
      <c r="B3316" s="9" t="s">
        <v>12</v>
      </c>
      <c r="C3316" s="13" t="s">
        <v>443</v>
      </c>
      <c r="D3316" s="10" t="str">
        <f ca="1">IFERROR(__xludf.DUMMYFUNCTION(" VLOOKUP(A3313, IMPORTRANGE(""https://docs.google.com/spreadsheets/d/1fj_Bhi2XPL3siwIh4sx4VRLAe31yD50oKdj5UlRYW0c/"", ""Сводка!A:AA""), 11, FALSE)"),"978-601-310-620-5")</f>
        <v>978-601-310-620-5</v>
      </c>
      <c r="E3316" s="19" t="s">
        <v>12822</v>
      </c>
      <c r="F3316" s="19" t="s">
        <v>12823</v>
      </c>
      <c r="G3316" s="12">
        <f ca="1">IFERROR(__xludf.DUMMYFUNCTION(" VLOOKUP(A3313, IMPORTRANGE(""https://docs.google.com/spreadsheets/d/1fj_Bhi2XPL3siwIh4sx4VRLAe31yD50oKdj5UlRYW0c/"", ""Сводка!A:AA""), 5, FALSE)"),308)</f>
        <v>308</v>
      </c>
      <c r="H3316" s="9" t="s">
        <v>538</v>
      </c>
      <c r="I3316" s="10">
        <f ca="1">IFERROR(__xludf.DUMMYFUNCTION(" VLOOKUP(A3313, IMPORTRANGE(""https://docs.google.com/spreadsheets/d/1QNLbnkR_AongFt22vMfNzfpjZ0CjpI8QI-w0wBnYA1w/"", ""Инфа!A:AA""), 6, FALSE)"),2024)</f>
        <v>2024</v>
      </c>
      <c r="J3316" s="5">
        <f ca="1">ROUND((5000+G3316*60),-2)</f>
        <v>23500</v>
      </c>
      <c r="K3316" s="9" t="s">
        <v>171</v>
      </c>
      <c r="L3316" s="21" t="s">
        <v>12824</v>
      </c>
    </row>
    <row r="3317" spans="1:12" ht="56.25">
      <c r="A3317" s="8" t="s">
        <v>12825</v>
      </c>
      <c r="B3317" s="9" t="s">
        <v>12</v>
      </c>
      <c r="C3317" s="10" t="s">
        <v>443</v>
      </c>
      <c r="D3317" s="10" t="str">
        <f ca="1">IFERROR(__xludf.DUMMYFUNCTION(" VLOOKUP(A3314, IMPORTRANGE(""https://docs.google.com/spreadsheets/d/1fj_Bhi2XPL3siwIh4sx4VRLAe31yD50oKdj5UlRYW0c/"", ""Сводка!A:AA""), 11, FALSE)"),"978-601-327-667-0")</f>
        <v>978-601-327-667-0</v>
      </c>
      <c r="E3317" s="11" t="s">
        <v>12826</v>
      </c>
      <c r="F3317" s="11" t="s">
        <v>12827</v>
      </c>
      <c r="G3317" s="12">
        <f ca="1">IFERROR(__xludf.DUMMYFUNCTION(" VLOOKUP(A3314, IMPORTRANGE(""https://docs.google.com/spreadsheets/d/1fj_Bhi2XPL3siwIh4sx4VRLAe31yD50oKdj5UlRYW0c/"", ""Сводка!A:AA""), 5, FALSE)"),148)</f>
        <v>148</v>
      </c>
      <c r="H3317" s="12" t="s">
        <v>2442</v>
      </c>
      <c r="I3317" s="10">
        <f ca="1">IFERROR(__xludf.DUMMYFUNCTION(" VLOOKUP(A3314, IMPORTRANGE(""https://docs.google.com/spreadsheets/d/1QNLbnkR_AongFt22vMfNzfpjZ0CjpI8QI-w0wBnYA1w/"", ""Инфа!A:AA""), 6, FALSE)"),2024)</f>
        <v>2024</v>
      </c>
      <c r="J3317" s="5">
        <f t="shared" ref="J3317:J3326" ca="1" si="109">ROUND((5000+G3317*30),-2)</f>
        <v>9400</v>
      </c>
      <c r="K3317" s="12" t="s">
        <v>12828</v>
      </c>
      <c r="L3317" s="15" t="s">
        <v>12829</v>
      </c>
    </row>
    <row r="3318" spans="1:12" ht="123.75">
      <c r="A3318" s="8" t="s">
        <v>12830</v>
      </c>
      <c r="B3318" s="9" t="s">
        <v>12</v>
      </c>
      <c r="C3318" s="10" t="s">
        <v>443</v>
      </c>
      <c r="D3318" s="10" t="str">
        <f ca="1">IFERROR(__xludf.DUMMYFUNCTION(" VLOOKUP(A3315, IMPORTRANGE(""https://docs.google.com/spreadsheets/d/1fj_Bhi2XPL3siwIh4sx4VRLAe31yD50oKdj5UlRYW0c/"", ""Сводка!A:AA""), 11, FALSE)"),"9965 - 9117 - 4 – 6")</f>
        <v>9965 - 9117 - 4 – 6</v>
      </c>
      <c r="E3318" s="11" t="s">
        <v>12831</v>
      </c>
      <c r="F3318" s="11" t="s">
        <v>12832</v>
      </c>
      <c r="G3318" s="12">
        <f ca="1">IFERROR(__xludf.DUMMYFUNCTION(" VLOOKUP(A3315, IMPORTRANGE(""https://docs.google.com/spreadsheets/d/1fj_Bhi2XPL3siwIh4sx4VRLAe31yD50oKdj5UlRYW0c/"", ""Сводка!A:AA""), 5, FALSE)"),240)</f>
        <v>240</v>
      </c>
      <c r="H3318" s="12" t="s">
        <v>511</v>
      </c>
      <c r="I3318" s="10">
        <f ca="1">IFERROR(__xludf.DUMMYFUNCTION(" VLOOKUP(A3315, IMPORTRANGE(""https://docs.google.com/spreadsheets/d/1QNLbnkR_AongFt22vMfNzfpjZ0CjpI8QI-w0wBnYA1w/"", ""Инфа!A:AA""), 6, FALSE)"),2024)</f>
        <v>2024</v>
      </c>
      <c r="J3318" s="5">
        <f t="shared" ca="1" si="109"/>
        <v>12200</v>
      </c>
      <c r="K3318" s="12" t="s">
        <v>557</v>
      </c>
      <c r="L3318" s="15" t="s">
        <v>12833</v>
      </c>
    </row>
    <row r="3319" spans="1:12" ht="270">
      <c r="A3319" s="8" t="s">
        <v>12834</v>
      </c>
      <c r="B3319" s="9" t="s">
        <v>12</v>
      </c>
      <c r="C3319" s="10" t="s">
        <v>443</v>
      </c>
      <c r="D3319" s="10" t="str">
        <f ca="1">IFERROR(__xludf.DUMMYFUNCTION(" VLOOKUP(A3316, IMPORTRANGE(""https://docs.google.com/spreadsheets/d/1fj_Bhi2XPL3siwIh4sx4VRLAe31yD50oKdj5UlRYW0c/"", ""Сводка!A:AA""), 11, FALSE)"),"978-601-342-377-7")</f>
        <v>978-601-342-377-7</v>
      </c>
      <c r="E3319" s="11" t="s">
        <v>12835</v>
      </c>
      <c r="F3319" s="11" t="s">
        <v>12836</v>
      </c>
      <c r="G3319" s="12">
        <f ca="1">IFERROR(__xludf.DUMMYFUNCTION(" VLOOKUP(A3316, IMPORTRANGE(""https://docs.google.com/spreadsheets/d/1fj_Bhi2XPL3siwIh4sx4VRLAe31yD50oKdj5UlRYW0c/"", ""Сводка!A:AA""), 5, FALSE)"),220)</f>
        <v>220</v>
      </c>
      <c r="H3319" s="12" t="s">
        <v>24</v>
      </c>
      <c r="I3319" s="10">
        <f ca="1">IFERROR(__xludf.DUMMYFUNCTION(" VLOOKUP(A3316, IMPORTRANGE(""https://docs.google.com/spreadsheets/d/1QNLbnkR_AongFt22vMfNzfpjZ0CjpI8QI-w0wBnYA1w/"", ""Инфа!A:AA""), 6, FALSE)"),2024)</f>
        <v>2024</v>
      </c>
      <c r="J3319" s="5">
        <f t="shared" ca="1" si="109"/>
        <v>11600</v>
      </c>
      <c r="K3319" s="12" t="s">
        <v>3304</v>
      </c>
      <c r="L3319" s="15" t="s">
        <v>12837</v>
      </c>
    </row>
    <row r="3320" spans="1:12" ht="236.25">
      <c r="A3320" s="8" t="s">
        <v>12838</v>
      </c>
      <c r="B3320" s="9" t="s">
        <v>12</v>
      </c>
      <c r="C3320" s="10" t="s">
        <v>443</v>
      </c>
      <c r="D3320" s="10" t="str">
        <f ca="1">IFERROR(__xludf.DUMMYFUNCTION(" VLOOKUP(A3317, IMPORTRANGE(""https://docs.google.com/spreadsheets/d/1fj_Bhi2XPL3siwIh4sx4VRLAe31yD50oKdj5UlRYW0c/"", ""Сводка!A:AA""), 11, FALSE)"),"978-601-342-507-8")</f>
        <v>978-601-342-507-8</v>
      </c>
      <c r="E3320" s="11" t="s">
        <v>12835</v>
      </c>
      <c r="F3320" s="11" t="s">
        <v>12839</v>
      </c>
      <c r="G3320" s="12">
        <f ca="1">IFERROR(__xludf.DUMMYFUNCTION(" VLOOKUP(A3317, IMPORTRANGE(""https://docs.google.com/spreadsheets/d/1fj_Bhi2XPL3siwIh4sx4VRLAe31yD50oKdj5UlRYW0c/"", ""Сводка!A:AA""), 5, FALSE)"),288)</f>
        <v>288</v>
      </c>
      <c r="H3320" s="12" t="s">
        <v>24</v>
      </c>
      <c r="I3320" s="10">
        <f ca="1">IFERROR(__xludf.DUMMYFUNCTION(" VLOOKUP(A3317, IMPORTRANGE(""https://docs.google.com/spreadsheets/d/1QNLbnkR_AongFt22vMfNzfpjZ0CjpI8QI-w0wBnYA1w/"", ""Инфа!A:AA""), 6, FALSE)"),2024)</f>
        <v>2024</v>
      </c>
      <c r="J3320" s="5">
        <f t="shared" ca="1" si="109"/>
        <v>13600</v>
      </c>
      <c r="K3320" s="9" t="s">
        <v>257</v>
      </c>
      <c r="L3320" s="15" t="s">
        <v>12840</v>
      </c>
    </row>
    <row r="3321" spans="1:12" ht="101.25">
      <c r="A3321" s="8" t="s">
        <v>12841</v>
      </c>
      <c r="B3321" s="9" t="s">
        <v>12</v>
      </c>
      <c r="C3321" s="10" t="s">
        <v>443</v>
      </c>
      <c r="D3321" s="10" t="str">
        <f ca="1">IFERROR(__xludf.DUMMYFUNCTION(" VLOOKUP(A3318, IMPORTRANGE(""https://docs.google.com/spreadsheets/d/1fj_Bhi2XPL3siwIh4sx4VRLAe31yD50oKdj5UlRYW0c/"", ""Сводка!A:AA""), 11, FALSE)"),"978-601-342-454-5")</f>
        <v>978-601-342-454-5</v>
      </c>
      <c r="E3321" s="11" t="s">
        <v>12835</v>
      </c>
      <c r="F3321" s="11" t="s">
        <v>12842</v>
      </c>
      <c r="G3321" s="12">
        <f ca="1">IFERROR(__xludf.DUMMYFUNCTION(" VLOOKUP(A3318, IMPORTRANGE(""https://docs.google.com/spreadsheets/d/1fj_Bhi2XPL3siwIh4sx4VRLAe31yD50oKdj5UlRYW0c/"", ""Сводка!A:AA""), 5, FALSE)"),340)</f>
        <v>340</v>
      </c>
      <c r="H3321" s="12" t="s">
        <v>1633</v>
      </c>
      <c r="I3321" s="10">
        <f ca="1">IFERROR(__xludf.DUMMYFUNCTION(" VLOOKUP(A3318, IMPORTRANGE(""https://docs.google.com/spreadsheets/d/1QNLbnkR_AongFt22vMfNzfpjZ0CjpI8QI-w0wBnYA1w/"", ""Инфа!A:AA""), 6, FALSE)"),2024)</f>
        <v>2024</v>
      </c>
      <c r="J3321" s="5">
        <f t="shared" ca="1" si="109"/>
        <v>15200</v>
      </c>
      <c r="K3321" s="9" t="s">
        <v>447</v>
      </c>
      <c r="L3321" s="15" t="s">
        <v>12843</v>
      </c>
    </row>
    <row r="3322" spans="1:12" ht="225">
      <c r="A3322" s="8" t="s">
        <v>12844</v>
      </c>
      <c r="B3322" s="9" t="s">
        <v>12</v>
      </c>
      <c r="C3322" s="10" t="s">
        <v>443</v>
      </c>
      <c r="D3322" s="10" t="str">
        <f ca="1">IFERROR(__xludf.DUMMYFUNCTION(" VLOOKUP(A3319, IMPORTRANGE(""https://docs.google.com/spreadsheets/d/1fj_Bhi2XPL3siwIh4sx4VRLAe31yD50oKdj5UlRYW0c/"", ""Сводка!A:AA""), 11, FALSE)"),"978-601-327-134-7")</f>
        <v>978-601-327-134-7</v>
      </c>
      <c r="E3322" s="11" t="s">
        <v>12845</v>
      </c>
      <c r="F3322" s="11" t="s">
        <v>12846</v>
      </c>
      <c r="G3322" s="12">
        <f ca="1">IFERROR(__xludf.DUMMYFUNCTION(" VLOOKUP(A3319, IMPORTRANGE(""https://docs.google.com/spreadsheets/d/1fj_Bhi2XPL3siwIh4sx4VRLAe31yD50oKdj5UlRYW0c/"", ""Сводка!A:AA""), 5, FALSE)"),312)</f>
        <v>312</v>
      </c>
      <c r="H3322" s="12" t="s">
        <v>12847</v>
      </c>
      <c r="I3322" s="10">
        <f ca="1">IFERROR(__xludf.DUMMYFUNCTION(" VLOOKUP(A3319, IMPORTRANGE(""https://docs.google.com/spreadsheets/d/1QNLbnkR_AongFt22vMfNzfpjZ0CjpI8QI-w0wBnYA1w/"", ""Инфа!A:AA""), 6, FALSE)"),2024)</f>
        <v>2024</v>
      </c>
      <c r="J3322" s="5">
        <f t="shared" ca="1" si="109"/>
        <v>14400</v>
      </c>
      <c r="K3322" s="12" t="s">
        <v>1491</v>
      </c>
      <c r="L3322" s="15" t="s">
        <v>12848</v>
      </c>
    </row>
    <row r="3323" spans="1:12" ht="135">
      <c r="A3323" s="8" t="s">
        <v>12849</v>
      </c>
      <c r="B3323" s="9" t="s">
        <v>12</v>
      </c>
      <c r="C3323" s="10" t="s">
        <v>443</v>
      </c>
      <c r="D3323" s="10" t="str">
        <f ca="1">IFERROR(__xludf.DUMMYFUNCTION(" VLOOKUP(A3320, IMPORTRANGE(""https://docs.google.com/spreadsheets/d/1fj_Bhi2XPL3siwIh4sx4VRLAe31yD50oKdj5UlRYW0c/"", ""Сводка!A:AA""), 11, FALSE)"),"978-601-7816-00-1")</f>
        <v>978-601-7816-00-1</v>
      </c>
      <c r="E3323" s="11" t="s">
        <v>12850</v>
      </c>
      <c r="F3323" s="11" t="s">
        <v>12851</v>
      </c>
      <c r="G3323" s="12">
        <f ca="1">IFERROR(__xludf.DUMMYFUNCTION(" VLOOKUP(A3320, IMPORTRANGE(""https://docs.google.com/spreadsheets/d/1fj_Bhi2XPL3siwIh4sx4VRLAe31yD50oKdj5UlRYW0c/"", ""Сводка!A:AA""), 5, FALSE)"),128)</f>
        <v>128</v>
      </c>
      <c r="H3323" s="12" t="s">
        <v>538</v>
      </c>
      <c r="I3323" s="10">
        <f ca="1">IFERROR(__xludf.DUMMYFUNCTION(" VLOOKUP(A3320, IMPORTRANGE(""https://docs.google.com/spreadsheets/d/1QNLbnkR_AongFt22vMfNzfpjZ0CjpI8QI-w0wBnYA1w/"", ""Инфа!A:AA""), 6, FALSE)"),2024)</f>
        <v>2024</v>
      </c>
      <c r="J3323" s="5">
        <f t="shared" ca="1" si="109"/>
        <v>8800</v>
      </c>
      <c r="K3323" s="12" t="s">
        <v>961</v>
      </c>
      <c r="L3323" s="15" t="s">
        <v>12852</v>
      </c>
    </row>
    <row r="3324" spans="1:12" ht="123.75">
      <c r="A3324" s="8" t="s">
        <v>12853</v>
      </c>
      <c r="B3324" s="9" t="s">
        <v>12</v>
      </c>
      <c r="C3324" s="10" t="s">
        <v>443</v>
      </c>
      <c r="D3324" s="10" t="str">
        <f ca="1">IFERROR(__xludf.DUMMYFUNCTION(" VLOOKUP(A3321, IMPORTRANGE(""https://docs.google.com/spreadsheets/d/1fj_Bhi2XPL3siwIh4sx4VRLAe31yD50oKdj5UlRYW0c/"", ""Сводка!A:AA""), 11, FALSE)"),"978-601-7816-11-7")</f>
        <v>978-601-7816-11-7</v>
      </c>
      <c r="E3324" s="11" t="s">
        <v>12854</v>
      </c>
      <c r="F3324" s="11" t="s">
        <v>12855</v>
      </c>
      <c r="G3324" s="12">
        <f ca="1">IFERROR(__xludf.DUMMYFUNCTION(" VLOOKUP(A3321, IMPORTRANGE(""https://docs.google.com/spreadsheets/d/1fj_Bhi2XPL3siwIh4sx4VRLAe31yD50oKdj5UlRYW0c/"", ""Сводка!A:AA""), 5, FALSE)"),156)</f>
        <v>156</v>
      </c>
      <c r="H3324" s="12" t="s">
        <v>538</v>
      </c>
      <c r="I3324" s="10">
        <f ca="1">IFERROR(__xludf.DUMMYFUNCTION(" VLOOKUP(A3321, IMPORTRANGE(""https://docs.google.com/spreadsheets/d/1QNLbnkR_AongFt22vMfNzfpjZ0CjpI8QI-w0wBnYA1w/"", ""Инфа!A:AA""), 6, FALSE)"),2024)</f>
        <v>2024</v>
      </c>
      <c r="J3324" s="5">
        <f t="shared" ca="1" si="109"/>
        <v>9700</v>
      </c>
      <c r="K3324" s="12" t="s">
        <v>961</v>
      </c>
      <c r="L3324" s="15" t="s">
        <v>12856</v>
      </c>
    </row>
    <row r="3325" spans="1:12" ht="135">
      <c r="A3325" s="8" t="s">
        <v>12857</v>
      </c>
      <c r="B3325" s="9" t="s">
        <v>12</v>
      </c>
      <c r="C3325" s="10" t="s">
        <v>11044</v>
      </c>
      <c r="D3325" s="10" t="str">
        <f ca="1">IFERROR(__xludf.DUMMYFUNCTION(" VLOOKUP(A3322, IMPORTRANGE(""https://docs.google.com/spreadsheets/d/1fj_Bhi2XPL3siwIh4sx4VRLAe31yD50oKdj5UlRYW0c/"", ""Сводка!A:AA""), 11, FALSE)"),"978-101-313-010-1")</f>
        <v>978-101-313-010-1</v>
      </c>
      <c r="E3325" s="11" t="s">
        <v>12858</v>
      </c>
      <c r="F3325" s="11" t="s">
        <v>12859</v>
      </c>
      <c r="G3325" s="12">
        <f ca="1">IFERROR(__xludf.DUMMYFUNCTION(" VLOOKUP(A3322, IMPORTRANGE(""https://docs.google.com/spreadsheets/d/1fj_Bhi2XPL3siwIh4sx4VRLAe31yD50oKdj5UlRYW0c/"", ""Сводка!A:AA""), 5, FALSE)"),124)</f>
        <v>124</v>
      </c>
      <c r="H3325" s="12" t="s">
        <v>11047</v>
      </c>
      <c r="I3325" s="10">
        <f ca="1">IFERROR(__xludf.DUMMYFUNCTION(" VLOOKUP(A3322, IMPORTRANGE(""https://docs.google.com/spreadsheets/d/1QNLbnkR_AongFt22vMfNzfpjZ0CjpI8QI-w0wBnYA1w/"", ""Инфа!A:AA""), 6, FALSE)"),2024)</f>
        <v>2024</v>
      </c>
      <c r="J3325" s="5">
        <f t="shared" ca="1" si="109"/>
        <v>8700</v>
      </c>
      <c r="K3325" s="12" t="s">
        <v>2217</v>
      </c>
      <c r="L3325" s="15" t="s">
        <v>12860</v>
      </c>
    </row>
    <row r="3326" spans="1:12" ht="135">
      <c r="A3326" s="8" t="s">
        <v>12861</v>
      </c>
      <c r="B3326" s="9" t="s">
        <v>12</v>
      </c>
      <c r="C3326" s="10" t="s">
        <v>443</v>
      </c>
      <c r="D3326" s="10" t="str">
        <f ca="1">IFERROR(__xludf.DUMMYFUNCTION(" VLOOKUP(A3323, IMPORTRANGE(""https://docs.google.com/spreadsheets/d/1fj_Bhi2XPL3siwIh4sx4VRLAe31yD50oKdj5UlRYW0c/"", ""Сводка!A:AA""), 11, FALSE)"),"978-601-7321-95-6")</f>
        <v>978-601-7321-95-6</v>
      </c>
      <c r="E3326" s="11" t="s">
        <v>12862</v>
      </c>
      <c r="F3326" s="11" t="s">
        <v>12863</v>
      </c>
      <c r="G3326" s="12">
        <f ca="1">IFERROR(__xludf.DUMMYFUNCTION(" VLOOKUP(A3323, IMPORTRANGE(""https://docs.google.com/spreadsheets/d/1fj_Bhi2XPL3siwIh4sx4VRLAe31yD50oKdj5UlRYW0c/"", ""Сводка!A:AA""), 5, FALSE)"),160)</f>
        <v>160</v>
      </c>
      <c r="H3326" s="12" t="s">
        <v>538</v>
      </c>
      <c r="I3326" s="10">
        <f ca="1">IFERROR(__xludf.DUMMYFUNCTION(" VLOOKUP(A3323, IMPORTRANGE(""https://docs.google.com/spreadsheets/d/1QNLbnkR_AongFt22vMfNzfpjZ0CjpI8QI-w0wBnYA1w/"", ""Инфа!A:AA""), 6, FALSE)"),2024)</f>
        <v>2024</v>
      </c>
      <c r="J3326" s="5">
        <f t="shared" ca="1" si="109"/>
        <v>9800</v>
      </c>
      <c r="K3326" s="12" t="s">
        <v>570</v>
      </c>
      <c r="L3326" s="15" t="s">
        <v>12864</v>
      </c>
    </row>
    <row r="3327" spans="1:12" ht="78.75">
      <c r="A3327" s="8" t="s">
        <v>12865</v>
      </c>
      <c r="B3327" s="9" t="s">
        <v>12</v>
      </c>
      <c r="C3327" s="10" t="s">
        <v>443</v>
      </c>
      <c r="D3327" s="10" t="str">
        <f ca="1">IFERROR(__xludf.DUMMYFUNCTION(" VLOOKUP(A3324, IMPORTRANGE(""https://docs.google.com/spreadsheets/d/1fj_Bhi2XPL3siwIh4sx4VRLAe31yD50oKdj5UlRYW0c/"", ""Сводка!A:AA""), 11, FALSE)"),"978-601-327-010-4")</f>
        <v>978-601-327-010-4</v>
      </c>
      <c r="E3327" s="11" t="s">
        <v>12866</v>
      </c>
      <c r="F3327" s="11" t="s">
        <v>12867</v>
      </c>
      <c r="G3327" s="12">
        <f ca="1">IFERROR(__xludf.DUMMYFUNCTION(" VLOOKUP(A3324, IMPORTRANGE(""https://docs.google.com/spreadsheets/d/1fj_Bhi2XPL3siwIh4sx4VRLAe31yD50oKdj5UlRYW0c/"", ""Сводка!A:AA""), 5, FALSE)"),108)</f>
        <v>108</v>
      </c>
      <c r="H3327" s="12" t="s">
        <v>1271</v>
      </c>
      <c r="I3327" s="10">
        <f ca="1">IFERROR(__xludf.DUMMYFUNCTION(" VLOOKUP(A3324, IMPORTRANGE(""https://docs.google.com/spreadsheets/d/1QNLbnkR_AongFt22vMfNzfpjZ0CjpI8QI-w0wBnYA1w/"", ""Инфа!A:AA""), 6, FALSE)"),2024)</f>
        <v>2024</v>
      </c>
      <c r="J3327" s="5">
        <f ca="1">ROUND((5000+G3327*60),-2)</f>
        <v>11500</v>
      </c>
      <c r="K3327" s="12" t="s">
        <v>1075</v>
      </c>
      <c r="L3327" s="15" t="s">
        <v>12868</v>
      </c>
    </row>
    <row r="3328" spans="1:12" ht="67.5">
      <c r="A3328" s="8" t="s">
        <v>12869</v>
      </c>
      <c r="B3328" s="9" t="s">
        <v>12</v>
      </c>
      <c r="C3328" s="10" t="s">
        <v>443</v>
      </c>
      <c r="D3328" s="10" t="str">
        <f ca="1">IFERROR(__xludf.DUMMYFUNCTION(" VLOOKUP(A3325, IMPORTRANGE(""https://docs.google.com/spreadsheets/d/1fj_Bhi2XPL3siwIh4sx4VRLAe31yD50oKdj5UlRYW0c/"", ""Сводка!A:AA""), 11, FALSE)"),"978-601-310-928-2")</f>
        <v>978-601-310-928-2</v>
      </c>
      <c r="E3328" s="11" t="s">
        <v>12870</v>
      </c>
      <c r="F3328" s="11" t="s">
        <v>12871</v>
      </c>
      <c r="G3328" s="12">
        <f ca="1">IFERROR(__xludf.DUMMYFUNCTION(" VLOOKUP(A3325, IMPORTRANGE(""https://docs.google.com/spreadsheets/d/1fj_Bhi2XPL3siwIh4sx4VRLAe31yD50oKdj5UlRYW0c/"", ""Сводка!A:AA""), 5, FALSE)"),220)</f>
        <v>220</v>
      </c>
      <c r="H3328" s="12" t="s">
        <v>777</v>
      </c>
      <c r="I3328" s="10">
        <f ca="1">IFERROR(__xludf.DUMMYFUNCTION(" VLOOKUP(A3325, IMPORTRANGE(""https://docs.google.com/spreadsheets/d/1QNLbnkR_AongFt22vMfNzfpjZ0CjpI8QI-w0wBnYA1w/"", ""Инфа!A:AA""), 6, FALSE)"),2024)</f>
        <v>2024</v>
      </c>
      <c r="J3328" s="5">
        <f ca="1">ROUND((5000+G3328*60),-2)</f>
        <v>18200</v>
      </c>
      <c r="K3328" s="12" t="s">
        <v>1075</v>
      </c>
      <c r="L3328" s="15" t="s">
        <v>12872</v>
      </c>
    </row>
    <row r="3329" spans="1:12" ht="78.75">
      <c r="A3329" s="8" t="s">
        <v>12873</v>
      </c>
      <c r="B3329" s="9" t="s">
        <v>12</v>
      </c>
      <c r="C3329" s="10" t="s">
        <v>443</v>
      </c>
      <c r="D3329" s="10" t="str">
        <f ca="1">IFERROR(__xludf.DUMMYFUNCTION(" VLOOKUP(A3326, IMPORTRANGE(""https://docs.google.com/spreadsheets/d/1fj_Bhi2XPL3siwIh4sx4VRLAe31yD50oKdj5UlRYW0c/"", ""Сводка!A:AA""), 11, FALSE)"),"978-601-310-940-4")</f>
        <v>978-601-310-940-4</v>
      </c>
      <c r="E3329" s="11" t="s">
        <v>12874</v>
      </c>
      <c r="F3329" s="11" t="s">
        <v>12875</v>
      </c>
      <c r="G3329" s="12">
        <f ca="1">IFERROR(__xludf.DUMMYFUNCTION(" VLOOKUP(A3326, IMPORTRANGE(""https://docs.google.com/spreadsheets/d/1fj_Bhi2XPL3siwIh4sx4VRLAe31yD50oKdj5UlRYW0c/"", ""Сводка!A:AA""), 5, FALSE)"),140)</f>
        <v>140</v>
      </c>
      <c r="H3329" s="12" t="s">
        <v>777</v>
      </c>
      <c r="I3329" s="10">
        <f ca="1">IFERROR(__xludf.DUMMYFUNCTION(" VLOOKUP(A3326, IMPORTRANGE(""https://docs.google.com/spreadsheets/d/1QNLbnkR_AongFt22vMfNzfpjZ0CjpI8QI-w0wBnYA1w/"", ""Инфа!A:AA""), 6, FALSE)"),2024)</f>
        <v>2024</v>
      </c>
      <c r="J3329" s="5">
        <f ca="1">ROUND((5000+G3329*30),-2)</f>
        <v>9200</v>
      </c>
      <c r="K3329" s="12" t="s">
        <v>1075</v>
      </c>
      <c r="L3329" s="15" t="s">
        <v>12868</v>
      </c>
    </row>
    <row r="3330" spans="1:12" ht="180">
      <c r="A3330" s="8" t="s">
        <v>12876</v>
      </c>
      <c r="B3330" s="9" t="s">
        <v>12</v>
      </c>
      <c r="C3330" s="10" t="s">
        <v>443</v>
      </c>
      <c r="D3330" s="10" t="str">
        <f ca="1">IFERROR(__xludf.DUMMYFUNCTION(" VLOOKUP(A3327, IMPORTRANGE(""https://docs.google.com/spreadsheets/d/1fj_Bhi2XPL3siwIh4sx4VRLAe31yD50oKdj5UlRYW0c/"", ""Сводка!A:AA""), 11, FALSE)"),"978-601-310-981-7")</f>
        <v>978-601-310-981-7</v>
      </c>
      <c r="E3330" s="11" t="s">
        <v>12877</v>
      </c>
      <c r="F3330" s="11" t="s">
        <v>12878</v>
      </c>
      <c r="G3330" s="12">
        <f ca="1">IFERROR(__xludf.DUMMYFUNCTION(" VLOOKUP(A3327, IMPORTRANGE(""https://docs.google.com/spreadsheets/d/1fj_Bhi2XPL3siwIh4sx4VRLAe31yD50oKdj5UlRYW0c/"", ""Сводка!A:AA""), 5, FALSE)"),260)</f>
        <v>260</v>
      </c>
      <c r="H3330" s="12" t="s">
        <v>446</v>
      </c>
      <c r="I3330" s="10">
        <f ca="1">IFERROR(__xludf.DUMMYFUNCTION(" VLOOKUP(A3327, IMPORTRANGE(""https://docs.google.com/spreadsheets/d/1QNLbnkR_AongFt22vMfNzfpjZ0CjpI8QI-w0wBnYA1w/"", ""Инфа!A:AA""), 6, FALSE)"),2024)</f>
        <v>2024</v>
      </c>
      <c r="J3330" s="5">
        <f ca="1">ROUND((5000+G3330*60),-2)</f>
        <v>20600</v>
      </c>
      <c r="K3330" s="12" t="s">
        <v>1075</v>
      </c>
      <c r="L3330" s="15" t="s">
        <v>12879</v>
      </c>
    </row>
    <row r="3331" spans="1:12" ht="101.25">
      <c r="A3331" s="8" t="s">
        <v>12880</v>
      </c>
      <c r="B3331" s="9" t="s">
        <v>12</v>
      </c>
      <c r="C3331" s="10" t="s">
        <v>443</v>
      </c>
      <c r="D3331" s="10" t="str">
        <f ca="1">IFERROR(__xludf.DUMMYFUNCTION(" VLOOKUP(A3328, IMPORTRANGE(""https://docs.google.com/spreadsheets/d/1fj_Bhi2XPL3siwIh4sx4VRLAe31yD50oKdj5UlRYW0c/"", ""Сводка!A:AA""), 11, FALSE)"),"978-601-04-1446-4")</f>
        <v>978-601-04-1446-4</v>
      </c>
      <c r="E3331" s="11" t="s">
        <v>12881</v>
      </c>
      <c r="F3331" s="11" t="s">
        <v>12882</v>
      </c>
      <c r="G3331" s="12">
        <f ca="1">IFERROR(__xludf.DUMMYFUNCTION(" VLOOKUP(A3328, IMPORTRANGE(""https://docs.google.com/spreadsheets/d/1fj_Bhi2XPL3siwIh4sx4VRLAe31yD50oKdj5UlRYW0c/"", ""Сводка!A:AA""), 5, FALSE)"),324)</f>
        <v>324</v>
      </c>
      <c r="H3331" s="12" t="s">
        <v>511</v>
      </c>
      <c r="I3331" s="10">
        <f ca="1">IFERROR(__xludf.DUMMYFUNCTION(" VLOOKUP(A3328, IMPORTRANGE(""https://docs.google.com/spreadsheets/d/1QNLbnkR_AongFt22vMfNzfpjZ0CjpI8QI-w0wBnYA1w/"", ""Инфа!A:AA""), 6, FALSE)"),2024)</f>
        <v>2024</v>
      </c>
      <c r="J3331" s="5">
        <f ca="1">ROUND((5000+G3331*30),-2)</f>
        <v>14700</v>
      </c>
      <c r="K3331" s="12" t="s">
        <v>447</v>
      </c>
      <c r="L3331" s="15" t="s">
        <v>12883</v>
      </c>
    </row>
    <row r="3332" spans="1:12" ht="78.75">
      <c r="A3332" s="8" t="s">
        <v>12884</v>
      </c>
      <c r="B3332" s="9" t="s">
        <v>12</v>
      </c>
      <c r="C3332" s="10" t="s">
        <v>443</v>
      </c>
      <c r="D3332" s="10" t="str">
        <f ca="1">IFERROR(__xludf.DUMMYFUNCTION(" VLOOKUP(A3329, IMPORTRANGE(""https://docs.google.com/spreadsheets/d/1fj_Bhi2XPL3siwIh4sx4VRLAe31yD50oKdj5UlRYW0c/"", ""Сводка!A:AA""), 11, FALSE)"),"ISBN 978-601-80456-8-4 ISBN 978-601-80456-9-1")</f>
        <v>ISBN 978-601-80456-8-4 ISBN 978-601-80456-9-1</v>
      </c>
      <c r="E3332" s="11" t="s">
        <v>12881</v>
      </c>
      <c r="F3332" s="11" t="s">
        <v>12885</v>
      </c>
      <c r="G3332" s="12">
        <f ca="1">IFERROR(__xludf.DUMMYFUNCTION(" VLOOKUP(A3329, IMPORTRANGE(""https://docs.google.com/spreadsheets/d/1fj_Bhi2XPL3siwIh4sx4VRLAe31yD50oKdj5UlRYW0c/"", ""Сводка!A:AA""), 5, FALSE)"),282)</f>
        <v>282</v>
      </c>
      <c r="H3332" s="12" t="s">
        <v>106</v>
      </c>
      <c r="I3332" s="10">
        <f ca="1">IFERROR(__xludf.DUMMYFUNCTION(" VLOOKUP(A3329, IMPORTRANGE(""https://docs.google.com/spreadsheets/d/1QNLbnkR_AongFt22vMfNzfpjZ0CjpI8QI-w0wBnYA1w/"", ""Инфа!A:AA""), 6, FALSE)"),2024)</f>
        <v>2024</v>
      </c>
      <c r="J3332" s="5">
        <f ca="1">ROUND((5000+G3332*30),-2)</f>
        <v>13500</v>
      </c>
      <c r="K3332" s="12" t="s">
        <v>447</v>
      </c>
      <c r="L3332" s="15" t="s">
        <v>12886</v>
      </c>
    </row>
    <row r="3333" spans="1:12" ht="157.5">
      <c r="A3333" s="8" t="s">
        <v>12887</v>
      </c>
      <c r="B3333" s="9" t="s">
        <v>12</v>
      </c>
      <c r="C3333" s="10" t="s">
        <v>443</v>
      </c>
      <c r="D3333" s="10" t="s">
        <v>12888</v>
      </c>
      <c r="E3333" s="11" t="s">
        <v>12881</v>
      </c>
      <c r="F3333" s="11" t="s">
        <v>12889</v>
      </c>
      <c r="G3333" s="12">
        <f ca="1">IFERROR(__xludf.DUMMYFUNCTION(" VLOOKUP(A3330, IMPORTRANGE(""https://docs.google.com/spreadsheets/d/1fj_Bhi2XPL3siwIh4sx4VRLAe31yD50oKdj5UlRYW0c/"", ""Сводка!A:AA""), 5, FALSE)"),312)</f>
        <v>312</v>
      </c>
      <c r="H3333" s="12" t="s">
        <v>511</v>
      </c>
      <c r="I3333" s="10">
        <f ca="1">IFERROR(__xludf.DUMMYFUNCTION(" VLOOKUP(A3330, IMPORTRANGE(""https://docs.google.com/spreadsheets/d/1QNLbnkR_AongFt22vMfNzfpjZ0CjpI8QI-w0wBnYA1w/"", ""Инфа!A:AA""), 6, FALSE)"),2024)</f>
        <v>2024</v>
      </c>
      <c r="J3333" s="5">
        <f ca="1">ROUND((5000+G3333*60),-2)</f>
        <v>23700</v>
      </c>
      <c r="K3333" s="12" t="s">
        <v>447</v>
      </c>
      <c r="L3333" s="15" t="s">
        <v>12890</v>
      </c>
    </row>
    <row r="3334" spans="1:12" ht="236.25">
      <c r="A3334" s="8" t="s">
        <v>12891</v>
      </c>
      <c r="B3334" s="9" t="s">
        <v>12</v>
      </c>
      <c r="C3334" s="10" t="s">
        <v>443</v>
      </c>
      <c r="D3334" s="10" t="str">
        <f ca="1">IFERROR(__xludf.DUMMYFUNCTION(" VLOOKUP(A3331, IMPORTRANGE(""https://docs.google.com/spreadsheets/d/1fj_Bhi2XPL3siwIh4sx4VRLAe31yD50oKdj5UlRYW0c/"", ""Сводка!A:AA""), 11, FALSE)"),"978-601-7529-22-2")</f>
        <v>978-601-7529-22-2</v>
      </c>
      <c r="E3334" s="11" t="s">
        <v>12881</v>
      </c>
      <c r="F3334" s="11" t="s">
        <v>12892</v>
      </c>
      <c r="G3334" s="12">
        <f ca="1">IFERROR(__xludf.DUMMYFUNCTION(" VLOOKUP(A3331, IMPORTRANGE(""https://docs.google.com/spreadsheets/d/1fj_Bhi2XPL3siwIh4sx4VRLAe31yD50oKdj5UlRYW0c/"", ""Сводка!A:AA""), 5, FALSE)"),224)</f>
        <v>224</v>
      </c>
      <c r="H3334" s="12" t="s">
        <v>511</v>
      </c>
      <c r="I3334" s="10">
        <f ca="1">IFERROR(__xludf.DUMMYFUNCTION(" VLOOKUP(A3331, IMPORTRANGE(""https://docs.google.com/spreadsheets/d/1QNLbnkR_AongFt22vMfNzfpjZ0CjpI8QI-w0wBnYA1w/"", ""Инфа!A:AA""), 6, FALSE)"),2024)</f>
        <v>2024</v>
      </c>
      <c r="J3334" s="5">
        <f ca="1">ROUND((5000+G3334*60),-2)</f>
        <v>18400</v>
      </c>
      <c r="K3334" s="12" t="s">
        <v>447</v>
      </c>
      <c r="L3334" s="15" t="s">
        <v>12893</v>
      </c>
    </row>
    <row r="3335" spans="1:12" ht="38.25">
      <c r="A3335" s="8" t="s">
        <v>12894</v>
      </c>
      <c r="B3335" s="9" t="s">
        <v>12</v>
      </c>
      <c r="C3335" s="10" t="s">
        <v>443</v>
      </c>
      <c r="D3335" s="10" t="str">
        <f ca="1">IFERROR(__xludf.DUMMYFUNCTION(" VLOOKUP(A3332, IMPORTRANGE(""https://docs.google.com/spreadsheets/d/1fj_Bhi2XPL3siwIh4sx4VRLAe31yD50oKdj5UlRYW0c/"", ""Сводка!A:AA""), 11, FALSE)"),"978-601-310-455-3")</f>
        <v>978-601-310-455-3</v>
      </c>
      <c r="E3335" s="11" t="s">
        <v>12895</v>
      </c>
      <c r="F3335" s="11" t="s">
        <v>12896</v>
      </c>
      <c r="G3335" s="12">
        <f ca="1">IFERROR(__xludf.DUMMYFUNCTION(" VLOOKUP(A3332, IMPORTRANGE(""https://docs.google.com/spreadsheets/d/1fj_Bhi2XPL3siwIh4sx4VRLAe31yD50oKdj5UlRYW0c/"", ""Сводка!A:AA""), 5, FALSE)"),324)</f>
        <v>324</v>
      </c>
      <c r="H3335" s="12" t="s">
        <v>106</v>
      </c>
      <c r="I3335" s="10">
        <f ca="1">IFERROR(__xludf.DUMMYFUNCTION(" VLOOKUP(A3332, IMPORTRANGE(""https://docs.google.com/spreadsheets/d/1QNLbnkR_AongFt22vMfNzfpjZ0CjpI8QI-w0wBnYA1w/"", ""Инфа!A:AA""), 6, FALSE)"),2024)</f>
        <v>2024</v>
      </c>
      <c r="J3335" s="5">
        <f ca="1">ROUND((5000+G3335*60),-2)</f>
        <v>24400</v>
      </c>
      <c r="K3335" s="12" t="s">
        <v>1240</v>
      </c>
      <c r="L3335" s="15"/>
    </row>
    <row r="3336" spans="1:12" ht="258.75">
      <c r="A3336" s="8" t="s">
        <v>12897</v>
      </c>
      <c r="B3336" s="9" t="s">
        <v>12</v>
      </c>
      <c r="C3336" s="10" t="s">
        <v>443</v>
      </c>
      <c r="D3336" s="10" t="str">
        <f ca="1">IFERROR(__xludf.DUMMYFUNCTION(" VLOOKUP(A3333, IMPORTRANGE(""https://docs.google.com/spreadsheets/d/1fj_Bhi2XPL3siwIh4sx4VRLAe31yD50oKdj5UlRYW0c/"", ""Сводка!A:AA""), 11, FALSE)"),"9965 - 19-801-2")</f>
        <v>9965 - 19-801-2</v>
      </c>
      <c r="E3336" s="11" t="s">
        <v>12898</v>
      </c>
      <c r="F3336" s="11" t="s">
        <v>12899</v>
      </c>
      <c r="G3336" s="12">
        <f ca="1">IFERROR(__xludf.DUMMYFUNCTION(" VLOOKUP(A3333, IMPORTRANGE(""https://docs.google.com/spreadsheets/d/1fj_Bhi2XPL3siwIh4sx4VRLAe31yD50oKdj5UlRYW0c/"", ""Сводка!A:AA""), 5, FALSE)"),172)</f>
        <v>172</v>
      </c>
      <c r="H3336" s="12" t="s">
        <v>446</v>
      </c>
      <c r="I3336" s="10">
        <f ca="1">IFERROR(__xludf.DUMMYFUNCTION(" VLOOKUP(A3333, IMPORTRANGE(""https://docs.google.com/spreadsheets/d/1QNLbnkR_AongFt22vMfNzfpjZ0CjpI8QI-w0wBnYA1w/"", ""Инфа!A:AA""), 6, FALSE)"),2024)</f>
        <v>2024</v>
      </c>
      <c r="J3336" s="5">
        <f ca="1">ROUND((5000+G3336*30),-2)</f>
        <v>10200</v>
      </c>
      <c r="K3336" s="12" t="s">
        <v>139</v>
      </c>
      <c r="L3336" s="15" t="s">
        <v>12900</v>
      </c>
    </row>
    <row r="3337" spans="1:12" ht="225">
      <c r="A3337" s="8" t="s">
        <v>12901</v>
      </c>
      <c r="B3337" s="9" t="s">
        <v>12</v>
      </c>
      <c r="C3337" s="10" t="s">
        <v>443</v>
      </c>
      <c r="D3337" s="10" t="str">
        <f ca="1">IFERROR(__xludf.DUMMYFUNCTION(" VLOOKUP(A3334, IMPORTRANGE(""https://docs.google.com/spreadsheets/d/1fj_Bhi2XPL3siwIh4sx4VRLAe31yD50oKdj5UlRYW0c/"", ""Сводка!A:AA""), 11, FALSE)"),"978-601-327-240-5")</f>
        <v>978-601-327-240-5</v>
      </c>
      <c r="E3337" s="11" t="s">
        <v>12902</v>
      </c>
      <c r="F3337" s="11" t="s">
        <v>12903</v>
      </c>
      <c r="G3337" s="12">
        <f ca="1">IFERROR(__xludf.DUMMYFUNCTION(" VLOOKUP(A3334, IMPORTRANGE(""https://docs.google.com/spreadsheets/d/1fj_Bhi2XPL3siwIh4sx4VRLAe31yD50oKdj5UlRYW0c/"", ""Сводка!A:AA""), 5, FALSE)"),130)</f>
        <v>130</v>
      </c>
      <c r="H3337" s="12" t="s">
        <v>538</v>
      </c>
      <c r="I3337" s="10">
        <f ca="1">IFERROR(__xludf.DUMMYFUNCTION(" VLOOKUP(A3334, IMPORTRANGE(""https://docs.google.com/spreadsheets/d/1QNLbnkR_AongFt22vMfNzfpjZ0CjpI8QI-w0wBnYA1w/"", ""Инфа!A:AA""), 6, FALSE)"),2024)</f>
        <v>2024</v>
      </c>
      <c r="J3337" s="5">
        <f ca="1">ROUND((5000+G3337*30),-2)</f>
        <v>8900</v>
      </c>
      <c r="K3337" s="9" t="s">
        <v>408</v>
      </c>
      <c r="L3337" s="15" t="s">
        <v>12904</v>
      </c>
    </row>
    <row r="3338" spans="1:12" ht="146.25">
      <c r="A3338" s="8" t="s">
        <v>12905</v>
      </c>
      <c r="B3338" s="9" t="s">
        <v>12</v>
      </c>
      <c r="C3338" s="10" t="s">
        <v>443</v>
      </c>
      <c r="D3338" s="10" t="str">
        <f ca="1">IFERROR(__xludf.DUMMYFUNCTION(" VLOOKUP(A3335, IMPORTRANGE(""https://docs.google.com/spreadsheets/d/1fj_Bhi2XPL3siwIh4sx4VRLAe31yD50oKdj5UlRYW0c/"", ""Сводка!A:AA""), 11, FALSE)"),"978-601-342-421-7")</f>
        <v>978-601-342-421-7</v>
      </c>
      <c r="E3338" s="11" t="s">
        <v>12906</v>
      </c>
      <c r="F3338" s="11" t="s">
        <v>12907</v>
      </c>
      <c r="G3338" s="12">
        <f ca="1">IFERROR(__xludf.DUMMYFUNCTION(" VLOOKUP(A3335, IMPORTRANGE(""https://docs.google.com/spreadsheets/d/1fj_Bhi2XPL3siwIh4sx4VRLAe31yD50oKdj5UlRYW0c/"", ""Сводка!A:AA""), 5, FALSE)"),172)</f>
        <v>172</v>
      </c>
      <c r="H3338" s="12" t="s">
        <v>24</v>
      </c>
      <c r="I3338" s="10">
        <f ca="1">IFERROR(__xludf.DUMMYFUNCTION(" VLOOKUP(A3335, IMPORTRANGE(""https://docs.google.com/spreadsheets/d/1QNLbnkR_AongFt22vMfNzfpjZ0CjpI8QI-w0wBnYA1w/"", ""Инфа!A:AA""), 6, FALSE)"),2024)</f>
        <v>2024</v>
      </c>
      <c r="J3338" s="5">
        <f ca="1">ROUND((5000+G3338*30),-2)</f>
        <v>10200</v>
      </c>
      <c r="K3338" s="12" t="s">
        <v>3629</v>
      </c>
      <c r="L3338" s="15" t="s">
        <v>12908</v>
      </c>
    </row>
    <row r="3339" spans="1:12" ht="25.5">
      <c r="A3339" s="8" t="s">
        <v>12909</v>
      </c>
      <c r="B3339" s="9" t="s">
        <v>12</v>
      </c>
      <c r="C3339" s="10" t="s">
        <v>443</v>
      </c>
      <c r="D3339" s="10" t="str">
        <f ca="1">IFERROR(__xludf.DUMMYFUNCTION(" VLOOKUP(A3336, IMPORTRANGE(""https://docs.google.com/spreadsheets/d/1fj_Bhi2XPL3siwIh4sx4VRLAe31yD50oKdj5UlRYW0c/"", ""Сводка!A:AA""), 11, FALSE)"),"978-601-240-683-2")</f>
        <v>978-601-240-683-2</v>
      </c>
      <c r="E3339" s="11" t="s">
        <v>12910</v>
      </c>
      <c r="F3339" s="11" t="s">
        <v>12911</v>
      </c>
      <c r="G3339" s="12">
        <f ca="1">IFERROR(__xludf.DUMMYFUNCTION(" VLOOKUP(A3336, IMPORTRANGE(""https://docs.google.com/spreadsheets/d/1fj_Bhi2XPL3siwIh4sx4VRLAe31yD50oKdj5UlRYW0c/"", ""Сводка!A:AA""), 5, FALSE)"),300)</f>
        <v>300</v>
      </c>
      <c r="H3339" s="12" t="s">
        <v>538</v>
      </c>
      <c r="I3339" s="10">
        <f ca="1">IFERROR(__xludf.DUMMYFUNCTION(" VLOOKUP(A3336, IMPORTRANGE(""https://docs.google.com/spreadsheets/d/1QNLbnkR_AongFt22vMfNzfpjZ0CjpI8QI-w0wBnYA1w/"", ""Инфа!A:AA""), 6, FALSE)"),2024)</f>
        <v>2024</v>
      </c>
      <c r="J3339" s="5">
        <f ca="1">ROUND(((5000+G3339*30)*1.3),-2)</f>
        <v>18200</v>
      </c>
      <c r="K3339" s="12" t="s">
        <v>257</v>
      </c>
      <c r="L3339" s="15"/>
    </row>
    <row r="3340" spans="1:12" ht="78.75">
      <c r="A3340" s="8" t="s">
        <v>12912</v>
      </c>
      <c r="B3340" s="9" t="s">
        <v>12</v>
      </c>
      <c r="C3340" s="13" t="s">
        <v>443</v>
      </c>
      <c r="D3340" s="10" t="str">
        <f ca="1">IFERROR(__xludf.DUMMYFUNCTION(" VLOOKUP(A3337, IMPORTRANGE(""https://docs.google.com/spreadsheets/d/1fj_Bhi2XPL3siwIh4sx4VRLAe31yD50oKdj5UlRYW0c/"", ""Сводка!A:AA""), 11, FALSE)"),"978-601-240-983-3")</f>
        <v>978-601-240-983-3</v>
      </c>
      <c r="E3340" s="19" t="s">
        <v>12913</v>
      </c>
      <c r="F3340" s="19" t="s">
        <v>12914</v>
      </c>
      <c r="G3340" s="12">
        <f ca="1">IFERROR(__xludf.DUMMYFUNCTION(" VLOOKUP(A3337, IMPORTRANGE(""https://docs.google.com/spreadsheets/d/1fj_Bhi2XPL3siwIh4sx4VRLAe31yD50oKdj5UlRYW0c/"", ""Сводка!A:AA""), 5, FALSE)"),72)</f>
        <v>72</v>
      </c>
      <c r="H3340" s="9" t="s">
        <v>538</v>
      </c>
      <c r="I3340" s="10">
        <f ca="1">IFERROR(__xludf.DUMMYFUNCTION(" VLOOKUP(A3337, IMPORTRANGE(""https://docs.google.com/spreadsheets/d/1QNLbnkR_AongFt22vMfNzfpjZ0CjpI8QI-w0wBnYA1w/"", ""Инфа!A:AA""), 6, FALSE)"),2024)</f>
        <v>2024</v>
      </c>
      <c r="J3340" s="5">
        <f ca="1">ROUND(((5000+G3340*30)*1.3),-2)</f>
        <v>9300</v>
      </c>
      <c r="K3340" s="9" t="s">
        <v>271</v>
      </c>
      <c r="L3340" s="21" t="s">
        <v>12915</v>
      </c>
    </row>
    <row r="3341" spans="1:12" ht="191.25">
      <c r="A3341" s="8" t="s">
        <v>12916</v>
      </c>
      <c r="B3341" s="9" t="s">
        <v>12</v>
      </c>
      <c r="C3341" s="10" t="s">
        <v>443</v>
      </c>
      <c r="D3341" s="10" t="str">
        <f ca="1">IFERROR(__xludf.DUMMYFUNCTION(" VLOOKUP(A3338, IMPORTRANGE(""https://docs.google.com/spreadsheets/d/1fj_Bhi2XPL3siwIh4sx4VRLAe31yD50oKdj5UlRYW0c/"", ""Сводка!A:AA""), 11, FALSE)"),"978-601-342-273-2")</f>
        <v>978-601-342-273-2</v>
      </c>
      <c r="E3341" s="11" t="s">
        <v>12917</v>
      </c>
      <c r="F3341" s="11" t="s">
        <v>12918</v>
      </c>
      <c r="G3341" s="12">
        <v>117</v>
      </c>
      <c r="H3341" s="12" t="s">
        <v>106</v>
      </c>
      <c r="I3341" s="10">
        <f ca="1">IFERROR(__xludf.DUMMYFUNCTION(" VLOOKUP(A3338, IMPORTRANGE(""https://docs.google.com/spreadsheets/d/1QNLbnkR_AongFt22vMfNzfpjZ0CjpI8QI-w0wBnYA1w/"", ""Инфа!A:AA""), 6, FALSE)"),2024)</f>
        <v>2024</v>
      </c>
      <c r="J3341" s="5">
        <f t="shared" ref="J3341:J3347" si="110">ROUND((5000+G3341*30),-2)</f>
        <v>8500</v>
      </c>
      <c r="K3341" s="12" t="s">
        <v>592</v>
      </c>
      <c r="L3341" s="15" t="s">
        <v>12919</v>
      </c>
    </row>
    <row r="3342" spans="1:12" ht="258.75">
      <c r="A3342" s="8" t="s">
        <v>12920</v>
      </c>
      <c r="B3342" s="9" t="s">
        <v>12</v>
      </c>
      <c r="C3342" s="10" t="s">
        <v>443</v>
      </c>
      <c r="D3342" s="10" t="str">
        <f ca="1">IFERROR(__xludf.DUMMYFUNCTION(" VLOOKUP(A3339, IMPORTRANGE(""https://docs.google.com/spreadsheets/d/1fj_Bhi2XPL3siwIh4sx4VRLAe31yD50oKdj5UlRYW0c/"", ""Сводка!A:AA""), 11, FALSE)"),"978-601-310-969-5")</f>
        <v>978-601-310-969-5</v>
      </c>
      <c r="E3342" s="11" t="s">
        <v>12921</v>
      </c>
      <c r="F3342" s="11" t="s">
        <v>12922</v>
      </c>
      <c r="G3342" s="12">
        <f ca="1">IFERROR(__xludf.DUMMYFUNCTION(" VLOOKUP(A3339, IMPORTRANGE(""https://docs.google.com/spreadsheets/d/1fj_Bhi2XPL3siwIh4sx4VRLAe31yD50oKdj5UlRYW0c/"", ""Сводка!A:AA""), 5, FALSE)"),190)</f>
        <v>190</v>
      </c>
      <c r="H3342" s="12" t="s">
        <v>538</v>
      </c>
      <c r="I3342" s="10">
        <f ca="1">IFERROR(__xludf.DUMMYFUNCTION(" VLOOKUP(A3339, IMPORTRANGE(""https://docs.google.com/spreadsheets/d/1QNLbnkR_AongFt22vMfNzfpjZ0CjpI8QI-w0wBnYA1w/"", ""Инфа!A:AA""), 6, FALSE)"),2024)</f>
        <v>2024</v>
      </c>
      <c r="J3342" s="5">
        <f t="shared" ca="1" si="110"/>
        <v>10700</v>
      </c>
      <c r="K3342" s="9" t="s">
        <v>12923</v>
      </c>
      <c r="L3342" s="15" t="s">
        <v>12924</v>
      </c>
    </row>
    <row r="3343" spans="1:12" ht="236.25">
      <c r="A3343" s="8" t="s">
        <v>12925</v>
      </c>
      <c r="B3343" s="9" t="s">
        <v>12</v>
      </c>
      <c r="C3343" s="10" t="s">
        <v>443</v>
      </c>
      <c r="D3343" s="10" t="str">
        <f ca="1">IFERROR(__xludf.DUMMYFUNCTION(" VLOOKUP(A3340, IMPORTRANGE(""https://docs.google.com/spreadsheets/d/1fj_Bhi2XPL3siwIh4sx4VRLAe31yD50oKdj5UlRYW0c/"", ""Сводка!A:AA""), 11, FALSE)"),"978-601-327-197-2")</f>
        <v>978-601-327-197-2</v>
      </c>
      <c r="E3343" s="11" t="s">
        <v>12926</v>
      </c>
      <c r="F3343" s="11" t="s">
        <v>12927</v>
      </c>
      <c r="G3343" s="12">
        <f ca="1">IFERROR(__xludf.DUMMYFUNCTION(" VLOOKUP(A3340, IMPORTRANGE(""https://docs.google.com/spreadsheets/d/1fj_Bhi2XPL3siwIh4sx4VRLAe31yD50oKdj5UlRYW0c/"", ""Сводка!A:AA""), 5, FALSE)"),124)</f>
        <v>124</v>
      </c>
      <c r="H3343" s="12" t="s">
        <v>106</v>
      </c>
      <c r="I3343" s="10">
        <f ca="1">IFERROR(__xludf.DUMMYFUNCTION(" VLOOKUP(A3340, IMPORTRANGE(""https://docs.google.com/spreadsheets/d/1QNLbnkR_AongFt22vMfNzfpjZ0CjpI8QI-w0wBnYA1w/"", ""Инфа!A:AA""), 6, FALSE)"),2024)</f>
        <v>2024</v>
      </c>
      <c r="J3343" s="5">
        <f t="shared" ca="1" si="110"/>
        <v>8700</v>
      </c>
      <c r="K3343" s="9" t="s">
        <v>539</v>
      </c>
      <c r="L3343" s="15" t="s">
        <v>12928</v>
      </c>
    </row>
    <row r="3344" spans="1:12" ht="25.5">
      <c r="A3344" s="8" t="s">
        <v>12929</v>
      </c>
      <c r="B3344" s="9" t="s">
        <v>12</v>
      </c>
      <c r="C3344" s="10" t="s">
        <v>443</v>
      </c>
      <c r="D3344" s="10" t="str">
        <f ca="1">IFERROR(__xludf.DUMMYFUNCTION(" VLOOKUP(A3341, IMPORTRANGE(""https://docs.google.com/spreadsheets/d/1fj_Bhi2XPL3siwIh4sx4VRLAe31yD50oKdj5UlRYW0c/"", ""Сводка!A:AA""), 11, FALSE)"),"978-601-310-730-1")</f>
        <v>978-601-310-730-1</v>
      </c>
      <c r="E3344" s="11" t="s">
        <v>12930</v>
      </c>
      <c r="F3344" s="11" t="s">
        <v>2054</v>
      </c>
      <c r="G3344" s="12">
        <f ca="1">IFERROR(__xludf.DUMMYFUNCTION(" VLOOKUP(A3341, IMPORTRANGE(""https://docs.google.com/spreadsheets/d/1fj_Bhi2XPL3siwIh4sx4VRLAe31yD50oKdj5UlRYW0c/"", ""Сводка!A:AA""), 5, FALSE)"),148)</f>
        <v>148</v>
      </c>
      <c r="H3344" s="12"/>
      <c r="I3344" s="10">
        <f ca="1">IFERROR(__xludf.DUMMYFUNCTION(" VLOOKUP(A3341, IMPORTRANGE(""https://docs.google.com/spreadsheets/d/1QNLbnkR_AongFt22vMfNzfpjZ0CjpI8QI-w0wBnYA1w/"", ""Инфа!A:AA""), 6, FALSE)"),2024)</f>
        <v>2024</v>
      </c>
      <c r="J3344" s="5">
        <f t="shared" ca="1" si="110"/>
        <v>9400</v>
      </c>
      <c r="K3344" s="9" t="s">
        <v>26</v>
      </c>
      <c r="L3344" s="15"/>
    </row>
    <row r="3345" spans="1:12" ht="38.25">
      <c r="A3345" s="8" t="s">
        <v>12931</v>
      </c>
      <c r="B3345" s="9" t="s">
        <v>12</v>
      </c>
      <c r="C3345" s="10" t="s">
        <v>443</v>
      </c>
      <c r="D3345" s="10" t="str">
        <f ca="1">IFERROR(__xludf.DUMMYFUNCTION(" VLOOKUP(A3342, IMPORTRANGE(""https://docs.google.com/spreadsheets/d/1fj_Bhi2XPL3siwIh4sx4VRLAe31yD50oKdj5UlRYW0c/"", ""Сводка!A:AA""), 11, FALSE)"),"978-601-310-724-0")</f>
        <v>978-601-310-724-0</v>
      </c>
      <c r="E3345" s="11" t="s">
        <v>12930</v>
      </c>
      <c r="F3345" s="11" t="s">
        <v>12932</v>
      </c>
      <c r="G3345" s="12">
        <f ca="1">IFERROR(__xludf.DUMMYFUNCTION(" VLOOKUP(A3342, IMPORTRANGE(""https://docs.google.com/spreadsheets/d/1fj_Bhi2XPL3siwIh4sx4VRLAe31yD50oKdj5UlRYW0c/"", ""Сводка!A:AA""), 5, FALSE)"),112)</f>
        <v>112</v>
      </c>
      <c r="H3345" s="12" t="s">
        <v>12933</v>
      </c>
      <c r="I3345" s="10">
        <f ca="1">IFERROR(__xludf.DUMMYFUNCTION(" VLOOKUP(A3342, IMPORTRANGE(""https://docs.google.com/spreadsheets/d/1QNLbnkR_AongFt22vMfNzfpjZ0CjpI8QI-w0wBnYA1w/"", ""Инфа!A:AA""), 6, FALSE)"),2024)</f>
        <v>2024</v>
      </c>
      <c r="J3345" s="5">
        <f t="shared" ca="1" si="110"/>
        <v>8400</v>
      </c>
      <c r="K3345" s="9" t="s">
        <v>575</v>
      </c>
      <c r="L3345" s="15"/>
    </row>
    <row r="3346" spans="1:12" ht="123.75">
      <c r="A3346" s="8" t="s">
        <v>12934</v>
      </c>
      <c r="B3346" s="9" t="s">
        <v>12</v>
      </c>
      <c r="C3346" s="10" t="s">
        <v>443</v>
      </c>
      <c r="D3346" s="10" t="str">
        <f ca="1">IFERROR(__xludf.DUMMYFUNCTION(" VLOOKUP(A3343, IMPORTRANGE(""https://docs.google.com/spreadsheets/d/1fj_Bhi2XPL3siwIh4sx4VRLAe31yD50oKdj5UlRYW0c/"", ""Сводка!A:AA""), 11, FALSE)"),"978-601-310-846-9")</f>
        <v>978-601-310-846-9</v>
      </c>
      <c r="E3346" s="11" t="s">
        <v>12930</v>
      </c>
      <c r="F3346" s="11" t="s">
        <v>575</v>
      </c>
      <c r="G3346" s="12">
        <f ca="1">IFERROR(__xludf.DUMMYFUNCTION(" VLOOKUP(A3343, IMPORTRANGE(""https://docs.google.com/spreadsheets/d/1fj_Bhi2XPL3siwIh4sx4VRLAe31yD50oKdj5UlRYW0c/"", ""Сводка!A:AA""), 5, FALSE)"),132)</f>
        <v>132</v>
      </c>
      <c r="H3346" s="12" t="s">
        <v>538</v>
      </c>
      <c r="I3346" s="10">
        <f ca="1">IFERROR(__xludf.DUMMYFUNCTION(" VLOOKUP(A3343, IMPORTRANGE(""https://docs.google.com/spreadsheets/d/1QNLbnkR_AongFt22vMfNzfpjZ0CjpI8QI-w0wBnYA1w/"", ""Инфа!A:AA""), 6, FALSE)"),2024)</f>
        <v>2024</v>
      </c>
      <c r="J3346" s="5">
        <f t="shared" ca="1" si="110"/>
        <v>9000</v>
      </c>
      <c r="K3346" s="9" t="s">
        <v>575</v>
      </c>
      <c r="L3346" s="15" t="s">
        <v>12935</v>
      </c>
    </row>
    <row r="3347" spans="1:12" ht="146.25">
      <c r="A3347" s="8" t="s">
        <v>12936</v>
      </c>
      <c r="B3347" s="9" t="s">
        <v>12</v>
      </c>
      <c r="C3347" s="10" t="s">
        <v>443</v>
      </c>
      <c r="D3347" s="10" t="str">
        <f ca="1">IFERROR(__xludf.DUMMYFUNCTION(" VLOOKUP(A3344, IMPORTRANGE(""https://docs.google.com/spreadsheets/d/1fj_Bhi2XPL3siwIh4sx4VRLAe31yD50oKdj5UlRYW0c/"", ""Сводка!A:AA""), 11, FALSE)"),"978-601-327-525-3")</f>
        <v>978-601-327-525-3</v>
      </c>
      <c r="E3347" s="11" t="s">
        <v>12937</v>
      </c>
      <c r="F3347" s="11" t="s">
        <v>12938</v>
      </c>
      <c r="G3347" s="12">
        <f ca="1">IFERROR(__xludf.DUMMYFUNCTION(" VLOOKUP(A3344, IMPORTRANGE(""https://docs.google.com/spreadsheets/d/1fj_Bhi2XPL3siwIh4sx4VRLAe31yD50oKdj5UlRYW0c/"", ""Сводка!A:AA""), 5, FALSE)"),94)</f>
        <v>94</v>
      </c>
      <c r="H3347" s="12" t="s">
        <v>538</v>
      </c>
      <c r="I3347" s="10">
        <f ca="1">IFERROR(__xludf.DUMMYFUNCTION(" VLOOKUP(A3344, IMPORTRANGE(""https://docs.google.com/spreadsheets/d/1QNLbnkR_AongFt22vMfNzfpjZ0CjpI8QI-w0wBnYA1w/"", ""Инфа!A:AA""), 6, FALSE)"),2024)</f>
        <v>2024</v>
      </c>
      <c r="J3347" s="5">
        <f t="shared" ca="1" si="110"/>
        <v>7800</v>
      </c>
      <c r="K3347" s="12" t="s">
        <v>37</v>
      </c>
      <c r="L3347" s="15" t="s">
        <v>12939</v>
      </c>
    </row>
    <row r="3348" spans="1:12" ht="180">
      <c r="A3348" s="8" t="s">
        <v>12940</v>
      </c>
      <c r="B3348" s="9" t="s">
        <v>12</v>
      </c>
      <c r="C3348" s="10" t="s">
        <v>443</v>
      </c>
      <c r="D3348" s="10" t="str">
        <f ca="1">IFERROR(__xludf.DUMMYFUNCTION(" VLOOKUP(A3345, IMPORTRANGE(""https://docs.google.com/spreadsheets/d/1fj_Bhi2XPL3siwIh4sx4VRLAe31yD50oKdj5UlRYW0c/"", ""Сводка!A:AA""), 11, FALSE)"),"978-601-327-504-8")</f>
        <v>978-601-327-504-8</v>
      </c>
      <c r="E3348" s="11" t="s">
        <v>12941</v>
      </c>
      <c r="F3348" s="11" t="s">
        <v>12942</v>
      </c>
      <c r="G3348" s="12">
        <f ca="1">IFERROR(__xludf.DUMMYFUNCTION(" VLOOKUP(A3345, IMPORTRANGE(""https://docs.google.com/spreadsheets/d/1fj_Bhi2XPL3siwIh4sx4VRLAe31yD50oKdj5UlRYW0c/"", ""Сводка!A:AA""), 5, FALSE)"),88)</f>
        <v>88</v>
      </c>
      <c r="H3348" s="12" t="s">
        <v>538</v>
      </c>
      <c r="I3348" s="10">
        <f ca="1">IFERROR(__xludf.DUMMYFUNCTION(" VLOOKUP(A3345, IMPORTRANGE(""https://docs.google.com/spreadsheets/d/1QNLbnkR_AongFt22vMfNzfpjZ0CjpI8QI-w0wBnYA1w/"", ""Инфа!A:AA""), 6, FALSE)"),2024)</f>
        <v>2024</v>
      </c>
      <c r="J3348" s="5">
        <f ca="1">ROUND((5000+G3348*60),-2)</f>
        <v>10300</v>
      </c>
      <c r="K3348" s="12" t="s">
        <v>570</v>
      </c>
      <c r="L3348" s="15" t="s">
        <v>12943</v>
      </c>
    </row>
    <row r="3349" spans="1:12" ht="157.5">
      <c r="A3349" s="8" t="s">
        <v>12944</v>
      </c>
      <c r="B3349" s="9" t="s">
        <v>12</v>
      </c>
      <c r="C3349" s="10" t="s">
        <v>443</v>
      </c>
      <c r="D3349" s="10" t="str">
        <f ca="1">IFERROR(__xludf.DUMMYFUNCTION(" VLOOKUP(A3346, IMPORTRANGE(""https://docs.google.com/spreadsheets/d/1fj_Bhi2XPL3siwIh4sx4VRLAe31yD50oKdj5UlRYW0c/"", ""Сводка!A:AA""), 11, FALSE)"),"978-601-327-503-1")</f>
        <v>978-601-327-503-1</v>
      </c>
      <c r="E3349" s="11" t="s">
        <v>12941</v>
      </c>
      <c r="F3349" s="11" t="s">
        <v>12945</v>
      </c>
      <c r="G3349" s="12">
        <f ca="1">IFERROR(__xludf.DUMMYFUNCTION(" VLOOKUP(A3346, IMPORTRANGE(""https://docs.google.com/spreadsheets/d/1fj_Bhi2XPL3siwIh4sx4VRLAe31yD50oKdj5UlRYW0c/"", ""Сводка!A:AA""), 5, FALSE)"),112)</f>
        <v>112</v>
      </c>
      <c r="H3349" s="12" t="s">
        <v>538</v>
      </c>
      <c r="I3349" s="10">
        <f ca="1">IFERROR(__xludf.DUMMYFUNCTION(" VLOOKUP(A3346, IMPORTRANGE(""https://docs.google.com/spreadsheets/d/1QNLbnkR_AongFt22vMfNzfpjZ0CjpI8QI-w0wBnYA1w/"", ""Инфа!A:AA""), 6, FALSE)"),2024)</f>
        <v>2024</v>
      </c>
      <c r="J3349" s="5">
        <f ca="1">ROUND((5000+G3349*30),-2)</f>
        <v>8400</v>
      </c>
      <c r="K3349" s="12" t="s">
        <v>570</v>
      </c>
      <c r="L3349" s="15" t="s">
        <v>12946</v>
      </c>
    </row>
    <row r="3350" spans="1:12" ht="38.25">
      <c r="A3350" s="8" t="s">
        <v>12947</v>
      </c>
      <c r="B3350" s="9" t="s">
        <v>12</v>
      </c>
      <c r="C3350" s="10" t="s">
        <v>443</v>
      </c>
      <c r="D3350" s="10" t="str">
        <f ca="1">IFERROR(__xludf.DUMMYFUNCTION(" VLOOKUP(A3347, IMPORTRANGE(""https://docs.google.com/spreadsheets/d/1fj_Bhi2XPL3siwIh4sx4VRLAe31yD50oKdj5UlRYW0c/"", ""Сводка!A:AA""), 11, FALSE)"),"978-601-327-019-7")</f>
        <v>978-601-327-019-7</v>
      </c>
      <c r="E3350" s="25" t="s">
        <v>12948</v>
      </c>
      <c r="F3350" s="25" t="s">
        <v>12949</v>
      </c>
      <c r="G3350" s="12">
        <f ca="1">IFERROR(__xludf.DUMMYFUNCTION(" VLOOKUP(A3347, IMPORTRANGE(""https://docs.google.com/spreadsheets/d/1fj_Bhi2XPL3siwIh4sx4VRLAe31yD50oKdj5UlRYW0c/"", ""Сводка!A:AA""), 5, FALSE)"),112)</f>
        <v>112</v>
      </c>
      <c r="H3350" s="26"/>
      <c r="I3350" s="10">
        <f ca="1">IFERROR(__xludf.DUMMYFUNCTION(" VLOOKUP(A3347, IMPORTRANGE(""https://docs.google.com/spreadsheets/d/1QNLbnkR_AongFt22vMfNzfpjZ0CjpI8QI-w0wBnYA1w/"", ""Инфа!A:AA""), 6, FALSE)"),2024)</f>
        <v>2024</v>
      </c>
      <c r="J3350" s="5">
        <f ca="1">ROUND((5000+G3350*60),-2)</f>
        <v>11700</v>
      </c>
      <c r="K3350" s="12" t="s">
        <v>308</v>
      </c>
      <c r="L3350" s="15"/>
    </row>
    <row r="3351" spans="1:12" ht="101.25">
      <c r="A3351" s="8" t="s">
        <v>12950</v>
      </c>
      <c r="B3351" s="9" t="s">
        <v>12</v>
      </c>
      <c r="C3351" s="10" t="s">
        <v>443</v>
      </c>
      <c r="D3351" s="10" t="str">
        <f ca="1">IFERROR(__xludf.DUMMYFUNCTION(" VLOOKUP(A3348, IMPORTRANGE(""https://docs.google.com/spreadsheets/d/1fj_Bhi2XPL3siwIh4sx4VRLAe31yD50oKdj5UlRYW0c/"", ""Сводка!A:AA""), 11, FALSE)"),"978-601-327-019-7")</f>
        <v>978-601-327-019-7</v>
      </c>
      <c r="E3351" s="11" t="s">
        <v>12948</v>
      </c>
      <c r="F3351" s="11" t="s">
        <v>12949</v>
      </c>
      <c r="G3351" s="12">
        <f ca="1">IFERROR(__xludf.DUMMYFUNCTION(" VLOOKUP(A3348, IMPORTRANGE(""https://docs.google.com/spreadsheets/d/1fj_Bhi2XPL3siwIh4sx4VRLAe31yD50oKdj5UlRYW0c/"", ""Сводка!A:AA""), 5, FALSE)"),112)</f>
        <v>112</v>
      </c>
      <c r="H3351" s="12" t="s">
        <v>538</v>
      </c>
      <c r="I3351" s="10">
        <f ca="1">IFERROR(__xludf.DUMMYFUNCTION(" VLOOKUP(A3348, IMPORTRANGE(""https://docs.google.com/spreadsheets/d/1QNLbnkR_AongFt22vMfNzfpjZ0CjpI8QI-w0wBnYA1w/"", ""Инфа!A:AA""), 6, FALSE)"),2024)</f>
        <v>2024</v>
      </c>
      <c r="J3351" s="5">
        <f ca="1">ROUND((5000+G3351*60),-2)</f>
        <v>11700</v>
      </c>
      <c r="K3351" s="12" t="s">
        <v>308</v>
      </c>
      <c r="L3351" s="15" t="s">
        <v>12951</v>
      </c>
    </row>
    <row r="3352" spans="1:12" ht="191.25">
      <c r="A3352" s="8" t="s">
        <v>12952</v>
      </c>
      <c r="B3352" s="9" t="s">
        <v>12</v>
      </c>
      <c r="C3352" s="10" t="s">
        <v>443</v>
      </c>
      <c r="D3352" s="10" t="str">
        <f ca="1">IFERROR(__xludf.DUMMYFUNCTION(" VLOOKUP(A3349, IMPORTRANGE(""https://docs.google.com/spreadsheets/d/1fj_Bhi2XPL3siwIh4sx4VRLAe31yD50oKdj5UlRYW0c/"", ""Сводка!A:AA""), 11, FALSE)"),"9965-720-88-6")</f>
        <v>9965-720-88-6</v>
      </c>
      <c r="E3352" s="11" t="s">
        <v>12953</v>
      </c>
      <c r="F3352" s="11" t="s">
        <v>12954</v>
      </c>
      <c r="G3352" s="12">
        <f ca="1">IFERROR(__xludf.DUMMYFUNCTION(" VLOOKUP(A3349, IMPORTRANGE(""https://docs.google.com/spreadsheets/d/1fj_Bhi2XPL3siwIh4sx4VRLAe31yD50oKdj5UlRYW0c/"", ""Сводка!A:AA""), 5, FALSE)"),96)</f>
        <v>96</v>
      </c>
      <c r="H3352" s="12"/>
      <c r="I3352" s="10">
        <f ca="1">IFERROR(__xludf.DUMMYFUNCTION(" VLOOKUP(A3349, IMPORTRANGE(""https://docs.google.com/spreadsheets/d/1QNLbnkR_AongFt22vMfNzfpjZ0CjpI8QI-w0wBnYA1w/"", ""Инфа!A:AA""), 6, FALSE)"),2024)</f>
        <v>2024</v>
      </c>
      <c r="J3352" s="5">
        <f t="shared" ref="J3352:J3368" ca="1" si="111">ROUND((5000+G3352*30),-2)</f>
        <v>7900</v>
      </c>
      <c r="K3352" s="12" t="s">
        <v>1387</v>
      </c>
      <c r="L3352" s="15" t="s">
        <v>12955</v>
      </c>
    </row>
    <row r="3353" spans="1:12" ht="135">
      <c r="A3353" s="8" t="s">
        <v>12956</v>
      </c>
      <c r="B3353" s="9" t="s">
        <v>12</v>
      </c>
      <c r="C3353" s="10" t="s">
        <v>443</v>
      </c>
      <c r="D3353" s="10" t="str">
        <f ca="1">IFERROR(__xludf.DUMMYFUNCTION(" VLOOKUP(A3350, IMPORTRANGE(""https://docs.google.com/spreadsheets/d/1fj_Bhi2XPL3siwIh4sx4VRLAe31yD50oKdj5UlRYW0c/"", ""Сводка!A:AA""), 11, FALSE)"),"978-601-327-855-1")</f>
        <v>978-601-327-855-1</v>
      </c>
      <c r="E3353" s="11" t="s">
        <v>12957</v>
      </c>
      <c r="F3353" s="11" t="s">
        <v>12958</v>
      </c>
      <c r="G3353" s="12">
        <f ca="1">IFERROR(__xludf.DUMMYFUNCTION(" VLOOKUP(A3350, IMPORTRANGE(""https://docs.google.com/spreadsheets/d/1fj_Bhi2XPL3siwIh4sx4VRLAe31yD50oKdj5UlRYW0c/"", ""Сводка!A:AA""), 5, FALSE)"),128)</f>
        <v>128</v>
      </c>
      <c r="H3353" s="12" t="s">
        <v>446</v>
      </c>
      <c r="I3353" s="10">
        <f ca="1">IFERROR(__xludf.DUMMYFUNCTION(" VLOOKUP(A3350, IMPORTRANGE(""https://docs.google.com/spreadsheets/d/1QNLbnkR_AongFt22vMfNzfpjZ0CjpI8QI-w0wBnYA1w/"", ""Инфа!A:AA""), 6, FALSE)"),2024)</f>
        <v>2024</v>
      </c>
      <c r="J3353" s="5">
        <f t="shared" ca="1" si="111"/>
        <v>8800</v>
      </c>
      <c r="K3353" s="12" t="s">
        <v>171</v>
      </c>
      <c r="L3353" s="15" t="s">
        <v>12959</v>
      </c>
    </row>
    <row r="3354" spans="1:12" ht="202.5">
      <c r="A3354" s="8" t="s">
        <v>12960</v>
      </c>
      <c r="B3354" s="9" t="s">
        <v>12</v>
      </c>
      <c r="C3354" s="10" t="s">
        <v>443</v>
      </c>
      <c r="D3354" s="10" t="str">
        <f ca="1">IFERROR(__xludf.DUMMYFUNCTION(" VLOOKUP(A3351, IMPORTRANGE(""https://docs.google.com/spreadsheets/d/1fj_Bhi2XPL3siwIh4sx4VRLAe31yD50oKdj5UlRYW0c/"", ""Сводка!A:AA""), 11, FALSE)"),"978-601-327-647-2")</f>
        <v>978-601-327-647-2</v>
      </c>
      <c r="E3354" s="11" t="s">
        <v>12961</v>
      </c>
      <c r="F3354" s="11" t="s">
        <v>12962</v>
      </c>
      <c r="G3354" s="12">
        <f ca="1">IFERROR(__xludf.DUMMYFUNCTION(" VLOOKUP(A3351, IMPORTRANGE(""https://docs.google.com/spreadsheets/d/1fj_Bhi2XPL3siwIh4sx4VRLAe31yD50oKdj5UlRYW0c/"", ""Сводка!A:AA""), 5, FALSE)"),272)</f>
        <v>272</v>
      </c>
      <c r="H3354" s="12" t="s">
        <v>538</v>
      </c>
      <c r="I3354" s="10">
        <f ca="1">IFERROR(__xludf.DUMMYFUNCTION(" VLOOKUP(A3351, IMPORTRANGE(""https://docs.google.com/spreadsheets/d/1QNLbnkR_AongFt22vMfNzfpjZ0CjpI8QI-w0wBnYA1w/"", ""Инфа!A:AA""), 6, FALSE)"),2024)</f>
        <v>2024</v>
      </c>
      <c r="J3354" s="5">
        <f t="shared" ca="1" si="111"/>
        <v>13200</v>
      </c>
      <c r="K3354" s="12" t="s">
        <v>287</v>
      </c>
      <c r="L3354" s="15" t="s">
        <v>12963</v>
      </c>
    </row>
    <row r="3355" spans="1:12" ht="101.25">
      <c r="A3355" s="8" t="s">
        <v>12964</v>
      </c>
      <c r="B3355" s="9" t="s">
        <v>12</v>
      </c>
      <c r="C3355" s="10" t="s">
        <v>151</v>
      </c>
      <c r="D3355" s="10" t="str">
        <f ca="1">IFERROR(__xludf.DUMMYFUNCTION(" VLOOKUP(A3352, IMPORTRANGE(""https://docs.google.com/spreadsheets/d/1fj_Bhi2XPL3siwIh4sx4VRLAe31yD50oKdj5UlRYW0c/"", ""Сводка!A:AA""), 11, FALSE)"),"978-601-301-058-8")</f>
        <v>978-601-301-058-8</v>
      </c>
      <c r="E3355" s="11" t="s">
        <v>12965</v>
      </c>
      <c r="F3355" s="11" t="s">
        <v>9454</v>
      </c>
      <c r="G3355" s="12">
        <f ca="1">IFERROR(__xludf.DUMMYFUNCTION(" VLOOKUP(A3352, IMPORTRANGE(""https://docs.google.com/spreadsheets/d/1fj_Bhi2XPL3siwIh4sx4VRLAe31yD50oKdj5UlRYW0c/"", ""Сводка!A:AA""), 5, FALSE)"),284)</f>
        <v>284</v>
      </c>
      <c r="H3355" s="12" t="s">
        <v>47</v>
      </c>
      <c r="I3355" s="10">
        <f ca="1">IFERROR(__xludf.DUMMYFUNCTION(" VLOOKUP(A3352, IMPORTRANGE(""https://docs.google.com/spreadsheets/d/1QNLbnkR_AongFt22vMfNzfpjZ0CjpI8QI-w0wBnYA1w/"", ""Инфа!A:AA""), 6, FALSE)"),2024)</f>
        <v>2024</v>
      </c>
      <c r="J3355" s="5">
        <f t="shared" ca="1" si="111"/>
        <v>13500</v>
      </c>
      <c r="K3355" s="12" t="s">
        <v>160</v>
      </c>
      <c r="L3355" s="15" t="s">
        <v>12966</v>
      </c>
    </row>
    <row r="3356" spans="1:12" ht="51">
      <c r="A3356" s="8" t="s">
        <v>12967</v>
      </c>
      <c r="B3356" s="9" t="s">
        <v>12</v>
      </c>
      <c r="C3356" s="10" t="s">
        <v>151</v>
      </c>
      <c r="D3356" s="10" t="str">
        <f ca="1">IFERROR(__xludf.DUMMYFUNCTION(" VLOOKUP(A3353, IMPORTRANGE(""https://docs.google.com/spreadsheets/d/1fj_Bhi2XPL3siwIh4sx4VRLAe31yD50oKdj5UlRYW0c/"", ""Сводка!A:AA""), 11, FALSE)"),"978-601-310-013-5")</f>
        <v>978-601-310-013-5</v>
      </c>
      <c r="E3356" s="11" t="s">
        <v>12965</v>
      </c>
      <c r="F3356" s="11" t="s">
        <v>12968</v>
      </c>
      <c r="G3356" s="12">
        <f ca="1">IFERROR(__xludf.DUMMYFUNCTION(" VLOOKUP(A3353, IMPORTRANGE(""https://docs.google.com/spreadsheets/d/1fj_Bhi2XPL3siwIh4sx4VRLAe31yD50oKdj5UlRYW0c/"", ""Сводка!A:AA""), 5, FALSE)"),64)</f>
        <v>64</v>
      </c>
      <c r="H3356" s="12" t="s">
        <v>1577</v>
      </c>
      <c r="I3356" s="10">
        <f ca="1">IFERROR(__xludf.DUMMYFUNCTION(" VLOOKUP(A3353, IMPORTRANGE(""https://docs.google.com/spreadsheets/d/1QNLbnkR_AongFt22vMfNzfpjZ0CjpI8QI-w0wBnYA1w/"", ""Инфа!A:AA""), 6, FALSE)"),2024)</f>
        <v>2024</v>
      </c>
      <c r="J3356" s="5">
        <f t="shared" ca="1" si="111"/>
        <v>6900</v>
      </c>
      <c r="K3356" s="12" t="s">
        <v>160</v>
      </c>
      <c r="L3356" s="15"/>
    </row>
    <row r="3357" spans="1:12" ht="112.5">
      <c r="A3357" s="8" t="s">
        <v>12969</v>
      </c>
      <c r="B3357" s="9" t="s">
        <v>12</v>
      </c>
      <c r="C3357" s="10" t="s">
        <v>443</v>
      </c>
      <c r="D3357" s="10" t="str">
        <f ca="1">IFERROR(__xludf.DUMMYFUNCTION(" VLOOKUP(A3354, IMPORTRANGE(""https://docs.google.com/spreadsheets/d/1fj_Bhi2XPL3siwIh4sx4VRLAe31yD50oKdj5UlRYW0c/"", ""Сводка!A:AA""), 11, FALSE)"),"978-601-310-010-4")</f>
        <v>978-601-310-010-4</v>
      </c>
      <c r="E3357" s="11" t="s">
        <v>12965</v>
      </c>
      <c r="F3357" s="11" t="s">
        <v>12970</v>
      </c>
      <c r="G3357" s="12">
        <f ca="1">IFERROR(__xludf.DUMMYFUNCTION(" VLOOKUP(A3354, IMPORTRANGE(""https://docs.google.com/spreadsheets/d/1fj_Bhi2XPL3siwIh4sx4VRLAe31yD50oKdj5UlRYW0c/"", ""Сводка!A:AA""), 5, FALSE)"),68)</f>
        <v>68</v>
      </c>
      <c r="H3357" s="12" t="s">
        <v>1577</v>
      </c>
      <c r="I3357" s="10">
        <f ca="1">IFERROR(__xludf.DUMMYFUNCTION(" VLOOKUP(A3354, IMPORTRANGE(""https://docs.google.com/spreadsheets/d/1QNLbnkR_AongFt22vMfNzfpjZ0CjpI8QI-w0wBnYA1w/"", ""Инфа!A:AA""), 6, FALSE)"),2024)</f>
        <v>2024</v>
      </c>
      <c r="J3357" s="5">
        <f t="shared" ca="1" si="111"/>
        <v>7000</v>
      </c>
      <c r="K3357" s="12" t="s">
        <v>160</v>
      </c>
      <c r="L3357" s="15" t="s">
        <v>12971</v>
      </c>
    </row>
    <row r="3358" spans="1:12" ht="101.25">
      <c r="A3358" s="8" t="s">
        <v>12972</v>
      </c>
      <c r="B3358" s="9" t="s">
        <v>12</v>
      </c>
      <c r="C3358" s="10" t="s">
        <v>151</v>
      </c>
      <c r="D3358" s="10" t="str">
        <f ca="1">IFERROR(__xludf.DUMMYFUNCTION(" VLOOKUP(A3355, IMPORTRANGE(""https://docs.google.com/spreadsheets/d/1fj_Bhi2XPL3siwIh4sx4VRLAe31yD50oKdj5UlRYW0c/"", ""Сводка!A:AA""), 11, FALSE)"),"978-601-240-785-3")</f>
        <v>978-601-240-785-3</v>
      </c>
      <c r="E3358" s="11" t="s">
        <v>12965</v>
      </c>
      <c r="F3358" s="11" t="s">
        <v>8897</v>
      </c>
      <c r="G3358" s="12">
        <f ca="1">IFERROR(__xludf.DUMMYFUNCTION(" VLOOKUP(A3355, IMPORTRANGE(""https://docs.google.com/spreadsheets/d/1fj_Bhi2XPL3siwIh4sx4VRLAe31yD50oKdj5UlRYW0c/"", ""Сводка!A:AA""), 5, FALSE)"),240)</f>
        <v>240</v>
      </c>
      <c r="H3358" s="12" t="s">
        <v>47</v>
      </c>
      <c r="I3358" s="10">
        <f ca="1">IFERROR(__xludf.DUMMYFUNCTION(" VLOOKUP(A3355, IMPORTRANGE(""https://docs.google.com/spreadsheets/d/1QNLbnkR_AongFt22vMfNzfpjZ0CjpI8QI-w0wBnYA1w/"", ""Инфа!A:AA""), 6, FALSE)"),2024)</f>
        <v>2024</v>
      </c>
      <c r="J3358" s="5">
        <f t="shared" ca="1" si="111"/>
        <v>12200</v>
      </c>
      <c r="K3358" s="12" t="s">
        <v>160</v>
      </c>
      <c r="L3358" s="15" t="s">
        <v>12973</v>
      </c>
    </row>
    <row r="3359" spans="1:12" ht="101.25">
      <c r="A3359" s="8" t="s">
        <v>12974</v>
      </c>
      <c r="B3359" s="9" t="s">
        <v>12</v>
      </c>
      <c r="C3359" s="10" t="s">
        <v>151</v>
      </c>
      <c r="D3359" s="10" t="str">
        <f ca="1">IFERROR(__xludf.DUMMYFUNCTION(" VLOOKUP(A3356, IMPORTRANGE(""https://docs.google.com/spreadsheets/d/1fj_Bhi2XPL3siwIh4sx4VRLAe31yD50oKdj5UlRYW0c/"", ""Сводка!A:AA""), 11, FALSE)"),"978-601-310-011-1")</f>
        <v>978-601-310-011-1</v>
      </c>
      <c r="E3359" s="11" t="s">
        <v>12965</v>
      </c>
      <c r="F3359" s="11" t="s">
        <v>12975</v>
      </c>
      <c r="G3359" s="12">
        <f ca="1">IFERROR(__xludf.DUMMYFUNCTION(" VLOOKUP(A3356, IMPORTRANGE(""https://docs.google.com/spreadsheets/d/1fj_Bhi2XPL3siwIh4sx4VRLAe31yD50oKdj5UlRYW0c/"", ""Сводка!A:AA""), 5, FALSE)"),64)</f>
        <v>64</v>
      </c>
      <c r="H3359" s="12" t="s">
        <v>1577</v>
      </c>
      <c r="I3359" s="10">
        <f ca="1">IFERROR(__xludf.DUMMYFUNCTION(" VLOOKUP(A3356, IMPORTRANGE(""https://docs.google.com/spreadsheets/d/1QNLbnkR_AongFt22vMfNzfpjZ0CjpI8QI-w0wBnYA1w/"", ""Инфа!A:AA""), 6, FALSE)"),2024)</f>
        <v>2024</v>
      </c>
      <c r="J3359" s="5">
        <f t="shared" ca="1" si="111"/>
        <v>6900</v>
      </c>
      <c r="K3359" s="12" t="s">
        <v>160</v>
      </c>
      <c r="L3359" s="15" t="s">
        <v>12976</v>
      </c>
    </row>
    <row r="3360" spans="1:12" ht="101.25">
      <c r="A3360" s="8" t="s">
        <v>12977</v>
      </c>
      <c r="B3360" s="9" t="s">
        <v>12</v>
      </c>
      <c r="C3360" s="10" t="s">
        <v>151</v>
      </c>
      <c r="D3360" s="10" t="str">
        <f ca="1">IFERROR(__xludf.DUMMYFUNCTION(" VLOOKUP(A3357, IMPORTRANGE(""https://docs.google.com/spreadsheets/d/1fj_Bhi2XPL3siwIh4sx4VRLAe31yD50oKdj5UlRYW0c/"", ""Сводка!A:AA""), 11, FALSE)"),"978-601-240-787-7")</f>
        <v>978-601-240-787-7</v>
      </c>
      <c r="E3360" s="11" t="s">
        <v>12965</v>
      </c>
      <c r="F3360" s="11" t="s">
        <v>4346</v>
      </c>
      <c r="G3360" s="12">
        <f ca="1">IFERROR(__xludf.DUMMYFUNCTION(" VLOOKUP(A3357, IMPORTRANGE(""https://docs.google.com/spreadsheets/d/1fj_Bhi2XPL3siwIh4sx4VRLAe31yD50oKdj5UlRYW0c/"", ""Сводка!A:AA""), 5, FALSE)"),260)</f>
        <v>260</v>
      </c>
      <c r="H3360" s="12" t="s">
        <v>47</v>
      </c>
      <c r="I3360" s="10">
        <f ca="1">IFERROR(__xludf.DUMMYFUNCTION(" VLOOKUP(A3357, IMPORTRANGE(""https://docs.google.com/spreadsheets/d/1QNLbnkR_AongFt22vMfNzfpjZ0CjpI8QI-w0wBnYA1w/"", ""Инфа!A:AA""), 6, FALSE)"),2024)</f>
        <v>2024</v>
      </c>
      <c r="J3360" s="5">
        <f t="shared" ca="1" si="111"/>
        <v>12800</v>
      </c>
      <c r="K3360" s="12" t="s">
        <v>160</v>
      </c>
      <c r="L3360" s="15" t="s">
        <v>12978</v>
      </c>
    </row>
    <row r="3361" spans="1:12" ht="67.5">
      <c r="A3361" s="8" t="s">
        <v>12979</v>
      </c>
      <c r="B3361" s="9" t="s">
        <v>12</v>
      </c>
      <c r="C3361" s="10" t="s">
        <v>151</v>
      </c>
      <c r="D3361" s="10" t="str">
        <f ca="1">IFERROR(__xludf.DUMMYFUNCTION(" VLOOKUP(A3358, IMPORTRANGE(""https://docs.google.com/spreadsheets/d/1fj_Bhi2XPL3siwIh4sx4VRLAe31yD50oKdj5UlRYW0c/"", ""Сводка!A:AA""), 11, FALSE)"),"978-601-310-010-4")</f>
        <v>978-601-310-010-4</v>
      </c>
      <c r="E3361" s="11" t="s">
        <v>12980</v>
      </c>
      <c r="F3361" s="11" t="s">
        <v>12981</v>
      </c>
      <c r="G3361" s="12">
        <f ca="1">IFERROR(__xludf.DUMMYFUNCTION(" VLOOKUP(A3358, IMPORTRANGE(""https://docs.google.com/spreadsheets/d/1fj_Bhi2XPL3siwIh4sx4VRLAe31yD50oKdj5UlRYW0c/"", ""Сводка!A:AA""), 5, FALSE)"),68)</f>
        <v>68</v>
      </c>
      <c r="H3361" s="12" t="s">
        <v>1577</v>
      </c>
      <c r="I3361" s="10">
        <f ca="1">IFERROR(__xludf.DUMMYFUNCTION(" VLOOKUP(A3358, IMPORTRANGE(""https://docs.google.com/spreadsheets/d/1QNLbnkR_AongFt22vMfNzfpjZ0CjpI8QI-w0wBnYA1w/"", ""Инфа!A:AA""), 6, FALSE)"),2024)</f>
        <v>2024</v>
      </c>
      <c r="J3361" s="5">
        <f t="shared" ca="1" si="111"/>
        <v>7000</v>
      </c>
      <c r="K3361" s="12" t="s">
        <v>160</v>
      </c>
      <c r="L3361" s="15" t="s">
        <v>12982</v>
      </c>
    </row>
    <row r="3362" spans="1:12" ht="292.5">
      <c r="A3362" s="8" t="s">
        <v>12983</v>
      </c>
      <c r="B3362" s="9" t="s">
        <v>12</v>
      </c>
      <c r="C3362" s="10" t="s">
        <v>151</v>
      </c>
      <c r="D3362" s="10" t="str">
        <f ca="1">IFERROR(__xludf.DUMMYFUNCTION(" VLOOKUP(A3359, IMPORTRANGE(""https://docs.google.com/spreadsheets/d/1fj_Bhi2XPL3siwIh4sx4VRLAe31yD50oKdj5UlRYW0c/"", ""Сводка!A:AA""), 11, FALSE)"),"978-601-310-467-6")</f>
        <v>978-601-310-467-6</v>
      </c>
      <c r="E3362" s="11" t="s">
        <v>12984</v>
      </c>
      <c r="F3362" s="11" t="s">
        <v>12985</v>
      </c>
      <c r="G3362" s="12">
        <f ca="1">IFERROR(__xludf.DUMMYFUNCTION(" VLOOKUP(A3359, IMPORTRANGE(""https://docs.google.com/spreadsheets/d/1fj_Bhi2XPL3siwIh4sx4VRLAe31yD50oKdj5UlRYW0c/"", ""Сводка!A:AA""), 5, FALSE)"),280)</f>
        <v>280</v>
      </c>
      <c r="H3362" s="12" t="s">
        <v>56</v>
      </c>
      <c r="I3362" s="10">
        <f ca="1">IFERROR(__xludf.DUMMYFUNCTION(" VLOOKUP(A3359, IMPORTRANGE(""https://docs.google.com/spreadsheets/d/1QNLbnkR_AongFt22vMfNzfpjZ0CjpI8QI-w0wBnYA1w/"", ""Инфа!A:AA""), 6, FALSE)"),2024)</f>
        <v>2024</v>
      </c>
      <c r="J3362" s="5">
        <f t="shared" ca="1" si="111"/>
        <v>13400</v>
      </c>
      <c r="K3362" s="12" t="s">
        <v>287</v>
      </c>
      <c r="L3362" s="15" t="s">
        <v>12986</v>
      </c>
    </row>
    <row r="3363" spans="1:12" ht="202.5">
      <c r="A3363" s="8" t="s">
        <v>12987</v>
      </c>
      <c r="B3363" s="9" t="s">
        <v>12</v>
      </c>
      <c r="C3363" s="10" t="s">
        <v>151</v>
      </c>
      <c r="D3363" s="10" t="str">
        <f ca="1">IFERROR(__xludf.DUMMYFUNCTION(" VLOOKUP(A3360, IMPORTRANGE(""https://docs.google.com/spreadsheets/d/1fj_Bhi2XPL3siwIh4sx4VRLAe31yD50oKdj5UlRYW0c/"", ""Сводка!A:AA""), 11, FALSE)"),"978-601-310-467-6")</f>
        <v>978-601-310-467-6</v>
      </c>
      <c r="E3363" s="11" t="s">
        <v>12984</v>
      </c>
      <c r="F3363" s="11" t="s">
        <v>12988</v>
      </c>
      <c r="G3363" s="12">
        <f ca="1">IFERROR(__xludf.DUMMYFUNCTION(" VLOOKUP(A3360, IMPORTRANGE(""https://docs.google.com/spreadsheets/d/1fj_Bhi2XPL3siwIh4sx4VRLAe31yD50oKdj5UlRYW0c/"", ""Сводка!A:AA""), 5, FALSE)"),180)</f>
        <v>180</v>
      </c>
      <c r="H3363" s="12" t="s">
        <v>56</v>
      </c>
      <c r="I3363" s="10">
        <f ca="1">IFERROR(__xludf.DUMMYFUNCTION(" VLOOKUP(A3360, IMPORTRANGE(""https://docs.google.com/spreadsheets/d/1QNLbnkR_AongFt22vMfNzfpjZ0CjpI8QI-w0wBnYA1w/"", ""Инфа!A:AA""), 6, FALSE)"),2024)</f>
        <v>2024</v>
      </c>
      <c r="J3363" s="5">
        <f t="shared" ca="1" si="111"/>
        <v>10400</v>
      </c>
      <c r="K3363" s="12" t="s">
        <v>287</v>
      </c>
      <c r="L3363" s="15" t="s">
        <v>12989</v>
      </c>
    </row>
    <row r="3364" spans="1:12" ht="247.5">
      <c r="A3364" s="8" t="s">
        <v>12990</v>
      </c>
      <c r="B3364" s="9" t="s">
        <v>12</v>
      </c>
      <c r="C3364" s="10" t="s">
        <v>151</v>
      </c>
      <c r="D3364" s="10" t="str">
        <f ca="1">IFERROR(__xludf.DUMMYFUNCTION(" VLOOKUP(A3361, IMPORTRANGE(""https://docs.google.com/spreadsheets/d/1fj_Bhi2XPL3siwIh4sx4VRLAe31yD50oKdj5UlRYW0c/"", ""Сводка!A:AA""), 11, FALSE)"),"978-601-240-744-0")</f>
        <v>978-601-240-744-0</v>
      </c>
      <c r="E3364" s="11" t="s">
        <v>12991</v>
      </c>
      <c r="F3364" s="11" t="s">
        <v>12992</v>
      </c>
      <c r="G3364" s="12">
        <f ca="1">IFERROR(__xludf.DUMMYFUNCTION(" VLOOKUP(A3361, IMPORTRANGE(""https://docs.google.com/spreadsheets/d/1fj_Bhi2XPL3siwIh4sx4VRLAe31yD50oKdj5UlRYW0c/"", ""Сводка!A:AA""), 5, FALSE)"),242)</f>
        <v>242</v>
      </c>
      <c r="H3364" s="12" t="s">
        <v>47</v>
      </c>
      <c r="I3364" s="10">
        <f ca="1">IFERROR(__xludf.DUMMYFUNCTION(" VLOOKUP(A3361, IMPORTRANGE(""https://docs.google.com/spreadsheets/d/1QNLbnkR_AongFt22vMfNzfpjZ0CjpI8QI-w0wBnYA1w/"", ""Инфа!A:AA""), 6, FALSE)"),2024)</f>
        <v>2024</v>
      </c>
      <c r="J3364" s="5">
        <f t="shared" ca="1" si="111"/>
        <v>12300</v>
      </c>
      <c r="K3364" s="12" t="s">
        <v>1450</v>
      </c>
      <c r="L3364" s="15" t="s">
        <v>12993</v>
      </c>
    </row>
    <row r="3365" spans="1:12" ht="51">
      <c r="A3365" s="8" t="s">
        <v>12994</v>
      </c>
      <c r="B3365" s="9" t="s">
        <v>12</v>
      </c>
      <c r="C3365" s="10" t="s">
        <v>151</v>
      </c>
      <c r="D3365" s="10" t="str">
        <f ca="1">IFERROR(__xludf.DUMMYFUNCTION(" VLOOKUP(A3362, IMPORTRANGE(""https://docs.google.com/spreadsheets/d/1fj_Bhi2XPL3siwIh4sx4VRLAe31yD50oKdj5UlRYW0c/"", ""Сводка!A:AA""), 11, FALSE)"),"978-601-240-746-4")</f>
        <v>978-601-240-746-4</v>
      </c>
      <c r="E3365" s="11" t="s">
        <v>12995</v>
      </c>
      <c r="F3365" s="11" t="s">
        <v>12996</v>
      </c>
      <c r="G3365" s="12">
        <f ca="1">IFERROR(__xludf.DUMMYFUNCTION(" VLOOKUP(A3362, IMPORTRANGE(""https://docs.google.com/spreadsheets/d/1fj_Bhi2XPL3siwIh4sx4VRLAe31yD50oKdj5UlRYW0c/"", ""Сводка!A:AA""), 5, FALSE)"),100)</f>
        <v>100</v>
      </c>
      <c r="H3365" s="12" t="s">
        <v>47</v>
      </c>
      <c r="I3365" s="10">
        <f ca="1">IFERROR(__xludf.DUMMYFUNCTION(" VLOOKUP(A3362, IMPORTRANGE(""https://docs.google.com/spreadsheets/d/1QNLbnkR_AongFt22vMfNzfpjZ0CjpI8QI-w0wBnYA1w/"", ""Инфа!A:AA""), 6, FALSE)"),2024)</f>
        <v>2024</v>
      </c>
      <c r="J3365" s="5">
        <f t="shared" ca="1" si="111"/>
        <v>8000</v>
      </c>
      <c r="K3365" s="12" t="s">
        <v>1450</v>
      </c>
      <c r="L3365" s="15"/>
    </row>
    <row r="3366" spans="1:12" ht="146.25">
      <c r="A3366" s="8" t="s">
        <v>12997</v>
      </c>
      <c r="B3366" s="9" t="s">
        <v>12</v>
      </c>
      <c r="C3366" s="10" t="s">
        <v>151</v>
      </c>
      <c r="D3366" s="10" t="str">
        <f ca="1">IFERROR(__xludf.DUMMYFUNCTION(" VLOOKUP(A3363, IMPORTRANGE(""https://docs.google.com/spreadsheets/d/1fj_Bhi2XPL3siwIh4sx4VRLAe31yD50oKdj5UlRYW0c/"", ""Сводка!A:AA""), 11, FALSE)"),"978-601-310-098-2")</f>
        <v>978-601-310-098-2</v>
      </c>
      <c r="E3366" s="11" t="s">
        <v>12998</v>
      </c>
      <c r="F3366" s="11" t="s">
        <v>12999</v>
      </c>
      <c r="G3366" s="12">
        <f ca="1">IFERROR(__xludf.DUMMYFUNCTION(" VLOOKUP(A3363, IMPORTRANGE(""https://docs.google.com/spreadsheets/d/1fj_Bhi2XPL3siwIh4sx4VRLAe31yD50oKdj5UlRYW0c/"", ""Сводка!A:AA""), 5, FALSE)"),86)</f>
        <v>86</v>
      </c>
      <c r="H3366" s="12" t="s">
        <v>282</v>
      </c>
      <c r="I3366" s="10">
        <f ca="1">IFERROR(__xludf.DUMMYFUNCTION(" VLOOKUP(A3363, IMPORTRANGE(""https://docs.google.com/spreadsheets/d/1QNLbnkR_AongFt22vMfNzfpjZ0CjpI8QI-w0wBnYA1w/"", ""Инфа!A:AA""), 6, FALSE)"),2024)</f>
        <v>2024</v>
      </c>
      <c r="J3366" s="5">
        <f t="shared" ca="1" si="111"/>
        <v>7600</v>
      </c>
      <c r="K3366" s="12" t="s">
        <v>1450</v>
      </c>
      <c r="L3366" s="15" t="s">
        <v>13000</v>
      </c>
    </row>
    <row r="3367" spans="1:12" ht="146.25">
      <c r="A3367" s="8" t="s">
        <v>13001</v>
      </c>
      <c r="B3367" s="9" t="s">
        <v>12</v>
      </c>
      <c r="C3367" s="10" t="s">
        <v>151</v>
      </c>
      <c r="D3367" s="10" t="str">
        <f ca="1">IFERROR(__xludf.DUMMYFUNCTION(" VLOOKUP(A3364, IMPORTRANGE(""https://docs.google.com/spreadsheets/d/1fj_Bhi2XPL3siwIh4sx4VRLAe31yD50oKdj5UlRYW0c/"", ""Сводка!A:AA""), 11, FALSE)"),"978-601-310-982-4")</f>
        <v>978-601-310-982-4</v>
      </c>
      <c r="E3367" s="11" t="s">
        <v>13002</v>
      </c>
      <c r="F3367" s="11" t="s">
        <v>13003</v>
      </c>
      <c r="G3367" s="12">
        <f ca="1">IFERROR(__xludf.DUMMYFUNCTION(" VLOOKUP(A3364, IMPORTRANGE(""https://docs.google.com/spreadsheets/d/1fj_Bhi2XPL3siwIh4sx4VRLAe31yD50oKdj5UlRYW0c/"", ""Сводка!A:AA""), 5, FALSE)"),300)</f>
        <v>300</v>
      </c>
      <c r="H3367" s="12" t="s">
        <v>47</v>
      </c>
      <c r="I3367" s="10">
        <f ca="1">IFERROR(__xludf.DUMMYFUNCTION(" VLOOKUP(A3364, IMPORTRANGE(""https://docs.google.com/spreadsheets/d/1QNLbnkR_AongFt22vMfNzfpjZ0CjpI8QI-w0wBnYA1w/"", ""Инфа!A:AA""), 6, FALSE)"),2024)</f>
        <v>2024</v>
      </c>
      <c r="J3367" s="5">
        <f t="shared" ca="1" si="111"/>
        <v>14000</v>
      </c>
      <c r="K3367" s="9" t="s">
        <v>619</v>
      </c>
      <c r="L3367" s="15" t="s">
        <v>13004</v>
      </c>
    </row>
    <row r="3368" spans="1:12" ht="135">
      <c r="A3368" s="8" t="s">
        <v>13005</v>
      </c>
      <c r="B3368" s="9" t="s">
        <v>12</v>
      </c>
      <c r="C3368" s="10" t="s">
        <v>151</v>
      </c>
      <c r="D3368" s="10" t="str">
        <f ca="1">IFERROR(__xludf.DUMMYFUNCTION(" VLOOKUP(A3365, IMPORTRANGE(""https://docs.google.com/spreadsheets/d/1fj_Bhi2XPL3siwIh4sx4VRLAe31yD50oKdj5UlRYW0c/"", ""Сводка!A:AA""), 11, FALSE)"),"978-601-310-978-7")</f>
        <v>978-601-310-978-7</v>
      </c>
      <c r="E3368" s="11" t="s">
        <v>4303</v>
      </c>
      <c r="F3368" s="11" t="s">
        <v>13006</v>
      </c>
      <c r="G3368" s="12">
        <f ca="1">IFERROR(__xludf.DUMMYFUNCTION(" VLOOKUP(A3365, IMPORTRANGE(""https://docs.google.com/spreadsheets/d/1fj_Bhi2XPL3siwIh4sx4VRLAe31yD50oKdj5UlRYW0c/"", ""Сводка!A:AA""), 5, FALSE)"),286)</f>
        <v>286</v>
      </c>
      <c r="H3368" s="12" t="s">
        <v>47</v>
      </c>
      <c r="I3368" s="10">
        <f ca="1">IFERROR(__xludf.DUMMYFUNCTION(" VLOOKUP(A3365, IMPORTRANGE(""https://docs.google.com/spreadsheets/d/1QNLbnkR_AongFt22vMfNzfpjZ0CjpI8QI-w0wBnYA1w/"", ""Инфа!A:AA""), 6, FALSE)"),2024)</f>
        <v>2024</v>
      </c>
      <c r="J3368" s="5">
        <f t="shared" ca="1" si="111"/>
        <v>13600</v>
      </c>
      <c r="K3368" s="9" t="s">
        <v>619</v>
      </c>
      <c r="L3368" s="15" t="s">
        <v>13007</v>
      </c>
    </row>
    <row r="3369" spans="1:12" ht="101.25">
      <c r="A3369" s="8" t="s">
        <v>13008</v>
      </c>
      <c r="B3369" s="9" t="s">
        <v>12</v>
      </c>
      <c r="C3369" s="10" t="s">
        <v>151</v>
      </c>
      <c r="D3369" s="10" t="str">
        <f ca="1">IFERROR(__xludf.DUMMYFUNCTION(" VLOOKUP(A3366, IMPORTRANGE(""https://docs.google.com/spreadsheets/d/1fj_Bhi2XPL3siwIh4sx4VRLAe31yD50oKdj5UlRYW0c/"", ""Сводка!A:AA""), 11, FALSE)"),"978-601-310-979-4")</f>
        <v>978-601-310-979-4</v>
      </c>
      <c r="E3369" s="11" t="s">
        <v>4303</v>
      </c>
      <c r="F3369" s="11" t="s">
        <v>13009</v>
      </c>
      <c r="G3369" s="12">
        <f ca="1">IFERROR(__xludf.DUMMYFUNCTION(" VLOOKUP(A3366, IMPORTRANGE(""https://docs.google.com/spreadsheets/d/1fj_Bhi2XPL3siwIh4sx4VRLAe31yD50oKdj5UlRYW0c/"", ""Сводка!A:AA""), 5, FALSE)"),184)</f>
        <v>184</v>
      </c>
      <c r="H3369" s="12" t="s">
        <v>47</v>
      </c>
      <c r="I3369" s="10">
        <f ca="1">IFERROR(__xludf.DUMMYFUNCTION(" VLOOKUP(A3366, IMPORTRANGE(""https://docs.google.com/spreadsheets/d/1QNLbnkR_AongFt22vMfNzfpjZ0CjpI8QI-w0wBnYA1w/"", ""Инфа!A:AA""), 6, FALSE)"),2024)</f>
        <v>2024</v>
      </c>
      <c r="J3369" s="5">
        <f ca="1">ROUND(((5000+G3369*30)*1.3),-2)</f>
        <v>13700</v>
      </c>
      <c r="K3369" s="9" t="s">
        <v>619</v>
      </c>
      <c r="L3369" s="15" t="s">
        <v>13010</v>
      </c>
    </row>
    <row r="3370" spans="1:12" ht="123.75">
      <c r="A3370" s="8" t="s">
        <v>13011</v>
      </c>
      <c r="B3370" s="9" t="s">
        <v>12</v>
      </c>
      <c r="C3370" s="10" t="s">
        <v>151</v>
      </c>
      <c r="D3370" s="10" t="str">
        <f ca="1">IFERROR(__xludf.DUMMYFUNCTION(" VLOOKUP(A3367, IMPORTRANGE(""https://docs.google.com/spreadsheets/d/1fj_Bhi2XPL3siwIh4sx4VRLAe31yD50oKdj5UlRYW0c/"", ""Сводка!A:AA""), 11, FALSE)"),"978-601-330-048-1")</f>
        <v>978-601-330-048-1</v>
      </c>
      <c r="E3370" s="11" t="s">
        <v>13012</v>
      </c>
      <c r="F3370" s="11" t="s">
        <v>13013</v>
      </c>
      <c r="G3370" s="12">
        <f ca="1">IFERROR(__xludf.DUMMYFUNCTION(" VLOOKUP(A3367, IMPORTRANGE(""https://docs.google.com/spreadsheets/d/1fj_Bhi2XPL3siwIh4sx4VRLAe31yD50oKdj5UlRYW0c/"", ""Сводка!A:AA""), 5, FALSE)"),328)</f>
        <v>328</v>
      </c>
      <c r="H3370" s="12" t="s">
        <v>47</v>
      </c>
      <c r="I3370" s="10">
        <f ca="1">IFERROR(__xludf.DUMMYFUNCTION(" VLOOKUP(A3367, IMPORTRANGE(""https://docs.google.com/spreadsheets/d/1QNLbnkR_AongFt22vMfNzfpjZ0CjpI8QI-w0wBnYA1w/"", ""Инфа!A:AA""), 6, FALSE)"),2024)</f>
        <v>2024</v>
      </c>
      <c r="J3370" s="5">
        <f ca="1">ROUND((5000+G3370*60),-2)</f>
        <v>24700</v>
      </c>
      <c r="K3370" s="9" t="s">
        <v>619</v>
      </c>
      <c r="L3370" s="15" t="s">
        <v>13014</v>
      </c>
    </row>
    <row r="3371" spans="1:12" ht="90">
      <c r="A3371" s="8" t="s">
        <v>13015</v>
      </c>
      <c r="B3371" s="9" t="s">
        <v>12</v>
      </c>
      <c r="C3371" s="10" t="s">
        <v>151</v>
      </c>
      <c r="D3371" s="10" t="str">
        <f ca="1">IFERROR(__xludf.DUMMYFUNCTION(" VLOOKUP(A3368, IMPORTRANGE(""https://docs.google.com/spreadsheets/d/1fj_Bhi2XPL3siwIh4sx4VRLAe31yD50oKdj5UlRYW0c/"", ""Сводка!A:AA""), 11, FALSE)"),"987-601-310-467-6")</f>
        <v>987-601-310-467-6</v>
      </c>
      <c r="E3371" s="11" t="s">
        <v>13012</v>
      </c>
      <c r="F3371" s="11" t="s">
        <v>13016</v>
      </c>
      <c r="G3371" s="12">
        <f ca="1">IFERROR(__xludf.DUMMYFUNCTION(" VLOOKUP(A3368, IMPORTRANGE(""https://docs.google.com/spreadsheets/d/1fj_Bhi2XPL3siwIh4sx4VRLAe31yD50oKdj5UlRYW0c/"", ""Сводка!A:AA""), 5, FALSE)"),156)</f>
        <v>156</v>
      </c>
      <c r="H3371" s="12" t="s">
        <v>47</v>
      </c>
      <c r="I3371" s="10">
        <f ca="1">IFERROR(__xludf.DUMMYFUNCTION(" VLOOKUP(A3368, IMPORTRANGE(""https://docs.google.com/spreadsheets/d/1QNLbnkR_AongFt22vMfNzfpjZ0CjpI8QI-w0wBnYA1w/"", ""Инфа!A:AA""), 6, FALSE)"),2024)</f>
        <v>2024</v>
      </c>
      <c r="J3371" s="5">
        <f ca="1">ROUND((5000+G3371*30),-2)</f>
        <v>9700</v>
      </c>
      <c r="K3371" s="9" t="s">
        <v>619</v>
      </c>
      <c r="L3371" s="15" t="s">
        <v>13017</v>
      </c>
    </row>
    <row r="3372" spans="1:12" ht="90">
      <c r="A3372" s="8" t="s">
        <v>13018</v>
      </c>
      <c r="B3372" s="9" t="s">
        <v>12</v>
      </c>
      <c r="C3372" s="10" t="s">
        <v>443</v>
      </c>
      <c r="D3372" s="10" t="str">
        <f ca="1">IFERROR(__xludf.DUMMYFUNCTION(" VLOOKUP(A3369, IMPORTRANGE(""https://docs.google.com/spreadsheets/d/1fj_Bhi2XPL3siwIh4sx4VRLAe31yD50oKdj5UlRYW0c/"", ""Сводка!A:AA""), 11, FALSE)"),"978-601-310-494-2")</f>
        <v>978-601-310-494-2</v>
      </c>
      <c r="E3372" s="11" t="s">
        <v>13019</v>
      </c>
      <c r="F3372" s="11" t="s">
        <v>13020</v>
      </c>
      <c r="G3372" s="12">
        <f ca="1">IFERROR(__xludf.DUMMYFUNCTION(" VLOOKUP(A3369, IMPORTRANGE(""https://docs.google.com/spreadsheets/d/1fj_Bhi2XPL3siwIh4sx4VRLAe31yD50oKdj5UlRYW0c/"", ""Сводка!A:AA""), 5, FALSE)"),156)</f>
        <v>156</v>
      </c>
      <c r="H3372" s="12" t="s">
        <v>538</v>
      </c>
      <c r="I3372" s="10">
        <f ca="1">IFERROR(__xludf.DUMMYFUNCTION(" VLOOKUP(A3369, IMPORTRANGE(""https://docs.google.com/spreadsheets/d/1QNLbnkR_AongFt22vMfNzfpjZ0CjpI8QI-w0wBnYA1w/"", ""Инфа!A:AA""), 6, FALSE)"),2024)</f>
        <v>2024</v>
      </c>
      <c r="J3372" s="5">
        <f ca="1">ROUND((5000+G3372*30),-2)</f>
        <v>9700</v>
      </c>
      <c r="K3372" s="9" t="s">
        <v>619</v>
      </c>
      <c r="L3372" s="15" t="s">
        <v>13021</v>
      </c>
    </row>
    <row r="3373" spans="1:12" ht="123.75">
      <c r="A3373" s="8" t="s">
        <v>13022</v>
      </c>
      <c r="B3373" s="9" t="s">
        <v>12</v>
      </c>
      <c r="C3373" s="10" t="s">
        <v>443</v>
      </c>
      <c r="D3373" s="10" t="str">
        <f ca="1">IFERROR(__xludf.DUMMYFUNCTION(" VLOOKUP(A3370, IMPORTRANGE(""https://docs.google.com/spreadsheets/d/1fj_Bhi2XPL3siwIh4sx4VRLAe31yD50oKdj5UlRYW0c/"", ""Сводка!A:AA""), 11, FALSE)"),"978-601-310-467-6")</f>
        <v>978-601-310-467-6</v>
      </c>
      <c r="E3373" s="11" t="s">
        <v>13023</v>
      </c>
      <c r="F3373" s="11" t="s">
        <v>13024</v>
      </c>
      <c r="G3373" s="12">
        <f ca="1">IFERROR(__xludf.DUMMYFUNCTION(" VLOOKUP(A3370, IMPORTRANGE(""https://docs.google.com/spreadsheets/d/1fj_Bhi2XPL3siwIh4sx4VRLAe31yD50oKdj5UlRYW0c/"", ""Сводка!A:AA""), 5, FALSE)"),197)</f>
        <v>197</v>
      </c>
      <c r="H3373" s="12" t="s">
        <v>538</v>
      </c>
      <c r="I3373" s="10">
        <f ca="1">IFERROR(__xludf.DUMMYFUNCTION(" VLOOKUP(A3370, IMPORTRANGE(""https://docs.google.com/spreadsheets/d/1QNLbnkR_AongFt22vMfNzfpjZ0CjpI8QI-w0wBnYA1w/"", ""Инфа!A:AA""), 6, FALSE)"),2024)</f>
        <v>2024</v>
      </c>
      <c r="J3373" s="5">
        <f ca="1">ROUND((5000+G3373*30),-2)</f>
        <v>10900</v>
      </c>
      <c r="K3373" s="9" t="s">
        <v>619</v>
      </c>
      <c r="L3373" s="15" t="s">
        <v>13025</v>
      </c>
    </row>
    <row r="3374" spans="1:12" ht="146.25">
      <c r="A3374" s="8" t="s">
        <v>13026</v>
      </c>
      <c r="B3374" s="9" t="s">
        <v>12</v>
      </c>
      <c r="C3374" s="10" t="s">
        <v>443</v>
      </c>
      <c r="D3374" s="10" t="str">
        <f ca="1">IFERROR(__xludf.DUMMYFUNCTION(" VLOOKUP(A3371, IMPORTRANGE(""https://docs.google.com/spreadsheets/d/1fj_Bhi2XPL3siwIh4sx4VRLAe31yD50oKdj5UlRYW0c/"", ""Сводка!A:AA""), 11, FALSE)"),"978-601-327-461-4")</f>
        <v>978-601-327-461-4</v>
      </c>
      <c r="E3374" s="11" t="s">
        <v>13027</v>
      </c>
      <c r="F3374" s="11" t="s">
        <v>13028</v>
      </c>
      <c r="G3374" s="12">
        <f ca="1">IFERROR(__xludf.DUMMYFUNCTION(" VLOOKUP(A3371, IMPORTRANGE(""https://docs.google.com/spreadsheets/d/1fj_Bhi2XPL3siwIh4sx4VRLAe31yD50oKdj5UlRYW0c/"", ""Сводка!A:AA""), 5, FALSE)"),308)</f>
        <v>308</v>
      </c>
      <c r="H3374" s="12" t="s">
        <v>446</v>
      </c>
      <c r="I3374" s="10">
        <f ca="1">IFERROR(__xludf.DUMMYFUNCTION(" VLOOKUP(A3371, IMPORTRANGE(""https://docs.google.com/spreadsheets/d/1QNLbnkR_AongFt22vMfNzfpjZ0CjpI8QI-w0wBnYA1w/"", ""Инфа!A:AA""), 6, FALSE)"),2024)</f>
        <v>2024</v>
      </c>
      <c r="J3374" s="5">
        <f ca="1">ROUND((5000+G3374*60),-2)</f>
        <v>23500</v>
      </c>
      <c r="K3374" s="9" t="s">
        <v>619</v>
      </c>
      <c r="L3374" s="15" t="s">
        <v>13029</v>
      </c>
    </row>
    <row r="3375" spans="1:12" ht="123.75">
      <c r="A3375" s="8" t="s">
        <v>13030</v>
      </c>
      <c r="B3375" s="9" t="s">
        <v>12</v>
      </c>
      <c r="C3375" s="10" t="s">
        <v>443</v>
      </c>
      <c r="D3375" s="10" t="str">
        <f ca="1">IFERROR(__xludf.DUMMYFUNCTION(" VLOOKUP(A3372, IMPORTRANGE(""https://docs.google.com/spreadsheets/d/1fj_Bhi2XPL3siwIh4sx4VRLAe31yD50oKdj5UlRYW0c/"", ""Сводка!A:AA""), 11, FALSE)"),"978-601-327-462-1")</f>
        <v>978-601-327-462-1</v>
      </c>
      <c r="E3375" s="11" t="s">
        <v>13031</v>
      </c>
      <c r="F3375" s="11" t="s">
        <v>13032</v>
      </c>
      <c r="G3375" s="12">
        <f ca="1">IFERROR(__xludf.DUMMYFUNCTION(" VLOOKUP(A3372, IMPORTRANGE(""https://docs.google.com/spreadsheets/d/1fj_Bhi2XPL3siwIh4sx4VRLAe31yD50oKdj5UlRYW0c/"", ""Сводка!A:AA""), 5, FALSE)"),288)</f>
        <v>288</v>
      </c>
      <c r="H3375" s="12" t="s">
        <v>446</v>
      </c>
      <c r="I3375" s="10">
        <f ca="1">IFERROR(__xludf.DUMMYFUNCTION(" VLOOKUP(A3372, IMPORTRANGE(""https://docs.google.com/spreadsheets/d/1QNLbnkR_AongFt22vMfNzfpjZ0CjpI8QI-w0wBnYA1w/"", ""Инфа!A:AA""), 6, FALSE)"),2024)</f>
        <v>2024</v>
      </c>
      <c r="J3375" s="5">
        <f t="shared" ref="J3375:J3381" ca="1" si="112">ROUND((5000+G3375*30),-2)</f>
        <v>13600</v>
      </c>
      <c r="K3375" s="9" t="s">
        <v>619</v>
      </c>
      <c r="L3375" s="15" t="s">
        <v>13033</v>
      </c>
    </row>
    <row r="3376" spans="1:12" ht="38.25">
      <c r="A3376" s="8" t="s">
        <v>13034</v>
      </c>
      <c r="B3376" s="9" t="s">
        <v>12</v>
      </c>
      <c r="C3376" s="10" t="s">
        <v>443</v>
      </c>
      <c r="D3376" s="10" t="str">
        <f ca="1">IFERROR(__xludf.DUMMYFUNCTION(" VLOOKUP(A3373, IMPORTRANGE(""https://docs.google.com/spreadsheets/d/1fj_Bhi2XPL3siwIh4sx4VRLAe31yD50oKdj5UlRYW0c/"", ""Сводка!A:AA""), 11, FALSE)"),"978-601-240-400-5")</f>
        <v>978-601-240-400-5</v>
      </c>
      <c r="E3376" s="11" t="s">
        <v>13035</v>
      </c>
      <c r="F3376" s="11" t="s">
        <v>13036</v>
      </c>
      <c r="G3376" s="12">
        <f ca="1">IFERROR(__xludf.DUMMYFUNCTION(" VLOOKUP(A3373, IMPORTRANGE(""https://docs.google.com/spreadsheets/d/1fj_Bhi2XPL3siwIh4sx4VRLAe31yD50oKdj5UlRYW0c/"", ""Сводка!A:AA""), 5, FALSE)"),96)</f>
        <v>96</v>
      </c>
      <c r="H3376" s="12" t="s">
        <v>511</v>
      </c>
      <c r="I3376" s="10">
        <f ca="1">IFERROR(__xludf.DUMMYFUNCTION(" VLOOKUP(A3373, IMPORTRANGE(""https://docs.google.com/spreadsheets/d/1QNLbnkR_AongFt22vMfNzfpjZ0CjpI8QI-w0wBnYA1w/"", ""Инфа!A:AA""), 6, FALSE)"),2024)</f>
        <v>2024</v>
      </c>
      <c r="J3376" s="5">
        <f t="shared" ca="1" si="112"/>
        <v>7900</v>
      </c>
      <c r="K3376" s="12" t="s">
        <v>996</v>
      </c>
      <c r="L3376" s="15"/>
    </row>
    <row r="3377" spans="1:12" ht="146.25">
      <c r="A3377" s="8" t="s">
        <v>13037</v>
      </c>
      <c r="B3377" s="9" t="s">
        <v>12</v>
      </c>
      <c r="C3377" s="10" t="s">
        <v>151</v>
      </c>
      <c r="D3377" s="10" t="str">
        <f ca="1">IFERROR(__xludf.DUMMYFUNCTION(" VLOOKUP(A3374, IMPORTRANGE(""https://docs.google.com/spreadsheets/d/1fj_Bhi2XPL3siwIh4sx4VRLAe31yD50oKdj5UlRYW0c/"", ""Сводка!A:AA""), 11, FALSE)"),"978-601-342-147-6")</f>
        <v>978-601-342-147-6</v>
      </c>
      <c r="E3377" s="11" t="s">
        <v>13038</v>
      </c>
      <c r="F3377" s="11" t="s">
        <v>10476</v>
      </c>
      <c r="G3377" s="12">
        <f ca="1">IFERROR(__xludf.DUMMYFUNCTION(" VLOOKUP(A3374, IMPORTRANGE(""https://docs.google.com/spreadsheets/d/1fj_Bhi2XPL3siwIh4sx4VRLAe31yD50oKdj5UlRYW0c/"", ""Сводка!A:AA""), 5, FALSE)"),128)</f>
        <v>128</v>
      </c>
      <c r="H3377" s="12" t="s">
        <v>47</v>
      </c>
      <c r="I3377" s="10">
        <f ca="1">IFERROR(__xludf.DUMMYFUNCTION(" VLOOKUP(A3374, IMPORTRANGE(""https://docs.google.com/spreadsheets/d/1QNLbnkR_AongFt22vMfNzfpjZ0CjpI8QI-w0wBnYA1w/"", ""Инфа!A:AA""), 6, FALSE)"),2024)</f>
        <v>2024</v>
      </c>
      <c r="J3377" s="5">
        <f t="shared" ca="1" si="112"/>
        <v>8800</v>
      </c>
      <c r="K3377" s="12" t="s">
        <v>18</v>
      </c>
      <c r="L3377" s="15" t="s">
        <v>13039</v>
      </c>
    </row>
    <row r="3378" spans="1:12" ht="135">
      <c r="A3378" s="8" t="s">
        <v>13040</v>
      </c>
      <c r="B3378" s="9" t="s">
        <v>12</v>
      </c>
      <c r="C3378" s="10" t="s">
        <v>151</v>
      </c>
      <c r="D3378" s="10" t="str">
        <f ca="1">IFERROR(__xludf.DUMMYFUNCTION(" VLOOKUP(A3375, IMPORTRANGE(""https://docs.google.com/spreadsheets/d/1fj_Bhi2XPL3siwIh4sx4VRLAe31yD50oKdj5UlRYW0c/"", ""Сводка!A:AA""), 11, FALSE)"),"978-601-342-148-3")</f>
        <v>978-601-342-148-3</v>
      </c>
      <c r="E3378" s="11" t="s">
        <v>13038</v>
      </c>
      <c r="F3378" s="11" t="s">
        <v>13041</v>
      </c>
      <c r="G3378" s="12">
        <f ca="1">IFERROR(__xludf.DUMMYFUNCTION(" VLOOKUP(A3375, IMPORTRANGE(""https://docs.google.com/spreadsheets/d/1fj_Bhi2XPL3siwIh4sx4VRLAe31yD50oKdj5UlRYW0c/"", ""Сводка!A:AA""), 5, FALSE)"),136)</f>
        <v>136</v>
      </c>
      <c r="H3378" s="12" t="s">
        <v>1577</v>
      </c>
      <c r="I3378" s="10">
        <f ca="1">IFERROR(__xludf.DUMMYFUNCTION(" VLOOKUP(A3375, IMPORTRANGE(""https://docs.google.com/spreadsheets/d/1QNLbnkR_AongFt22vMfNzfpjZ0CjpI8QI-w0wBnYA1w/"", ""Инфа!A:AA""), 6, FALSE)"),2024)</f>
        <v>2024</v>
      </c>
      <c r="J3378" s="5">
        <f t="shared" ca="1" si="112"/>
        <v>9100</v>
      </c>
      <c r="K3378" s="12" t="s">
        <v>18</v>
      </c>
      <c r="L3378" s="15" t="s">
        <v>13042</v>
      </c>
    </row>
    <row r="3379" spans="1:12" ht="146.25">
      <c r="A3379" s="8" t="s">
        <v>13043</v>
      </c>
      <c r="B3379" s="9" t="s">
        <v>12</v>
      </c>
      <c r="C3379" s="10" t="s">
        <v>151</v>
      </c>
      <c r="D3379" s="10" t="str">
        <f ca="1">IFERROR(__xludf.DUMMYFUNCTION(" VLOOKUP(A3376, IMPORTRANGE(""https://docs.google.com/spreadsheets/d/1fj_Bhi2XPL3siwIh4sx4VRLAe31yD50oKdj5UlRYW0c/"", ""Сводка!A:AA""), 11, FALSE)"),"978-601-342-149-0")</f>
        <v>978-601-342-149-0</v>
      </c>
      <c r="E3379" s="11" t="s">
        <v>13038</v>
      </c>
      <c r="F3379" s="11" t="s">
        <v>13044</v>
      </c>
      <c r="G3379" s="12">
        <f ca="1">IFERROR(__xludf.DUMMYFUNCTION(" VLOOKUP(A3376, IMPORTRANGE(""https://docs.google.com/spreadsheets/d/1fj_Bhi2XPL3siwIh4sx4VRLAe31yD50oKdj5UlRYW0c/"", ""Сводка!A:AA""), 5, FALSE)"),108)</f>
        <v>108</v>
      </c>
      <c r="H3379" s="12" t="s">
        <v>2216</v>
      </c>
      <c r="I3379" s="10">
        <f ca="1">IFERROR(__xludf.DUMMYFUNCTION(" VLOOKUP(A3376, IMPORTRANGE(""https://docs.google.com/spreadsheets/d/1QNLbnkR_AongFt22vMfNzfpjZ0CjpI8QI-w0wBnYA1w/"", ""Инфа!A:AA""), 6, FALSE)"),2024)</f>
        <v>2024</v>
      </c>
      <c r="J3379" s="5">
        <f t="shared" ca="1" si="112"/>
        <v>8200</v>
      </c>
      <c r="K3379" s="12" t="s">
        <v>18</v>
      </c>
      <c r="L3379" s="15" t="s">
        <v>13045</v>
      </c>
    </row>
    <row r="3380" spans="1:12" ht="112.5">
      <c r="A3380" s="8" t="s">
        <v>13046</v>
      </c>
      <c r="B3380" s="9" t="s">
        <v>12</v>
      </c>
      <c r="C3380" s="10" t="s">
        <v>151</v>
      </c>
      <c r="D3380" s="10" t="s">
        <v>13047</v>
      </c>
      <c r="E3380" s="11" t="s">
        <v>13048</v>
      </c>
      <c r="F3380" s="11" t="s">
        <v>13049</v>
      </c>
      <c r="G3380" s="12">
        <f ca="1">IFERROR(__xludf.DUMMYFUNCTION(" VLOOKUP(A3377, IMPORTRANGE(""https://docs.google.com/spreadsheets/d/1fj_Bhi2XPL3siwIh4sx4VRLAe31yD50oKdj5UlRYW0c/"", ""Сводка!A:AA""), 5, FALSE)"),172)</f>
        <v>172</v>
      </c>
      <c r="H3380" s="12" t="s">
        <v>56</v>
      </c>
      <c r="I3380" s="10">
        <f ca="1">IFERROR(__xludf.DUMMYFUNCTION(" VLOOKUP(A3377, IMPORTRANGE(""https://docs.google.com/spreadsheets/d/1QNLbnkR_AongFt22vMfNzfpjZ0CjpI8QI-w0wBnYA1w/"", ""Инфа!A:AA""), 6, FALSE)"),2024)</f>
        <v>2024</v>
      </c>
      <c r="J3380" s="5">
        <f t="shared" ca="1" si="112"/>
        <v>10200</v>
      </c>
      <c r="K3380" s="12" t="s">
        <v>271</v>
      </c>
      <c r="L3380" s="15" t="s">
        <v>13050</v>
      </c>
    </row>
    <row r="3381" spans="1:12" ht="258.75">
      <c r="A3381" s="8" t="s">
        <v>13051</v>
      </c>
      <c r="B3381" s="9" t="s">
        <v>12</v>
      </c>
      <c r="C3381" s="10" t="s">
        <v>151</v>
      </c>
      <c r="D3381" s="10" t="s">
        <v>13047</v>
      </c>
      <c r="E3381" s="11" t="s">
        <v>13048</v>
      </c>
      <c r="F3381" s="11" t="s">
        <v>13052</v>
      </c>
      <c r="G3381" s="12">
        <f ca="1">IFERROR(__xludf.DUMMYFUNCTION(" VLOOKUP(A3378, IMPORTRANGE(""https://docs.google.com/spreadsheets/d/1fj_Bhi2XPL3siwIh4sx4VRLAe31yD50oKdj5UlRYW0c/"", ""Сводка!A:AA""), 5, FALSE)"),172)</f>
        <v>172</v>
      </c>
      <c r="H3381" s="12" t="s">
        <v>56</v>
      </c>
      <c r="I3381" s="10">
        <f ca="1">IFERROR(__xludf.DUMMYFUNCTION(" VLOOKUP(A3378, IMPORTRANGE(""https://docs.google.com/spreadsheets/d/1QNLbnkR_AongFt22vMfNzfpjZ0CjpI8QI-w0wBnYA1w/"", ""Инфа!A:AA""), 6, FALSE)"),2024)</f>
        <v>2024</v>
      </c>
      <c r="J3381" s="5">
        <f t="shared" ca="1" si="112"/>
        <v>10200</v>
      </c>
      <c r="K3381" s="12" t="s">
        <v>271</v>
      </c>
      <c r="L3381" s="15" t="s">
        <v>13053</v>
      </c>
    </row>
    <row r="3382" spans="1:12" ht="180">
      <c r="A3382" s="8" t="s">
        <v>13054</v>
      </c>
      <c r="B3382" s="9" t="s">
        <v>12</v>
      </c>
      <c r="C3382" s="10" t="s">
        <v>151</v>
      </c>
      <c r="D3382" s="10" t="str">
        <f ca="1">IFERROR(__xludf.DUMMYFUNCTION(" VLOOKUP(A3379, IMPORTRANGE(""https://docs.google.com/spreadsheets/d/1fj_Bhi2XPL3siwIh4sx4VRLAe31yD50oKdj5UlRYW0c/"", ""Сводка!A:AA""), 11, FALSE)"),"978-601-327-595-6")</f>
        <v>978-601-327-595-6</v>
      </c>
      <c r="E3382" s="11" t="s">
        <v>13055</v>
      </c>
      <c r="F3382" s="11" t="s">
        <v>13056</v>
      </c>
      <c r="G3382" s="12">
        <f ca="1">IFERROR(__xludf.DUMMYFUNCTION(" VLOOKUP(A3379, IMPORTRANGE(""https://docs.google.com/spreadsheets/d/1fj_Bhi2XPL3siwIh4sx4VRLAe31yD50oKdj5UlRYW0c/"", ""Сводка!A:AA""), 5, FALSE)"),140)</f>
        <v>140</v>
      </c>
      <c r="H3382" s="12" t="s">
        <v>47</v>
      </c>
      <c r="I3382" s="10">
        <f ca="1">IFERROR(__xludf.DUMMYFUNCTION(" VLOOKUP(A3379, IMPORTRANGE(""https://docs.google.com/spreadsheets/d/1QNLbnkR_AongFt22vMfNzfpjZ0CjpI8QI-w0wBnYA1w/"", ""Инфа!A:AA""), 6, FALSE)"),2024)</f>
        <v>2024</v>
      </c>
      <c r="J3382" s="5">
        <f ca="1">ROUND((5000+G3382*60),-2)</f>
        <v>13400</v>
      </c>
      <c r="K3382" s="12" t="s">
        <v>447</v>
      </c>
      <c r="L3382" s="15" t="s">
        <v>13057</v>
      </c>
    </row>
    <row r="3383" spans="1:12" ht="38.25">
      <c r="A3383" s="8" t="s">
        <v>13058</v>
      </c>
      <c r="B3383" s="9" t="s">
        <v>12</v>
      </c>
      <c r="C3383" s="10" t="s">
        <v>13</v>
      </c>
      <c r="D3383" s="10" t="str">
        <f ca="1">IFERROR(__xludf.DUMMYFUNCTION(" VLOOKUP(A3380, IMPORTRANGE(""https://docs.google.com/spreadsheets/d/1fj_Bhi2XPL3siwIh4sx4VRLAe31yD50oKdj5UlRYW0c/"", ""Сводка!A:AA""), 11, FALSE)"),"978-601-310-049-4")</f>
        <v>978-601-310-049-4</v>
      </c>
      <c r="E3383" s="11" t="s">
        <v>13059</v>
      </c>
      <c r="F3383" s="11" t="s">
        <v>13060</v>
      </c>
      <c r="G3383" s="12">
        <f ca="1">IFERROR(__xludf.DUMMYFUNCTION(" VLOOKUP(A3380, IMPORTRANGE(""https://docs.google.com/spreadsheets/d/1fj_Bhi2XPL3siwIh4sx4VRLAe31yD50oKdj5UlRYW0c/"", ""Сводка!A:AA""), 5, FALSE)"),112)</f>
        <v>112</v>
      </c>
      <c r="H3383" s="12" t="s">
        <v>407</v>
      </c>
      <c r="I3383" s="10">
        <f ca="1">IFERROR(__xludf.DUMMYFUNCTION(" VLOOKUP(A3380, IMPORTRANGE(""https://docs.google.com/spreadsheets/d/1QNLbnkR_AongFt22vMfNzfpjZ0CjpI8QI-w0wBnYA1w/"", ""Инфа!A:AA""), 6, FALSE)"),2024)</f>
        <v>2024</v>
      </c>
      <c r="J3383" s="5">
        <f ca="1">ROUND((5000+G3383*30),-2)</f>
        <v>8400</v>
      </c>
      <c r="K3383" s="12" t="s">
        <v>257</v>
      </c>
      <c r="L3383" s="15"/>
    </row>
    <row r="3384" spans="1:12" ht="51">
      <c r="A3384" s="8" t="s">
        <v>13061</v>
      </c>
      <c r="B3384" s="9" t="s">
        <v>12</v>
      </c>
      <c r="C3384" s="10" t="s">
        <v>151</v>
      </c>
      <c r="D3384" s="10" t="str">
        <f ca="1">IFERROR(__xludf.DUMMYFUNCTION(" VLOOKUP(A3381, IMPORTRANGE(""https://docs.google.com/spreadsheets/d/1fj_Bhi2XPL3siwIh4sx4VRLAe31yD50oKdj5UlRYW0c/"", ""Сводка!A:AA""), 11, FALSE)"),"9965-575-90-8")</f>
        <v>9965-575-90-8</v>
      </c>
      <c r="E3384" s="11" t="s">
        <v>13062</v>
      </c>
      <c r="F3384" s="11" t="s">
        <v>13063</v>
      </c>
      <c r="G3384" s="12">
        <f ca="1">IFERROR(__xludf.DUMMYFUNCTION(" VLOOKUP(A3381, IMPORTRANGE(""https://docs.google.com/spreadsheets/d/1fj_Bhi2XPL3siwIh4sx4VRLAe31yD50oKdj5UlRYW0c/"", ""Сводка!A:AA""), 5, FALSE)"),148)</f>
        <v>148</v>
      </c>
      <c r="H3384" s="12" t="s">
        <v>47</v>
      </c>
      <c r="I3384" s="10">
        <f ca="1">IFERROR(__xludf.DUMMYFUNCTION(" VLOOKUP(A3381, IMPORTRANGE(""https://docs.google.com/spreadsheets/d/1QNLbnkR_AongFt22vMfNzfpjZ0CjpI8QI-w0wBnYA1w/"", ""Инфа!A:AA""), 6, FALSE)"),2024)</f>
        <v>2024</v>
      </c>
      <c r="J3384" s="5">
        <f ca="1">ROUND((5000+G3384*30),-2)</f>
        <v>9400</v>
      </c>
      <c r="K3384" s="12" t="s">
        <v>2520</v>
      </c>
      <c r="L3384" s="15"/>
    </row>
    <row r="3385" spans="1:12" ht="213.75">
      <c r="A3385" s="8" t="s">
        <v>13064</v>
      </c>
      <c r="B3385" s="9" t="s">
        <v>12</v>
      </c>
      <c r="C3385" s="10" t="s">
        <v>151</v>
      </c>
      <c r="D3385" s="10" t="str">
        <f ca="1">IFERROR(__xludf.DUMMYFUNCTION(" VLOOKUP(A3382, IMPORTRANGE(""https://docs.google.com/spreadsheets/d/1fj_Bhi2XPL3siwIh4sx4VRLAe31yD50oKdj5UlRYW0c/"", ""Сводка!A:AA""), 11, FALSE)"),"9965-574-26-Х")</f>
        <v>9965-574-26-Х</v>
      </c>
      <c r="E3385" s="11" t="s">
        <v>13065</v>
      </c>
      <c r="F3385" s="11" t="s">
        <v>13066</v>
      </c>
      <c r="G3385" s="12">
        <f ca="1">IFERROR(__xludf.DUMMYFUNCTION(" VLOOKUP(A3382, IMPORTRANGE(""https://docs.google.com/spreadsheets/d/1fj_Bhi2XPL3siwIh4sx4VRLAe31yD50oKdj5UlRYW0c/"", ""Сводка!A:AA""), 5, FALSE)"),168)</f>
        <v>168</v>
      </c>
      <c r="H3385" s="12" t="s">
        <v>9203</v>
      </c>
      <c r="I3385" s="10">
        <f ca="1">IFERROR(__xludf.DUMMYFUNCTION(" VLOOKUP(A3382, IMPORTRANGE(""https://docs.google.com/spreadsheets/d/1QNLbnkR_AongFt22vMfNzfpjZ0CjpI8QI-w0wBnYA1w/"", ""Инфа!A:AA""), 6, FALSE)"),2024)</f>
        <v>2024</v>
      </c>
      <c r="J3385" s="5">
        <f ca="1">ROUND((5000+G3385*30),-2)</f>
        <v>10000</v>
      </c>
      <c r="K3385" s="9" t="s">
        <v>243</v>
      </c>
      <c r="L3385" s="15" t="s">
        <v>13067</v>
      </c>
    </row>
    <row r="3386" spans="1:12" ht="213.75">
      <c r="A3386" s="8" t="s">
        <v>13068</v>
      </c>
      <c r="B3386" s="9" t="s">
        <v>12</v>
      </c>
      <c r="C3386" s="10" t="s">
        <v>151</v>
      </c>
      <c r="D3386" s="10" t="str">
        <f ca="1">IFERROR(__xludf.DUMMYFUNCTION(" VLOOKUP(A3383, IMPORTRANGE(""https://docs.google.com/spreadsheets/d/1fj_Bhi2XPL3siwIh4sx4VRLAe31yD50oKdj5UlRYW0c/"", ""Сводка!A:AA""), 11, FALSE)"),"978-601-240-477-8")</f>
        <v>978-601-240-477-8</v>
      </c>
      <c r="E3386" s="11" t="s">
        <v>13069</v>
      </c>
      <c r="F3386" s="11" t="s">
        <v>13070</v>
      </c>
      <c r="G3386" s="12">
        <f ca="1">IFERROR(__xludf.DUMMYFUNCTION(" VLOOKUP(A3383, IMPORTRANGE(""https://docs.google.com/spreadsheets/d/1fj_Bhi2XPL3siwIh4sx4VRLAe31yD50oKdj5UlRYW0c/"", ""Сводка!A:AA""), 5, FALSE)"),168)</f>
        <v>168</v>
      </c>
      <c r="H3386" s="12" t="s">
        <v>9203</v>
      </c>
      <c r="I3386" s="10">
        <f ca="1">IFERROR(__xludf.DUMMYFUNCTION(" VLOOKUP(A3383, IMPORTRANGE(""https://docs.google.com/spreadsheets/d/1QNLbnkR_AongFt22vMfNzfpjZ0CjpI8QI-w0wBnYA1w/"", ""Инфа!A:AA""), 6, FALSE)"),2024)</f>
        <v>2024</v>
      </c>
      <c r="J3386" s="5">
        <f ca="1">ROUND((5000+G3386*30),-2)</f>
        <v>10000</v>
      </c>
      <c r="K3386" s="9" t="s">
        <v>243</v>
      </c>
      <c r="L3386" s="15" t="s">
        <v>13071</v>
      </c>
    </row>
    <row r="3387" spans="1:12" ht="292.5">
      <c r="A3387" s="8" t="s">
        <v>13072</v>
      </c>
      <c r="B3387" s="9" t="s">
        <v>12</v>
      </c>
      <c r="C3387" s="10" t="s">
        <v>13073</v>
      </c>
      <c r="D3387" s="10" t="str">
        <f ca="1">IFERROR(__xludf.DUMMYFUNCTION(" VLOOKUP(A3384, IMPORTRANGE(""https://docs.google.com/spreadsheets/d/1fj_Bhi2XPL3siwIh4sx4VRLAe31yD50oKdj5UlRYW0c/"", ""Сводка!A:AA""), 11, FALSE)"),"978-601-342-451-4")</f>
        <v>978-601-342-451-4</v>
      </c>
      <c r="E3387" s="11" t="s">
        <v>13074</v>
      </c>
      <c r="F3387" s="11" t="s">
        <v>13075</v>
      </c>
      <c r="G3387" s="12">
        <f ca="1">IFERROR(__xludf.DUMMYFUNCTION(" VLOOKUP(A3384, IMPORTRANGE(""https://docs.google.com/spreadsheets/d/1fj_Bhi2XPL3siwIh4sx4VRLAe31yD50oKdj5UlRYW0c/"", ""Сводка!A:AA""), 5, FALSE)"),308)</f>
        <v>308</v>
      </c>
      <c r="H3387" s="12" t="s">
        <v>165</v>
      </c>
      <c r="I3387" s="10">
        <f ca="1">IFERROR(__xludf.DUMMYFUNCTION(" VLOOKUP(A3384, IMPORTRANGE(""https://docs.google.com/spreadsheets/d/1QNLbnkR_AongFt22vMfNzfpjZ0CjpI8QI-w0wBnYA1w/"", ""Инфа!A:AA""), 6, FALSE)"),2024)</f>
        <v>2024</v>
      </c>
      <c r="J3387" s="5">
        <f ca="1">ROUND((5000+G3387*60),-2)</f>
        <v>23500</v>
      </c>
      <c r="K3387" s="12" t="s">
        <v>1681</v>
      </c>
      <c r="L3387" s="15" t="s">
        <v>13076</v>
      </c>
    </row>
    <row r="3388" spans="1:12" ht="146.25">
      <c r="A3388" s="8" t="s">
        <v>13077</v>
      </c>
      <c r="B3388" s="9" t="s">
        <v>12</v>
      </c>
      <c r="C3388" s="10" t="s">
        <v>151</v>
      </c>
      <c r="D3388" s="10" t="str">
        <f ca="1">IFERROR(__xludf.DUMMYFUNCTION(" VLOOKUP(A3385, IMPORTRANGE(""https://docs.google.com/spreadsheets/d/1fj_Bhi2XPL3siwIh4sx4VRLAe31yD50oKdj5UlRYW0c/"", ""Сводка!A:AA""), 11, FALSE)"),"978-601-301-641-2")</f>
        <v>978-601-301-641-2</v>
      </c>
      <c r="E3388" s="11" t="s">
        <v>13078</v>
      </c>
      <c r="F3388" s="11" t="s">
        <v>13079</v>
      </c>
      <c r="G3388" s="12">
        <f ca="1">IFERROR(__xludf.DUMMYFUNCTION(" VLOOKUP(A3385, IMPORTRANGE(""https://docs.google.com/spreadsheets/d/1fj_Bhi2XPL3siwIh4sx4VRLAe31yD50oKdj5UlRYW0c/"", ""Сводка!A:AA""), 5, FALSE)"),192)</f>
        <v>192</v>
      </c>
      <c r="H3388" s="12" t="s">
        <v>165</v>
      </c>
      <c r="I3388" s="10">
        <f ca="1">IFERROR(__xludf.DUMMYFUNCTION(" VLOOKUP(A3385, IMPORTRANGE(""https://docs.google.com/spreadsheets/d/1QNLbnkR_AongFt22vMfNzfpjZ0CjpI8QI-w0wBnYA1w/"", ""Инфа!A:AA""), 6, FALSE)"),2024)</f>
        <v>2024</v>
      </c>
      <c r="J3388" s="5">
        <f t="shared" ref="J3388:J3395" ca="1" si="113">ROUND((5000+G3388*30),-2)</f>
        <v>10800</v>
      </c>
      <c r="K3388" s="12" t="s">
        <v>26</v>
      </c>
      <c r="L3388" s="15" t="s">
        <v>13080</v>
      </c>
    </row>
    <row r="3389" spans="1:12" ht="315">
      <c r="A3389" s="8" t="s">
        <v>13081</v>
      </c>
      <c r="B3389" s="9" t="s">
        <v>12</v>
      </c>
      <c r="C3389" s="10" t="s">
        <v>3062</v>
      </c>
      <c r="D3389" s="10" t="str">
        <f ca="1">IFERROR(__xludf.DUMMYFUNCTION(" VLOOKUP(A3386, IMPORTRANGE(""https://docs.google.com/spreadsheets/d/1fj_Bhi2XPL3siwIh4sx4VRLAe31yD50oKdj5UlRYW0c/"", ""Сводка!A:AA""), 11, FALSE)"),"978-9965-597-74-9")</f>
        <v>978-9965-597-74-9</v>
      </c>
      <c r="E3389" s="11" t="s">
        <v>13082</v>
      </c>
      <c r="F3389" s="11" t="s">
        <v>13083</v>
      </c>
      <c r="G3389" s="12">
        <f ca="1">IFERROR(__xludf.DUMMYFUNCTION(" VLOOKUP(A3386, IMPORTRANGE(""https://docs.google.com/spreadsheets/d/1fj_Bhi2XPL3siwIh4sx4VRLAe31yD50oKdj5UlRYW0c/"", ""Сводка!A:AA""), 5, FALSE)"),171)</f>
        <v>171</v>
      </c>
      <c r="H3389" s="12" t="s">
        <v>13084</v>
      </c>
      <c r="I3389" s="10">
        <f ca="1">IFERROR(__xludf.DUMMYFUNCTION(" VLOOKUP(A3386, IMPORTRANGE(""https://docs.google.com/spreadsheets/d/1QNLbnkR_AongFt22vMfNzfpjZ0CjpI8QI-w0wBnYA1w/"", ""Инфа!A:AA""), 6, FALSE)"),2024)</f>
        <v>2024</v>
      </c>
      <c r="J3389" s="5">
        <f t="shared" ca="1" si="113"/>
        <v>10100</v>
      </c>
      <c r="K3389" s="12" t="s">
        <v>13085</v>
      </c>
      <c r="L3389" s="15" t="s">
        <v>13086</v>
      </c>
    </row>
    <row r="3390" spans="1:12" ht="225">
      <c r="A3390" s="8" t="s">
        <v>13087</v>
      </c>
      <c r="B3390" s="9" t="s">
        <v>12</v>
      </c>
      <c r="C3390" s="10" t="s">
        <v>3062</v>
      </c>
      <c r="D3390" s="10" t="str">
        <f ca="1">IFERROR(__xludf.DUMMYFUNCTION(" VLOOKUP(A3387, IMPORTRANGE(""https://docs.google.com/spreadsheets/d/1fj_Bhi2XPL3siwIh4sx4VRLAe31yD50oKdj5UlRYW0c/"", ""Сводка!A:AA""), 11, FALSE)"),"978-9965-597-73-2")</f>
        <v>978-9965-597-73-2</v>
      </c>
      <c r="E3390" s="11" t="s">
        <v>13082</v>
      </c>
      <c r="F3390" s="11" t="s">
        <v>13088</v>
      </c>
      <c r="G3390" s="12">
        <f ca="1">IFERROR(__xludf.DUMMYFUNCTION(" VLOOKUP(A3387, IMPORTRANGE(""https://docs.google.com/spreadsheets/d/1fj_Bhi2XPL3siwIh4sx4VRLAe31yD50oKdj5UlRYW0c/"", ""Сводка!A:AA""), 5, FALSE)"),206)</f>
        <v>206</v>
      </c>
      <c r="H3390" s="12" t="s">
        <v>13084</v>
      </c>
      <c r="I3390" s="10">
        <f ca="1">IFERROR(__xludf.DUMMYFUNCTION(" VLOOKUP(A3387, IMPORTRANGE(""https://docs.google.com/spreadsheets/d/1QNLbnkR_AongFt22vMfNzfpjZ0CjpI8QI-w0wBnYA1w/"", ""Инфа!A:AA""), 6, FALSE)"),2024)</f>
        <v>2024</v>
      </c>
      <c r="J3390" s="5">
        <f t="shared" ca="1" si="113"/>
        <v>11200</v>
      </c>
      <c r="K3390" s="12" t="s">
        <v>13085</v>
      </c>
      <c r="L3390" s="15" t="s">
        <v>13089</v>
      </c>
    </row>
    <row r="3391" spans="1:12" ht="236.25">
      <c r="A3391" s="8" t="s">
        <v>13090</v>
      </c>
      <c r="B3391" s="9" t="s">
        <v>12</v>
      </c>
      <c r="C3391" s="10" t="s">
        <v>3062</v>
      </c>
      <c r="D3391" s="10" t="str">
        <f ca="1">IFERROR(__xludf.DUMMYFUNCTION(" VLOOKUP(A3388, IMPORTRANGE(""https://docs.google.com/spreadsheets/d/1fj_Bhi2XPL3siwIh4sx4VRLAe31yD50oKdj5UlRYW0c/"", ""Сводка!A:AA""), 11, FALSE)"),"978-99650597-71-8")</f>
        <v>978-99650597-71-8</v>
      </c>
      <c r="E3391" s="11" t="s">
        <v>13082</v>
      </c>
      <c r="F3391" s="11" t="s">
        <v>13091</v>
      </c>
      <c r="G3391" s="12">
        <f ca="1">IFERROR(__xludf.DUMMYFUNCTION(" VLOOKUP(A3388, IMPORTRANGE(""https://docs.google.com/spreadsheets/d/1fj_Bhi2XPL3siwIh4sx4VRLAe31yD50oKdj5UlRYW0c/"", ""Сводка!A:AA""), 5, FALSE)"),135)</f>
        <v>135</v>
      </c>
      <c r="H3391" s="12" t="s">
        <v>13092</v>
      </c>
      <c r="I3391" s="10">
        <f ca="1">IFERROR(__xludf.DUMMYFUNCTION(" VLOOKUP(A3388, IMPORTRANGE(""https://docs.google.com/spreadsheets/d/1QNLbnkR_AongFt22vMfNzfpjZ0CjpI8QI-w0wBnYA1w/"", ""Инфа!A:AA""), 6, FALSE)"),2024)</f>
        <v>2024</v>
      </c>
      <c r="J3391" s="5">
        <f t="shared" ca="1" si="113"/>
        <v>9100</v>
      </c>
      <c r="K3391" s="12" t="s">
        <v>13085</v>
      </c>
      <c r="L3391" s="15" t="s">
        <v>13093</v>
      </c>
    </row>
    <row r="3392" spans="1:12" ht="258.75">
      <c r="A3392" s="8" t="s">
        <v>13094</v>
      </c>
      <c r="B3392" s="9" t="s">
        <v>12</v>
      </c>
      <c r="C3392" s="10" t="s">
        <v>3062</v>
      </c>
      <c r="D3392" s="10" t="str">
        <f ca="1">IFERROR(__xludf.DUMMYFUNCTION(" VLOOKUP(A3389, IMPORTRANGE(""https://docs.google.com/spreadsheets/d/1fj_Bhi2XPL3siwIh4sx4VRLAe31yD50oKdj5UlRYW0c/"", ""Сводка!A:AA""), 11, FALSE)"),"978-9965-597-75-6")</f>
        <v>978-9965-597-75-6</v>
      </c>
      <c r="E3392" s="11" t="s">
        <v>13082</v>
      </c>
      <c r="F3392" s="11" t="s">
        <v>13095</v>
      </c>
      <c r="G3392" s="12">
        <f ca="1">IFERROR(__xludf.DUMMYFUNCTION(" VLOOKUP(A3389, IMPORTRANGE(""https://docs.google.com/spreadsheets/d/1fj_Bhi2XPL3siwIh4sx4VRLAe31yD50oKdj5UlRYW0c/"", ""Сводка!A:AA""), 5, FALSE)"),108)</f>
        <v>108</v>
      </c>
      <c r="H3392" s="12" t="s">
        <v>13096</v>
      </c>
      <c r="I3392" s="10">
        <f ca="1">IFERROR(__xludf.DUMMYFUNCTION(" VLOOKUP(A3389, IMPORTRANGE(""https://docs.google.com/spreadsheets/d/1QNLbnkR_AongFt22vMfNzfpjZ0CjpI8QI-w0wBnYA1w/"", ""Инфа!A:AA""), 6, FALSE)"),2024)</f>
        <v>2024</v>
      </c>
      <c r="J3392" s="5">
        <f t="shared" ca="1" si="113"/>
        <v>8200</v>
      </c>
      <c r="K3392" s="12" t="s">
        <v>13085</v>
      </c>
      <c r="L3392" s="15" t="s">
        <v>13097</v>
      </c>
    </row>
    <row r="3393" spans="1:12" ht="281.25">
      <c r="A3393" s="8" t="s">
        <v>13098</v>
      </c>
      <c r="B3393" s="9" t="s">
        <v>12</v>
      </c>
      <c r="C3393" s="10" t="s">
        <v>3062</v>
      </c>
      <c r="D3393" s="10" t="str">
        <f ca="1">IFERROR(__xludf.DUMMYFUNCTION(" VLOOKUP(A3390, IMPORTRANGE(""https://docs.google.com/spreadsheets/d/1fj_Bhi2XPL3siwIh4sx4VRLAe31yD50oKdj5UlRYW0c/"", ""Сводка!A:AA""), 11, FALSE)"),"978-9965-597-72-5")</f>
        <v>978-9965-597-72-5</v>
      </c>
      <c r="E3393" s="11" t="s">
        <v>13082</v>
      </c>
      <c r="F3393" s="11" t="s">
        <v>13099</v>
      </c>
      <c r="G3393" s="12">
        <f ca="1">IFERROR(__xludf.DUMMYFUNCTION(" VLOOKUP(A3390, IMPORTRANGE(""https://docs.google.com/spreadsheets/d/1fj_Bhi2XPL3siwIh4sx4VRLAe31yD50oKdj5UlRYW0c/"", ""Сводка!A:AA""), 5, FALSE)"),188)</f>
        <v>188</v>
      </c>
      <c r="H3393" s="12" t="s">
        <v>13084</v>
      </c>
      <c r="I3393" s="10">
        <f ca="1">IFERROR(__xludf.DUMMYFUNCTION(" VLOOKUP(A3390, IMPORTRANGE(""https://docs.google.com/spreadsheets/d/1QNLbnkR_AongFt22vMfNzfpjZ0CjpI8QI-w0wBnYA1w/"", ""Инфа!A:AA""), 6, FALSE)"),2024)</f>
        <v>2024</v>
      </c>
      <c r="J3393" s="5">
        <f t="shared" ca="1" si="113"/>
        <v>10600</v>
      </c>
      <c r="K3393" s="12" t="s">
        <v>13085</v>
      </c>
      <c r="L3393" s="15" t="s">
        <v>13100</v>
      </c>
    </row>
    <row r="3394" spans="1:12" ht="225">
      <c r="A3394" s="8" t="s">
        <v>13101</v>
      </c>
      <c r="B3394" s="9" t="s">
        <v>12</v>
      </c>
      <c r="C3394" s="10" t="s">
        <v>3062</v>
      </c>
      <c r="D3394" s="10" t="str">
        <f ca="1">IFERROR(__xludf.DUMMYFUNCTION(" VLOOKUP(A3391, IMPORTRANGE(""https://docs.google.com/spreadsheets/d/1fj_Bhi2XPL3siwIh4sx4VRLAe31yD50oKdj5UlRYW0c/"", ""Сводка!A:AA""), 11, FALSE)"),"978-9965-597-77-0")</f>
        <v>978-9965-597-77-0</v>
      </c>
      <c r="E3394" s="19" t="s">
        <v>13082</v>
      </c>
      <c r="F3394" s="32" t="s">
        <v>13102</v>
      </c>
      <c r="G3394" s="12">
        <f ca="1">IFERROR(__xludf.DUMMYFUNCTION(" VLOOKUP(A3391, IMPORTRANGE(""https://docs.google.com/spreadsheets/d/1fj_Bhi2XPL3siwIh4sx4VRLAe31yD50oKdj5UlRYW0c/"", ""Сводка!A:AA""), 5, FALSE)"),98)</f>
        <v>98</v>
      </c>
      <c r="H3394" s="9" t="s">
        <v>13084</v>
      </c>
      <c r="I3394" s="10">
        <f ca="1">IFERROR(__xludf.DUMMYFUNCTION(" VLOOKUP(A3391, IMPORTRANGE(""https://docs.google.com/spreadsheets/d/1QNLbnkR_AongFt22vMfNzfpjZ0CjpI8QI-w0wBnYA1w/"", ""Инфа!A:AA""), 6, FALSE)"),2024)</f>
        <v>2024</v>
      </c>
      <c r="J3394" s="5">
        <f t="shared" ca="1" si="113"/>
        <v>7900</v>
      </c>
      <c r="K3394" s="12" t="s">
        <v>13085</v>
      </c>
      <c r="L3394" s="15" t="s">
        <v>13103</v>
      </c>
    </row>
    <row r="3395" spans="1:12" ht="303.75">
      <c r="A3395" s="8" t="s">
        <v>13104</v>
      </c>
      <c r="B3395" s="9" t="s">
        <v>12</v>
      </c>
      <c r="C3395" s="10" t="s">
        <v>3062</v>
      </c>
      <c r="D3395" s="10" t="str">
        <f ca="1">IFERROR(__xludf.DUMMYFUNCTION(" VLOOKUP(A3392, IMPORTRANGE(""https://docs.google.com/spreadsheets/d/1fj_Bhi2XPL3siwIh4sx4VRLAe31yD50oKdj5UlRYW0c/"", ""Сводка!A:AA""), 11, FALSE)"),"978-9965-597-70-1")</f>
        <v>978-9965-597-70-1</v>
      </c>
      <c r="E3395" s="11" t="s">
        <v>13105</v>
      </c>
      <c r="F3395" s="11" t="s">
        <v>13106</v>
      </c>
      <c r="G3395" s="12">
        <f ca="1">IFERROR(__xludf.DUMMYFUNCTION(" VLOOKUP(A3392, IMPORTRANGE(""https://docs.google.com/spreadsheets/d/1fj_Bhi2XPL3siwIh4sx4VRLAe31yD50oKdj5UlRYW0c/"", ""Сводка!A:AA""), 5, FALSE)"),95)</f>
        <v>95</v>
      </c>
      <c r="H3395" s="12" t="s">
        <v>13084</v>
      </c>
      <c r="I3395" s="10">
        <f ca="1">IFERROR(__xludf.DUMMYFUNCTION(" VLOOKUP(A3392, IMPORTRANGE(""https://docs.google.com/spreadsheets/d/1QNLbnkR_AongFt22vMfNzfpjZ0CjpI8QI-w0wBnYA1w/"", ""Инфа!A:AA""), 6, FALSE)"),2024)</f>
        <v>2024</v>
      </c>
      <c r="J3395" s="5">
        <f t="shared" ca="1" si="113"/>
        <v>7900</v>
      </c>
      <c r="K3395" s="12" t="s">
        <v>13085</v>
      </c>
      <c r="L3395" s="15" t="s">
        <v>13107</v>
      </c>
    </row>
    <row r="3396" spans="1:12" ht="191.25">
      <c r="A3396" s="8" t="s">
        <v>13108</v>
      </c>
      <c r="B3396" s="9" t="s">
        <v>12</v>
      </c>
      <c r="C3396" s="10" t="s">
        <v>443</v>
      </c>
      <c r="D3396" s="10" t="str">
        <f ca="1">IFERROR(__xludf.DUMMYFUNCTION(" VLOOKUP(A3393, IMPORTRANGE(""https://docs.google.com/spreadsheets/d/1fj_Bhi2XPL3siwIh4sx4VRLAe31yD50oKdj5UlRYW0c/"", ""Сводка!A:AA""), 11, FALSE)"),"978-601-327-231-3")</f>
        <v>978-601-327-231-3</v>
      </c>
      <c r="E3396" s="11" t="s">
        <v>13109</v>
      </c>
      <c r="F3396" s="11" t="s">
        <v>2315</v>
      </c>
      <c r="G3396" s="12">
        <f ca="1">IFERROR(__xludf.DUMMYFUNCTION(" VLOOKUP(A3393, IMPORTRANGE(""https://docs.google.com/spreadsheets/d/1fj_Bhi2XPL3siwIh4sx4VRLAe31yD50oKdj5UlRYW0c/"", ""Сводка!A:AA""), 5, FALSE)"),288)</f>
        <v>288</v>
      </c>
      <c r="H3396" s="12" t="s">
        <v>538</v>
      </c>
      <c r="I3396" s="10">
        <f ca="1">IFERROR(__xludf.DUMMYFUNCTION(" VLOOKUP(A3393, IMPORTRANGE(""https://docs.google.com/spreadsheets/d/1QNLbnkR_AongFt22vMfNzfpjZ0CjpI8QI-w0wBnYA1w/"", ""Инфа!A:AA""), 6, FALSE)"),2024)</f>
        <v>2024</v>
      </c>
      <c r="J3396" s="5">
        <f ca="1">ROUND((5000+G3396*60),-2)</f>
        <v>22300</v>
      </c>
      <c r="K3396" s="12" t="s">
        <v>37</v>
      </c>
      <c r="L3396" s="15" t="s">
        <v>13110</v>
      </c>
    </row>
    <row r="3397" spans="1:12" ht="146.25">
      <c r="A3397" s="8" t="s">
        <v>13111</v>
      </c>
      <c r="B3397" s="9" t="s">
        <v>12</v>
      </c>
      <c r="C3397" s="10" t="s">
        <v>443</v>
      </c>
      <c r="D3397" s="10" t="str">
        <f ca="1">IFERROR(__xludf.DUMMYFUNCTION(" VLOOKUP(A3394, IMPORTRANGE(""https://docs.google.com/spreadsheets/d/1fj_Bhi2XPL3siwIh4sx4VRLAe31yD50oKdj5UlRYW0c/"", ""Сводка!A:AA""), 11, FALSE)"),"978-601-240-839-3")</f>
        <v>978-601-240-839-3</v>
      </c>
      <c r="E3397" s="11" t="s">
        <v>13112</v>
      </c>
      <c r="F3397" s="11" t="s">
        <v>13113</v>
      </c>
      <c r="G3397" s="12">
        <f ca="1">IFERROR(__xludf.DUMMYFUNCTION(" VLOOKUP(A3394, IMPORTRANGE(""https://docs.google.com/spreadsheets/d/1fj_Bhi2XPL3siwIh4sx4VRLAe31yD50oKdj5UlRYW0c/"", ""Сводка!A:AA""), 5, FALSE)"),192)</f>
        <v>192</v>
      </c>
      <c r="H3397" s="12" t="s">
        <v>538</v>
      </c>
      <c r="I3397" s="10">
        <f ca="1">IFERROR(__xludf.DUMMYFUNCTION(" VLOOKUP(A3394, IMPORTRANGE(""https://docs.google.com/spreadsheets/d/1QNLbnkR_AongFt22vMfNzfpjZ0CjpI8QI-w0wBnYA1w/"", ""Инфа!A:AA""), 6, FALSE)"),2024)</f>
        <v>2024</v>
      </c>
      <c r="J3397" s="5">
        <f ca="1">ROUND((5000+G3397*60),-2)</f>
        <v>16500</v>
      </c>
      <c r="K3397" s="12" t="s">
        <v>160</v>
      </c>
      <c r="L3397" s="15" t="s">
        <v>13114</v>
      </c>
    </row>
    <row r="3398" spans="1:12" ht="67.5">
      <c r="A3398" s="8" t="s">
        <v>13115</v>
      </c>
      <c r="B3398" s="9" t="s">
        <v>12</v>
      </c>
      <c r="C3398" s="10" t="s">
        <v>13</v>
      </c>
      <c r="D3398" s="10" t="str">
        <f ca="1">IFERROR(__xludf.DUMMYFUNCTION(" VLOOKUP(A3395, IMPORTRANGE(""https://docs.google.com/spreadsheets/d/1fj_Bhi2XPL3siwIh4sx4VRLAe31yD50oKdj5UlRYW0c/"", ""Сводка!A:AA""), 11, FALSE)"),"978-601-327-457-7")</f>
        <v>978-601-327-457-7</v>
      </c>
      <c r="E3398" s="11" t="s">
        <v>13116</v>
      </c>
      <c r="F3398" s="11" t="s">
        <v>13117</v>
      </c>
      <c r="G3398" s="12">
        <f ca="1">IFERROR(__xludf.DUMMYFUNCTION(" VLOOKUP(A3395, IMPORTRANGE(""https://docs.google.com/spreadsheets/d/1fj_Bhi2XPL3siwIh4sx4VRLAe31yD50oKdj5UlRYW0c/"", ""Сводка!A:AA""), 5, FALSE)"),152)</f>
        <v>152</v>
      </c>
      <c r="H3398" s="12" t="s">
        <v>42</v>
      </c>
      <c r="I3398" s="10">
        <f ca="1">IFERROR(__xludf.DUMMYFUNCTION(" VLOOKUP(A3395, IMPORTRANGE(""https://docs.google.com/spreadsheets/d/1QNLbnkR_AongFt22vMfNzfpjZ0CjpI8QI-w0wBnYA1w/"", ""Инфа!A:AA""), 6, FALSE)"),2024)</f>
        <v>2024</v>
      </c>
      <c r="J3398" s="5">
        <f ca="1">ROUND((5000+G3398*60),-2)</f>
        <v>14100</v>
      </c>
      <c r="K3398" s="12" t="s">
        <v>2046</v>
      </c>
      <c r="L3398" s="15" t="s">
        <v>13118</v>
      </c>
    </row>
    <row r="3399" spans="1:12" ht="135">
      <c r="A3399" s="8" t="s">
        <v>13119</v>
      </c>
      <c r="B3399" s="9" t="s">
        <v>12</v>
      </c>
      <c r="C3399" s="10" t="s">
        <v>443</v>
      </c>
      <c r="D3399" s="10" t="str">
        <f ca="1">IFERROR(__xludf.DUMMYFUNCTION(" VLOOKUP(A3396, IMPORTRANGE(""https://docs.google.com/spreadsheets/d/1fj_Bhi2XPL3siwIh4sx4VRLAe31yD50oKdj5UlRYW0c/"", ""Сводка!A:AA""), 11, FALSE)"),"978-601-327-838-4")</f>
        <v>978-601-327-838-4</v>
      </c>
      <c r="E3399" s="11" t="s">
        <v>13120</v>
      </c>
      <c r="F3399" s="11" t="s">
        <v>13121</v>
      </c>
      <c r="G3399" s="12">
        <f ca="1">IFERROR(__xludf.DUMMYFUNCTION(" VLOOKUP(A3396, IMPORTRANGE(""https://docs.google.com/spreadsheets/d/1fj_Bhi2XPL3siwIh4sx4VRLAe31yD50oKdj5UlRYW0c/"", ""Сводка!A:AA""), 5, FALSE)"),160)</f>
        <v>160</v>
      </c>
      <c r="H3399" s="12" t="s">
        <v>671</v>
      </c>
      <c r="I3399" s="10">
        <f ca="1">IFERROR(__xludf.DUMMYFUNCTION(" VLOOKUP(A3396, IMPORTRANGE(""https://docs.google.com/spreadsheets/d/1QNLbnkR_AongFt22vMfNzfpjZ0CjpI8QI-w0wBnYA1w/"", ""Инфа!A:AA""), 6, FALSE)"),2024)</f>
        <v>2024</v>
      </c>
      <c r="J3399" s="5">
        <f ca="1">ROUND((5000+G3399*60),-2)</f>
        <v>14600</v>
      </c>
      <c r="K3399" s="12" t="s">
        <v>2046</v>
      </c>
      <c r="L3399" s="15" t="s">
        <v>13122</v>
      </c>
    </row>
    <row r="3400" spans="1:12" ht="123.75">
      <c r="A3400" s="8" t="s">
        <v>13123</v>
      </c>
      <c r="B3400" s="9" t="s">
        <v>12</v>
      </c>
      <c r="C3400" s="10" t="s">
        <v>13124</v>
      </c>
      <c r="D3400" s="10" t="str">
        <f ca="1">IFERROR(__xludf.DUMMYFUNCTION(" VLOOKUP(A3397, IMPORTRANGE(""https://docs.google.com/spreadsheets/d/1fj_Bhi2XPL3siwIh4sx4VRLAe31yD50oKdj5UlRYW0c/"", ""Сводка!A:AA""), 11, FALSE)"),"9965-32-310-7")</f>
        <v>9965-32-310-7</v>
      </c>
      <c r="E3400" s="11" t="s">
        <v>13125</v>
      </c>
      <c r="F3400" s="11" t="s">
        <v>13126</v>
      </c>
      <c r="G3400" s="12">
        <f ca="1">IFERROR(__xludf.DUMMYFUNCTION(" VLOOKUP(A3397, IMPORTRANGE(""https://docs.google.com/spreadsheets/d/1fj_Bhi2XPL3siwIh4sx4VRLAe31yD50oKdj5UlRYW0c/"", ""Сводка!A:AA""), 5, FALSE)"),112)</f>
        <v>112</v>
      </c>
      <c r="H3400" s="12" t="s">
        <v>13127</v>
      </c>
      <c r="I3400" s="10">
        <f ca="1">IFERROR(__xludf.DUMMYFUNCTION(" VLOOKUP(A3397, IMPORTRANGE(""https://docs.google.com/spreadsheets/d/1QNLbnkR_AongFt22vMfNzfpjZ0CjpI8QI-w0wBnYA1w/"", ""Инфа!A:AA""), 6, FALSE)"),2024)</f>
        <v>2024</v>
      </c>
      <c r="J3400" s="5">
        <f ca="1">ROUND((5000+G3400*30),-2)</f>
        <v>8400</v>
      </c>
      <c r="K3400" s="12" t="s">
        <v>1491</v>
      </c>
      <c r="L3400" s="15" t="s">
        <v>13128</v>
      </c>
    </row>
    <row r="3401" spans="1:12" ht="25.5">
      <c r="A3401" s="8" t="s">
        <v>13129</v>
      </c>
      <c r="B3401" s="9" t="s">
        <v>12</v>
      </c>
      <c r="C3401" s="10" t="s">
        <v>443</v>
      </c>
      <c r="D3401" s="10" t="str">
        <f ca="1">IFERROR(__xludf.DUMMYFUNCTION(" VLOOKUP(A3398, IMPORTRANGE(""https://docs.google.com/spreadsheets/d/1fj_Bhi2XPL3siwIh4sx4VRLAe31yD50oKdj5UlRYW0c/"", ""Сводка!A:AA""), 11, FALSE)"),"978-601-241-051-9")</f>
        <v>978-601-241-051-9</v>
      </c>
      <c r="E3401" s="11" t="s">
        <v>13130</v>
      </c>
      <c r="F3401" s="11" t="s">
        <v>13131</v>
      </c>
      <c r="G3401" s="12">
        <f ca="1">IFERROR(__xludf.DUMMYFUNCTION(" VLOOKUP(A3398, IMPORTRANGE(""https://docs.google.com/spreadsheets/d/1fj_Bhi2XPL3siwIh4sx4VRLAe31yD50oKdj5UlRYW0c/"", ""Сводка!A:AA""), 5, FALSE)"),104)</f>
        <v>104</v>
      </c>
      <c r="H3401" s="12" t="s">
        <v>538</v>
      </c>
      <c r="I3401" s="10">
        <f ca="1">IFERROR(__xludf.DUMMYFUNCTION(" VLOOKUP(A3398, IMPORTRANGE(""https://docs.google.com/spreadsheets/d/1QNLbnkR_AongFt22vMfNzfpjZ0CjpI8QI-w0wBnYA1w/"", ""Инфа!A:AA""), 6, FALSE)"),2024)</f>
        <v>2024</v>
      </c>
      <c r="J3401" s="5">
        <f ca="1">ROUND((5000+G3401*30),-2)</f>
        <v>8100</v>
      </c>
      <c r="K3401" s="12" t="s">
        <v>740</v>
      </c>
      <c r="L3401" s="15"/>
    </row>
    <row r="3402" spans="1:12" ht="146.25">
      <c r="A3402" s="8" t="s">
        <v>13132</v>
      </c>
      <c r="B3402" s="9" t="s">
        <v>12</v>
      </c>
      <c r="C3402" s="10" t="s">
        <v>151</v>
      </c>
      <c r="D3402" s="10" t="str">
        <f ca="1">IFERROR(__xludf.DUMMYFUNCTION(" VLOOKUP(A3399, IMPORTRANGE(""https://docs.google.com/spreadsheets/d/1fj_Bhi2XPL3siwIh4sx4VRLAe31yD50oKdj5UlRYW0c/"", ""Сводка!A:AA""), 11, FALSE)"),"978-601-240-262-9")</f>
        <v>978-601-240-262-9</v>
      </c>
      <c r="E3402" s="11" t="s">
        <v>13130</v>
      </c>
      <c r="F3402" s="11" t="s">
        <v>13133</v>
      </c>
      <c r="G3402" s="12">
        <f ca="1">IFERROR(__xludf.DUMMYFUNCTION(" VLOOKUP(A3399, IMPORTRANGE(""https://docs.google.com/spreadsheets/d/1fj_Bhi2XPL3siwIh4sx4VRLAe31yD50oKdj5UlRYW0c/"", ""Сводка!A:AA""), 5, FALSE)"),272)</f>
        <v>272</v>
      </c>
      <c r="H3402" s="12" t="s">
        <v>538</v>
      </c>
      <c r="I3402" s="10">
        <f ca="1">IFERROR(__xludf.DUMMYFUNCTION(" VLOOKUP(A3399, IMPORTRANGE(""https://docs.google.com/spreadsheets/d/1QNLbnkR_AongFt22vMfNzfpjZ0CjpI8QI-w0wBnYA1w/"", ""Инфа!A:AA""), 6, FALSE)"),2024)</f>
        <v>2024</v>
      </c>
      <c r="J3402" s="5">
        <f ca="1">ROUND((5000+G3402*30),-2)</f>
        <v>13200</v>
      </c>
      <c r="K3402" s="12" t="s">
        <v>3371</v>
      </c>
      <c r="L3402" s="15" t="s">
        <v>13134</v>
      </c>
    </row>
    <row r="3403" spans="1:12" ht="51">
      <c r="A3403" s="8" t="s">
        <v>13135</v>
      </c>
      <c r="B3403" s="9" t="s">
        <v>12</v>
      </c>
      <c r="C3403" s="10" t="s">
        <v>443</v>
      </c>
      <c r="D3403" s="10" t="str">
        <f ca="1">IFERROR(__xludf.DUMMYFUNCTION(" VLOOKUP(A3400, IMPORTRANGE(""https://docs.google.com/spreadsheets/d/1fj_Bhi2XPL3siwIh4sx4VRLAe31yD50oKdj5UlRYW0c/"", ""Сводка!A:AA""), 11, FALSE)"),"978-601-7816-10-0")</f>
        <v>978-601-7816-10-0</v>
      </c>
      <c r="E3403" s="19" t="s">
        <v>13136</v>
      </c>
      <c r="F3403" s="19" t="s">
        <v>13137</v>
      </c>
      <c r="G3403" s="12">
        <f ca="1">IFERROR(__xludf.DUMMYFUNCTION(" VLOOKUP(A3400, IMPORTRANGE(""https://docs.google.com/spreadsheets/d/1fj_Bhi2XPL3siwIh4sx4VRLAe31yD50oKdj5UlRYW0c/"", ""Сводка!A:AA""), 5, FALSE)"),283)</f>
        <v>283</v>
      </c>
      <c r="H3403" s="9" t="s">
        <v>106</v>
      </c>
      <c r="I3403" s="10">
        <f ca="1">IFERROR(__xludf.DUMMYFUNCTION(" VLOOKUP(A3400, IMPORTRANGE(""https://docs.google.com/spreadsheets/d/1QNLbnkR_AongFt22vMfNzfpjZ0CjpI8QI-w0wBnYA1w/"", ""Инфа!A:AA""), 6, FALSE)"),2024)</f>
        <v>2024</v>
      </c>
      <c r="J3403" s="5">
        <f ca="1">ROUND((5000+G3403*30),-2)</f>
        <v>13500</v>
      </c>
      <c r="K3403" s="12" t="s">
        <v>3371</v>
      </c>
      <c r="L3403" s="15"/>
    </row>
    <row r="3404" spans="1:12" ht="180">
      <c r="A3404" s="8" t="s">
        <v>13138</v>
      </c>
      <c r="B3404" s="9" t="s">
        <v>12</v>
      </c>
      <c r="C3404" s="10" t="s">
        <v>443</v>
      </c>
      <c r="D3404" s="10" t="str">
        <f ca="1">IFERROR(__xludf.DUMMYFUNCTION(" VLOOKUP(A3401, IMPORTRANGE(""https://docs.google.com/spreadsheets/d/1fj_Bhi2XPL3siwIh4sx4VRLAe31yD50oKdj5UlRYW0c/"", ""Сводка!A:AA""), 11, FALSE)"),"978-601-7816-41-4")</f>
        <v>978-601-7816-41-4</v>
      </c>
      <c r="E3404" s="11" t="s">
        <v>13139</v>
      </c>
      <c r="F3404" s="11" t="s">
        <v>13140</v>
      </c>
      <c r="G3404" s="12">
        <f ca="1">IFERROR(__xludf.DUMMYFUNCTION(" VLOOKUP(A3401, IMPORTRANGE(""https://docs.google.com/spreadsheets/d/1fj_Bhi2XPL3siwIh4sx4VRLAe31yD50oKdj5UlRYW0c/"", ""Сводка!A:AA""), 5, FALSE)"),228)</f>
        <v>228</v>
      </c>
      <c r="H3404" s="12" t="s">
        <v>511</v>
      </c>
      <c r="I3404" s="10">
        <f ca="1">IFERROR(__xludf.DUMMYFUNCTION(" VLOOKUP(A3401, IMPORTRANGE(""https://docs.google.com/spreadsheets/d/1QNLbnkR_AongFt22vMfNzfpjZ0CjpI8QI-w0wBnYA1w/"", ""Инфа!A:AA""), 6, FALSE)"),2024)</f>
        <v>2024</v>
      </c>
      <c r="J3404" s="5">
        <f ca="1">ROUND((5000+G3404*60),-2)</f>
        <v>18700</v>
      </c>
      <c r="K3404" s="12" t="s">
        <v>3371</v>
      </c>
      <c r="L3404" s="15" t="s">
        <v>13141</v>
      </c>
    </row>
    <row r="3405" spans="1:12" ht="303.75">
      <c r="A3405" s="8" t="s">
        <v>13142</v>
      </c>
      <c r="B3405" s="9" t="s">
        <v>12</v>
      </c>
      <c r="C3405" s="10" t="s">
        <v>151</v>
      </c>
      <c r="D3405" s="10" t="str">
        <f ca="1">IFERROR(__xludf.DUMMYFUNCTION(" VLOOKUP(A3402, IMPORTRANGE(""https://docs.google.com/spreadsheets/d/1fj_Bhi2XPL3siwIh4sx4VRLAe31yD50oKdj5UlRYW0c/"", ""Сводка!A:AA""), 11, FALSE)"),"978-601-327-348-8")</f>
        <v>978-601-327-348-8</v>
      </c>
      <c r="E3405" s="11" t="s">
        <v>13143</v>
      </c>
      <c r="F3405" s="11" t="s">
        <v>13144</v>
      </c>
      <c r="G3405" s="12">
        <f ca="1">IFERROR(__xludf.DUMMYFUNCTION(" VLOOKUP(A3402, IMPORTRANGE(""https://docs.google.com/spreadsheets/d/1fj_Bhi2XPL3siwIh4sx4VRLAe31yD50oKdj5UlRYW0c/"", ""Сводка!A:AA""), 5, FALSE)"),180)</f>
        <v>180</v>
      </c>
      <c r="H3405" s="12" t="s">
        <v>24</v>
      </c>
      <c r="I3405" s="10">
        <f ca="1">IFERROR(__xludf.DUMMYFUNCTION(" VLOOKUP(A3402, IMPORTRANGE(""https://docs.google.com/spreadsheets/d/1QNLbnkR_AongFt22vMfNzfpjZ0CjpI8QI-w0wBnYA1w/"", ""Инфа!A:AA""), 6, FALSE)"),2024)</f>
        <v>2024</v>
      </c>
      <c r="J3405" s="5">
        <f ca="1">ROUND((5000+G3405*60),-2)</f>
        <v>15800</v>
      </c>
      <c r="K3405" s="12" t="s">
        <v>160</v>
      </c>
      <c r="L3405" s="15" t="s">
        <v>13145</v>
      </c>
    </row>
    <row r="3406" spans="1:12" ht="202.5">
      <c r="A3406" s="8" t="s">
        <v>13146</v>
      </c>
      <c r="B3406" s="9" t="s">
        <v>12</v>
      </c>
      <c r="C3406" s="10" t="s">
        <v>443</v>
      </c>
      <c r="D3406" s="10" t="str">
        <f ca="1">IFERROR(__xludf.DUMMYFUNCTION(" VLOOKUP(A3403, IMPORTRANGE(""https://docs.google.com/spreadsheets/d/1fj_Bhi2XPL3siwIh4sx4VRLAe31yD50oKdj5UlRYW0c/"", ""Сводка!A:AA""), 11, FALSE)"),"978-601-7321-90-1")</f>
        <v>978-601-7321-90-1</v>
      </c>
      <c r="E3406" s="11" t="s">
        <v>13147</v>
      </c>
      <c r="F3406" s="11" t="s">
        <v>13148</v>
      </c>
      <c r="G3406" s="12">
        <f ca="1">IFERROR(__xludf.DUMMYFUNCTION(" VLOOKUP(A3403, IMPORTRANGE(""https://docs.google.com/spreadsheets/d/1fj_Bhi2XPL3siwIh4sx4VRLAe31yD50oKdj5UlRYW0c/"", ""Сводка!A:AA""), 5, FALSE)"),218)</f>
        <v>218</v>
      </c>
      <c r="H3406" s="12" t="s">
        <v>511</v>
      </c>
      <c r="I3406" s="10">
        <f ca="1">IFERROR(__xludf.DUMMYFUNCTION(" VLOOKUP(A3403, IMPORTRANGE(""https://docs.google.com/spreadsheets/d/1QNLbnkR_AongFt22vMfNzfpjZ0CjpI8QI-w0wBnYA1w/"", ""Инфа!A:AA""), 6, FALSE)"),2024)</f>
        <v>2024</v>
      </c>
      <c r="J3406" s="5">
        <f t="shared" ref="J3406:J3414" ca="1" si="114">ROUND((5000+G3406*30),-2)</f>
        <v>11500</v>
      </c>
      <c r="K3406" s="12" t="s">
        <v>160</v>
      </c>
      <c r="L3406" s="15" t="s">
        <v>13149</v>
      </c>
    </row>
    <row r="3407" spans="1:12" ht="202.5">
      <c r="A3407" s="8" t="s">
        <v>13150</v>
      </c>
      <c r="B3407" s="9" t="s">
        <v>12</v>
      </c>
      <c r="C3407" s="10" t="s">
        <v>443</v>
      </c>
      <c r="D3407" s="10" t="str">
        <f ca="1">IFERROR(__xludf.DUMMYFUNCTION(" VLOOKUP(A3404, IMPORTRANGE(""https://docs.google.com/spreadsheets/d/1fj_Bhi2XPL3siwIh4sx4VRLAe31yD50oKdj5UlRYW0c/"", ""Сводка!A:AA""), 11, FALSE)"),"978-601-7321-90-1")</f>
        <v>978-601-7321-90-1</v>
      </c>
      <c r="E3407" s="11" t="s">
        <v>13147</v>
      </c>
      <c r="F3407" s="11" t="s">
        <v>13151</v>
      </c>
      <c r="G3407" s="12">
        <f ca="1">IFERROR(__xludf.DUMMYFUNCTION(" VLOOKUP(A3404, IMPORTRANGE(""https://docs.google.com/spreadsheets/d/1fj_Bhi2XPL3siwIh4sx4VRLAe31yD50oKdj5UlRYW0c/"", ""Сводка!A:AA""), 5, FALSE)"),202)</f>
        <v>202</v>
      </c>
      <c r="H3407" s="12" t="s">
        <v>511</v>
      </c>
      <c r="I3407" s="10">
        <f ca="1">IFERROR(__xludf.DUMMYFUNCTION(" VLOOKUP(A3404, IMPORTRANGE(""https://docs.google.com/spreadsheets/d/1QNLbnkR_AongFt22vMfNzfpjZ0CjpI8QI-w0wBnYA1w/"", ""Инфа!A:AA""), 6, FALSE)"),2024)</f>
        <v>2024</v>
      </c>
      <c r="J3407" s="5">
        <f t="shared" ca="1" si="114"/>
        <v>11100</v>
      </c>
      <c r="K3407" s="12" t="s">
        <v>160</v>
      </c>
      <c r="L3407" s="15" t="s">
        <v>13149</v>
      </c>
    </row>
    <row r="3408" spans="1:12" ht="146.25">
      <c r="A3408" s="8" t="s">
        <v>13152</v>
      </c>
      <c r="B3408" s="9" t="s">
        <v>12</v>
      </c>
      <c r="C3408" s="10" t="s">
        <v>443</v>
      </c>
      <c r="D3408" s="10" t="str">
        <f ca="1">IFERROR(__xludf.DUMMYFUNCTION(" VLOOKUP(A3405, IMPORTRANGE(""https://docs.google.com/spreadsheets/d/1fj_Bhi2XPL3siwIh4sx4VRLAe31yD50oKdj5UlRYW0c/"", ""Сводка!A:AA""), 11, FALSE)"),"978-601-327-418-8")</f>
        <v>978-601-327-418-8</v>
      </c>
      <c r="E3408" s="11" t="s">
        <v>13153</v>
      </c>
      <c r="F3408" s="87" t="s">
        <v>13154</v>
      </c>
      <c r="G3408" s="12">
        <f ca="1">IFERROR(__xludf.DUMMYFUNCTION(" VLOOKUP(A3405, IMPORTRANGE(""https://docs.google.com/spreadsheets/d/1fj_Bhi2XPL3siwIh4sx4VRLAe31yD50oKdj5UlRYW0c/"", ""Сводка!A:AA""), 5, FALSE)"),116)</f>
        <v>116</v>
      </c>
      <c r="H3408" s="12" t="s">
        <v>538</v>
      </c>
      <c r="I3408" s="10">
        <f ca="1">IFERROR(__xludf.DUMMYFUNCTION(" VLOOKUP(A3405, IMPORTRANGE(""https://docs.google.com/spreadsheets/d/1QNLbnkR_AongFt22vMfNzfpjZ0CjpI8QI-w0wBnYA1w/"", ""Инфа!A:AA""), 6, FALSE)"),2024)</f>
        <v>2024</v>
      </c>
      <c r="J3408" s="5">
        <f t="shared" ca="1" si="114"/>
        <v>8500</v>
      </c>
      <c r="K3408" s="12" t="s">
        <v>26</v>
      </c>
      <c r="L3408" s="15" t="s">
        <v>13155</v>
      </c>
    </row>
    <row r="3409" spans="1:12" ht="101.25">
      <c r="A3409" s="8" t="s">
        <v>13156</v>
      </c>
      <c r="B3409" s="9" t="s">
        <v>12</v>
      </c>
      <c r="C3409" s="10" t="s">
        <v>443</v>
      </c>
      <c r="D3409" s="10" t="str">
        <f ca="1">IFERROR(__xludf.DUMMYFUNCTION(" VLOOKUP(A3406, IMPORTRANGE(""https://docs.google.com/spreadsheets/d/1fj_Bhi2XPL3siwIh4sx4VRLAe31yD50oKdj5UlRYW0c/"", ""Сводка!A:AA""), 11, FALSE)"),"978-601-327-232-0")</f>
        <v>978-601-327-232-0</v>
      </c>
      <c r="E3409" s="11" t="s">
        <v>13157</v>
      </c>
      <c r="F3409" s="11" t="s">
        <v>13158</v>
      </c>
      <c r="G3409" s="12">
        <f ca="1">IFERROR(__xludf.DUMMYFUNCTION(" VLOOKUP(A3406, IMPORTRANGE(""https://docs.google.com/spreadsheets/d/1fj_Bhi2XPL3siwIh4sx4VRLAe31yD50oKdj5UlRYW0c/"", ""Сводка!A:AA""), 5, FALSE)"),140)</f>
        <v>140</v>
      </c>
      <c r="H3409" s="12" t="s">
        <v>538</v>
      </c>
      <c r="I3409" s="10">
        <f ca="1">IFERROR(__xludf.DUMMYFUNCTION(" VLOOKUP(A3406, IMPORTRANGE(""https://docs.google.com/spreadsheets/d/1QNLbnkR_AongFt22vMfNzfpjZ0CjpI8QI-w0wBnYA1w/"", ""Инфа!A:AA""), 6, FALSE)"),2024)</f>
        <v>2024</v>
      </c>
      <c r="J3409" s="5">
        <f t="shared" ca="1" si="114"/>
        <v>9200</v>
      </c>
      <c r="K3409" s="9" t="s">
        <v>539</v>
      </c>
      <c r="L3409" s="15" t="s">
        <v>13159</v>
      </c>
    </row>
    <row r="3410" spans="1:12" ht="157.5">
      <c r="A3410" s="8" t="s">
        <v>13160</v>
      </c>
      <c r="B3410" s="9" t="s">
        <v>12</v>
      </c>
      <c r="C3410" s="10" t="s">
        <v>151</v>
      </c>
      <c r="D3410" s="10" t="str">
        <f ca="1">IFERROR(__xludf.DUMMYFUNCTION(" VLOOKUP(A3407, IMPORTRANGE(""https://docs.google.com/spreadsheets/d/1fj_Bhi2XPL3siwIh4sx4VRLAe31yD50oKdj5UlRYW0c/"", ""Сводка!A:AA""), 11, FALSE)"),"978-601-342-069-1")</f>
        <v>978-601-342-069-1</v>
      </c>
      <c r="E3410" s="11" t="s">
        <v>13161</v>
      </c>
      <c r="F3410" s="11" t="s">
        <v>13162</v>
      </c>
      <c r="G3410" s="12">
        <f ca="1">IFERROR(__xludf.DUMMYFUNCTION(" VLOOKUP(A3407, IMPORTRANGE(""https://docs.google.com/spreadsheets/d/1fj_Bhi2XPL3siwIh4sx4VRLAe31yD50oKdj5UlRYW0c/"", ""Сводка!A:AA""), 5, FALSE)"),168)</f>
        <v>168</v>
      </c>
      <c r="H3410" s="12" t="s">
        <v>12569</v>
      </c>
      <c r="I3410" s="10">
        <f ca="1">IFERROR(__xludf.DUMMYFUNCTION(" VLOOKUP(A3407, IMPORTRANGE(""https://docs.google.com/spreadsheets/d/1QNLbnkR_AongFt22vMfNzfpjZ0CjpI8QI-w0wBnYA1w/"", ""Инфа!A:AA""), 6, FALSE)"),2024)</f>
        <v>2024</v>
      </c>
      <c r="J3410" s="5">
        <f t="shared" ca="1" si="114"/>
        <v>10000</v>
      </c>
      <c r="K3410" s="12" t="s">
        <v>277</v>
      </c>
      <c r="L3410" s="15" t="s">
        <v>13163</v>
      </c>
    </row>
    <row r="3411" spans="1:12" ht="78.75">
      <c r="A3411" s="8" t="s">
        <v>13164</v>
      </c>
      <c r="B3411" s="9" t="s">
        <v>12</v>
      </c>
      <c r="C3411" s="10" t="s">
        <v>151</v>
      </c>
      <c r="D3411" s="10" t="str">
        <f ca="1">IFERROR(__xludf.DUMMYFUNCTION(" VLOOKUP(A3408, IMPORTRANGE(""https://docs.google.com/spreadsheets/d/1fj_Bhi2XPL3siwIh4sx4VRLAe31yD50oKdj5UlRYW0c/"", ""Сводка!A:AA""), 11, FALSE)"),"978-601-327-784-4")</f>
        <v>978-601-327-784-4</v>
      </c>
      <c r="E3411" s="11" t="s">
        <v>13165</v>
      </c>
      <c r="F3411" s="11" t="s">
        <v>13166</v>
      </c>
      <c r="G3411" s="12">
        <f ca="1">IFERROR(__xludf.DUMMYFUNCTION(" VLOOKUP(A3408, IMPORTRANGE(""https://docs.google.com/spreadsheets/d/1fj_Bhi2XPL3siwIh4sx4VRLAe31yD50oKdj5UlRYW0c/"", ""Сводка!A:AA""), 5, FALSE)"),232)</f>
        <v>232</v>
      </c>
      <c r="H3411" s="12" t="s">
        <v>165</v>
      </c>
      <c r="I3411" s="10">
        <f ca="1">IFERROR(__xludf.DUMMYFUNCTION(" VLOOKUP(A3408, IMPORTRANGE(""https://docs.google.com/spreadsheets/d/1QNLbnkR_AongFt22vMfNzfpjZ0CjpI8QI-w0wBnYA1w/"", ""Инфа!A:AA""), 6, FALSE)"),2024)</f>
        <v>2024</v>
      </c>
      <c r="J3411" s="5">
        <f t="shared" ca="1" si="114"/>
        <v>12000</v>
      </c>
      <c r="K3411" s="12" t="s">
        <v>1603</v>
      </c>
      <c r="L3411" s="15" t="s">
        <v>13167</v>
      </c>
    </row>
    <row r="3412" spans="1:12" ht="78.75">
      <c r="A3412" s="8" t="s">
        <v>13168</v>
      </c>
      <c r="B3412" s="9" t="s">
        <v>12</v>
      </c>
      <c r="C3412" s="10" t="s">
        <v>151</v>
      </c>
      <c r="D3412" s="10" t="str">
        <f ca="1">IFERROR(__xludf.DUMMYFUNCTION(" VLOOKUP(A3409, IMPORTRANGE(""https://docs.google.com/spreadsheets/d/1fj_Bhi2XPL3siwIh4sx4VRLAe31yD50oKdj5UlRYW0c/"", ""Сводка!A:AA""), 11, FALSE)"),"978-601-327-784-4")</f>
        <v>978-601-327-784-4</v>
      </c>
      <c r="E3412" s="11" t="s">
        <v>13165</v>
      </c>
      <c r="F3412" s="11" t="s">
        <v>13169</v>
      </c>
      <c r="G3412" s="12">
        <f ca="1">IFERROR(__xludf.DUMMYFUNCTION(" VLOOKUP(A3409, IMPORTRANGE(""https://docs.google.com/spreadsheets/d/1fj_Bhi2XPL3siwIh4sx4VRLAe31yD50oKdj5UlRYW0c/"", ""Сводка!A:AA""), 5, FALSE)"),252)</f>
        <v>252</v>
      </c>
      <c r="H3412" s="12" t="s">
        <v>165</v>
      </c>
      <c r="I3412" s="10">
        <f ca="1">IFERROR(__xludf.DUMMYFUNCTION(" VLOOKUP(A3409, IMPORTRANGE(""https://docs.google.com/spreadsheets/d/1QNLbnkR_AongFt22vMfNzfpjZ0CjpI8QI-w0wBnYA1w/"", ""Инфа!A:AA""), 6, FALSE)"),2024)</f>
        <v>2024</v>
      </c>
      <c r="J3412" s="5">
        <f t="shared" ca="1" si="114"/>
        <v>12600</v>
      </c>
      <c r="K3412" s="12" t="s">
        <v>1603</v>
      </c>
      <c r="L3412" s="15" t="s">
        <v>13170</v>
      </c>
    </row>
    <row r="3413" spans="1:12" ht="25.5">
      <c r="A3413" s="8" t="s">
        <v>13171</v>
      </c>
      <c r="B3413" s="9" t="s">
        <v>12</v>
      </c>
      <c r="C3413" s="10" t="s">
        <v>151</v>
      </c>
      <c r="D3413" s="10" t="str">
        <f ca="1">IFERROR(__xludf.DUMMYFUNCTION(" VLOOKUP(A3410, IMPORTRANGE(""https://docs.google.com/spreadsheets/d/1fj_Bhi2XPL3siwIh4sx4VRLAe31yD50oKdj5UlRYW0c/"", ""Сводка!A:AA""), 11, FALSE)"),"978-601-310-773-8")</f>
        <v>978-601-310-773-8</v>
      </c>
      <c r="E3413" s="11" t="s">
        <v>13172</v>
      </c>
      <c r="F3413" s="11" t="s">
        <v>13173</v>
      </c>
      <c r="G3413" s="12">
        <f ca="1">IFERROR(__xludf.DUMMYFUNCTION(" VLOOKUP(A3410, IMPORTRANGE(""https://docs.google.com/spreadsheets/d/1fj_Bhi2XPL3siwIh4sx4VRLAe31yD50oKdj5UlRYW0c/"", ""Сводка!A:AA""), 5, FALSE)"),288)</f>
        <v>288</v>
      </c>
      <c r="H3413" s="12" t="s">
        <v>498</v>
      </c>
      <c r="I3413" s="10">
        <f ca="1">IFERROR(__xludf.DUMMYFUNCTION(" VLOOKUP(A3410, IMPORTRANGE(""https://docs.google.com/spreadsheets/d/1QNLbnkR_AongFt22vMfNzfpjZ0CjpI8QI-w0wBnYA1w/"", ""Инфа!A:AA""), 6, FALSE)"),2024)</f>
        <v>2024</v>
      </c>
      <c r="J3413" s="5">
        <f t="shared" ca="1" si="114"/>
        <v>13600</v>
      </c>
      <c r="K3413" s="12" t="s">
        <v>13173</v>
      </c>
      <c r="L3413" s="15"/>
    </row>
    <row r="3414" spans="1:12" ht="168.75">
      <c r="A3414" s="8" t="s">
        <v>13174</v>
      </c>
      <c r="B3414" s="9" t="s">
        <v>12</v>
      </c>
      <c r="C3414" s="10" t="s">
        <v>443</v>
      </c>
      <c r="D3414" s="10" t="str">
        <f ca="1">IFERROR(__xludf.DUMMYFUNCTION(" VLOOKUP(A3411, IMPORTRANGE(""https://docs.google.com/spreadsheets/d/1fj_Bhi2XPL3siwIh4sx4VRLAe31yD50oKdj5UlRYW0c/"", ""Сводка!A:AA""), 11, FALSE)"),"978-601-310-077-7")</f>
        <v>978-601-310-077-7</v>
      </c>
      <c r="E3414" s="11" t="s">
        <v>13175</v>
      </c>
      <c r="F3414" s="11" t="s">
        <v>13176</v>
      </c>
      <c r="G3414" s="12">
        <f ca="1">IFERROR(__xludf.DUMMYFUNCTION(" VLOOKUP(A3411, IMPORTRANGE(""https://docs.google.com/spreadsheets/d/1fj_Bhi2XPL3siwIh4sx4VRLAe31yD50oKdj5UlRYW0c/"", ""Сводка!A:AA""), 5, FALSE)"),244)</f>
        <v>244</v>
      </c>
      <c r="H3414" s="12" t="s">
        <v>511</v>
      </c>
      <c r="I3414" s="10">
        <f ca="1">IFERROR(__xludf.DUMMYFUNCTION(" VLOOKUP(A3411, IMPORTRANGE(""https://docs.google.com/spreadsheets/d/1QNLbnkR_AongFt22vMfNzfpjZ0CjpI8QI-w0wBnYA1w/"", ""Инфа!A:AA""), 6, FALSE)"),2024)</f>
        <v>2024</v>
      </c>
      <c r="J3414" s="5">
        <f t="shared" ca="1" si="114"/>
        <v>12300</v>
      </c>
      <c r="K3414" s="12" t="s">
        <v>160</v>
      </c>
      <c r="L3414" s="15" t="s">
        <v>13177</v>
      </c>
    </row>
    <row r="3415" spans="1:12" ht="168.75">
      <c r="A3415" s="8" t="s">
        <v>13178</v>
      </c>
      <c r="B3415" s="9" t="s">
        <v>12</v>
      </c>
      <c r="C3415" s="10" t="s">
        <v>443</v>
      </c>
      <c r="D3415" s="10" t="str">
        <f ca="1">IFERROR(__xludf.DUMMYFUNCTION(" VLOOKUP(A3412, IMPORTRANGE(""https://docs.google.com/spreadsheets/d/1fj_Bhi2XPL3siwIh4sx4VRLAe31yD50oKdj5UlRYW0c/"", ""Сводка!A:AA""), 11, FALSE)"),"978-602-241-259-7")</f>
        <v>978-602-241-259-7</v>
      </c>
      <c r="E3415" s="11" t="s">
        <v>13175</v>
      </c>
      <c r="F3415" s="11" t="s">
        <v>13179</v>
      </c>
      <c r="G3415" s="12">
        <f ca="1">IFERROR(__xludf.DUMMYFUNCTION(" VLOOKUP(A3412, IMPORTRANGE(""https://docs.google.com/spreadsheets/d/1fj_Bhi2XPL3siwIh4sx4VRLAe31yD50oKdj5UlRYW0c/"", ""Сводка!A:AA""), 5, FALSE)"),184)</f>
        <v>184</v>
      </c>
      <c r="H3415" s="12" t="s">
        <v>511</v>
      </c>
      <c r="I3415" s="10">
        <f ca="1">IFERROR(__xludf.DUMMYFUNCTION(" VLOOKUP(A3412, IMPORTRANGE(""https://docs.google.com/spreadsheets/d/1QNLbnkR_AongFt22vMfNzfpjZ0CjpI8QI-w0wBnYA1w/"", ""Инфа!A:AA""), 6, FALSE)"),2024)</f>
        <v>2024</v>
      </c>
      <c r="J3415" s="5">
        <f ca="1">ROUND((5000+G3415*60),-2)</f>
        <v>16000</v>
      </c>
      <c r="K3415" s="12" t="s">
        <v>17</v>
      </c>
      <c r="L3415" s="15" t="s">
        <v>13180</v>
      </c>
    </row>
    <row r="3416" spans="1:12" ht="202.5">
      <c r="A3416" s="8" t="s">
        <v>13181</v>
      </c>
      <c r="B3416" s="9" t="s">
        <v>12</v>
      </c>
      <c r="C3416" s="10" t="s">
        <v>443</v>
      </c>
      <c r="D3416" s="10" t="str">
        <f ca="1">IFERROR(__xludf.DUMMYFUNCTION(" VLOOKUP(A3413, IMPORTRANGE(""https://docs.google.com/spreadsheets/d/1fj_Bhi2XPL3siwIh4sx4VRLAe31yD50oKdj5UlRYW0c/"", ""Сводка!A:AA""), 11, FALSE)"),"978-601-240-224-7")</f>
        <v>978-601-240-224-7</v>
      </c>
      <c r="E3416" s="11" t="s">
        <v>13175</v>
      </c>
      <c r="F3416" s="11" t="s">
        <v>13182</v>
      </c>
      <c r="G3416" s="12">
        <f ca="1">IFERROR(__xludf.DUMMYFUNCTION(" VLOOKUP(A3413, IMPORTRANGE(""https://docs.google.com/spreadsheets/d/1fj_Bhi2XPL3siwIh4sx4VRLAe31yD50oKdj5UlRYW0c/"", ""Сводка!A:AA""), 5, FALSE)"),196)</f>
        <v>196</v>
      </c>
      <c r="H3416" s="12" t="s">
        <v>538</v>
      </c>
      <c r="I3416" s="10">
        <f ca="1">IFERROR(__xludf.DUMMYFUNCTION(" VLOOKUP(A3413, IMPORTRANGE(""https://docs.google.com/spreadsheets/d/1QNLbnkR_AongFt22vMfNzfpjZ0CjpI8QI-w0wBnYA1w/"", ""Инфа!A:AA""), 6, FALSE)"),2024)</f>
        <v>2024</v>
      </c>
      <c r="J3416" s="5">
        <f ca="1">ROUND((5000+G3416*30),-2)</f>
        <v>10900</v>
      </c>
      <c r="K3416" s="12" t="s">
        <v>1603</v>
      </c>
      <c r="L3416" s="15" t="s">
        <v>13183</v>
      </c>
    </row>
    <row r="3417" spans="1:12" ht="146.25">
      <c r="A3417" s="8" t="s">
        <v>13184</v>
      </c>
      <c r="B3417" s="9" t="s">
        <v>12</v>
      </c>
      <c r="C3417" s="10" t="s">
        <v>443</v>
      </c>
      <c r="D3417" s="10" t="str">
        <f ca="1">IFERROR(__xludf.DUMMYFUNCTION(" VLOOKUP(A3414, IMPORTRANGE(""https://docs.google.com/spreadsheets/d/1fj_Bhi2XPL3siwIh4sx4VRLAe31yD50oKdj5UlRYW0c/"", ""Сводка!A:AA""), 11, FALSE)"),"978-601-327-788-2")</f>
        <v>978-601-327-788-2</v>
      </c>
      <c r="E3417" s="22" t="s">
        <v>13185</v>
      </c>
      <c r="F3417" s="22" t="s">
        <v>13186</v>
      </c>
      <c r="G3417" s="12">
        <f ca="1">IFERROR(__xludf.DUMMYFUNCTION(" VLOOKUP(A3414, IMPORTRANGE(""https://docs.google.com/spreadsheets/d/1fj_Bhi2XPL3siwIh4sx4VRLAe31yD50oKdj5UlRYW0c/"", ""Сводка!A:AA""), 5, FALSE)"),324)</f>
        <v>324</v>
      </c>
      <c r="H3417" s="10" t="s">
        <v>671</v>
      </c>
      <c r="I3417" s="10">
        <f ca="1">IFERROR(__xludf.DUMMYFUNCTION(" VLOOKUP(A3414, IMPORTRANGE(""https://docs.google.com/spreadsheets/d/1QNLbnkR_AongFt22vMfNzfpjZ0CjpI8QI-w0wBnYA1w/"", ""Инфа!A:AA""), 6, FALSE)"),2024)</f>
        <v>2024</v>
      </c>
      <c r="J3417" s="5">
        <f ca="1">ROUND((5000+G3417*30),-2)</f>
        <v>14700</v>
      </c>
      <c r="K3417" s="10" t="s">
        <v>37</v>
      </c>
      <c r="L3417" s="23" t="s">
        <v>13187</v>
      </c>
    </row>
    <row r="3418" spans="1:12" ht="202.5">
      <c r="A3418" s="8" t="s">
        <v>13188</v>
      </c>
      <c r="B3418" s="9" t="s">
        <v>12</v>
      </c>
      <c r="C3418" s="10" t="s">
        <v>443</v>
      </c>
      <c r="D3418" s="10" t="str">
        <f ca="1">IFERROR(__xludf.DUMMYFUNCTION(" VLOOKUP(A3415, IMPORTRANGE(""https://docs.google.com/spreadsheets/d/1fj_Bhi2XPL3siwIh4sx4VRLAe31yD50oKdj5UlRYW0c/"", ""Сводка!A:AA""), 11, FALSE)"),"978-601-342-477-4")</f>
        <v>978-601-342-477-4</v>
      </c>
      <c r="E3418" s="11" t="s">
        <v>13189</v>
      </c>
      <c r="F3418" s="11" t="s">
        <v>13190</v>
      </c>
      <c r="G3418" s="12">
        <f ca="1">IFERROR(__xludf.DUMMYFUNCTION(" VLOOKUP(A3415, IMPORTRANGE(""https://docs.google.com/spreadsheets/d/1fj_Bhi2XPL3siwIh4sx4VRLAe31yD50oKdj5UlRYW0c/"", ""Сводка!A:AA""), 5, FALSE)"),204)</f>
        <v>204</v>
      </c>
      <c r="H3418" s="12" t="s">
        <v>671</v>
      </c>
      <c r="I3418" s="10">
        <f ca="1">IFERROR(__xludf.DUMMYFUNCTION(" VLOOKUP(A3415, IMPORTRANGE(""https://docs.google.com/spreadsheets/d/1QNLbnkR_AongFt22vMfNzfpjZ0CjpI8QI-w0wBnYA1w/"", ""Инфа!A:AA""), 6, FALSE)"),2024)</f>
        <v>2024</v>
      </c>
      <c r="J3418" s="5">
        <f ca="1">ROUND((5000+G3418*30),-2)</f>
        <v>11100</v>
      </c>
      <c r="K3418" s="12" t="s">
        <v>2600</v>
      </c>
      <c r="L3418" s="15" t="s">
        <v>13191</v>
      </c>
    </row>
    <row r="3419" spans="1:12" ht="157.5">
      <c r="A3419" s="8" t="s">
        <v>13192</v>
      </c>
      <c r="B3419" s="9" t="s">
        <v>12</v>
      </c>
      <c r="C3419" s="10" t="s">
        <v>443</v>
      </c>
      <c r="D3419" s="10" t="str">
        <f ca="1">IFERROR(__xludf.DUMMYFUNCTION(" VLOOKUP(A3416, IMPORTRANGE(""https://docs.google.com/spreadsheets/d/1fj_Bhi2XPL3siwIh4sx4VRLAe31yD50oKdj5UlRYW0c/"", ""Сводка!A:AA""), 11, FALSE)"),"978-601-216-264-6")</f>
        <v>978-601-216-264-6</v>
      </c>
      <c r="E3419" s="11" t="s">
        <v>13193</v>
      </c>
      <c r="F3419" s="11" t="s">
        <v>13194</v>
      </c>
      <c r="G3419" s="12">
        <f ca="1">IFERROR(__xludf.DUMMYFUNCTION(" VLOOKUP(A3416, IMPORTRANGE(""https://docs.google.com/spreadsheets/d/1fj_Bhi2XPL3siwIh4sx4VRLAe31yD50oKdj5UlRYW0c/"", ""Сводка!A:AA""), 5, FALSE)"),344)</f>
        <v>344</v>
      </c>
      <c r="H3419" s="12" t="s">
        <v>538</v>
      </c>
      <c r="I3419" s="10">
        <f ca="1">IFERROR(__xludf.DUMMYFUNCTION(" VLOOKUP(A3416, IMPORTRANGE(""https://docs.google.com/spreadsheets/d/1QNLbnkR_AongFt22vMfNzfpjZ0CjpI8QI-w0wBnYA1w/"", ""Инфа!A:AA""), 6, FALSE)"),2024)</f>
        <v>2024</v>
      </c>
      <c r="J3419" s="5">
        <f ca="1">ROUND(((5000+G3419*60)*1.3),-2)</f>
        <v>33300</v>
      </c>
      <c r="K3419" s="12" t="s">
        <v>447</v>
      </c>
      <c r="L3419" s="15" t="s">
        <v>13195</v>
      </c>
    </row>
    <row r="3420" spans="1:12" ht="157.5">
      <c r="A3420" s="8" t="s">
        <v>13196</v>
      </c>
      <c r="B3420" s="9" t="s">
        <v>12</v>
      </c>
      <c r="C3420" s="10" t="s">
        <v>443</v>
      </c>
      <c r="D3420" s="10" t="str">
        <f ca="1">IFERROR(__xludf.DUMMYFUNCTION(" VLOOKUP(A3417, IMPORTRANGE(""https://docs.google.com/spreadsheets/d/1fj_Bhi2XPL3siwIh4sx4VRLAe31yD50oKdj5UlRYW0c/"", ""Сводка!A:AA""), 11, FALSE)"),"978-601-216-264-6")</f>
        <v>978-601-216-264-6</v>
      </c>
      <c r="E3420" s="11" t="s">
        <v>13193</v>
      </c>
      <c r="F3420" s="11" t="s">
        <v>13197</v>
      </c>
      <c r="G3420" s="12">
        <f ca="1">IFERROR(__xludf.DUMMYFUNCTION(" VLOOKUP(A3417, IMPORTRANGE(""https://docs.google.com/spreadsheets/d/1fj_Bhi2XPL3siwIh4sx4VRLAe31yD50oKdj5UlRYW0c/"", ""Сводка!A:AA""), 5, FALSE)"),256)</f>
        <v>256</v>
      </c>
      <c r="H3420" s="12" t="s">
        <v>538</v>
      </c>
      <c r="I3420" s="10">
        <f ca="1">IFERROR(__xludf.DUMMYFUNCTION(" VLOOKUP(A3417, IMPORTRANGE(""https://docs.google.com/spreadsheets/d/1QNLbnkR_AongFt22vMfNzfpjZ0CjpI8QI-w0wBnYA1w/"", ""Инфа!A:AA""), 6, FALSE)"),2024)</f>
        <v>2024</v>
      </c>
      <c r="J3420" s="5">
        <f ca="1">ROUND(((5000+G3420*60)*1.3),-2)</f>
        <v>26500</v>
      </c>
      <c r="K3420" s="12" t="s">
        <v>447</v>
      </c>
      <c r="L3420" s="15" t="s">
        <v>13195</v>
      </c>
    </row>
    <row r="3421" spans="1:12" ht="146.25">
      <c r="A3421" s="8" t="s">
        <v>13198</v>
      </c>
      <c r="B3421" s="9" t="s">
        <v>12</v>
      </c>
      <c r="C3421" s="10" t="s">
        <v>443</v>
      </c>
      <c r="D3421" s="10" t="str">
        <f ca="1">IFERROR(__xludf.DUMMYFUNCTION(" VLOOKUP(A3418, IMPORTRANGE(""https://docs.google.com/spreadsheets/d/1fj_Bhi2XPL3siwIh4sx4VRLAe31yD50oKdj5UlRYW0c/"", ""Сводка!A:AA""), 11, FALSE)"),"978-601-240-546-0")</f>
        <v>978-601-240-546-0</v>
      </c>
      <c r="E3421" s="11" t="s">
        <v>13199</v>
      </c>
      <c r="F3421" s="11" t="s">
        <v>13200</v>
      </c>
      <c r="G3421" s="12">
        <f ca="1">IFERROR(__xludf.DUMMYFUNCTION(" VLOOKUP(A3418, IMPORTRANGE(""https://docs.google.com/spreadsheets/d/1fj_Bhi2XPL3siwIh4sx4VRLAe31yD50oKdj5UlRYW0c/"", ""Сводка!A:AA""), 5, FALSE)"),312)</f>
        <v>312</v>
      </c>
      <c r="H3421" s="12" t="s">
        <v>777</v>
      </c>
      <c r="I3421" s="10">
        <f ca="1">IFERROR(__xludf.DUMMYFUNCTION(" VLOOKUP(A3418, IMPORTRANGE(""https://docs.google.com/spreadsheets/d/1QNLbnkR_AongFt22vMfNzfpjZ0CjpI8QI-w0wBnYA1w/"", ""Инфа!A:AA""), 6, FALSE)"),2024)</f>
        <v>2024</v>
      </c>
      <c r="J3421" s="5">
        <f ca="1">ROUND((5000+G3421*30),-2)</f>
        <v>14400</v>
      </c>
      <c r="K3421" s="9" t="s">
        <v>539</v>
      </c>
      <c r="L3421" s="15" t="s">
        <v>13201</v>
      </c>
    </row>
    <row r="3422" spans="1:12" ht="168.75">
      <c r="A3422" s="8" t="s">
        <v>13202</v>
      </c>
      <c r="B3422" s="9" t="s">
        <v>12</v>
      </c>
      <c r="C3422" s="10" t="s">
        <v>13</v>
      </c>
      <c r="D3422" s="10" t="str">
        <f ca="1">IFERROR(__xludf.DUMMYFUNCTION(" VLOOKUP(A3419, IMPORTRANGE(""https://docs.google.com/spreadsheets/d/1fj_Bhi2XPL3siwIh4sx4VRLAe31yD50oKdj5UlRYW0c/"", ""Сводка!A:AA""), 11, FALSE)"),"978-601-327-848-3")</f>
        <v>978-601-327-848-3</v>
      </c>
      <c r="E3422" s="22" t="s">
        <v>13203</v>
      </c>
      <c r="F3422" s="22" t="s">
        <v>13204</v>
      </c>
      <c r="G3422" s="12">
        <f ca="1">IFERROR(__xludf.DUMMYFUNCTION(" VLOOKUP(A3419, IMPORTRANGE(""https://docs.google.com/spreadsheets/d/1fj_Bhi2XPL3siwIh4sx4VRLAe31yD50oKdj5UlRYW0c/"", ""Сводка!A:AA""), 5, FALSE)"),108)</f>
        <v>108</v>
      </c>
      <c r="H3422" s="10" t="s">
        <v>106</v>
      </c>
      <c r="I3422" s="10">
        <f ca="1">IFERROR(__xludf.DUMMYFUNCTION(" VLOOKUP(A3419, IMPORTRANGE(""https://docs.google.com/spreadsheets/d/1QNLbnkR_AongFt22vMfNzfpjZ0CjpI8QI-w0wBnYA1w/"", ""Инфа!A:AA""), 6, FALSE)"),2024)</f>
        <v>2024</v>
      </c>
      <c r="J3422" s="5">
        <f ca="1">ROUND((5000+G3422*60),-2)</f>
        <v>11500</v>
      </c>
      <c r="K3422" s="10" t="s">
        <v>171</v>
      </c>
      <c r="L3422" s="23" t="s">
        <v>13205</v>
      </c>
    </row>
    <row r="3423" spans="1:12" ht="67.5">
      <c r="A3423" s="8" t="s">
        <v>13206</v>
      </c>
      <c r="B3423" s="9" t="s">
        <v>12</v>
      </c>
      <c r="C3423" s="10" t="s">
        <v>151</v>
      </c>
      <c r="D3423" s="10" t="str">
        <f ca="1">IFERROR(__xludf.DUMMYFUNCTION(" VLOOKUP(A3420, IMPORTRANGE(""https://docs.google.com/spreadsheets/d/1fj_Bhi2XPL3siwIh4sx4VRLAe31yD50oKdj5UlRYW0c/"", ""Сводка!A:AA""), 11, FALSE)"),"978-601-310-967-1")</f>
        <v>978-601-310-967-1</v>
      </c>
      <c r="E3423" s="11" t="s">
        <v>13207</v>
      </c>
      <c r="F3423" s="11" t="s">
        <v>13208</v>
      </c>
      <c r="G3423" s="12">
        <f ca="1">IFERROR(__xludf.DUMMYFUNCTION(" VLOOKUP(A3420, IMPORTRANGE(""https://docs.google.com/spreadsheets/d/1fj_Bhi2XPL3siwIh4sx4VRLAe31yD50oKdj5UlRYW0c/"", ""Сводка!A:AA""), 5, FALSE)"),288)</f>
        <v>288</v>
      </c>
      <c r="H3423" s="12" t="s">
        <v>165</v>
      </c>
      <c r="I3423" s="10">
        <f ca="1">IFERROR(__xludf.DUMMYFUNCTION(" VLOOKUP(A3420, IMPORTRANGE(""https://docs.google.com/spreadsheets/d/1QNLbnkR_AongFt22vMfNzfpjZ0CjpI8QI-w0wBnYA1w/"", ""Инфа!A:AA""), 6, FALSE)"),2024)</f>
        <v>2024</v>
      </c>
      <c r="J3423" s="5">
        <f ca="1">ROUND(((5000+G3423*60)*1.3),-2)</f>
        <v>29000</v>
      </c>
      <c r="K3423" s="12" t="s">
        <v>4314</v>
      </c>
      <c r="L3423" s="15" t="s">
        <v>13209</v>
      </c>
    </row>
    <row r="3424" spans="1:12" ht="67.5">
      <c r="A3424" s="8" t="s">
        <v>13210</v>
      </c>
      <c r="B3424" s="9" t="s">
        <v>12</v>
      </c>
      <c r="C3424" s="10" t="s">
        <v>151</v>
      </c>
      <c r="D3424" s="10" t="str">
        <f ca="1">IFERROR(__xludf.DUMMYFUNCTION(" VLOOKUP(A3421, IMPORTRANGE(""https://docs.google.com/spreadsheets/d/1fj_Bhi2XPL3siwIh4sx4VRLAe31yD50oKdj5UlRYW0c/"", ""Сводка!A:AA""), 11, FALSE)"),"978-601-310-967-1")</f>
        <v>978-601-310-967-1</v>
      </c>
      <c r="E3424" s="11" t="s">
        <v>13207</v>
      </c>
      <c r="F3424" s="11" t="s">
        <v>13211</v>
      </c>
      <c r="G3424" s="12">
        <f ca="1">IFERROR(__xludf.DUMMYFUNCTION(" VLOOKUP(A3421, IMPORTRANGE(""https://docs.google.com/spreadsheets/d/1fj_Bhi2XPL3siwIh4sx4VRLAe31yD50oKdj5UlRYW0c/"", ""Сводка!A:AA""), 5, FALSE)"),276)</f>
        <v>276</v>
      </c>
      <c r="H3424" s="12" t="s">
        <v>165</v>
      </c>
      <c r="I3424" s="10">
        <f ca="1">IFERROR(__xludf.DUMMYFUNCTION(" VLOOKUP(A3421, IMPORTRANGE(""https://docs.google.com/spreadsheets/d/1QNLbnkR_AongFt22vMfNzfpjZ0CjpI8QI-w0wBnYA1w/"", ""Инфа!A:AA""), 6, FALSE)"),2024)</f>
        <v>2024</v>
      </c>
      <c r="J3424" s="5">
        <f ca="1">ROUND(((5000+G3424*60)*1.3),-2)</f>
        <v>28000</v>
      </c>
      <c r="K3424" s="12" t="s">
        <v>4314</v>
      </c>
      <c r="L3424" s="15" t="s">
        <v>13209</v>
      </c>
    </row>
    <row r="3425" spans="1:12" ht="213.75">
      <c r="A3425" s="8" t="s">
        <v>13212</v>
      </c>
      <c r="B3425" s="9" t="s">
        <v>12</v>
      </c>
      <c r="C3425" s="10" t="s">
        <v>21</v>
      </c>
      <c r="D3425" s="10" t="str">
        <f ca="1">IFERROR(__xludf.DUMMYFUNCTION(" VLOOKUP(A3422, IMPORTRANGE(""https://docs.google.com/spreadsheets/d/1fj_Bhi2XPL3siwIh4sx4VRLAe31yD50oKdj5UlRYW0c/"", ""Сводка!A:AA""), 11, FALSE)"),"978-601-342-332-6")</f>
        <v>978-601-342-332-6</v>
      </c>
      <c r="E3425" s="11" t="s">
        <v>13213</v>
      </c>
      <c r="F3425" s="11" t="s">
        <v>13214</v>
      </c>
      <c r="G3425" s="12">
        <f ca="1">IFERROR(__xludf.DUMMYFUNCTION(" VLOOKUP(A3422, IMPORTRANGE(""https://docs.google.com/spreadsheets/d/1fj_Bhi2XPL3siwIh4sx4VRLAe31yD50oKdj5UlRYW0c/"", ""Сводка!A:AA""), 5, FALSE)"),92)</f>
        <v>92</v>
      </c>
      <c r="H3425" s="12" t="s">
        <v>13215</v>
      </c>
      <c r="I3425" s="10">
        <f ca="1">IFERROR(__xludf.DUMMYFUNCTION(" VLOOKUP(A3422, IMPORTRANGE(""https://docs.google.com/spreadsheets/d/1QNLbnkR_AongFt22vMfNzfpjZ0CjpI8QI-w0wBnYA1w/"", ""Инфа!A:AA""), 6, FALSE)"),2024)</f>
        <v>2024</v>
      </c>
      <c r="J3425" s="5">
        <f ca="1">ROUND((5000+G3425*30),-2)</f>
        <v>7800</v>
      </c>
      <c r="K3425" s="12" t="s">
        <v>3629</v>
      </c>
      <c r="L3425" s="15" t="s">
        <v>13216</v>
      </c>
    </row>
    <row r="3426" spans="1:12" ht="202.5">
      <c r="A3426" s="8" t="s">
        <v>13217</v>
      </c>
      <c r="B3426" s="9" t="s">
        <v>12</v>
      </c>
      <c r="C3426" s="10" t="s">
        <v>443</v>
      </c>
      <c r="D3426" s="10" t="str">
        <f ca="1">IFERROR(__xludf.DUMMYFUNCTION(" VLOOKUP(A3423, IMPORTRANGE(""https://docs.google.com/spreadsheets/d/1fj_Bhi2XPL3siwIh4sx4VRLAe31yD50oKdj5UlRYW0c/"", ""Сводка!A:AA""), 11, FALSE)"),"978-601-342-003-5")</f>
        <v>978-601-342-003-5</v>
      </c>
      <c r="E3426" s="11" t="s">
        <v>13218</v>
      </c>
      <c r="F3426" s="11" t="s">
        <v>13219</v>
      </c>
      <c r="G3426" s="12">
        <f ca="1">IFERROR(__xludf.DUMMYFUNCTION(" VLOOKUP(A3423, IMPORTRANGE(""https://docs.google.com/spreadsheets/d/1fj_Bhi2XPL3siwIh4sx4VRLAe31yD50oKdj5UlRYW0c/"", ""Сводка!A:AA""), 5, FALSE)"),256)</f>
        <v>256</v>
      </c>
      <c r="H3426" s="12" t="s">
        <v>538</v>
      </c>
      <c r="I3426" s="10">
        <f ca="1">IFERROR(__xludf.DUMMYFUNCTION(" VLOOKUP(A3423, IMPORTRANGE(""https://docs.google.com/spreadsheets/d/1QNLbnkR_AongFt22vMfNzfpjZ0CjpI8QI-w0wBnYA1w/"", ""Инфа!A:AA""), 6, FALSE)"),2024)</f>
        <v>2024</v>
      </c>
      <c r="J3426" s="5">
        <f ca="1">ROUND((5000+G3426*30),-2)</f>
        <v>12700</v>
      </c>
      <c r="K3426" s="12" t="s">
        <v>7097</v>
      </c>
      <c r="L3426" s="15" t="s">
        <v>13220</v>
      </c>
    </row>
    <row r="3427" spans="1:12" ht="78.75">
      <c r="A3427" s="8" t="s">
        <v>13221</v>
      </c>
      <c r="B3427" s="9" t="s">
        <v>12</v>
      </c>
      <c r="C3427" s="10" t="s">
        <v>151</v>
      </c>
      <c r="D3427" s="10" t="str">
        <f ca="1">IFERROR(__xludf.DUMMYFUNCTION(" VLOOKUP(A3424, IMPORTRANGE(""https://docs.google.com/spreadsheets/d/1fj_Bhi2XPL3siwIh4sx4VRLAe31yD50oKdj5UlRYW0c/"", ""Сводка!A:AA""), 11, FALSE)"),"978-601-352-526-6")</f>
        <v>978-601-352-526-6</v>
      </c>
      <c r="E3427" s="11" t="s">
        <v>13222</v>
      </c>
      <c r="F3427" s="11" t="s">
        <v>13223</v>
      </c>
      <c r="G3427" s="12">
        <f ca="1">IFERROR(__xludf.DUMMYFUNCTION(" VLOOKUP(A3424, IMPORTRANGE(""https://docs.google.com/spreadsheets/d/1fj_Bhi2XPL3siwIh4sx4VRLAe31yD50oKdj5UlRYW0c/"", ""Сводка!A:AA""), 5, FALSE)"),196)</f>
        <v>196</v>
      </c>
      <c r="H3427" s="12" t="s">
        <v>165</v>
      </c>
      <c r="I3427" s="10">
        <f ca="1">IFERROR(__xludf.DUMMYFUNCTION(" VLOOKUP(A3424, IMPORTRANGE(""https://docs.google.com/spreadsheets/d/1QNLbnkR_AongFt22vMfNzfpjZ0CjpI8QI-w0wBnYA1w/"", ""Инфа!A:AA""), 6, FALSE)"),2024)</f>
        <v>2024</v>
      </c>
      <c r="J3427" s="5">
        <f ca="1">ROUND((5000+G3427*60),-2)</f>
        <v>16800</v>
      </c>
      <c r="K3427" s="12" t="s">
        <v>78</v>
      </c>
      <c r="L3427" s="15" t="s">
        <v>13224</v>
      </c>
    </row>
    <row r="3428" spans="1:12" ht="225">
      <c r="A3428" s="8" t="s">
        <v>13225</v>
      </c>
      <c r="B3428" s="9" t="s">
        <v>12</v>
      </c>
      <c r="C3428" s="10" t="s">
        <v>443</v>
      </c>
      <c r="D3428" s="10" t="str">
        <f ca="1">IFERROR(__xludf.DUMMYFUNCTION(" VLOOKUP(A3425, IMPORTRANGE(""https://docs.google.com/spreadsheets/d/1fj_Bhi2XPL3siwIh4sx4VRLAe31yD50oKdj5UlRYW0c/"", ""Сводка!A:AA""), 11, FALSE)"),"978-601-240-807-6")</f>
        <v>978-601-240-807-6</v>
      </c>
      <c r="E3428" s="11" t="s">
        <v>13226</v>
      </c>
      <c r="F3428" s="11" t="s">
        <v>13227</v>
      </c>
      <c r="G3428" s="12">
        <f ca="1">IFERROR(__xludf.DUMMYFUNCTION(" VLOOKUP(A3425, IMPORTRANGE(""https://docs.google.com/spreadsheets/d/1fj_Bhi2XPL3siwIh4sx4VRLAe31yD50oKdj5UlRYW0c/"", ""Сводка!A:AA""), 5, FALSE)"),156)</f>
        <v>156</v>
      </c>
      <c r="H3428" s="12" t="s">
        <v>446</v>
      </c>
      <c r="I3428" s="10">
        <f ca="1">IFERROR(__xludf.DUMMYFUNCTION(" VLOOKUP(A3425, IMPORTRANGE(""https://docs.google.com/spreadsheets/d/1QNLbnkR_AongFt22vMfNzfpjZ0CjpI8QI-w0wBnYA1w/"", ""Инфа!A:AA""), 6, FALSE)"),2024)</f>
        <v>2024</v>
      </c>
      <c r="J3428" s="5">
        <f ca="1">ROUND((5000+G3428*30),-2)</f>
        <v>9700</v>
      </c>
      <c r="K3428" s="12" t="s">
        <v>13228</v>
      </c>
      <c r="L3428" s="15" t="s">
        <v>13229</v>
      </c>
    </row>
    <row r="3429" spans="1:12" ht="112.5">
      <c r="A3429" s="8" t="s">
        <v>13230</v>
      </c>
      <c r="B3429" s="9" t="s">
        <v>12</v>
      </c>
      <c r="C3429" s="10" t="s">
        <v>443</v>
      </c>
      <c r="D3429" s="10" t="str">
        <f ca="1">IFERROR(__xludf.DUMMYFUNCTION(" VLOOKUP(A3426, IMPORTRANGE(""https://docs.google.com/spreadsheets/d/1fj_Bhi2XPL3siwIh4sx4VRLAe31yD50oKdj5UlRYW0c/"", ""Сводка!A:AA""), 11, FALSE)"),"978-601-310-848-3")</f>
        <v>978-601-310-848-3</v>
      </c>
      <c r="E3429" s="11" t="s">
        <v>13231</v>
      </c>
      <c r="F3429" s="11" t="s">
        <v>13232</v>
      </c>
      <c r="G3429" s="12">
        <f ca="1">IFERROR(__xludf.DUMMYFUNCTION(" VLOOKUP(A3426, IMPORTRANGE(""https://docs.google.com/spreadsheets/d/1fj_Bhi2XPL3siwIh4sx4VRLAe31yD50oKdj5UlRYW0c/"", ""Сводка!A:AA""), 5, FALSE)"),132)</f>
        <v>132</v>
      </c>
      <c r="H3429" s="12" t="s">
        <v>1271</v>
      </c>
      <c r="I3429" s="10">
        <f ca="1">IFERROR(__xludf.DUMMYFUNCTION(" VLOOKUP(A3426, IMPORTRANGE(""https://docs.google.com/spreadsheets/d/1QNLbnkR_AongFt22vMfNzfpjZ0CjpI8QI-w0wBnYA1w/"", ""Инфа!A:AA""), 6, FALSE)"),2024)</f>
        <v>2024</v>
      </c>
      <c r="J3429" s="5">
        <f ca="1">ROUND((5000+G3429*30),-2)</f>
        <v>9000</v>
      </c>
      <c r="K3429" s="12" t="s">
        <v>213</v>
      </c>
      <c r="L3429" s="15" t="s">
        <v>13233</v>
      </c>
    </row>
    <row r="3430" spans="1:12" ht="135">
      <c r="A3430" s="8" t="s">
        <v>13234</v>
      </c>
      <c r="B3430" s="9" t="s">
        <v>12</v>
      </c>
      <c r="C3430" s="10" t="s">
        <v>443</v>
      </c>
      <c r="D3430" s="10" t="str">
        <f ca="1">IFERROR(__xludf.DUMMYFUNCTION(" VLOOKUP(A3427, IMPORTRANGE(""https://docs.google.com/spreadsheets/d/1fj_Bhi2XPL3siwIh4sx4VRLAe31yD50oKdj5UlRYW0c/"", ""Сводка!A:AA""), 11, FALSE)"),"978-601-327-052-4")</f>
        <v>978-601-327-052-4</v>
      </c>
      <c r="E3430" s="11" t="s">
        <v>13235</v>
      </c>
      <c r="F3430" s="11" t="s">
        <v>13236</v>
      </c>
      <c r="G3430" s="12">
        <f ca="1">IFERROR(__xludf.DUMMYFUNCTION(" VLOOKUP(A3427, IMPORTRANGE(""https://docs.google.com/spreadsheets/d/1fj_Bhi2XPL3siwIh4sx4VRLAe31yD50oKdj5UlRYW0c/"", ""Сводка!A:AA""), 5, FALSE)"),88)</f>
        <v>88</v>
      </c>
      <c r="H3430" s="12" t="s">
        <v>1271</v>
      </c>
      <c r="I3430" s="10">
        <f ca="1">IFERROR(__xludf.DUMMYFUNCTION(" VLOOKUP(A3427, IMPORTRANGE(""https://docs.google.com/spreadsheets/d/1QNLbnkR_AongFt22vMfNzfpjZ0CjpI8QI-w0wBnYA1w/"", ""Инфа!A:AA""), 6, FALSE)"),2024)</f>
        <v>2024</v>
      </c>
      <c r="J3430" s="5">
        <f ca="1">ROUND((5000+G3430*60),-2)</f>
        <v>10300</v>
      </c>
      <c r="K3430" s="12" t="s">
        <v>171</v>
      </c>
      <c r="L3430" s="15" t="s">
        <v>13237</v>
      </c>
    </row>
    <row r="3431" spans="1:12" ht="51">
      <c r="A3431" s="8" t="s">
        <v>13238</v>
      </c>
      <c r="B3431" s="9" t="s">
        <v>12</v>
      </c>
      <c r="C3431" s="10" t="s">
        <v>151</v>
      </c>
      <c r="D3431" s="10" t="str">
        <f ca="1">IFERROR(__xludf.DUMMYFUNCTION(" VLOOKUP(A3428, IMPORTRANGE(""https://docs.google.com/spreadsheets/d/1fj_Bhi2XPL3siwIh4sx4VRLAe31yD50oKdj5UlRYW0c/"", ""Сводка!A:AA""), 11, FALSE)"),"9965-498-01-6")</f>
        <v>9965-498-01-6</v>
      </c>
      <c r="E3431" s="11" t="s">
        <v>13239</v>
      </c>
      <c r="F3431" s="11" t="s">
        <v>13240</v>
      </c>
      <c r="G3431" s="12">
        <f ca="1">IFERROR(__xludf.DUMMYFUNCTION(" VLOOKUP(A3428, IMPORTRANGE(""https://docs.google.com/spreadsheets/d/1fj_Bhi2XPL3siwIh4sx4VRLAe31yD50oKdj5UlRYW0c/"", ""Сводка!A:AA""), 5, FALSE)"),324)</f>
        <v>324</v>
      </c>
      <c r="H3431" s="12" t="s">
        <v>106</v>
      </c>
      <c r="I3431" s="10">
        <f ca="1">IFERROR(__xludf.DUMMYFUNCTION(" VLOOKUP(A3428, IMPORTRANGE(""https://docs.google.com/spreadsheets/d/1QNLbnkR_AongFt22vMfNzfpjZ0CjpI8QI-w0wBnYA1w/"", ""Инфа!A:AA""), 6, FALSE)"),2024)</f>
        <v>2024</v>
      </c>
      <c r="J3431" s="5">
        <f ca="1">ROUND((5000+G3431*30),-2)</f>
        <v>14700</v>
      </c>
      <c r="K3431" s="12" t="s">
        <v>160</v>
      </c>
      <c r="L3431" s="15"/>
    </row>
    <row r="3432" spans="1:12" ht="135">
      <c r="A3432" s="8" t="s">
        <v>13241</v>
      </c>
      <c r="B3432" s="9" t="s">
        <v>12</v>
      </c>
      <c r="C3432" s="13" t="s">
        <v>151</v>
      </c>
      <c r="D3432" s="10" t="str">
        <f ca="1">IFERROR(__xludf.DUMMYFUNCTION(" VLOOKUP(A3429, IMPORTRANGE(""https://docs.google.com/spreadsheets/d/1fj_Bhi2XPL3siwIh4sx4VRLAe31yD50oKdj5UlRYW0c/"", ""Сводка!A:AA""), 11, FALSE)"),"978-601-327-373-0")</f>
        <v>978-601-327-373-0</v>
      </c>
      <c r="E3432" s="11" t="s">
        <v>13242</v>
      </c>
      <c r="F3432" s="11" t="s">
        <v>13243</v>
      </c>
      <c r="G3432" s="12">
        <f ca="1">IFERROR(__xludf.DUMMYFUNCTION(" VLOOKUP(A3429, IMPORTRANGE(""https://docs.google.com/spreadsheets/d/1fj_Bhi2XPL3siwIh4sx4VRLAe31yD50oKdj5UlRYW0c/"", ""Сводка!A:AA""), 5, FALSE)"),204)</f>
        <v>204</v>
      </c>
      <c r="H3432" s="12" t="s">
        <v>47</v>
      </c>
      <c r="I3432" s="10">
        <f ca="1">IFERROR(__xludf.DUMMYFUNCTION(" VLOOKUP(A3429, IMPORTRANGE(""https://docs.google.com/spreadsheets/d/1QNLbnkR_AongFt22vMfNzfpjZ0CjpI8QI-w0wBnYA1w/"", ""Инфа!A:AA""), 6, FALSE)"),2024)</f>
        <v>2024</v>
      </c>
      <c r="J3432" s="5">
        <f ca="1">ROUND((5000+G3432*60),-2)</f>
        <v>17200</v>
      </c>
      <c r="K3432" s="12" t="s">
        <v>860</v>
      </c>
      <c r="L3432" s="15" t="s">
        <v>13244</v>
      </c>
    </row>
    <row r="3433" spans="1:12" ht="123.75">
      <c r="A3433" s="8" t="s">
        <v>13245</v>
      </c>
      <c r="B3433" s="9" t="s">
        <v>12</v>
      </c>
      <c r="C3433" s="10" t="s">
        <v>443</v>
      </c>
      <c r="D3433" s="10" t="str">
        <f ca="1">IFERROR(__xludf.DUMMYFUNCTION(" VLOOKUP(A3430, IMPORTRANGE(""https://docs.google.com/spreadsheets/d/1fj_Bhi2XPL3siwIh4sx4VRLAe31yD50oKdj5UlRYW0c/"", ""Сводка!A:AA""), 11, FALSE)"),"978-601-342-200-8")</f>
        <v>978-601-342-200-8</v>
      </c>
      <c r="E3433" s="11" t="s">
        <v>13246</v>
      </c>
      <c r="F3433" s="11" t="s">
        <v>13247</v>
      </c>
      <c r="G3433" s="12">
        <f ca="1">IFERROR(__xludf.DUMMYFUNCTION(" VLOOKUP(A3430, IMPORTRANGE(""https://docs.google.com/spreadsheets/d/1fj_Bhi2XPL3siwIh4sx4VRLAe31yD50oKdj5UlRYW0c/"", ""Сводка!A:AA""), 5, FALSE)"),260)</f>
        <v>260</v>
      </c>
      <c r="H3433" s="12" t="s">
        <v>24</v>
      </c>
      <c r="I3433" s="10">
        <f ca="1">IFERROR(__xludf.DUMMYFUNCTION(" VLOOKUP(A3430, IMPORTRANGE(""https://docs.google.com/spreadsheets/d/1QNLbnkR_AongFt22vMfNzfpjZ0CjpI8QI-w0wBnYA1w/"", ""Инфа!A:AA""), 6, FALSE)"),2024)</f>
        <v>2024</v>
      </c>
      <c r="J3433" s="5">
        <f ca="1">ROUND((5000+G3433*60),-2)</f>
        <v>20600</v>
      </c>
      <c r="K3433" s="12" t="s">
        <v>575</v>
      </c>
      <c r="L3433" s="15" t="s">
        <v>13248</v>
      </c>
    </row>
    <row r="3434" spans="1:12" ht="168.75">
      <c r="A3434" s="8" t="s">
        <v>13249</v>
      </c>
      <c r="B3434" s="9" t="s">
        <v>12</v>
      </c>
      <c r="C3434" s="10" t="s">
        <v>443</v>
      </c>
      <c r="D3434" s="10" t="str">
        <f ca="1">IFERROR(__xludf.DUMMYFUNCTION(" VLOOKUP(A3431, IMPORTRANGE(""https://docs.google.com/spreadsheets/d/1fj_Bhi2XPL3siwIh4sx4VRLAe31yD50oKdj5UlRYW0c/"", ""Сводка!A:AA""), 11, FALSE)"),"978-601-310-450-8")</f>
        <v>978-601-310-450-8</v>
      </c>
      <c r="E3434" s="11" t="s">
        <v>13250</v>
      </c>
      <c r="F3434" s="11" t="s">
        <v>13251</v>
      </c>
      <c r="G3434" s="12">
        <f ca="1">IFERROR(__xludf.DUMMYFUNCTION(" VLOOKUP(A3431, IMPORTRANGE(""https://docs.google.com/spreadsheets/d/1fj_Bhi2XPL3siwIh4sx4VRLAe31yD50oKdj5UlRYW0c/"", ""Сводка!A:AA""), 5, FALSE)"),112)</f>
        <v>112</v>
      </c>
      <c r="H3434" s="12" t="s">
        <v>2442</v>
      </c>
      <c r="I3434" s="10">
        <f ca="1">IFERROR(__xludf.DUMMYFUNCTION(" VLOOKUP(A3431, IMPORTRANGE(""https://docs.google.com/spreadsheets/d/1QNLbnkR_AongFt22vMfNzfpjZ0CjpI8QI-w0wBnYA1w/"", ""Инфа!A:AA""), 6, FALSE)"),2024)</f>
        <v>2024</v>
      </c>
      <c r="J3434" s="5">
        <f ca="1">ROUND((5000+G3434*30),-2)</f>
        <v>8400</v>
      </c>
      <c r="K3434" s="9" t="s">
        <v>539</v>
      </c>
      <c r="L3434" s="15" t="s">
        <v>13252</v>
      </c>
    </row>
    <row r="3435" spans="1:12" ht="213.75">
      <c r="A3435" s="8" t="s">
        <v>13253</v>
      </c>
      <c r="B3435" s="9" t="s">
        <v>12</v>
      </c>
      <c r="C3435" s="10" t="s">
        <v>151</v>
      </c>
      <c r="D3435" s="10" t="str">
        <f ca="1">IFERROR(__xludf.DUMMYFUNCTION(" VLOOKUP(A3432, IMPORTRANGE(""https://docs.google.com/spreadsheets/d/1fj_Bhi2XPL3siwIh4sx4VRLAe31yD50oKdj5UlRYW0c/"", ""Сводка!A:AA""), 11, FALSE)"),"978 – 601 – 7850 – 16 - 6")</f>
        <v>978 – 601 – 7850 – 16 - 6</v>
      </c>
      <c r="E3435" s="11" t="s">
        <v>13254</v>
      </c>
      <c r="F3435" s="11" t="s">
        <v>13255</v>
      </c>
      <c r="G3435" s="12">
        <f ca="1">IFERROR(__xludf.DUMMYFUNCTION(" VLOOKUP(A3432, IMPORTRANGE(""https://docs.google.com/spreadsheets/d/1fj_Bhi2XPL3siwIh4sx4VRLAe31yD50oKdj5UlRYW0c/"", ""Сводка!A:AA""), 5, FALSE)"),207)</f>
        <v>207</v>
      </c>
      <c r="H3435" s="12" t="s">
        <v>47</v>
      </c>
      <c r="I3435" s="10">
        <f ca="1">IFERROR(__xludf.DUMMYFUNCTION(" VLOOKUP(A3432, IMPORTRANGE(""https://docs.google.com/spreadsheets/d/1QNLbnkR_AongFt22vMfNzfpjZ0CjpI8QI-w0wBnYA1w/"", ""Инфа!A:AA""), 6, FALSE)"),2024)</f>
        <v>2024</v>
      </c>
      <c r="J3435" s="5">
        <f ca="1">ROUND((5000+G3435*60),-2)</f>
        <v>17400</v>
      </c>
      <c r="K3435" s="12" t="s">
        <v>302</v>
      </c>
      <c r="L3435" s="15" t="s">
        <v>13256</v>
      </c>
    </row>
    <row r="3436" spans="1:12" ht="112.5">
      <c r="A3436" s="8" t="s">
        <v>13257</v>
      </c>
      <c r="B3436" s="9" t="s">
        <v>12</v>
      </c>
      <c r="C3436" s="10" t="s">
        <v>151</v>
      </c>
      <c r="D3436" s="10" t="str">
        <f ca="1">IFERROR(__xludf.DUMMYFUNCTION(" VLOOKUP(A3433, IMPORTRANGE(""https://docs.google.com/spreadsheets/d/1fj_Bhi2XPL3siwIh4sx4VRLAe31yD50oKdj5UlRYW0c/"", ""Сводка!A:AA""), 11, FALSE)"),"978-601-342-314-2")</f>
        <v>978-601-342-314-2</v>
      </c>
      <c r="E3436" s="11" t="s">
        <v>13258</v>
      </c>
      <c r="F3436" s="11" t="s">
        <v>13259</v>
      </c>
      <c r="G3436" s="12">
        <f ca="1">IFERROR(__xludf.DUMMYFUNCTION(" VLOOKUP(A3433, IMPORTRANGE(""https://docs.google.com/spreadsheets/d/1fj_Bhi2XPL3siwIh4sx4VRLAe31yD50oKdj5UlRYW0c/"", ""Сводка!A:AA""), 5, FALSE)"),308)</f>
        <v>308</v>
      </c>
      <c r="H3436" s="12" t="s">
        <v>47</v>
      </c>
      <c r="I3436" s="10">
        <f ca="1">IFERROR(__xludf.DUMMYFUNCTION(" VLOOKUP(A3433, IMPORTRANGE(""https://docs.google.com/spreadsheets/d/1QNLbnkR_AongFt22vMfNzfpjZ0CjpI8QI-w0wBnYA1w/"", ""Инфа!A:AA""), 6, FALSE)"),2024)</f>
        <v>2024</v>
      </c>
      <c r="J3436" s="5">
        <f ca="1">ROUND((5000+G3436*60),-2)</f>
        <v>23500</v>
      </c>
      <c r="K3436" s="12" t="s">
        <v>2185</v>
      </c>
      <c r="L3436" s="15" t="s">
        <v>13260</v>
      </c>
    </row>
    <row r="3437" spans="1:12" ht="51">
      <c r="A3437" s="8" t="s">
        <v>13261</v>
      </c>
      <c r="B3437" s="9" t="s">
        <v>12</v>
      </c>
      <c r="C3437" s="10" t="s">
        <v>443</v>
      </c>
      <c r="D3437" s="10" t="str">
        <f ca="1">IFERROR(__xludf.DUMMYFUNCTION(" VLOOKUP(A3434, IMPORTRANGE(""https://docs.google.com/spreadsheets/d/1fj_Bhi2XPL3siwIh4sx4VRLAe31yD50oKdj5UlRYW0c/"", ""Сводка!A:AA""), 11, FALSE)"),"978-601-310-480-5")</f>
        <v>978-601-310-480-5</v>
      </c>
      <c r="E3437" s="11" t="s">
        <v>13262</v>
      </c>
      <c r="F3437" s="11" t="s">
        <v>13263</v>
      </c>
      <c r="G3437" s="12">
        <f ca="1">IFERROR(__xludf.DUMMYFUNCTION(" VLOOKUP(A3434, IMPORTRANGE(""https://docs.google.com/spreadsheets/d/1fj_Bhi2XPL3siwIh4sx4VRLAe31yD50oKdj5UlRYW0c/"", ""Сводка!A:AA""), 5, FALSE)"),212)</f>
        <v>212</v>
      </c>
      <c r="H3437" s="12" t="s">
        <v>556</v>
      </c>
      <c r="I3437" s="10">
        <f ca="1">IFERROR(__xludf.DUMMYFUNCTION(" VLOOKUP(A3434, IMPORTRANGE(""https://docs.google.com/spreadsheets/d/1QNLbnkR_AongFt22vMfNzfpjZ0CjpI8QI-w0wBnYA1w/"", ""Инфа!A:AA""), 6, FALSE)"),2024)</f>
        <v>2024</v>
      </c>
      <c r="J3437" s="5">
        <f ca="1">ROUND((5000+G3437*30),-2)</f>
        <v>11400</v>
      </c>
      <c r="K3437" s="12" t="s">
        <v>8216</v>
      </c>
      <c r="L3437" s="15"/>
    </row>
    <row r="3438" spans="1:12" ht="25.5">
      <c r="A3438" s="8" t="s">
        <v>13264</v>
      </c>
      <c r="B3438" s="9" t="s">
        <v>12</v>
      </c>
      <c r="C3438" s="10" t="s">
        <v>443</v>
      </c>
      <c r="D3438" s="10" t="str">
        <f ca="1">IFERROR(__xludf.DUMMYFUNCTION(" VLOOKUP(A3435, IMPORTRANGE(""https://docs.google.com/spreadsheets/d/1fj_Bhi2XPL3siwIh4sx4VRLAe31yD50oKdj5UlRYW0c/"", ""Сводка!A:AA""), 11, FALSE)"),"978-601-310-477-5")</f>
        <v>978-601-310-477-5</v>
      </c>
      <c r="E3438" s="11" t="s">
        <v>13265</v>
      </c>
      <c r="F3438" s="11" t="s">
        <v>13266</v>
      </c>
      <c r="G3438" s="12">
        <f ca="1">IFERROR(__xludf.DUMMYFUNCTION(" VLOOKUP(A3435, IMPORTRANGE(""https://docs.google.com/spreadsheets/d/1fj_Bhi2XPL3siwIh4sx4VRLAe31yD50oKdj5UlRYW0c/"", ""Сводка!A:AA""), 5, FALSE)"),128)</f>
        <v>128</v>
      </c>
      <c r="H3438" s="12" t="s">
        <v>538</v>
      </c>
      <c r="I3438" s="10">
        <f ca="1">IFERROR(__xludf.DUMMYFUNCTION(" VLOOKUP(A3435, IMPORTRANGE(""https://docs.google.com/spreadsheets/d/1QNLbnkR_AongFt22vMfNzfpjZ0CjpI8QI-w0wBnYA1w/"", ""Инфа!A:AA""), 6, FALSE)"),2024)</f>
        <v>2024</v>
      </c>
      <c r="J3438" s="5">
        <f ca="1">ROUND((5000+G3438*30),-2)</f>
        <v>8800</v>
      </c>
      <c r="K3438" s="12" t="s">
        <v>368</v>
      </c>
      <c r="L3438" s="15"/>
    </row>
    <row r="3439" spans="1:12" ht="180">
      <c r="A3439" s="8" t="s">
        <v>13267</v>
      </c>
      <c r="B3439" s="9" t="s">
        <v>12</v>
      </c>
      <c r="C3439" s="10" t="s">
        <v>443</v>
      </c>
      <c r="D3439" s="10" t="str">
        <f ca="1">IFERROR(__xludf.DUMMYFUNCTION(" VLOOKUP(A3436, IMPORTRANGE(""https://docs.google.com/spreadsheets/d/1fj_Bhi2XPL3siwIh4sx4VRLAe31yD50oKdj5UlRYW0c/"", ""Сводка!A:AA""), 11, FALSE)"),"978-601-310-983-1")</f>
        <v>978-601-310-983-1</v>
      </c>
      <c r="E3439" s="11" t="s">
        <v>13268</v>
      </c>
      <c r="F3439" s="11" t="s">
        <v>13269</v>
      </c>
      <c r="G3439" s="12">
        <f ca="1">IFERROR(__xludf.DUMMYFUNCTION(" VLOOKUP(A3436, IMPORTRANGE(""https://docs.google.com/spreadsheets/d/1fj_Bhi2XPL3siwIh4sx4VRLAe31yD50oKdj5UlRYW0c/"", ""Сводка!A:AA""), 5, FALSE)"),112)</f>
        <v>112</v>
      </c>
      <c r="H3439" s="12" t="s">
        <v>12656</v>
      </c>
      <c r="I3439" s="10">
        <f ca="1">IFERROR(__xludf.DUMMYFUNCTION(" VLOOKUP(A3436, IMPORTRANGE(""https://docs.google.com/spreadsheets/d/1QNLbnkR_AongFt22vMfNzfpjZ0CjpI8QI-w0wBnYA1w/"", ""Инфа!A:AA""), 6, FALSE)"),2024)</f>
        <v>2024</v>
      </c>
      <c r="J3439" s="5">
        <f ca="1">ROUND((5000+G3439*30),-2)</f>
        <v>8400</v>
      </c>
      <c r="K3439" s="12" t="s">
        <v>1075</v>
      </c>
      <c r="L3439" s="15" t="s">
        <v>13270</v>
      </c>
    </row>
    <row r="3440" spans="1:12" ht="157.5">
      <c r="A3440" s="8" t="s">
        <v>13271</v>
      </c>
      <c r="B3440" s="9" t="s">
        <v>12</v>
      </c>
      <c r="C3440" s="10" t="s">
        <v>443</v>
      </c>
      <c r="D3440" s="10" t="str">
        <f ca="1">IFERROR(__xludf.DUMMYFUNCTION(" VLOOKUP(A3437, IMPORTRANGE(""https://docs.google.com/spreadsheets/d/1fj_Bhi2XPL3siwIh4sx4VRLAe31yD50oKdj5UlRYW0c/"", ""Сводка!A:AA""), 11, FALSE)"),"978-601-7454-33-3")</f>
        <v>978-601-7454-33-3</v>
      </c>
      <c r="E3440" s="11" t="s">
        <v>13268</v>
      </c>
      <c r="F3440" s="11" t="s">
        <v>11719</v>
      </c>
      <c r="G3440" s="12">
        <f ca="1">IFERROR(__xludf.DUMMYFUNCTION(" VLOOKUP(A3437, IMPORTRANGE(""https://docs.google.com/spreadsheets/d/1fj_Bhi2XPL3siwIh4sx4VRLAe31yD50oKdj5UlRYW0c/"", ""Сводка!A:AA""), 5, FALSE)"),152)</f>
        <v>152</v>
      </c>
      <c r="H3440" s="12" t="s">
        <v>446</v>
      </c>
      <c r="I3440" s="10">
        <f ca="1">IFERROR(__xludf.DUMMYFUNCTION(" VLOOKUP(A3437, IMPORTRANGE(""https://docs.google.com/spreadsheets/d/1QNLbnkR_AongFt22vMfNzfpjZ0CjpI8QI-w0wBnYA1w/"", ""Инфа!A:AA""), 6, FALSE)"),2024)</f>
        <v>2024</v>
      </c>
      <c r="J3440" s="5">
        <f ca="1">ROUND((5000+G3440*30),-2)</f>
        <v>9600</v>
      </c>
      <c r="K3440" s="12" t="s">
        <v>1075</v>
      </c>
      <c r="L3440" s="15" t="s">
        <v>13272</v>
      </c>
    </row>
    <row r="3441" spans="1:12" ht="51">
      <c r="A3441" s="8" t="s">
        <v>13273</v>
      </c>
      <c r="B3441" s="9" t="s">
        <v>12</v>
      </c>
      <c r="C3441" s="10" t="s">
        <v>151</v>
      </c>
      <c r="D3441" s="10" t="str">
        <f ca="1">IFERROR(__xludf.DUMMYFUNCTION(" VLOOKUP(A3438, IMPORTRANGE(""https://docs.google.com/spreadsheets/d/1fj_Bhi2XPL3siwIh4sx4VRLAe31yD50oKdj5UlRYW0c/"", ""Сводка!A:AA""), 11, FALSE)"),"978-601-240-788-4")</f>
        <v>978-601-240-788-4</v>
      </c>
      <c r="E3441" s="11" t="s">
        <v>13274</v>
      </c>
      <c r="F3441" s="11" t="s">
        <v>13275</v>
      </c>
      <c r="G3441" s="12">
        <f ca="1">IFERROR(__xludf.DUMMYFUNCTION(" VLOOKUP(A3438, IMPORTRANGE(""https://docs.google.com/spreadsheets/d/1fj_Bhi2XPL3siwIh4sx4VRLAe31yD50oKdj5UlRYW0c/"", ""Сводка!A:AA""), 5, FALSE)"),104)</f>
        <v>104</v>
      </c>
      <c r="H3441" s="12" t="s">
        <v>282</v>
      </c>
      <c r="I3441" s="10">
        <f ca="1">IFERROR(__xludf.DUMMYFUNCTION(" VLOOKUP(A3438, IMPORTRANGE(""https://docs.google.com/spreadsheets/d/1QNLbnkR_AongFt22vMfNzfpjZ0CjpI8QI-w0wBnYA1w/"", ""Инфа!A:AA""), 6, FALSE)"),2024)</f>
        <v>2024</v>
      </c>
      <c r="J3441" s="5">
        <f ca="1">ROUND((5000+G3441*30),-2)</f>
        <v>8100</v>
      </c>
      <c r="K3441" s="12" t="s">
        <v>570</v>
      </c>
      <c r="L3441" s="15"/>
    </row>
    <row r="3442" spans="1:12" ht="101.25">
      <c r="A3442" s="8" t="s">
        <v>13276</v>
      </c>
      <c r="B3442" s="9" t="s">
        <v>12</v>
      </c>
      <c r="C3442" s="10" t="s">
        <v>443</v>
      </c>
      <c r="D3442" s="10" t="str">
        <f ca="1">IFERROR(__xludf.DUMMYFUNCTION(" VLOOKUP(A3439, IMPORTRANGE(""https://docs.google.com/spreadsheets/d/1fj_Bhi2XPL3siwIh4sx4VRLAe31yD50oKdj5UlRYW0c/"", ""Сводка!A:AA""), 11, FALSE)"),"978-601-327-012-8")</f>
        <v>978-601-327-012-8</v>
      </c>
      <c r="E3442" s="11" t="s">
        <v>13277</v>
      </c>
      <c r="F3442" s="11" t="s">
        <v>13278</v>
      </c>
      <c r="G3442" s="12">
        <f ca="1">IFERROR(__xludf.DUMMYFUNCTION(" VLOOKUP(A3439, IMPORTRANGE(""https://docs.google.com/spreadsheets/d/1fj_Bhi2XPL3siwIh4sx4VRLAe31yD50oKdj5UlRYW0c/"", ""Сводка!A:AA""), 5, FALSE)"),256)</f>
        <v>256</v>
      </c>
      <c r="H3442" s="12" t="s">
        <v>12656</v>
      </c>
      <c r="I3442" s="10">
        <f ca="1">IFERROR(__xludf.DUMMYFUNCTION(" VLOOKUP(A3439, IMPORTRANGE(""https://docs.google.com/spreadsheets/d/1QNLbnkR_AongFt22vMfNzfpjZ0CjpI8QI-w0wBnYA1w/"", ""Инфа!A:AA""), 6, FALSE)"),2024)</f>
        <v>2024</v>
      </c>
      <c r="J3442" s="5">
        <f ca="1">ROUND((5000+G3442*60),-2)</f>
        <v>20400</v>
      </c>
      <c r="K3442" s="12" t="s">
        <v>1075</v>
      </c>
      <c r="L3442" s="15" t="s">
        <v>13279</v>
      </c>
    </row>
    <row r="3443" spans="1:12" ht="135">
      <c r="A3443" s="8" t="s">
        <v>13280</v>
      </c>
      <c r="B3443" s="9" t="s">
        <v>12</v>
      </c>
      <c r="C3443" s="10" t="s">
        <v>151</v>
      </c>
      <c r="D3443" s="10" t="str">
        <f ca="1">IFERROR(__xludf.DUMMYFUNCTION(" VLOOKUP(A3440, IMPORTRANGE(""https://docs.google.com/spreadsheets/d/1fj_Bhi2XPL3siwIh4sx4VRLAe31yD50oKdj5UlRYW0c/"", ""Сводка!A:AA""), 11, FALSE)"),"978-601-310-939-8")</f>
        <v>978-601-310-939-8</v>
      </c>
      <c r="E3443" s="11" t="s">
        <v>13281</v>
      </c>
      <c r="F3443" s="11" t="s">
        <v>13282</v>
      </c>
      <c r="G3443" s="12">
        <f ca="1">IFERROR(__xludf.DUMMYFUNCTION(" VLOOKUP(A3440, IMPORTRANGE(""https://docs.google.com/spreadsheets/d/1fj_Bhi2XPL3siwIh4sx4VRLAe31yD50oKdj5UlRYW0c/"", ""Сводка!A:AA""), 5, FALSE)"),140)</f>
        <v>140</v>
      </c>
      <c r="H3443" s="12" t="s">
        <v>47</v>
      </c>
      <c r="I3443" s="10">
        <f ca="1">IFERROR(__xludf.DUMMYFUNCTION(" VLOOKUP(A3440, IMPORTRANGE(""https://docs.google.com/spreadsheets/d/1QNLbnkR_AongFt22vMfNzfpjZ0CjpI8QI-w0wBnYA1w/"", ""Инфа!A:AA""), 6, FALSE)"),2024)</f>
        <v>2024</v>
      </c>
      <c r="J3443" s="5">
        <f ca="1">ROUND((5000+G3443*30),-2)</f>
        <v>9200</v>
      </c>
      <c r="K3443" s="12" t="s">
        <v>13283</v>
      </c>
      <c r="L3443" s="15" t="s">
        <v>13284</v>
      </c>
    </row>
    <row r="3444" spans="1:12" ht="51">
      <c r="A3444" s="8" t="s">
        <v>13285</v>
      </c>
      <c r="B3444" s="9" t="s">
        <v>12</v>
      </c>
      <c r="C3444" s="10" t="s">
        <v>151</v>
      </c>
      <c r="D3444" s="10" t="str">
        <f ca="1">IFERROR(__xludf.DUMMYFUNCTION(" VLOOKUP(A3441, IMPORTRANGE(""https://docs.google.com/spreadsheets/d/1fj_Bhi2XPL3siwIh4sx4VRLAe31yD50oKdj5UlRYW0c/"", ""Сводка!A:AA""), 11, FALSE)"),"978-601-310-546-8")</f>
        <v>978-601-310-546-8</v>
      </c>
      <c r="E3444" s="11" t="s">
        <v>13286</v>
      </c>
      <c r="F3444" s="11" t="s">
        <v>5272</v>
      </c>
      <c r="G3444" s="12">
        <f ca="1">IFERROR(__xludf.DUMMYFUNCTION(" VLOOKUP(A3441, IMPORTRANGE(""https://docs.google.com/spreadsheets/d/1fj_Bhi2XPL3siwIh4sx4VRLAe31yD50oKdj5UlRYW0c/"", ""Сводка!A:AA""), 5, FALSE)"),84)</f>
        <v>84</v>
      </c>
      <c r="H3444" s="12" t="s">
        <v>47</v>
      </c>
      <c r="I3444" s="10">
        <f ca="1">IFERROR(__xludf.DUMMYFUNCTION(" VLOOKUP(A3441, IMPORTRANGE(""https://docs.google.com/spreadsheets/d/1QNLbnkR_AongFt22vMfNzfpjZ0CjpI8QI-w0wBnYA1w/"", ""Инфа!A:AA""), 6, FALSE)"),2024)</f>
        <v>2024</v>
      </c>
      <c r="J3444" s="5">
        <f ca="1">ROUND((5000+G3444*30),-2)</f>
        <v>7500</v>
      </c>
      <c r="K3444" s="12" t="s">
        <v>5272</v>
      </c>
      <c r="L3444" s="15"/>
    </row>
    <row r="3445" spans="1:12" ht="25.5">
      <c r="A3445" s="8" t="s">
        <v>13287</v>
      </c>
      <c r="B3445" s="9" t="s">
        <v>12</v>
      </c>
      <c r="C3445" s="10" t="s">
        <v>151</v>
      </c>
      <c r="D3445" s="10" t="str">
        <f ca="1">IFERROR(__xludf.DUMMYFUNCTION(" VLOOKUP(A3442, IMPORTRANGE(""https://docs.google.com/spreadsheets/d/1fj_Bhi2XPL3siwIh4sx4VRLAe31yD50oKdj5UlRYW0c/"", ""Сводка!A:AA""), 11, FALSE)"),"978-601-310-575-8")</f>
        <v>978-601-310-575-8</v>
      </c>
      <c r="E3445" s="11" t="s">
        <v>13286</v>
      </c>
      <c r="F3445" s="11" t="s">
        <v>13288</v>
      </c>
      <c r="G3445" s="12">
        <f ca="1">IFERROR(__xludf.DUMMYFUNCTION(" VLOOKUP(A3442, IMPORTRANGE(""https://docs.google.com/spreadsheets/d/1fj_Bhi2XPL3siwIh4sx4VRLAe31yD50oKdj5UlRYW0c/"", ""Сводка!A:AA""), 5, FALSE)"),132)</f>
        <v>132</v>
      </c>
      <c r="H3445" s="12" t="s">
        <v>47</v>
      </c>
      <c r="I3445" s="10">
        <f ca="1">IFERROR(__xludf.DUMMYFUNCTION(" VLOOKUP(A3442, IMPORTRANGE(""https://docs.google.com/spreadsheets/d/1QNLbnkR_AongFt22vMfNzfpjZ0CjpI8QI-w0wBnYA1w/"", ""Инфа!A:AA""), 6, FALSE)"),2024)</f>
        <v>2024</v>
      </c>
      <c r="J3445" s="5">
        <f ca="1">ROUND((5000+G3445*30),-2)</f>
        <v>9000</v>
      </c>
      <c r="K3445" s="9" t="s">
        <v>575</v>
      </c>
      <c r="L3445" s="15"/>
    </row>
    <row r="3446" spans="1:12" ht="112.5">
      <c r="A3446" s="8" t="s">
        <v>13289</v>
      </c>
      <c r="B3446" s="9" t="s">
        <v>12</v>
      </c>
      <c r="C3446" s="10" t="s">
        <v>151</v>
      </c>
      <c r="D3446" s="10" t="str">
        <f ca="1">IFERROR(__xludf.DUMMYFUNCTION(" VLOOKUP(A3443, IMPORTRANGE(""https://docs.google.com/spreadsheets/d/1fj_Bhi2XPL3siwIh4sx4VRLAe31yD50oKdj5UlRYW0c/"", ""Сводка!A:AA""), 11, FALSE)"),"978-9965-31-861-0")</f>
        <v>978-9965-31-861-0</v>
      </c>
      <c r="E3446" s="11" t="s">
        <v>13290</v>
      </c>
      <c r="F3446" s="11" t="s">
        <v>13291</v>
      </c>
      <c r="G3446" s="12">
        <f ca="1">IFERROR(__xludf.DUMMYFUNCTION(" VLOOKUP(A3443, IMPORTRANGE(""https://docs.google.com/spreadsheets/d/1fj_Bhi2XPL3siwIh4sx4VRLAe31yD50oKdj5UlRYW0c/"", ""Сводка!A:AA""), 5, FALSE)"),149)</f>
        <v>149</v>
      </c>
      <c r="H3446" s="12" t="s">
        <v>24</v>
      </c>
      <c r="I3446" s="10">
        <f ca="1">IFERROR(__xludf.DUMMYFUNCTION(" VLOOKUP(A3443, IMPORTRANGE(""https://docs.google.com/spreadsheets/d/1QNLbnkR_AongFt22vMfNzfpjZ0CjpI8QI-w0wBnYA1w/"", ""Инфа!A:AA""), 6, FALSE)"),2024)</f>
        <v>2024</v>
      </c>
      <c r="J3446" s="5">
        <f ca="1">ROUND((5000+G3446*60),-2)</f>
        <v>13900</v>
      </c>
      <c r="K3446" s="12" t="s">
        <v>139</v>
      </c>
      <c r="L3446" s="15" t="s">
        <v>13292</v>
      </c>
    </row>
    <row r="3447" spans="1:12" ht="135">
      <c r="A3447" s="8" t="s">
        <v>13293</v>
      </c>
      <c r="B3447" s="9" t="s">
        <v>12</v>
      </c>
      <c r="C3447" s="10" t="s">
        <v>443</v>
      </c>
      <c r="D3447" s="10" t="str">
        <f ca="1">IFERROR(__xludf.DUMMYFUNCTION(" VLOOKUP(A3444, IMPORTRANGE(""https://docs.google.com/spreadsheets/d/1fj_Bhi2XPL3siwIh4sx4VRLAe31yD50oKdj5UlRYW0c/"", ""Сводка!A:AA""), 11, FALSE)"),"978-601-240-925-3")</f>
        <v>978-601-240-925-3</v>
      </c>
      <c r="E3447" s="11" t="s">
        <v>13294</v>
      </c>
      <c r="F3447" s="11" t="s">
        <v>13295</v>
      </c>
      <c r="G3447" s="12">
        <f ca="1">IFERROR(__xludf.DUMMYFUNCTION(" VLOOKUP(A3444, IMPORTRANGE(""https://docs.google.com/spreadsheets/d/1fj_Bhi2XPL3siwIh4sx4VRLAe31yD50oKdj5UlRYW0c/"", ""Сводка!A:AA""), 5, FALSE)"),196)</f>
        <v>196</v>
      </c>
      <c r="H3447" s="12" t="s">
        <v>538</v>
      </c>
      <c r="I3447" s="10">
        <f ca="1">IFERROR(__xludf.DUMMYFUNCTION(" VLOOKUP(A3444, IMPORTRANGE(""https://docs.google.com/spreadsheets/d/1QNLbnkR_AongFt22vMfNzfpjZ0CjpI8QI-w0wBnYA1w/"", ""Инфа!A:AA""), 6, FALSE)"),2024)</f>
        <v>2024</v>
      </c>
      <c r="J3447" s="5">
        <f ca="1">ROUND(((5000+G3447*30)*1.3),-2)</f>
        <v>14100</v>
      </c>
      <c r="K3447" s="12" t="s">
        <v>160</v>
      </c>
      <c r="L3447" s="15" t="s">
        <v>13296</v>
      </c>
    </row>
    <row r="3448" spans="1:12" ht="38.25">
      <c r="A3448" s="8" t="s">
        <v>13297</v>
      </c>
      <c r="B3448" s="9" t="s">
        <v>12</v>
      </c>
      <c r="C3448" s="10" t="s">
        <v>443</v>
      </c>
      <c r="D3448" s="10" t="str">
        <f ca="1">IFERROR(__xludf.DUMMYFUNCTION(" VLOOKUP(A3445, IMPORTRANGE(""https://docs.google.com/spreadsheets/d/1fj_Bhi2XPL3siwIh4sx4VRLAe31yD50oKdj5UlRYW0c/"", ""Сводка!A:AA""), 11, FALSE)"),"978-601-7454-79-1")</f>
        <v>978-601-7454-79-1</v>
      </c>
      <c r="E3448" s="11" t="s">
        <v>13298</v>
      </c>
      <c r="F3448" s="11" t="s">
        <v>587</v>
      </c>
      <c r="G3448" s="12">
        <f ca="1">IFERROR(__xludf.DUMMYFUNCTION(" VLOOKUP(A3445, IMPORTRANGE(""https://docs.google.com/spreadsheets/d/1fj_Bhi2XPL3siwIh4sx4VRLAe31yD50oKdj5UlRYW0c/"", ""Сводка!A:AA""), 5, FALSE)"),180)</f>
        <v>180</v>
      </c>
      <c r="H3448" s="12" t="s">
        <v>538</v>
      </c>
      <c r="I3448" s="10">
        <f ca="1">IFERROR(__xludf.DUMMYFUNCTION(" VLOOKUP(A3445, IMPORTRANGE(""https://docs.google.com/spreadsheets/d/1QNLbnkR_AongFt22vMfNzfpjZ0CjpI8QI-w0wBnYA1w/"", ""Инфа!A:AA""), 6, FALSE)"),2024)</f>
        <v>2024</v>
      </c>
      <c r="J3448" s="5">
        <f ca="1">ROUND((5000+G3448*30),-2)</f>
        <v>10400</v>
      </c>
      <c r="K3448" s="9" t="s">
        <v>539</v>
      </c>
      <c r="L3448" s="15"/>
    </row>
    <row r="3449" spans="1:12" ht="112.5">
      <c r="A3449" s="8" t="s">
        <v>13299</v>
      </c>
      <c r="B3449" s="9" t="s">
        <v>12</v>
      </c>
      <c r="C3449" s="10" t="s">
        <v>443</v>
      </c>
      <c r="D3449" s="10" t="str">
        <f ca="1">IFERROR(__xludf.DUMMYFUNCTION(" VLOOKUP(A3446, IMPORTRANGE(""https://docs.google.com/spreadsheets/d/1fj_Bhi2XPL3siwIh4sx4VRLAe31yD50oKdj5UlRYW0c/"", ""Сводка!A:AA""), 11, FALSE)"),"9965-532-96-6")</f>
        <v>9965-532-96-6</v>
      </c>
      <c r="E3449" s="11" t="s">
        <v>13300</v>
      </c>
      <c r="F3449" s="11" t="s">
        <v>13301</v>
      </c>
      <c r="G3449" s="12">
        <f ca="1">IFERROR(__xludf.DUMMYFUNCTION(" VLOOKUP(A3446, IMPORTRANGE(""https://docs.google.com/spreadsheets/d/1fj_Bhi2XPL3siwIh4sx4VRLAe31yD50oKdj5UlRYW0c/"", ""Сводка!A:AA""), 5, FALSE)"),184)</f>
        <v>184</v>
      </c>
      <c r="H3449" s="12" t="s">
        <v>538</v>
      </c>
      <c r="I3449" s="10">
        <f ca="1">IFERROR(__xludf.DUMMYFUNCTION(" VLOOKUP(A3446, IMPORTRANGE(""https://docs.google.com/spreadsheets/d/1QNLbnkR_AongFt22vMfNzfpjZ0CjpI8QI-w0wBnYA1w/"", ""Инфа!A:AA""), 6, FALSE)"),2024)</f>
        <v>2024</v>
      </c>
      <c r="J3449" s="5">
        <f ca="1">ROUND((5000+G3449*30),-2)</f>
        <v>10500</v>
      </c>
      <c r="K3449" s="12" t="s">
        <v>160</v>
      </c>
      <c r="L3449" s="15" t="s">
        <v>13302</v>
      </c>
    </row>
    <row r="3450" spans="1:12" ht="56.25">
      <c r="A3450" s="8" t="s">
        <v>13303</v>
      </c>
      <c r="B3450" s="9" t="s">
        <v>12</v>
      </c>
      <c r="C3450" s="10" t="s">
        <v>443</v>
      </c>
      <c r="D3450" s="10" t="str">
        <f ca="1">IFERROR(__xludf.DUMMYFUNCTION(" VLOOKUP(A3447, IMPORTRANGE(""https://docs.google.com/spreadsheets/d/1fj_Bhi2XPL3siwIh4sx4VRLAe31yD50oKdj5UlRYW0c/"", ""Сводка!A:AA""), 11, FALSE)"),"978-601-342-166-7")</f>
        <v>978-601-342-166-7</v>
      </c>
      <c r="E3450" s="11" t="s">
        <v>13304</v>
      </c>
      <c r="F3450" s="11" t="s">
        <v>13305</v>
      </c>
      <c r="G3450" s="12">
        <f ca="1">IFERROR(__xludf.DUMMYFUNCTION(" VLOOKUP(A3447, IMPORTRANGE(""https://docs.google.com/spreadsheets/d/1fj_Bhi2XPL3siwIh4sx4VRLAe31yD50oKdj5UlRYW0c/"", ""Сводка!A:AA""), 5, FALSE)"),228)</f>
        <v>228</v>
      </c>
      <c r="H3450" s="9" t="s">
        <v>538</v>
      </c>
      <c r="I3450" s="10">
        <f ca="1">IFERROR(__xludf.DUMMYFUNCTION(" VLOOKUP(A3447, IMPORTRANGE(""https://docs.google.com/spreadsheets/d/1QNLbnkR_AongFt22vMfNzfpjZ0CjpI8QI-w0wBnYA1w/"", ""Инфа!A:AA""), 6, FALSE)"),2024)</f>
        <v>2024</v>
      </c>
      <c r="J3450" s="5">
        <f ca="1">ROUND((5000+G3450*60),-2)</f>
        <v>18700</v>
      </c>
      <c r="K3450" s="12" t="s">
        <v>26</v>
      </c>
      <c r="L3450" s="15" t="s">
        <v>13306</v>
      </c>
    </row>
    <row r="3451" spans="1:12" ht="112.5">
      <c r="A3451" s="8" t="s">
        <v>13307</v>
      </c>
      <c r="B3451" s="9" t="s">
        <v>12</v>
      </c>
      <c r="C3451" s="10" t="s">
        <v>5722</v>
      </c>
      <c r="D3451" s="10" t="str">
        <f ca="1">IFERROR(__xludf.DUMMYFUNCTION(" VLOOKUP(A3448, IMPORTRANGE(""https://docs.google.com/spreadsheets/d/1fj_Bhi2XPL3siwIh4sx4VRLAe31yD50oKdj5UlRYW0c/"", ""Сводка!A:AA""), 11, FALSE)"),"978-601-327-355-6")</f>
        <v>978-601-327-355-6</v>
      </c>
      <c r="E3451" s="22" t="s">
        <v>13308</v>
      </c>
      <c r="F3451" s="22" t="s">
        <v>13309</v>
      </c>
      <c r="G3451" s="12">
        <f ca="1">IFERROR(__xludf.DUMMYFUNCTION(" VLOOKUP(A3448, IMPORTRANGE(""https://docs.google.com/spreadsheets/d/1fj_Bhi2XPL3siwIh4sx4VRLAe31yD50oKdj5UlRYW0c/"", ""Сводка!A:AA""), 5, FALSE)"),84)</f>
        <v>84</v>
      </c>
      <c r="H3451" s="12" t="s">
        <v>11690</v>
      </c>
      <c r="I3451" s="10">
        <f ca="1">IFERROR(__xludf.DUMMYFUNCTION(" VLOOKUP(A3448, IMPORTRANGE(""https://docs.google.com/spreadsheets/d/1QNLbnkR_AongFt22vMfNzfpjZ0CjpI8QI-w0wBnYA1w/"", ""Инфа!A:AA""), 6, FALSE)"),2024)</f>
        <v>2024</v>
      </c>
      <c r="J3451" s="5">
        <f ca="1">ROUND((5000+G3451*30),-2)</f>
        <v>7500</v>
      </c>
      <c r="K3451" s="12" t="s">
        <v>1240</v>
      </c>
      <c r="L3451" s="15" t="s">
        <v>13310</v>
      </c>
    </row>
    <row r="3452" spans="1:12" ht="292.5">
      <c r="A3452" s="8" t="s">
        <v>13311</v>
      </c>
      <c r="B3452" s="9" t="s">
        <v>12</v>
      </c>
      <c r="C3452" s="10" t="s">
        <v>443</v>
      </c>
      <c r="D3452" s="10" t="str">
        <f ca="1">IFERROR(__xludf.DUMMYFUNCTION(" VLOOKUP(A3449, IMPORTRANGE(""https://docs.google.com/spreadsheets/d/1fj_Bhi2XPL3siwIh4sx4VRLAe31yD50oKdj5UlRYW0c/"", ""Сводка!A:AA""), 11, FALSE)"),"9965 – 720 – 27 -4")</f>
        <v>9965 – 720 – 27 -4</v>
      </c>
      <c r="E3452" s="11" t="s">
        <v>13312</v>
      </c>
      <c r="F3452" s="11" t="s">
        <v>13313</v>
      </c>
      <c r="G3452" s="12">
        <f ca="1">IFERROR(__xludf.DUMMYFUNCTION(" VLOOKUP(A3449, IMPORTRANGE(""https://docs.google.com/spreadsheets/d/1fj_Bhi2XPL3siwIh4sx4VRLAe31yD50oKdj5UlRYW0c/"", ""Сводка!A:AA""), 5, FALSE)"),212)</f>
        <v>212</v>
      </c>
      <c r="H3452" s="12" t="s">
        <v>538</v>
      </c>
      <c r="I3452" s="10">
        <f ca="1">IFERROR(__xludf.DUMMYFUNCTION(" VLOOKUP(A3449, IMPORTRANGE(""https://docs.google.com/spreadsheets/d/1QNLbnkR_AongFt22vMfNzfpjZ0CjpI8QI-w0wBnYA1w/"", ""Инфа!A:AA""), 6, FALSE)"),2024)</f>
        <v>2024</v>
      </c>
      <c r="J3452" s="5">
        <f ca="1">ROUND((5000+G3452*60),-2)</f>
        <v>17700</v>
      </c>
      <c r="K3452" s="12" t="s">
        <v>63</v>
      </c>
      <c r="L3452" s="15" t="s">
        <v>13314</v>
      </c>
    </row>
    <row r="3453" spans="1:12" ht="123.75">
      <c r="A3453" s="8" t="s">
        <v>13315</v>
      </c>
      <c r="B3453" s="9" t="s">
        <v>12</v>
      </c>
      <c r="C3453" s="10" t="s">
        <v>443</v>
      </c>
      <c r="D3453" s="10" t="str">
        <f ca="1">IFERROR(__xludf.DUMMYFUNCTION(" VLOOKUP(A3450, IMPORTRANGE(""https://docs.google.com/spreadsheets/d/1fj_Bhi2XPL3siwIh4sx4VRLAe31yD50oKdj5UlRYW0c/"", ""Сводка!A:AA""), 11, FALSE)"),"978-601-310-900-8")</f>
        <v>978-601-310-900-8</v>
      </c>
      <c r="E3453" s="11" t="s">
        <v>13316</v>
      </c>
      <c r="F3453" s="11" t="s">
        <v>13317</v>
      </c>
      <c r="G3453" s="12">
        <f ca="1">IFERROR(__xludf.DUMMYFUNCTION(" VLOOKUP(A3450, IMPORTRANGE(""https://docs.google.com/spreadsheets/d/1fj_Bhi2XPL3siwIh4sx4VRLAe31yD50oKdj5UlRYW0c/"", ""Сводка!A:AA""), 5, FALSE)"),256)</f>
        <v>256</v>
      </c>
      <c r="H3453" s="12" t="s">
        <v>538</v>
      </c>
      <c r="I3453" s="10">
        <f ca="1">IFERROR(__xludf.DUMMYFUNCTION(" VLOOKUP(A3450, IMPORTRANGE(""https://docs.google.com/spreadsheets/d/1QNLbnkR_AongFt22vMfNzfpjZ0CjpI8QI-w0wBnYA1w/"", ""Инфа!A:AA""), 6, FALSE)"),2024)</f>
        <v>2024</v>
      </c>
      <c r="J3453" s="5">
        <f ca="1">ROUND((5000+G3453*60),-2)</f>
        <v>20400</v>
      </c>
      <c r="K3453" s="12" t="s">
        <v>368</v>
      </c>
      <c r="L3453" s="15" t="s">
        <v>13318</v>
      </c>
    </row>
    <row r="3454" spans="1:12" ht="38.25">
      <c r="A3454" s="8" t="s">
        <v>13319</v>
      </c>
      <c r="B3454" s="9" t="s">
        <v>12</v>
      </c>
      <c r="C3454" s="10" t="s">
        <v>443</v>
      </c>
      <c r="D3454" s="10" t="str">
        <f ca="1">IFERROR(__xludf.DUMMYFUNCTION(" VLOOKUP(A3451, IMPORTRANGE(""https://docs.google.com/spreadsheets/d/1fj_Bhi2XPL3siwIh4sx4VRLAe31yD50oKdj5UlRYW0c/"", ""Сводка!A:AA""), 11, FALSE)"),"978-99-65-37-261-2")</f>
        <v>978-99-65-37-261-2</v>
      </c>
      <c r="E3454" s="11" t="s">
        <v>13320</v>
      </c>
      <c r="F3454" s="11" t="s">
        <v>13321</v>
      </c>
      <c r="G3454" s="12">
        <f ca="1">IFERROR(__xludf.DUMMYFUNCTION(" VLOOKUP(A3451, IMPORTRANGE(""https://docs.google.com/spreadsheets/d/1fj_Bhi2XPL3siwIh4sx4VRLAe31yD50oKdj5UlRYW0c/"", ""Сводка!A:AA""), 5, FALSE)"),204)</f>
        <v>204</v>
      </c>
      <c r="H3454" s="12" t="s">
        <v>538</v>
      </c>
      <c r="I3454" s="10">
        <f ca="1">IFERROR(__xludf.DUMMYFUNCTION(" VLOOKUP(A3451, IMPORTRANGE(""https://docs.google.com/spreadsheets/d/1QNLbnkR_AongFt22vMfNzfpjZ0CjpI8QI-w0wBnYA1w/"", ""Инфа!A:AA""), 6, FALSE)"),2024)</f>
        <v>2024</v>
      </c>
      <c r="J3454" s="5">
        <f ca="1">ROUND((5000+G3454*30),-2)</f>
        <v>11100</v>
      </c>
      <c r="K3454" s="12" t="s">
        <v>368</v>
      </c>
      <c r="L3454" s="15"/>
    </row>
    <row r="3455" spans="1:12" ht="67.5">
      <c r="A3455" s="8" t="s">
        <v>13322</v>
      </c>
      <c r="B3455" s="9" t="s">
        <v>12</v>
      </c>
      <c r="C3455" s="10" t="s">
        <v>443</v>
      </c>
      <c r="D3455" s="10" t="str">
        <f ca="1">IFERROR(__xludf.DUMMYFUNCTION(" VLOOKUP(A3452, IMPORTRANGE(""https://docs.google.com/spreadsheets/d/1fj_Bhi2XPL3siwIh4sx4VRLAe31yD50oKdj5UlRYW0c/"", ""Сводка!A:AA""), 11, FALSE)"),"978-601-310-901-5")</f>
        <v>978-601-310-901-5</v>
      </c>
      <c r="E3455" s="11" t="s">
        <v>13323</v>
      </c>
      <c r="F3455" s="11" t="s">
        <v>13324</v>
      </c>
      <c r="G3455" s="12">
        <f ca="1">IFERROR(__xludf.DUMMYFUNCTION(" VLOOKUP(A3452, IMPORTRANGE(""https://docs.google.com/spreadsheets/d/1fj_Bhi2XPL3siwIh4sx4VRLAe31yD50oKdj5UlRYW0c/"", ""Сводка!A:AA""), 5, FALSE)"),184)</f>
        <v>184</v>
      </c>
      <c r="H3455" s="12" t="s">
        <v>538</v>
      </c>
      <c r="I3455" s="10">
        <f ca="1">IFERROR(__xludf.DUMMYFUNCTION(" VLOOKUP(A3452, IMPORTRANGE(""https://docs.google.com/spreadsheets/d/1QNLbnkR_AongFt22vMfNzfpjZ0CjpI8QI-w0wBnYA1w/"", ""Инфа!A:AA""), 6, FALSE)"),2024)</f>
        <v>2024</v>
      </c>
      <c r="J3455" s="5">
        <f ca="1">ROUND((5000+G3455*60),-2)</f>
        <v>16000</v>
      </c>
      <c r="K3455" s="12" t="s">
        <v>368</v>
      </c>
      <c r="L3455" s="15" t="s">
        <v>13325</v>
      </c>
    </row>
    <row r="3456" spans="1:12" ht="168.75">
      <c r="A3456" s="8" t="s">
        <v>13326</v>
      </c>
      <c r="B3456" s="9" t="s">
        <v>12</v>
      </c>
      <c r="C3456" s="10" t="s">
        <v>443</v>
      </c>
      <c r="D3456" s="10" t="str">
        <f ca="1">IFERROR(__xludf.DUMMYFUNCTION(" VLOOKUP(A3453, IMPORTRANGE(""https://docs.google.com/spreadsheets/d/1fj_Bhi2XPL3siwIh4sx4VRLAe31yD50oKdj5UlRYW0c/"", ""Сводка!A:AA""), 11, FALSE)"),"978-601-342-176-6")</f>
        <v>978-601-342-176-6</v>
      </c>
      <c r="E3456" s="11" t="s">
        <v>13327</v>
      </c>
      <c r="F3456" s="11" t="s">
        <v>13328</v>
      </c>
      <c r="G3456" s="12">
        <f ca="1">IFERROR(__xludf.DUMMYFUNCTION(" VLOOKUP(A3453, IMPORTRANGE(""https://docs.google.com/spreadsheets/d/1fj_Bhi2XPL3siwIh4sx4VRLAe31yD50oKdj5UlRYW0c/"", ""Сводка!A:AA""), 5, FALSE)"),268)</f>
        <v>268</v>
      </c>
      <c r="H3456" s="12" t="s">
        <v>538</v>
      </c>
      <c r="I3456" s="10">
        <f ca="1">IFERROR(__xludf.DUMMYFUNCTION(" VLOOKUP(A3453, IMPORTRANGE(""https://docs.google.com/spreadsheets/d/1QNLbnkR_AongFt22vMfNzfpjZ0CjpI8QI-w0wBnYA1w/"", ""Инфа!A:AA""), 6, FALSE)"),2024)</f>
        <v>2024</v>
      </c>
      <c r="J3456" s="5">
        <f ca="1">ROUND((5000+G3456*30),-2)</f>
        <v>13000</v>
      </c>
      <c r="K3456" s="12" t="s">
        <v>302</v>
      </c>
      <c r="L3456" s="15" t="s">
        <v>13329</v>
      </c>
    </row>
    <row r="3457" spans="1:12" ht="135">
      <c r="A3457" s="8" t="s">
        <v>13330</v>
      </c>
      <c r="B3457" s="9" t="s">
        <v>12</v>
      </c>
      <c r="C3457" s="10" t="s">
        <v>443</v>
      </c>
      <c r="D3457" s="10" t="str">
        <f ca="1">IFERROR(__xludf.DUMMYFUNCTION(" VLOOKUP(A3454, IMPORTRANGE(""https://docs.google.com/spreadsheets/d/1fj_Bhi2XPL3siwIh4sx4VRLAe31yD50oKdj5UlRYW0c/"", ""Сводка!A:AA""), 11, FALSE)"),"978-601-240-810-2")</f>
        <v>978-601-240-810-2</v>
      </c>
      <c r="E3457" s="11" t="s">
        <v>13331</v>
      </c>
      <c r="F3457" s="11" t="s">
        <v>13332</v>
      </c>
      <c r="G3457" s="12">
        <f ca="1">IFERROR(__xludf.DUMMYFUNCTION(" VLOOKUP(A3454, IMPORTRANGE(""https://docs.google.com/spreadsheets/d/1fj_Bhi2XPL3siwIh4sx4VRLAe31yD50oKdj5UlRYW0c/"", ""Сводка!A:AA""), 5, FALSE)"),60)</f>
        <v>60</v>
      </c>
      <c r="H3457" s="12" t="s">
        <v>13333</v>
      </c>
      <c r="I3457" s="10">
        <f ca="1">IFERROR(__xludf.DUMMYFUNCTION(" VLOOKUP(A3454, IMPORTRANGE(""https://docs.google.com/spreadsheets/d/1QNLbnkR_AongFt22vMfNzfpjZ0CjpI8QI-w0wBnYA1w/"", ""Инфа!A:AA""), 6, FALSE)"),2024)</f>
        <v>2024</v>
      </c>
      <c r="J3457" s="5">
        <f ca="1">ROUND((5000+G3457*60),-2)</f>
        <v>8600</v>
      </c>
      <c r="K3457" s="9" t="s">
        <v>758</v>
      </c>
      <c r="L3457" s="15" t="s">
        <v>13334</v>
      </c>
    </row>
    <row r="3458" spans="1:12" ht="168.75">
      <c r="A3458" s="8" t="s">
        <v>13335</v>
      </c>
      <c r="B3458" s="9" t="s">
        <v>12</v>
      </c>
      <c r="C3458" s="10" t="s">
        <v>151</v>
      </c>
      <c r="D3458" s="10" t="str">
        <f ca="1">IFERROR(__xludf.DUMMYFUNCTION(" VLOOKUP(A3455, IMPORTRANGE(""https://docs.google.com/spreadsheets/d/1fj_Bhi2XPL3siwIh4sx4VRLAe31yD50oKdj5UlRYW0c/"", ""Сводка!A:AA""), 11, FALSE)"),"978-601-310-174-3")</f>
        <v>978-601-310-174-3</v>
      </c>
      <c r="E3458" s="11" t="s">
        <v>13336</v>
      </c>
      <c r="F3458" s="11" t="s">
        <v>13337</v>
      </c>
      <c r="G3458" s="12">
        <f ca="1">IFERROR(__xludf.DUMMYFUNCTION(" VLOOKUP(A3455, IMPORTRANGE(""https://docs.google.com/spreadsheets/d/1fj_Bhi2XPL3siwIh4sx4VRLAe31yD50oKdj5UlRYW0c/"", ""Сводка!A:AA""), 5, FALSE)"),328)</f>
        <v>328</v>
      </c>
      <c r="H3458" s="12" t="s">
        <v>498</v>
      </c>
      <c r="I3458" s="10">
        <f ca="1">IFERROR(__xludf.DUMMYFUNCTION(" VLOOKUP(A3455, IMPORTRANGE(""https://docs.google.com/spreadsheets/d/1QNLbnkR_AongFt22vMfNzfpjZ0CjpI8QI-w0wBnYA1w/"", ""Инфа!A:AA""), 6, FALSE)"),2024)</f>
        <v>2024</v>
      </c>
      <c r="J3458" s="5">
        <f ca="1">ROUND((5000+G3458*60),-2)</f>
        <v>24700</v>
      </c>
      <c r="K3458" s="12" t="s">
        <v>1387</v>
      </c>
      <c r="L3458" s="15" t="s">
        <v>13338</v>
      </c>
    </row>
    <row r="3459" spans="1:12" ht="180">
      <c r="A3459" s="8" t="s">
        <v>13339</v>
      </c>
      <c r="B3459" s="9" t="s">
        <v>12</v>
      </c>
      <c r="C3459" s="10" t="s">
        <v>151</v>
      </c>
      <c r="D3459" s="10" t="str">
        <f ca="1">IFERROR(__xludf.DUMMYFUNCTION(" VLOOKUP(A3456, IMPORTRANGE(""https://docs.google.com/spreadsheets/d/1fj_Bhi2XPL3siwIh4sx4VRLAe31yD50oKdj5UlRYW0c/"", ""Сводка!A:AA""), 11, FALSE)"),"978-601-310-172-9")</f>
        <v>978-601-310-172-9</v>
      </c>
      <c r="E3459" s="11" t="s">
        <v>13336</v>
      </c>
      <c r="F3459" s="11" t="s">
        <v>13340</v>
      </c>
      <c r="G3459" s="12">
        <f ca="1">IFERROR(__xludf.DUMMYFUNCTION(" VLOOKUP(A3456, IMPORTRANGE(""https://docs.google.com/spreadsheets/d/1fj_Bhi2XPL3siwIh4sx4VRLAe31yD50oKdj5UlRYW0c/"", ""Сводка!A:AA""), 5, FALSE)"),280)</f>
        <v>280</v>
      </c>
      <c r="H3459" s="12" t="s">
        <v>498</v>
      </c>
      <c r="I3459" s="10">
        <f ca="1">IFERROR(__xludf.DUMMYFUNCTION(" VLOOKUP(A3456, IMPORTRANGE(""https://docs.google.com/spreadsheets/d/1QNLbnkR_AongFt22vMfNzfpjZ0CjpI8QI-w0wBnYA1w/"", ""Инфа!A:AA""), 6, FALSE)"),2024)</f>
        <v>2024</v>
      </c>
      <c r="J3459" s="5">
        <f ca="1">ROUND((5000+G3459*60),-2)</f>
        <v>21800</v>
      </c>
      <c r="K3459" s="12" t="s">
        <v>2136</v>
      </c>
      <c r="L3459" s="15" t="s">
        <v>13341</v>
      </c>
    </row>
    <row r="3460" spans="1:12" ht="112.5">
      <c r="A3460" s="8" t="s">
        <v>13342</v>
      </c>
      <c r="B3460" s="9" t="s">
        <v>12</v>
      </c>
      <c r="C3460" s="10" t="s">
        <v>443</v>
      </c>
      <c r="D3460" s="10" t="str">
        <f ca="1">IFERROR(__xludf.DUMMYFUNCTION(" VLOOKUP(A3457, IMPORTRANGE(""https://docs.google.com/spreadsheets/d/1fj_Bhi2XPL3siwIh4sx4VRLAe31yD50oKdj5UlRYW0c/"", ""Сводка!A:AA""), 11, FALSE)"),"978-601-310-263-4")</f>
        <v>978-601-310-263-4</v>
      </c>
      <c r="E3460" s="11" t="s">
        <v>13343</v>
      </c>
      <c r="F3460" s="11" t="s">
        <v>5430</v>
      </c>
      <c r="G3460" s="12">
        <f ca="1">IFERROR(__xludf.DUMMYFUNCTION(" VLOOKUP(A3457, IMPORTRANGE(""https://docs.google.com/spreadsheets/d/1fj_Bhi2XPL3siwIh4sx4VRLAe31yD50oKdj5UlRYW0c/"", ""Сводка!A:AA""), 5, FALSE)"),161)</f>
        <v>161</v>
      </c>
      <c r="H3460" s="12" t="s">
        <v>511</v>
      </c>
      <c r="I3460" s="10">
        <f ca="1">IFERROR(__xludf.DUMMYFUNCTION(" VLOOKUP(A3457, IMPORTRANGE(""https://docs.google.com/spreadsheets/d/1QNLbnkR_AongFt22vMfNzfpjZ0CjpI8QI-w0wBnYA1w/"", ""Инфа!A:AA""), 6, FALSE)"),2024)</f>
        <v>2024</v>
      </c>
      <c r="J3460" s="5">
        <f t="shared" ref="J3460:J3472" ca="1" si="115">ROUND((5000+G3460*30),-2)</f>
        <v>9800</v>
      </c>
      <c r="K3460" s="12" t="s">
        <v>440</v>
      </c>
      <c r="L3460" s="15" t="s">
        <v>13344</v>
      </c>
    </row>
    <row r="3461" spans="1:12" ht="112.5">
      <c r="A3461" s="8" t="s">
        <v>13345</v>
      </c>
      <c r="B3461" s="9" t="s">
        <v>12</v>
      </c>
      <c r="C3461" s="10" t="s">
        <v>151</v>
      </c>
      <c r="D3461" s="10" t="str">
        <f ca="1">IFERROR(__xludf.DUMMYFUNCTION(" VLOOKUP(A3458, IMPORTRANGE(""https://docs.google.com/spreadsheets/d/1fj_Bhi2XPL3siwIh4sx4VRLAe31yD50oKdj5UlRYW0c/"", ""Сводка!A:AA""), 11, FALSE)"),"978-601-310-904-6")</f>
        <v>978-601-310-904-6</v>
      </c>
      <c r="E3461" s="11" t="s">
        <v>13346</v>
      </c>
      <c r="F3461" s="11" t="s">
        <v>13347</v>
      </c>
      <c r="G3461" s="12">
        <f ca="1">IFERROR(__xludf.DUMMYFUNCTION(" VLOOKUP(A3458, IMPORTRANGE(""https://docs.google.com/spreadsheets/d/1fj_Bhi2XPL3siwIh4sx4VRLAe31yD50oKdj5UlRYW0c/"", ""Сводка!A:AA""), 5, FALSE)"),212)</f>
        <v>212</v>
      </c>
      <c r="H3461" s="12" t="s">
        <v>1870</v>
      </c>
      <c r="I3461" s="10">
        <f ca="1">IFERROR(__xludf.DUMMYFUNCTION(" VLOOKUP(A3458, IMPORTRANGE(""https://docs.google.com/spreadsheets/d/1QNLbnkR_AongFt22vMfNzfpjZ0CjpI8QI-w0wBnYA1w/"", ""Инфа!A:AA""), 6, FALSE)"),2024)</f>
        <v>2024</v>
      </c>
      <c r="J3461" s="5">
        <f t="shared" ca="1" si="115"/>
        <v>11400</v>
      </c>
      <c r="K3461" s="12" t="s">
        <v>2136</v>
      </c>
      <c r="L3461" s="15" t="s">
        <v>13348</v>
      </c>
    </row>
    <row r="3462" spans="1:12" ht="123.75">
      <c r="A3462" s="8" t="s">
        <v>13349</v>
      </c>
      <c r="B3462" s="9" t="s">
        <v>12</v>
      </c>
      <c r="C3462" s="10" t="s">
        <v>443</v>
      </c>
      <c r="D3462" s="10" t="str">
        <f ca="1">IFERROR(__xludf.DUMMYFUNCTION(" VLOOKUP(A3459, IMPORTRANGE(""https://docs.google.com/spreadsheets/d/1fj_Bhi2XPL3siwIh4sx4VRLAe31yD50oKdj5UlRYW0c/"", ""Сводка!A:AA""), 11, FALSE)"),"978-601-240-704-4")</f>
        <v>978-601-240-704-4</v>
      </c>
      <c r="E3462" s="11" t="s">
        <v>13350</v>
      </c>
      <c r="F3462" s="11" t="s">
        <v>13351</v>
      </c>
      <c r="G3462" s="12">
        <f ca="1">IFERROR(__xludf.DUMMYFUNCTION(" VLOOKUP(A3459, IMPORTRANGE(""https://docs.google.com/spreadsheets/d/1fj_Bhi2XPL3siwIh4sx4VRLAe31yD50oKdj5UlRYW0c/"", ""Сводка!A:AA""), 5, FALSE)"),112)</f>
        <v>112</v>
      </c>
      <c r="H3462" s="12" t="s">
        <v>511</v>
      </c>
      <c r="I3462" s="10">
        <f ca="1">IFERROR(__xludf.DUMMYFUNCTION(" VLOOKUP(A3459, IMPORTRANGE(""https://docs.google.com/spreadsheets/d/1QNLbnkR_AongFt22vMfNzfpjZ0CjpI8QI-w0wBnYA1w/"", ""Инфа!A:AA""), 6, FALSE)"),2024)</f>
        <v>2024</v>
      </c>
      <c r="J3462" s="5">
        <f t="shared" ca="1" si="115"/>
        <v>8400</v>
      </c>
      <c r="K3462" s="12" t="s">
        <v>440</v>
      </c>
      <c r="L3462" s="15" t="s">
        <v>13352</v>
      </c>
    </row>
    <row r="3463" spans="1:12" ht="292.5">
      <c r="A3463" s="8" t="s">
        <v>13353</v>
      </c>
      <c r="B3463" s="9" t="s">
        <v>12</v>
      </c>
      <c r="C3463" s="10" t="s">
        <v>443</v>
      </c>
      <c r="D3463" s="10" t="str">
        <f ca="1">IFERROR(__xludf.DUMMYFUNCTION(" VLOOKUP(A3460, IMPORTRANGE(""https://docs.google.com/spreadsheets/d/1fj_Bhi2XPL3siwIh4sx4VRLAe31yD50oKdj5UlRYW0c/"", ""Сводка!A:AA""), 11, FALSE)"),"978-9965-07-683-1")</f>
        <v>978-9965-07-683-1</v>
      </c>
      <c r="E3463" s="11" t="s">
        <v>13354</v>
      </c>
      <c r="F3463" s="11" t="s">
        <v>13355</v>
      </c>
      <c r="G3463" s="12">
        <f ca="1">IFERROR(__xludf.DUMMYFUNCTION(" VLOOKUP(A3460, IMPORTRANGE(""https://docs.google.com/spreadsheets/d/1fj_Bhi2XPL3siwIh4sx4VRLAe31yD50oKdj5UlRYW0c/"", ""Сводка!A:AA""), 5, FALSE)"),112)</f>
        <v>112</v>
      </c>
      <c r="H3463" s="12" t="s">
        <v>538</v>
      </c>
      <c r="I3463" s="10">
        <f ca="1">IFERROR(__xludf.DUMMYFUNCTION(" VLOOKUP(A3460, IMPORTRANGE(""https://docs.google.com/spreadsheets/d/1QNLbnkR_AongFt22vMfNzfpjZ0CjpI8QI-w0wBnYA1w/"", ""Инфа!A:AA""), 6, FALSE)"),2024)</f>
        <v>2024</v>
      </c>
      <c r="J3463" s="5">
        <f t="shared" ca="1" si="115"/>
        <v>8400</v>
      </c>
      <c r="K3463" s="9" t="s">
        <v>408</v>
      </c>
      <c r="L3463" s="15" t="s">
        <v>13356</v>
      </c>
    </row>
    <row r="3464" spans="1:12" ht="236.25">
      <c r="A3464" s="8" t="s">
        <v>13357</v>
      </c>
      <c r="B3464" s="9" t="s">
        <v>12</v>
      </c>
      <c r="C3464" s="10" t="s">
        <v>443</v>
      </c>
      <c r="D3464" s="10" t="str">
        <f ca="1">IFERROR(__xludf.DUMMYFUNCTION(" VLOOKUP(A3461, IMPORTRANGE(""https://docs.google.com/spreadsheets/d/1fj_Bhi2XPL3siwIh4sx4VRLAe31yD50oKdj5UlRYW0c/"", ""Сводка!A:AA""), 11, FALSE)"),"978-601-327-107-1")</f>
        <v>978-601-327-107-1</v>
      </c>
      <c r="E3464" s="11" t="s">
        <v>13358</v>
      </c>
      <c r="F3464" s="11" t="s">
        <v>13359</v>
      </c>
      <c r="G3464" s="12">
        <f ca="1">IFERROR(__xludf.DUMMYFUNCTION(" VLOOKUP(A3461, IMPORTRANGE(""https://docs.google.com/spreadsheets/d/1fj_Bhi2XPL3siwIh4sx4VRLAe31yD50oKdj5UlRYW0c/"", ""Сводка!A:AA""), 5, FALSE)"),328)</f>
        <v>328</v>
      </c>
      <c r="H3464" s="12" t="s">
        <v>511</v>
      </c>
      <c r="I3464" s="10">
        <f ca="1">IFERROR(__xludf.DUMMYFUNCTION(" VLOOKUP(A3461, IMPORTRANGE(""https://docs.google.com/spreadsheets/d/1QNLbnkR_AongFt22vMfNzfpjZ0CjpI8QI-w0wBnYA1w/"", ""Инфа!A:AA""), 6, FALSE)"),2024)</f>
        <v>2024</v>
      </c>
      <c r="J3464" s="5">
        <f t="shared" ca="1" si="115"/>
        <v>14800</v>
      </c>
      <c r="K3464" s="12" t="s">
        <v>171</v>
      </c>
      <c r="L3464" s="15" t="s">
        <v>13360</v>
      </c>
    </row>
    <row r="3465" spans="1:12" ht="123.75">
      <c r="A3465" s="8" t="s">
        <v>13361</v>
      </c>
      <c r="B3465" s="9" t="s">
        <v>12</v>
      </c>
      <c r="C3465" s="10" t="s">
        <v>443</v>
      </c>
      <c r="D3465" s="10" t="str">
        <f ca="1">IFERROR(__xludf.DUMMYFUNCTION(" VLOOKUP(A3462, IMPORTRANGE(""https://docs.google.com/spreadsheets/d/1fj_Bhi2XPL3siwIh4sx4VRLAe31yD50oKdj5UlRYW0c/"", ""Сводка!A:AA""), 11, FALSE)"),"978-9965-31-987-7")</f>
        <v>978-9965-31-987-7</v>
      </c>
      <c r="E3465" s="11" t="s">
        <v>3644</v>
      </c>
      <c r="F3465" s="11" t="s">
        <v>13362</v>
      </c>
      <c r="G3465" s="12">
        <f ca="1">IFERROR(__xludf.DUMMYFUNCTION(" VLOOKUP(A3462, IMPORTRANGE(""https://docs.google.com/spreadsheets/d/1fj_Bhi2XPL3siwIh4sx4VRLAe31yD50oKdj5UlRYW0c/"", ""Сводка!A:AA""), 5, FALSE)"),224)</f>
        <v>224</v>
      </c>
      <c r="H3465" s="12" t="s">
        <v>446</v>
      </c>
      <c r="I3465" s="10">
        <f ca="1">IFERROR(__xludf.DUMMYFUNCTION(" VLOOKUP(A3462, IMPORTRANGE(""https://docs.google.com/spreadsheets/d/1QNLbnkR_AongFt22vMfNzfpjZ0CjpI8QI-w0wBnYA1w/"", ""Инфа!A:AA""), 6, FALSE)"),2023)</f>
        <v>2023</v>
      </c>
      <c r="J3465" s="5">
        <f t="shared" ca="1" si="115"/>
        <v>11700</v>
      </c>
      <c r="K3465" s="12" t="s">
        <v>213</v>
      </c>
      <c r="L3465" s="15" t="s">
        <v>13363</v>
      </c>
    </row>
    <row r="3466" spans="1:12" ht="225">
      <c r="A3466" s="8" t="s">
        <v>13364</v>
      </c>
      <c r="B3466" s="9" t="s">
        <v>12</v>
      </c>
      <c r="C3466" s="10" t="s">
        <v>443</v>
      </c>
      <c r="D3466" s="10" t="str">
        <f ca="1">IFERROR(__xludf.DUMMYFUNCTION(" VLOOKUP(A3463, IMPORTRANGE(""https://docs.google.com/spreadsheets/d/1fj_Bhi2XPL3siwIh4sx4VRLAe31yD50oKdj5UlRYW0c/"", ""Сводка!A:AA""), 11, FALSE)"),"9965-19-800-4")</f>
        <v>9965-19-800-4</v>
      </c>
      <c r="E3466" s="11" t="s">
        <v>13365</v>
      </c>
      <c r="F3466" s="11" t="s">
        <v>13366</v>
      </c>
      <c r="G3466" s="12">
        <f ca="1">IFERROR(__xludf.DUMMYFUNCTION(" VLOOKUP(A3463, IMPORTRANGE(""https://docs.google.com/spreadsheets/d/1fj_Bhi2XPL3siwIh4sx4VRLAe31yD50oKdj5UlRYW0c/"", ""Сводка!A:AA""), 5, FALSE)"),168)</f>
        <v>168</v>
      </c>
      <c r="H3466" s="12" t="s">
        <v>538</v>
      </c>
      <c r="I3466" s="10">
        <f ca="1">IFERROR(__xludf.DUMMYFUNCTION(" VLOOKUP(A3463, IMPORTRANGE(""https://docs.google.com/spreadsheets/d/1QNLbnkR_AongFt22vMfNzfpjZ0CjpI8QI-w0wBnYA1w/"", ""Инфа!A:AA""), 6, FALSE)"),2024)</f>
        <v>2024</v>
      </c>
      <c r="J3466" s="5">
        <f t="shared" ca="1" si="115"/>
        <v>10000</v>
      </c>
      <c r="K3466" s="12" t="s">
        <v>160</v>
      </c>
      <c r="L3466" s="15" t="s">
        <v>13367</v>
      </c>
    </row>
    <row r="3467" spans="1:12" ht="101.25">
      <c r="A3467" s="8" t="s">
        <v>13368</v>
      </c>
      <c r="B3467" s="9" t="s">
        <v>12</v>
      </c>
      <c r="C3467" s="10" t="s">
        <v>443</v>
      </c>
      <c r="D3467" s="10" t="str">
        <f ca="1">IFERROR(__xludf.DUMMYFUNCTION(" VLOOKUP(A3464, IMPORTRANGE(""https://docs.google.com/spreadsheets/d/1fj_Bhi2XPL3siwIh4sx4VRLAe31yD50oKdj5UlRYW0c/"", ""Сводка!A:AA""), 11, FALSE)"),"978-601-267-194-0")</f>
        <v>978-601-267-194-0</v>
      </c>
      <c r="E3467" s="11" t="s">
        <v>13369</v>
      </c>
      <c r="F3467" s="11" t="s">
        <v>13370</v>
      </c>
      <c r="G3467" s="12">
        <f ca="1">IFERROR(__xludf.DUMMYFUNCTION(" VLOOKUP(A3464, IMPORTRANGE(""https://docs.google.com/spreadsheets/d/1fj_Bhi2XPL3siwIh4sx4VRLAe31yD50oKdj5UlRYW0c/"", ""Сводка!A:AA""), 5, FALSE)"),241)</f>
        <v>241</v>
      </c>
      <c r="H3467" s="12" t="s">
        <v>47</v>
      </c>
      <c r="I3467" s="10">
        <f ca="1">IFERROR(__xludf.DUMMYFUNCTION(" VLOOKUP(A3464, IMPORTRANGE(""https://docs.google.com/spreadsheets/d/1QNLbnkR_AongFt22vMfNzfpjZ0CjpI8QI-w0wBnYA1w/"", ""Инфа!A:AA""), 6, FALSE)"),2024)</f>
        <v>2024</v>
      </c>
      <c r="J3467" s="5">
        <f t="shared" ca="1" si="115"/>
        <v>12200</v>
      </c>
      <c r="K3467" s="12" t="s">
        <v>139</v>
      </c>
      <c r="L3467" s="15" t="s">
        <v>13371</v>
      </c>
    </row>
    <row r="3468" spans="1:12" ht="102">
      <c r="A3468" s="8" t="s">
        <v>13372</v>
      </c>
      <c r="B3468" s="9" t="s">
        <v>12</v>
      </c>
      <c r="C3468" s="13" t="s">
        <v>535</v>
      </c>
      <c r="D3468" s="10" t="s">
        <v>13373</v>
      </c>
      <c r="E3468" s="19" t="s">
        <v>13374</v>
      </c>
      <c r="F3468" s="19" t="s">
        <v>13375</v>
      </c>
      <c r="G3468" s="12">
        <f ca="1">IFERROR(__xludf.DUMMYFUNCTION(" VLOOKUP(A3465, IMPORTRANGE(""https://docs.google.com/spreadsheets/d/1fj_Bhi2XPL3siwIh4sx4VRLAe31yD50oKdj5UlRYW0c/"", ""Сводка!A:AA""), 5, FALSE)"),244)</f>
        <v>244</v>
      </c>
      <c r="H3468" s="9" t="s">
        <v>446</v>
      </c>
      <c r="I3468" s="10">
        <f ca="1">IFERROR(__xludf.DUMMYFUNCTION(" VLOOKUP(A3465, IMPORTRANGE(""https://docs.google.com/spreadsheets/d/1QNLbnkR_AongFt22vMfNzfpjZ0CjpI8QI-w0wBnYA1w/"", ""Инфа!A:AA""), 6, FALSE)"),2024)</f>
        <v>2024</v>
      </c>
      <c r="J3468" s="5">
        <f t="shared" ca="1" si="115"/>
        <v>12300</v>
      </c>
      <c r="K3468" s="12" t="s">
        <v>302</v>
      </c>
      <c r="L3468" s="21" t="s">
        <v>13376</v>
      </c>
    </row>
    <row r="3469" spans="1:12" ht="202.5">
      <c r="A3469" s="8" t="s">
        <v>13377</v>
      </c>
      <c r="B3469" s="9" t="s">
        <v>12</v>
      </c>
      <c r="C3469" s="10" t="s">
        <v>443</v>
      </c>
      <c r="D3469" s="10" t="str">
        <f ca="1">IFERROR(__xludf.DUMMYFUNCTION(" VLOOKUP(A3466, IMPORTRANGE(""https://docs.google.com/spreadsheets/d/1fj_Bhi2XPL3siwIh4sx4VRLAe31yD50oKdj5UlRYW0c/"", ""Сводка!A:AA""), 11, FALSE)"),"978-601-240-644-3")</f>
        <v>978-601-240-644-3</v>
      </c>
      <c r="E3469" s="11" t="s">
        <v>13378</v>
      </c>
      <c r="F3469" s="11" t="s">
        <v>13379</v>
      </c>
      <c r="G3469" s="12">
        <f ca="1">IFERROR(__xludf.DUMMYFUNCTION(" VLOOKUP(A3466, IMPORTRANGE(""https://docs.google.com/spreadsheets/d/1fj_Bhi2XPL3siwIh4sx4VRLAe31yD50oKdj5UlRYW0c/"", ""Сводка!A:AA""), 5, FALSE)"),180)</f>
        <v>180</v>
      </c>
      <c r="H3469" s="12" t="s">
        <v>538</v>
      </c>
      <c r="I3469" s="10">
        <f ca="1">IFERROR(__xludf.DUMMYFUNCTION(" VLOOKUP(A3466, IMPORTRANGE(""https://docs.google.com/spreadsheets/d/1QNLbnkR_AongFt22vMfNzfpjZ0CjpI8QI-w0wBnYA1w/"", ""Инфа!A:AA""), 6, FALSE)"),2024)</f>
        <v>2024</v>
      </c>
      <c r="J3469" s="5">
        <f t="shared" ca="1" si="115"/>
        <v>10400</v>
      </c>
      <c r="K3469" s="12" t="s">
        <v>1450</v>
      </c>
      <c r="L3469" s="15" t="s">
        <v>13380</v>
      </c>
    </row>
    <row r="3470" spans="1:12" ht="258.75">
      <c r="A3470" s="8" t="s">
        <v>13381</v>
      </c>
      <c r="B3470" s="9" t="s">
        <v>12</v>
      </c>
      <c r="C3470" s="10" t="s">
        <v>443</v>
      </c>
      <c r="D3470" s="10" t="str">
        <f ca="1">IFERROR(__xludf.DUMMYFUNCTION(" VLOOKUP(A3467, IMPORTRANGE(""https://docs.google.com/spreadsheets/d/1fj_Bhi2XPL3siwIh4sx4VRLAe31yD50oKdj5UlRYW0c/"", ""Сводка!A:AA""), 11, FALSE)"),"978-601-310-909-1")</f>
        <v>978-601-310-909-1</v>
      </c>
      <c r="E3470" s="11" t="s">
        <v>13382</v>
      </c>
      <c r="F3470" s="11" t="s">
        <v>13383</v>
      </c>
      <c r="G3470" s="12">
        <f ca="1">IFERROR(__xludf.DUMMYFUNCTION(" VLOOKUP(A3467, IMPORTRANGE(""https://docs.google.com/spreadsheets/d/1fj_Bhi2XPL3siwIh4sx4VRLAe31yD50oKdj5UlRYW0c/"", ""Сводка!A:AA""), 5, FALSE)"),132)</f>
        <v>132</v>
      </c>
      <c r="H3470" s="12" t="s">
        <v>446</v>
      </c>
      <c r="I3470" s="10">
        <f ca="1">IFERROR(__xludf.DUMMYFUNCTION(" VLOOKUP(A3467, IMPORTRANGE(""https://docs.google.com/spreadsheets/d/1QNLbnkR_AongFt22vMfNzfpjZ0CjpI8QI-w0wBnYA1w/"", ""Инфа!A:AA""), 6, FALSE)"),2024)</f>
        <v>2024</v>
      </c>
      <c r="J3470" s="5">
        <f t="shared" ca="1" si="115"/>
        <v>9000</v>
      </c>
      <c r="K3470" s="9" t="s">
        <v>13384</v>
      </c>
      <c r="L3470" s="15" t="s">
        <v>13385</v>
      </c>
    </row>
    <row r="3471" spans="1:12" ht="281.25">
      <c r="A3471" s="8" t="s">
        <v>13386</v>
      </c>
      <c r="B3471" s="9" t="s">
        <v>12</v>
      </c>
      <c r="C3471" s="10" t="s">
        <v>443</v>
      </c>
      <c r="D3471" s="10" t="str">
        <f ca="1">IFERROR(__xludf.DUMMYFUNCTION(" VLOOKUP(A3468, IMPORTRANGE(""https://docs.google.com/spreadsheets/d/1fj_Bhi2XPL3siwIh4sx4VRLAe31yD50oKdj5UlRYW0c/"", ""Сводка!A:AA""), 11, FALSE)"),"978-601-310-908-4")</f>
        <v>978-601-310-908-4</v>
      </c>
      <c r="E3471" s="11" t="s">
        <v>13382</v>
      </c>
      <c r="F3471" s="11" t="s">
        <v>13387</v>
      </c>
      <c r="G3471" s="12">
        <f ca="1">IFERROR(__xludf.DUMMYFUNCTION(" VLOOKUP(A3468, IMPORTRANGE(""https://docs.google.com/spreadsheets/d/1fj_Bhi2XPL3siwIh4sx4VRLAe31yD50oKdj5UlRYW0c/"", ""Сводка!A:AA""), 5, FALSE)"),160)</f>
        <v>160</v>
      </c>
      <c r="H3471" s="12" t="s">
        <v>24</v>
      </c>
      <c r="I3471" s="10">
        <f ca="1">IFERROR(__xludf.DUMMYFUNCTION(" VLOOKUP(A3468, IMPORTRANGE(""https://docs.google.com/spreadsheets/d/1QNLbnkR_AongFt22vMfNzfpjZ0CjpI8QI-w0wBnYA1w/"", ""Инфа!A:AA""), 6, FALSE)"),2024)</f>
        <v>2024</v>
      </c>
      <c r="J3471" s="5">
        <f t="shared" ca="1" si="115"/>
        <v>9800</v>
      </c>
      <c r="K3471" s="9" t="s">
        <v>619</v>
      </c>
      <c r="L3471" s="15" t="s">
        <v>13388</v>
      </c>
    </row>
    <row r="3472" spans="1:12" ht="67.5">
      <c r="A3472" s="8" t="s">
        <v>13389</v>
      </c>
      <c r="B3472" s="9" t="s">
        <v>12</v>
      </c>
      <c r="C3472" s="10" t="s">
        <v>443</v>
      </c>
      <c r="D3472" s="10" t="str">
        <f ca="1">IFERROR(__xludf.DUMMYFUNCTION(" VLOOKUP(A3469, IMPORTRANGE(""https://docs.google.com/spreadsheets/d/1fj_Bhi2XPL3siwIh4sx4VRLAe31yD50oKdj5UlRYW0c/"", ""Сводка!A:AA""), 11, FALSE)"),"978-601-240-644-3")</f>
        <v>978-601-240-644-3</v>
      </c>
      <c r="E3472" s="11" t="s">
        <v>13390</v>
      </c>
      <c r="F3472" s="11" t="s">
        <v>13391</v>
      </c>
      <c r="G3472" s="12">
        <f ca="1">IFERROR(__xludf.DUMMYFUNCTION(" VLOOKUP(A3469, IMPORTRANGE(""https://docs.google.com/spreadsheets/d/1fj_Bhi2XPL3siwIh4sx4VRLAe31yD50oKdj5UlRYW0c/"", ""Сводка!A:AA""), 5, FALSE)"),184)</f>
        <v>184</v>
      </c>
      <c r="H3472" s="12" t="s">
        <v>538</v>
      </c>
      <c r="I3472" s="10">
        <f ca="1">IFERROR(__xludf.DUMMYFUNCTION(" VLOOKUP(A3469, IMPORTRANGE(""https://docs.google.com/spreadsheets/d/1QNLbnkR_AongFt22vMfNzfpjZ0CjpI8QI-w0wBnYA1w/"", ""Инфа!A:AA""), 6, FALSE)"),2024)</f>
        <v>2024</v>
      </c>
      <c r="J3472" s="5">
        <f t="shared" ca="1" si="115"/>
        <v>10500</v>
      </c>
      <c r="K3472" s="9" t="s">
        <v>592</v>
      </c>
      <c r="L3472" s="15" t="s">
        <v>13392</v>
      </c>
    </row>
    <row r="3473" spans="1:12" ht="101.25">
      <c r="A3473" s="8" t="s">
        <v>13393</v>
      </c>
      <c r="B3473" s="9" t="s">
        <v>12</v>
      </c>
      <c r="C3473" s="10" t="s">
        <v>443</v>
      </c>
      <c r="D3473" s="10" t="str">
        <f ca="1">IFERROR(__xludf.DUMMYFUNCTION(" VLOOKUP(A3470, IMPORTRANGE(""https://docs.google.com/spreadsheets/d/1fj_Bhi2XPL3siwIh4sx4VRLAe31yD50oKdj5UlRYW0c/"", ""Сводка!A:AA""), 11, FALSE)"),"978-601-240-789-1")</f>
        <v>978-601-240-789-1</v>
      </c>
      <c r="E3473" s="11" t="s">
        <v>13394</v>
      </c>
      <c r="F3473" s="11" t="s">
        <v>13395</v>
      </c>
      <c r="G3473" s="12">
        <f ca="1">IFERROR(__xludf.DUMMYFUNCTION(" VLOOKUP(A3470, IMPORTRANGE(""https://docs.google.com/spreadsheets/d/1fj_Bhi2XPL3siwIh4sx4VRLAe31yD50oKdj5UlRYW0c/"", ""Сводка!A:AA""), 5, FALSE)"),221)</f>
        <v>221</v>
      </c>
      <c r="H3473" s="12" t="s">
        <v>538</v>
      </c>
      <c r="I3473" s="10">
        <f ca="1">IFERROR(__xludf.DUMMYFUNCTION(" VLOOKUP(A3470, IMPORTRANGE(""https://docs.google.com/spreadsheets/d/1QNLbnkR_AongFt22vMfNzfpjZ0CjpI8QI-w0wBnYA1w/"", ""Инфа!A:AA""), 6, FALSE)"),2024)</f>
        <v>2024</v>
      </c>
      <c r="J3473" s="5">
        <f ca="1">ROUND((5000+G3473*60),-2)</f>
        <v>18300</v>
      </c>
      <c r="K3473" s="9" t="s">
        <v>592</v>
      </c>
      <c r="L3473" s="15" t="s">
        <v>13396</v>
      </c>
    </row>
    <row r="3474" spans="1:12" ht="25.5">
      <c r="A3474" s="8" t="s">
        <v>13397</v>
      </c>
      <c r="B3474" s="9" t="s">
        <v>12</v>
      </c>
      <c r="C3474" s="10" t="s">
        <v>443</v>
      </c>
      <c r="D3474" s="10" t="str">
        <f ca="1">IFERROR(__xludf.DUMMYFUNCTION(" VLOOKUP(A3471, IMPORTRANGE(""https://docs.google.com/spreadsheets/d/1fj_Bhi2XPL3siwIh4sx4VRLAe31yD50oKdj5UlRYW0c/"", ""Сводка!A:AA""), 11, FALSE)"),"978-601-327-847-6")</f>
        <v>978-601-327-847-6</v>
      </c>
      <c r="E3474" s="11" t="s">
        <v>13398</v>
      </c>
      <c r="F3474" s="11" t="s">
        <v>13399</v>
      </c>
      <c r="G3474" s="12">
        <f ca="1">IFERROR(__xludf.DUMMYFUNCTION(" VLOOKUP(A3471, IMPORTRANGE(""https://docs.google.com/spreadsheets/d/1fj_Bhi2XPL3siwIh4sx4VRLAe31yD50oKdj5UlRYW0c/"", ""Сводка!A:AA""), 5, FALSE)"),212)</f>
        <v>212</v>
      </c>
      <c r="H3474" s="12" t="s">
        <v>538</v>
      </c>
      <c r="I3474" s="10">
        <f ca="1">IFERROR(__xludf.DUMMYFUNCTION(" VLOOKUP(A3471, IMPORTRANGE(""https://docs.google.com/spreadsheets/d/1QNLbnkR_AongFt22vMfNzfpjZ0CjpI8QI-w0wBnYA1w/"", ""Инфа!A:AA""), 6, FALSE)"),2024)</f>
        <v>2024</v>
      </c>
      <c r="J3474" s="5">
        <f ca="1">ROUND((5000+G3474*60),-2)</f>
        <v>17700</v>
      </c>
      <c r="K3474" s="12" t="s">
        <v>63</v>
      </c>
      <c r="L3474" s="15"/>
    </row>
    <row r="3475" spans="1:12" ht="25.5">
      <c r="A3475" s="8" t="s">
        <v>13400</v>
      </c>
      <c r="B3475" s="9" t="s">
        <v>12</v>
      </c>
      <c r="C3475" s="10" t="s">
        <v>443</v>
      </c>
      <c r="D3475" s="10" t="str">
        <f ca="1">IFERROR(__xludf.DUMMYFUNCTION(" VLOOKUP(A3472, IMPORTRANGE(""https://docs.google.com/spreadsheets/d/1fj_Bhi2XPL3siwIh4sx4VRLAe31yD50oKdj5UlRYW0c/"", ""Сводка!A:AA""), 11, FALSE)"),"9965-532-85-0")</f>
        <v>9965-532-85-0</v>
      </c>
      <c r="E3475" s="11" t="s">
        <v>13401</v>
      </c>
      <c r="F3475" s="11" t="s">
        <v>972</v>
      </c>
      <c r="G3475" s="12" t="e">
        <f>#REF!</f>
        <v>#REF!</v>
      </c>
      <c r="H3475" s="12" t="s">
        <v>538</v>
      </c>
      <c r="I3475" s="10">
        <f ca="1">IFERROR(__xludf.DUMMYFUNCTION(" VLOOKUP(A3472, IMPORTRANGE(""https://docs.google.com/spreadsheets/d/1QNLbnkR_AongFt22vMfNzfpjZ0CjpI8QI-w0wBnYA1w/"", ""Инфа!A:AA""), 6, FALSE)"),2024)</f>
        <v>2024</v>
      </c>
      <c r="J3475" s="5" t="e">
        <f>ROUND((5000+G3475*30),-2)</f>
        <v>#REF!</v>
      </c>
      <c r="K3475" s="12" t="s">
        <v>160</v>
      </c>
      <c r="L3475" s="15"/>
    </row>
    <row r="3476" spans="1:12" ht="123.75">
      <c r="A3476" s="8" t="s">
        <v>13402</v>
      </c>
      <c r="B3476" s="9" t="s">
        <v>12</v>
      </c>
      <c r="C3476" s="10" t="s">
        <v>443</v>
      </c>
      <c r="D3476" s="10" t="str">
        <f ca="1">IFERROR(__xludf.DUMMYFUNCTION(" VLOOKUP(A3473, IMPORTRANGE(""https://docs.google.com/spreadsheets/d/1fj_Bhi2XPL3siwIh4sx4VRLAe31yD50oKdj5UlRYW0c/"", ""Сводка!A:AA""), 11, FALSE)"),"9965-448-73-6")</f>
        <v>9965-448-73-6</v>
      </c>
      <c r="E3476" s="11" t="s">
        <v>13401</v>
      </c>
      <c r="F3476" s="11" t="s">
        <v>13403</v>
      </c>
      <c r="G3476" s="12">
        <f ca="1">IFERROR(__xludf.DUMMYFUNCTION(" VLOOKUP(A3473, IMPORTRANGE(""https://docs.google.com/spreadsheets/d/1fj_Bhi2XPL3siwIh4sx4VRLAe31yD50oKdj5UlRYW0c/"", ""Сводка!A:AA""), 5, FALSE)"),152)</f>
        <v>152</v>
      </c>
      <c r="H3476" s="12" t="s">
        <v>538</v>
      </c>
      <c r="I3476" s="10">
        <f ca="1">IFERROR(__xludf.DUMMYFUNCTION(" VLOOKUP(A3473, IMPORTRANGE(""https://docs.google.com/spreadsheets/d/1QNLbnkR_AongFt22vMfNzfpjZ0CjpI8QI-w0wBnYA1w/"", ""Инфа!A:AA""), 6, FALSE)"),2024)</f>
        <v>2024</v>
      </c>
      <c r="J3476" s="5">
        <f ca="1">ROUND((5000+G3476*30),-2)</f>
        <v>9600</v>
      </c>
      <c r="K3476" s="12" t="s">
        <v>160</v>
      </c>
      <c r="L3476" s="15" t="s">
        <v>13404</v>
      </c>
    </row>
    <row r="3477" spans="1:12" ht="303.75">
      <c r="A3477" s="8" t="s">
        <v>13405</v>
      </c>
      <c r="B3477" s="9" t="s">
        <v>12</v>
      </c>
      <c r="C3477" s="10" t="s">
        <v>443</v>
      </c>
      <c r="D3477" s="10" t="str">
        <f ca="1">IFERROR(__xludf.DUMMYFUNCTION(" VLOOKUP(A3474, IMPORTRANGE(""https://docs.google.com/spreadsheets/d/1fj_Bhi2XPL3siwIh4sx4VRLAe31yD50oKdj5UlRYW0c/"", ""Сводка!A:AA""), 11, FALSE)"),"978-601-342-703-4")</f>
        <v>978-601-342-703-4</v>
      </c>
      <c r="E3477" s="11" t="s">
        <v>13406</v>
      </c>
      <c r="F3477" s="11" t="s">
        <v>13407</v>
      </c>
      <c r="G3477" s="12">
        <f ca="1">IFERROR(__xludf.DUMMYFUNCTION(" VLOOKUP(A3474, IMPORTRANGE(""https://docs.google.com/spreadsheets/d/1fj_Bhi2XPL3siwIh4sx4VRLAe31yD50oKdj5UlRYW0c/"", ""Сводка!A:AA""), 5, FALSE)"),200)</f>
        <v>200</v>
      </c>
      <c r="H3477" s="12" t="s">
        <v>8994</v>
      </c>
      <c r="I3477" s="10">
        <f ca="1">IFERROR(__xludf.DUMMYFUNCTION(" VLOOKUP(A3474, IMPORTRANGE(""https://docs.google.com/spreadsheets/d/1QNLbnkR_AongFt22vMfNzfpjZ0CjpI8QI-w0wBnYA1w/"", ""Инфа!A:AA""), 6, FALSE)"),2024)</f>
        <v>2024</v>
      </c>
      <c r="J3477" s="5">
        <f ca="1">ROUND((5000+G3477*30),-2)</f>
        <v>11000</v>
      </c>
      <c r="K3477" s="12" t="s">
        <v>13408</v>
      </c>
      <c r="L3477" s="15" t="s">
        <v>13409</v>
      </c>
    </row>
    <row r="3478" spans="1:12" ht="315">
      <c r="A3478" s="8" t="s">
        <v>13410</v>
      </c>
      <c r="B3478" s="9" t="s">
        <v>12</v>
      </c>
      <c r="C3478" s="10" t="s">
        <v>21</v>
      </c>
      <c r="D3478" s="10" t="str">
        <f ca="1">IFERROR(__xludf.DUMMYFUNCTION(" VLOOKUP(A3475, IMPORTRANGE(""https://docs.google.com/spreadsheets/d/1fj_Bhi2XPL3siwIh4sx4VRLAe31yD50oKdj5UlRYW0c/"", ""Сводка!A:AA""), 11, FALSE)"),"978-601-342-223-7")</f>
        <v>978-601-342-223-7</v>
      </c>
      <c r="E3478" s="11" t="s">
        <v>13411</v>
      </c>
      <c r="F3478" s="11" t="s">
        <v>13412</v>
      </c>
      <c r="G3478" s="12">
        <f ca="1">IFERROR(__xludf.DUMMYFUNCTION(" VLOOKUP(A3475, IMPORTRANGE(""https://docs.google.com/spreadsheets/d/1fj_Bhi2XPL3siwIh4sx4VRLAe31yD50oKdj5UlRYW0c/"", ""Сводка!A:AA""), 5, FALSE)"),192)</f>
        <v>192</v>
      </c>
      <c r="H3478" s="12" t="s">
        <v>42</v>
      </c>
      <c r="I3478" s="10">
        <f ca="1">IFERROR(__xludf.DUMMYFUNCTION(" VLOOKUP(A3475, IMPORTRANGE(""https://docs.google.com/spreadsheets/d/1QNLbnkR_AongFt22vMfNzfpjZ0CjpI8QI-w0wBnYA1w/"", ""Инфа!A:AA""), 6, FALSE)"),2024)</f>
        <v>2024</v>
      </c>
      <c r="J3478" s="5">
        <f ca="1">ROUND((5000+G3478*60),-2)</f>
        <v>16500</v>
      </c>
      <c r="K3478" s="12" t="s">
        <v>63</v>
      </c>
      <c r="L3478" s="15" t="s">
        <v>13413</v>
      </c>
    </row>
    <row r="3479" spans="1:12" ht="67.5">
      <c r="A3479" s="8" t="s">
        <v>13414</v>
      </c>
      <c r="B3479" s="9" t="s">
        <v>12</v>
      </c>
      <c r="C3479" s="10" t="s">
        <v>443</v>
      </c>
      <c r="D3479" s="10" t="str">
        <f ca="1">IFERROR(__xludf.DUMMYFUNCTION(" VLOOKUP(A3476, IMPORTRANGE(""https://docs.google.com/spreadsheets/d/1fj_Bhi2XPL3siwIh4sx4VRLAe31yD50oKdj5UlRYW0c/"", ""Сводка!A:AA""), 11, FALSE)"),"978-601-327-322-8")</f>
        <v>978-601-327-322-8</v>
      </c>
      <c r="E3479" s="11" t="s">
        <v>13415</v>
      </c>
      <c r="F3479" s="11" t="s">
        <v>13416</v>
      </c>
      <c r="G3479" s="12">
        <f ca="1">IFERROR(__xludf.DUMMYFUNCTION(" VLOOKUP(A3476, IMPORTRANGE(""https://docs.google.com/spreadsheets/d/1fj_Bhi2XPL3siwIh4sx4VRLAe31yD50oKdj5UlRYW0c/"", ""Сводка!A:AA""), 5, FALSE)"),140)</f>
        <v>140</v>
      </c>
      <c r="H3479" s="12" t="s">
        <v>777</v>
      </c>
      <c r="I3479" s="10">
        <f ca="1">IFERROR(__xludf.DUMMYFUNCTION(" VLOOKUP(A3476, IMPORTRANGE(""https://docs.google.com/spreadsheets/d/1QNLbnkR_AongFt22vMfNzfpjZ0CjpI8QI-w0wBnYA1w/"", ""Инфа!A:AA""), 6, FALSE)"),2024)</f>
        <v>2024</v>
      </c>
      <c r="J3479" s="5">
        <f ca="1">ROUND((5000+G3479*60),-2)</f>
        <v>13400</v>
      </c>
      <c r="K3479" s="9" t="s">
        <v>5309</v>
      </c>
      <c r="L3479" s="15" t="s">
        <v>13417</v>
      </c>
    </row>
    <row r="3480" spans="1:12" ht="90">
      <c r="A3480" s="8" t="s">
        <v>13418</v>
      </c>
      <c r="B3480" s="9" t="s">
        <v>12</v>
      </c>
      <c r="C3480" s="10" t="s">
        <v>443</v>
      </c>
      <c r="D3480" s="10" t="str">
        <f ca="1">IFERROR(__xludf.DUMMYFUNCTION(" VLOOKUP(A3477, IMPORTRANGE(""https://docs.google.com/spreadsheets/d/1fj_Bhi2XPL3siwIh4sx4VRLAe31yD50oKdj5UlRYW0c/"", ""Сводка!A:AA""), 11, FALSE)"),"978-601-310-075-3")</f>
        <v>978-601-310-075-3</v>
      </c>
      <c r="E3480" s="11" t="s">
        <v>13419</v>
      </c>
      <c r="F3480" s="11" t="s">
        <v>13420</v>
      </c>
      <c r="G3480" s="12">
        <f ca="1">IFERROR(__xludf.DUMMYFUNCTION(" VLOOKUP(A3477, IMPORTRANGE(""https://docs.google.com/spreadsheets/d/1fj_Bhi2XPL3siwIh4sx4VRLAe31yD50oKdj5UlRYW0c/"", ""Сводка!A:AA""), 5, FALSE)"),336)</f>
        <v>336</v>
      </c>
      <c r="H3480" s="12" t="s">
        <v>538</v>
      </c>
      <c r="I3480" s="10">
        <f ca="1">IFERROR(__xludf.DUMMYFUNCTION(" VLOOKUP(A3477, IMPORTRANGE(""https://docs.google.com/spreadsheets/d/1QNLbnkR_AongFt22vMfNzfpjZ0CjpI8QI-w0wBnYA1w/"", ""Инфа!A:AA""), 6, FALSE)"),2024)</f>
        <v>2024</v>
      </c>
      <c r="J3480" s="5">
        <f ca="1">ROUND((5000+G3480*30),-2)</f>
        <v>15100</v>
      </c>
      <c r="K3480" s="9" t="s">
        <v>7967</v>
      </c>
      <c r="L3480" s="15" t="s">
        <v>13421</v>
      </c>
    </row>
    <row r="3481" spans="1:12" ht="38.25">
      <c r="A3481" s="8" t="s">
        <v>13422</v>
      </c>
      <c r="B3481" s="9" t="s">
        <v>12</v>
      </c>
      <c r="C3481" s="10" t="s">
        <v>443</v>
      </c>
      <c r="D3481" s="10" t="str">
        <f ca="1">IFERROR(__xludf.DUMMYFUNCTION(" VLOOKUP(A3478, IMPORTRANGE(""https://docs.google.com/spreadsheets/d/1fj_Bhi2XPL3siwIh4sx4VRLAe31yD50oKdj5UlRYW0c/"", ""Сводка!A:AA""), 11, FALSE)"),"978-601-310-075-3")</f>
        <v>978-601-310-075-3</v>
      </c>
      <c r="E3481" s="11" t="s">
        <v>13419</v>
      </c>
      <c r="F3481" s="11" t="s">
        <v>13423</v>
      </c>
      <c r="G3481" s="12">
        <f ca="1">IFERROR(__xludf.DUMMYFUNCTION(" VLOOKUP(A3478, IMPORTRANGE(""https://docs.google.com/spreadsheets/d/1fj_Bhi2XPL3siwIh4sx4VRLAe31yD50oKdj5UlRYW0c/"", ""Сводка!A:AA""), 5, FALSE)"),188)</f>
        <v>188</v>
      </c>
      <c r="H3481" s="12" t="s">
        <v>538</v>
      </c>
      <c r="I3481" s="10">
        <f ca="1">IFERROR(__xludf.DUMMYFUNCTION(" VLOOKUP(A3478, IMPORTRANGE(""https://docs.google.com/spreadsheets/d/1QNLbnkR_AongFt22vMfNzfpjZ0CjpI8QI-w0wBnYA1w/"", ""Инфа!A:AA""), 6, FALSE)"),2024)</f>
        <v>2024</v>
      </c>
      <c r="J3481" s="5">
        <f ca="1">ROUND((5000+G3481*30),-2)</f>
        <v>10600</v>
      </c>
      <c r="K3481" s="9" t="s">
        <v>7967</v>
      </c>
      <c r="L3481" s="15"/>
    </row>
    <row r="3482" spans="1:12" ht="76.5">
      <c r="A3482" s="8" t="s">
        <v>13424</v>
      </c>
      <c r="B3482" s="9" t="s">
        <v>12</v>
      </c>
      <c r="C3482" s="10" t="s">
        <v>151</v>
      </c>
      <c r="D3482" s="10" t="str">
        <f ca="1">IFERROR(__xludf.DUMMYFUNCTION(" VLOOKUP(A3479, IMPORTRANGE(""https://docs.google.com/spreadsheets/d/1fj_Bhi2XPL3siwIh4sx4VRLAe31yD50oKdj5UlRYW0c/"", ""Сводка!A:AA""), 11, FALSE)"),"978-601-310-398-3")</f>
        <v>978-601-310-398-3</v>
      </c>
      <c r="E3482" s="11" t="s">
        <v>13425</v>
      </c>
      <c r="F3482" s="11" t="s">
        <v>13426</v>
      </c>
      <c r="G3482" s="12">
        <f ca="1">IFERROR(__xludf.DUMMYFUNCTION(" VLOOKUP(A3479, IMPORTRANGE(""https://docs.google.com/spreadsheets/d/1fj_Bhi2XPL3siwIh4sx4VRLAe31yD50oKdj5UlRYW0c/"", ""Сводка!A:AA""), 5, FALSE)"),154)</f>
        <v>154</v>
      </c>
      <c r="H3482" s="12" t="s">
        <v>106</v>
      </c>
      <c r="I3482" s="10">
        <f ca="1">IFERROR(__xludf.DUMMYFUNCTION(" VLOOKUP(A3479, IMPORTRANGE(""https://docs.google.com/spreadsheets/d/1QNLbnkR_AongFt22vMfNzfpjZ0CjpI8QI-w0wBnYA1w/"", ""Инфа!A:AA""), 6, FALSE)"),2024)</f>
        <v>2024</v>
      </c>
      <c r="J3482" s="5">
        <f ca="1">ROUND((5000+G3482*30),-2)</f>
        <v>9600</v>
      </c>
      <c r="K3482" s="12" t="s">
        <v>1240</v>
      </c>
      <c r="L3482" s="15"/>
    </row>
    <row r="3483" spans="1:12" ht="135">
      <c r="A3483" s="8" t="s">
        <v>13427</v>
      </c>
      <c r="B3483" s="9" t="s">
        <v>12</v>
      </c>
      <c r="C3483" s="10" t="s">
        <v>443</v>
      </c>
      <c r="D3483" s="10" t="str">
        <f ca="1">IFERROR(__xludf.DUMMYFUNCTION(" VLOOKUP(A3480, IMPORTRANGE(""https://docs.google.com/spreadsheets/d/1fj_Bhi2XPL3siwIh4sx4VRLAe31yD50oKdj5UlRYW0c/"", ""Сводка!A:AA""), 11, FALSE)"),"978-601-327-390-7")</f>
        <v>978-601-327-390-7</v>
      </c>
      <c r="E3483" s="11" t="s">
        <v>13428</v>
      </c>
      <c r="F3483" s="11" t="s">
        <v>13429</v>
      </c>
      <c r="G3483" s="12">
        <f ca="1">IFERROR(__xludf.DUMMYFUNCTION(" VLOOKUP(A3480, IMPORTRANGE(""https://docs.google.com/spreadsheets/d/1fj_Bhi2XPL3siwIh4sx4VRLAe31yD50oKdj5UlRYW0c/"", ""Сводка!A:AA""), 5, FALSE)"),120)</f>
        <v>120</v>
      </c>
      <c r="H3483" s="12" t="s">
        <v>24</v>
      </c>
      <c r="I3483" s="10">
        <f ca="1">IFERROR(__xludf.DUMMYFUNCTION(" VLOOKUP(A3480, IMPORTRANGE(""https://docs.google.com/spreadsheets/d/1QNLbnkR_AongFt22vMfNzfpjZ0CjpI8QI-w0wBnYA1w/"", ""Инфа!A:AA""), 6, FALSE)"),2024)</f>
        <v>2024</v>
      </c>
      <c r="J3483" s="5">
        <f ca="1">ROUND((5000+G3483*30),-2)</f>
        <v>8600</v>
      </c>
      <c r="K3483" s="12" t="s">
        <v>516</v>
      </c>
      <c r="L3483" s="15" t="s">
        <v>13430</v>
      </c>
    </row>
    <row r="3484" spans="1:12" ht="101.25">
      <c r="A3484" s="8" t="s">
        <v>13431</v>
      </c>
      <c r="B3484" s="9" t="s">
        <v>12</v>
      </c>
      <c r="C3484" s="10" t="s">
        <v>151</v>
      </c>
      <c r="D3484" s="10" t="str">
        <f ca="1">IFERROR(__xludf.DUMMYFUNCTION(" VLOOKUP(A3481, IMPORTRANGE(""https://docs.google.com/spreadsheets/d/1fj_Bhi2XPL3siwIh4sx4VRLAe31yD50oKdj5UlRYW0c/"", ""Сводка!A:AA""), 11, FALSE)"),"978-601-327-858-2")</f>
        <v>978-601-327-858-2</v>
      </c>
      <c r="E3484" s="11" t="s">
        <v>13432</v>
      </c>
      <c r="F3484" s="11" t="s">
        <v>13433</v>
      </c>
      <c r="G3484" s="12">
        <f ca="1">IFERROR(__xludf.DUMMYFUNCTION(" VLOOKUP(A3481, IMPORTRANGE(""https://docs.google.com/spreadsheets/d/1fj_Bhi2XPL3siwIh4sx4VRLAe31yD50oKdj5UlRYW0c/"", ""Сводка!A:AA""), 5, FALSE)"),80)</f>
        <v>80</v>
      </c>
      <c r="H3484" s="12" t="s">
        <v>47</v>
      </c>
      <c r="I3484" s="10">
        <f ca="1">IFERROR(__xludf.DUMMYFUNCTION(" VLOOKUP(A3481, IMPORTRANGE(""https://docs.google.com/spreadsheets/d/1QNLbnkR_AongFt22vMfNzfpjZ0CjpI8QI-w0wBnYA1w/"", ""Инфа!A:AA""), 6, FALSE)"),2024)</f>
        <v>2024</v>
      </c>
      <c r="J3484" s="5">
        <f t="shared" ref="J3484:J3490" ca="1" si="116">ROUND((5000+G3484*60),-2)</f>
        <v>9800</v>
      </c>
      <c r="K3484" s="12" t="s">
        <v>447</v>
      </c>
      <c r="L3484" s="15" t="s">
        <v>13434</v>
      </c>
    </row>
    <row r="3485" spans="1:12" ht="101.25">
      <c r="A3485" s="8" t="s">
        <v>13435</v>
      </c>
      <c r="B3485" s="9" t="s">
        <v>12</v>
      </c>
      <c r="C3485" s="10" t="s">
        <v>151</v>
      </c>
      <c r="D3485" s="10" t="str">
        <f ca="1">IFERROR(__xludf.DUMMYFUNCTION(" VLOOKUP(A3482, IMPORTRANGE(""https://docs.google.com/spreadsheets/d/1fj_Bhi2XPL3siwIh4sx4VRLAe31yD50oKdj5UlRYW0c/"", ""Сводка!A:AA""), 11, FALSE)"),"978-601-327-858-2")</f>
        <v>978-601-327-858-2</v>
      </c>
      <c r="E3485" s="11" t="s">
        <v>13436</v>
      </c>
      <c r="F3485" s="11" t="s">
        <v>13437</v>
      </c>
      <c r="G3485" s="12">
        <f ca="1">IFERROR(__xludf.DUMMYFUNCTION(" VLOOKUP(A3482, IMPORTRANGE(""https://docs.google.com/spreadsheets/d/1fj_Bhi2XPL3siwIh4sx4VRLAe31yD50oKdj5UlRYW0c/"", ""Сводка!A:AA""), 5, FALSE)"),76)</f>
        <v>76</v>
      </c>
      <c r="H3485" s="12" t="s">
        <v>446</v>
      </c>
      <c r="I3485" s="10">
        <f ca="1">IFERROR(__xludf.DUMMYFUNCTION(" VLOOKUP(A3482, IMPORTRANGE(""https://docs.google.com/spreadsheets/d/1QNLbnkR_AongFt22vMfNzfpjZ0CjpI8QI-w0wBnYA1w/"", ""Инфа!A:AA""), 6, FALSE)"),2024)</f>
        <v>2024</v>
      </c>
      <c r="J3485" s="5">
        <f t="shared" ca="1" si="116"/>
        <v>9600</v>
      </c>
      <c r="K3485" s="12" t="s">
        <v>447</v>
      </c>
      <c r="L3485" s="15" t="s">
        <v>13438</v>
      </c>
    </row>
    <row r="3486" spans="1:12" ht="135">
      <c r="A3486" s="8" t="s">
        <v>13439</v>
      </c>
      <c r="B3486" s="9" t="s">
        <v>12</v>
      </c>
      <c r="C3486" s="10" t="s">
        <v>151</v>
      </c>
      <c r="D3486" s="10" t="str">
        <f ca="1">IFERROR(__xludf.DUMMYFUNCTION(" VLOOKUP(A3483, IMPORTRANGE(""https://docs.google.com/spreadsheets/d/1fj_Bhi2XPL3siwIh4sx4VRLAe31yD50oKdj5UlRYW0c/"", ""Сводка!A:AA""), 11, FALSE)"),"978-601-310-830-8")</f>
        <v>978-601-310-830-8</v>
      </c>
      <c r="E3486" s="19" t="s">
        <v>13440</v>
      </c>
      <c r="F3486" s="19" t="s">
        <v>13441</v>
      </c>
      <c r="G3486" s="12">
        <f ca="1">IFERROR(__xludf.DUMMYFUNCTION(" VLOOKUP(A3483, IMPORTRANGE(""https://docs.google.com/spreadsheets/d/1fj_Bhi2XPL3siwIh4sx4VRLAe31yD50oKdj5UlRYW0c/"", ""Сводка!A:AA""), 5, FALSE)"),104)</f>
        <v>104</v>
      </c>
      <c r="H3486" s="9" t="s">
        <v>106</v>
      </c>
      <c r="I3486" s="10">
        <f ca="1">IFERROR(__xludf.DUMMYFUNCTION(" VLOOKUP(A3483, IMPORTRANGE(""https://docs.google.com/spreadsheets/d/1QNLbnkR_AongFt22vMfNzfpjZ0CjpI8QI-w0wBnYA1w/"", ""Инфа!A:AA""), 6, FALSE)"),2024)</f>
        <v>2024</v>
      </c>
      <c r="J3486" s="5">
        <f t="shared" ca="1" si="116"/>
        <v>11200</v>
      </c>
      <c r="K3486" s="9" t="s">
        <v>447</v>
      </c>
      <c r="L3486" s="15" t="s">
        <v>13442</v>
      </c>
    </row>
    <row r="3487" spans="1:12" ht="123.75">
      <c r="A3487" s="8" t="s">
        <v>13443</v>
      </c>
      <c r="B3487" s="9" t="s">
        <v>12</v>
      </c>
      <c r="C3487" s="10" t="s">
        <v>443</v>
      </c>
      <c r="D3487" s="10" t="str">
        <f ca="1">IFERROR(__xludf.DUMMYFUNCTION(" VLOOKUP(A3484, IMPORTRANGE(""https://docs.google.com/spreadsheets/d/1fj_Bhi2XPL3siwIh4sx4VRLAe31yD50oKdj5UlRYW0c/"", ""Сводка!A:AA""), 11, FALSE)"),"978-601-310-677-9")</f>
        <v>978-601-310-677-9</v>
      </c>
      <c r="E3487" s="19" t="s">
        <v>13444</v>
      </c>
      <c r="F3487" s="19" t="s">
        <v>13445</v>
      </c>
      <c r="G3487" s="12">
        <f ca="1">IFERROR(__xludf.DUMMYFUNCTION(" VLOOKUP(A3484, IMPORTRANGE(""https://docs.google.com/spreadsheets/d/1fj_Bhi2XPL3siwIh4sx4VRLAe31yD50oKdj5UlRYW0c/"", ""Сводка!A:AA""), 5, FALSE)"),136)</f>
        <v>136</v>
      </c>
      <c r="H3487" s="9" t="s">
        <v>106</v>
      </c>
      <c r="I3487" s="10">
        <f ca="1">IFERROR(__xludf.DUMMYFUNCTION(" VLOOKUP(A3484, IMPORTRANGE(""https://docs.google.com/spreadsheets/d/1QNLbnkR_AongFt22vMfNzfpjZ0CjpI8QI-w0wBnYA1w/"", ""Инфа!A:AA""), 6, FALSE)"),2024)</f>
        <v>2024</v>
      </c>
      <c r="J3487" s="5">
        <f t="shared" ca="1" si="116"/>
        <v>13200</v>
      </c>
      <c r="K3487" s="12" t="s">
        <v>447</v>
      </c>
      <c r="L3487" s="15" t="s">
        <v>13446</v>
      </c>
    </row>
    <row r="3488" spans="1:12" ht="25.5">
      <c r="A3488" s="8" t="s">
        <v>13447</v>
      </c>
      <c r="B3488" s="9" t="s">
        <v>12</v>
      </c>
      <c r="C3488" s="10" t="s">
        <v>443</v>
      </c>
      <c r="D3488" s="10" t="str">
        <f ca="1">IFERROR(__xludf.DUMMYFUNCTION(" VLOOKUP(A3485, IMPORTRANGE(""https://docs.google.com/spreadsheets/d/1fj_Bhi2XPL3siwIh4sx4VRLAe31yD50oKdj5UlRYW0c/"", ""Сводка!A:AA""), 11, FALSE)"),"978-601-310-660-1")</f>
        <v>978-601-310-660-1</v>
      </c>
      <c r="E3488" s="19" t="s">
        <v>13448</v>
      </c>
      <c r="F3488" s="19" t="s">
        <v>13449</v>
      </c>
      <c r="G3488" s="12">
        <f ca="1">IFERROR(__xludf.DUMMYFUNCTION(" VLOOKUP(A3485, IMPORTRANGE(""https://docs.google.com/spreadsheets/d/1fj_Bhi2XPL3siwIh4sx4VRLAe31yD50oKdj5UlRYW0c/"", ""Сводка!A:AA""), 5, FALSE)"),116)</f>
        <v>116</v>
      </c>
      <c r="H3488" s="9" t="s">
        <v>538</v>
      </c>
      <c r="I3488" s="10">
        <f ca="1">IFERROR(__xludf.DUMMYFUNCTION(" VLOOKUP(A3485, IMPORTRANGE(""https://docs.google.com/spreadsheets/d/1QNLbnkR_AongFt22vMfNzfpjZ0CjpI8QI-w0wBnYA1w/"", ""Инфа!A:AA""), 6, FALSE)"),2024)</f>
        <v>2024</v>
      </c>
      <c r="J3488" s="5">
        <f t="shared" ca="1" si="116"/>
        <v>12000</v>
      </c>
      <c r="K3488" s="12" t="s">
        <v>447</v>
      </c>
      <c r="L3488" s="15"/>
    </row>
    <row r="3489" spans="1:12" ht="180">
      <c r="A3489" s="8" t="s">
        <v>13450</v>
      </c>
      <c r="B3489" s="9" t="s">
        <v>12</v>
      </c>
      <c r="C3489" s="10" t="s">
        <v>151</v>
      </c>
      <c r="D3489" s="10" t="str">
        <f ca="1">IFERROR(__xludf.DUMMYFUNCTION(" VLOOKUP(A3486, IMPORTRANGE(""https://docs.google.com/spreadsheets/d/1fj_Bhi2XPL3siwIh4sx4VRLAe31yD50oKdj5UlRYW0c/"", ""Сводка!A:AA""), 11, FALSE)"),"978-601-310-659-5")</f>
        <v>978-601-310-659-5</v>
      </c>
      <c r="E3489" s="19" t="s">
        <v>13448</v>
      </c>
      <c r="F3489" s="19" t="s">
        <v>13451</v>
      </c>
      <c r="G3489" s="12">
        <f ca="1">IFERROR(__xludf.DUMMYFUNCTION(" VLOOKUP(A3486, IMPORTRANGE(""https://docs.google.com/spreadsheets/d/1fj_Bhi2XPL3siwIh4sx4VRLAe31yD50oKdj5UlRYW0c/"", ""Сводка!A:AA""), 5, FALSE)"),124)</f>
        <v>124</v>
      </c>
      <c r="H3489" s="9" t="s">
        <v>47</v>
      </c>
      <c r="I3489" s="10">
        <f ca="1">IFERROR(__xludf.DUMMYFUNCTION(" VLOOKUP(A3486, IMPORTRANGE(""https://docs.google.com/spreadsheets/d/1QNLbnkR_AongFt22vMfNzfpjZ0CjpI8QI-w0wBnYA1w/"", ""Инфа!A:AA""), 6, FALSE)"),2024)</f>
        <v>2024</v>
      </c>
      <c r="J3489" s="5">
        <f t="shared" ca="1" si="116"/>
        <v>12400</v>
      </c>
      <c r="K3489" s="12" t="s">
        <v>447</v>
      </c>
      <c r="L3489" s="15" t="s">
        <v>13452</v>
      </c>
    </row>
    <row r="3490" spans="1:12" ht="135">
      <c r="A3490" s="8" t="s">
        <v>13453</v>
      </c>
      <c r="B3490" s="9" t="s">
        <v>12</v>
      </c>
      <c r="C3490" s="10" t="s">
        <v>151</v>
      </c>
      <c r="D3490" s="10" t="str">
        <f ca="1">IFERROR(__xludf.DUMMYFUNCTION(" VLOOKUP(A3487, IMPORTRANGE(""https://docs.google.com/spreadsheets/d/1fj_Bhi2XPL3siwIh4sx4VRLAe31yD50oKdj5UlRYW0c/"", ""Сводка!A:AA""), 11, FALSE)"),"978-601-310-661-8")</f>
        <v>978-601-310-661-8</v>
      </c>
      <c r="E3490" s="19" t="s">
        <v>13448</v>
      </c>
      <c r="F3490" s="19" t="s">
        <v>13454</v>
      </c>
      <c r="G3490" s="12">
        <f ca="1">IFERROR(__xludf.DUMMYFUNCTION(" VLOOKUP(A3487, IMPORTRANGE(""https://docs.google.com/spreadsheets/d/1fj_Bhi2XPL3siwIh4sx4VRLAe31yD50oKdj5UlRYW0c/"", ""Сводка!A:AA""), 5, FALSE)"),92)</f>
        <v>92</v>
      </c>
      <c r="H3490" s="9" t="s">
        <v>47</v>
      </c>
      <c r="I3490" s="10">
        <f ca="1">IFERROR(__xludf.DUMMYFUNCTION(" VLOOKUP(A3487, IMPORTRANGE(""https://docs.google.com/spreadsheets/d/1QNLbnkR_AongFt22vMfNzfpjZ0CjpI8QI-w0wBnYA1w/"", ""Инфа!A:AA""), 6, FALSE)"),2024)</f>
        <v>2024</v>
      </c>
      <c r="J3490" s="5">
        <f t="shared" ca="1" si="116"/>
        <v>10500</v>
      </c>
      <c r="K3490" s="12" t="s">
        <v>447</v>
      </c>
      <c r="L3490" s="15" t="s">
        <v>13455</v>
      </c>
    </row>
    <row r="3491" spans="1:12" ht="123.75">
      <c r="A3491" s="8" t="s">
        <v>13456</v>
      </c>
      <c r="B3491" s="9" t="s">
        <v>12</v>
      </c>
      <c r="C3491" s="10" t="s">
        <v>151</v>
      </c>
      <c r="D3491" s="10" t="str">
        <f ca="1">IFERROR(__xludf.DUMMYFUNCTION(" VLOOKUP(A3488, IMPORTRANGE(""https://docs.google.com/spreadsheets/d/1fj_Bhi2XPL3siwIh4sx4VRLAe31yD50oKdj5UlRYW0c/"", ""Сводка!A:AA""), 11, FALSE)"),"978-601-310-676-2")</f>
        <v>978-601-310-676-2</v>
      </c>
      <c r="E3491" s="19" t="s">
        <v>13448</v>
      </c>
      <c r="F3491" s="19" t="s">
        <v>13457</v>
      </c>
      <c r="G3491" s="12">
        <f ca="1">IFERROR(__xludf.DUMMYFUNCTION(" VLOOKUP(A3488, IMPORTRANGE(""https://docs.google.com/spreadsheets/d/1fj_Bhi2XPL3siwIh4sx4VRLAe31yD50oKdj5UlRYW0c/"", ""Сводка!A:AA""), 5, FALSE)"),136)</f>
        <v>136</v>
      </c>
      <c r="H3491" s="9" t="s">
        <v>106</v>
      </c>
      <c r="I3491" s="10">
        <f ca="1">IFERROR(__xludf.DUMMYFUNCTION(" VLOOKUP(A3488, IMPORTRANGE(""https://docs.google.com/spreadsheets/d/1QNLbnkR_AongFt22vMfNzfpjZ0CjpI8QI-w0wBnYA1w/"", ""Инфа!A:AA""), 6, FALSE)"),2024)</f>
        <v>2024</v>
      </c>
      <c r="J3491" s="5">
        <f ca="1">ROUND((5000+G3491*30),-2)</f>
        <v>9100</v>
      </c>
      <c r="K3491" s="12" t="s">
        <v>447</v>
      </c>
      <c r="L3491" s="15" t="s">
        <v>13458</v>
      </c>
    </row>
    <row r="3492" spans="1:12" ht="157.5">
      <c r="A3492" s="8" t="s">
        <v>13459</v>
      </c>
      <c r="B3492" s="9" t="s">
        <v>12</v>
      </c>
      <c r="C3492" s="10" t="s">
        <v>151</v>
      </c>
      <c r="D3492" s="10" t="str">
        <f ca="1">IFERROR(__xludf.DUMMYFUNCTION(" VLOOKUP(A3489, IMPORTRANGE(""https://docs.google.com/spreadsheets/d/1fj_Bhi2XPL3siwIh4sx4VRLAe31yD50oKdj5UlRYW0c/"", ""Сводка!A:AA""), 11, FALSE)"),"978-5-7904-2207-2")</f>
        <v>978-5-7904-2207-2</v>
      </c>
      <c r="E3492" s="11" t="s">
        <v>13460</v>
      </c>
      <c r="F3492" s="11" t="s">
        <v>13461</v>
      </c>
      <c r="G3492" s="12">
        <f ca="1">IFERROR(__xludf.DUMMYFUNCTION(" VLOOKUP(A3489, IMPORTRANGE(""https://docs.google.com/spreadsheets/d/1fj_Bhi2XPL3siwIh4sx4VRLAe31yD50oKdj5UlRYW0c/"", ""Сводка!A:AA""), 5, FALSE)"),88)</f>
        <v>88</v>
      </c>
      <c r="H3492" s="12" t="s">
        <v>24</v>
      </c>
      <c r="I3492" s="10">
        <f ca="1">IFERROR(__xludf.DUMMYFUNCTION(" VLOOKUP(A3489, IMPORTRANGE(""https://docs.google.com/spreadsheets/d/1QNLbnkR_AongFt22vMfNzfpjZ0CjpI8QI-w0wBnYA1w/"", ""Инфа!A:AA""), 6, FALSE)"),2024)</f>
        <v>2024</v>
      </c>
      <c r="J3492" s="5">
        <f t="shared" ref="J3492:J3499" ca="1" si="117">ROUND((5000+G3492*60),-2)</f>
        <v>10300</v>
      </c>
      <c r="K3492" s="12" t="s">
        <v>447</v>
      </c>
      <c r="L3492" s="15" t="s">
        <v>13462</v>
      </c>
    </row>
    <row r="3493" spans="1:12" ht="90">
      <c r="A3493" s="8" t="s">
        <v>13463</v>
      </c>
      <c r="B3493" s="9" t="s">
        <v>12</v>
      </c>
      <c r="C3493" s="10" t="s">
        <v>13</v>
      </c>
      <c r="D3493" s="10" t="str">
        <f ca="1">IFERROR(__xludf.DUMMYFUNCTION(" VLOOKUP(A3490, IMPORTRANGE(""https://docs.google.com/spreadsheets/d/1fj_Bhi2XPL3siwIh4sx4VRLAe31yD50oKdj5UlRYW0c/"", ""Сводка!A:AA""), 11, FALSE)"),"978-601-238-791-9")</f>
        <v>978-601-238-791-9</v>
      </c>
      <c r="E3493" s="11" t="s">
        <v>13464</v>
      </c>
      <c r="F3493" s="11" t="s">
        <v>13465</v>
      </c>
      <c r="G3493" s="12">
        <f ca="1">IFERROR(__xludf.DUMMYFUNCTION(" VLOOKUP(A3490, IMPORTRANGE(""https://docs.google.com/spreadsheets/d/1fj_Bhi2XPL3siwIh4sx4VRLAe31yD50oKdj5UlRYW0c/"", ""Сводка!A:AA""), 5, FALSE)"),112)</f>
        <v>112</v>
      </c>
      <c r="H3493" s="12"/>
      <c r="I3493" s="10">
        <f ca="1">IFERROR(__xludf.DUMMYFUNCTION(" VLOOKUP(A3490, IMPORTRANGE(""https://docs.google.com/spreadsheets/d/1QNLbnkR_AongFt22vMfNzfpjZ0CjpI8QI-w0wBnYA1w/"", ""Инфа!A:AA""), 6, FALSE)"),2024)</f>
        <v>2024</v>
      </c>
      <c r="J3493" s="5">
        <f t="shared" ca="1" si="117"/>
        <v>11700</v>
      </c>
      <c r="K3493" s="12" t="s">
        <v>447</v>
      </c>
      <c r="L3493" s="15" t="s">
        <v>13466</v>
      </c>
    </row>
    <row r="3494" spans="1:12" ht="90">
      <c r="A3494" s="8" t="s">
        <v>13467</v>
      </c>
      <c r="B3494" s="9" t="s">
        <v>12</v>
      </c>
      <c r="C3494" s="10" t="s">
        <v>13</v>
      </c>
      <c r="D3494" s="10" t="str">
        <f ca="1">IFERROR(__xludf.DUMMYFUNCTION(" VLOOKUP(A3491, IMPORTRANGE(""https://docs.google.com/spreadsheets/d/1fj_Bhi2XPL3siwIh4sx4VRLAe31yD50oKdj5UlRYW0c/"", ""Сводка!A:AA""), 11, FALSE)"),"978-601-238-776-6")</f>
        <v>978-601-238-776-6</v>
      </c>
      <c r="E3494" s="11" t="s">
        <v>13468</v>
      </c>
      <c r="F3494" s="11" t="s">
        <v>13469</v>
      </c>
      <c r="G3494" s="12">
        <f ca="1">IFERROR(__xludf.DUMMYFUNCTION(" VLOOKUP(A3491, IMPORTRANGE(""https://docs.google.com/spreadsheets/d/1fj_Bhi2XPL3siwIh4sx4VRLAe31yD50oKdj5UlRYW0c/"", ""Сводка!A:AA""), 5, FALSE)"),80)</f>
        <v>80</v>
      </c>
      <c r="H3494" s="12" t="s">
        <v>16</v>
      </c>
      <c r="I3494" s="10">
        <f ca="1">IFERROR(__xludf.DUMMYFUNCTION(" VLOOKUP(A3491, IMPORTRANGE(""https://docs.google.com/spreadsheets/d/1QNLbnkR_AongFt22vMfNzfpjZ0CjpI8QI-w0wBnYA1w/"", ""Инфа!A:AA""), 6, FALSE)"),2024)</f>
        <v>2024</v>
      </c>
      <c r="J3494" s="5">
        <f t="shared" ca="1" si="117"/>
        <v>9800</v>
      </c>
      <c r="K3494" s="12" t="s">
        <v>447</v>
      </c>
      <c r="L3494" s="15" t="s">
        <v>13470</v>
      </c>
    </row>
    <row r="3495" spans="1:12" ht="191.25">
      <c r="A3495" s="8" t="s">
        <v>13471</v>
      </c>
      <c r="B3495" s="9" t="s">
        <v>12</v>
      </c>
      <c r="C3495" s="10" t="s">
        <v>151</v>
      </c>
      <c r="D3495" s="10" t="str">
        <f ca="1">IFERROR(__xludf.DUMMYFUNCTION(" VLOOKUP(A3492, IMPORTRANGE(""https://docs.google.com/spreadsheets/d/1fj_Bhi2XPL3siwIh4sx4VRLAe31yD50oKdj5UlRYW0c/"", ""Сводка!A:AA""), 11, FALSE)"),"978-601-327-451-5")</f>
        <v>978-601-327-451-5</v>
      </c>
      <c r="E3495" s="11" t="s">
        <v>13472</v>
      </c>
      <c r="F3495" s="11" t="s">
        <v>13473</v>
      </c>
      <c r="G3495" s="12">
        <f ca="1">IFERROR(__xludf.DUMMYFUNCTION(" VLOOKUP(A3492, IMPORTRANGE(""https://docs.google.com/spreadsheets/d/1fj_Bhi2XPL3siwIh4sx4VRLAe31yD50oKdj5UlRYW0c/"", ""Сводка!A:AA""), 5, FALSE)"),160)</f>
        <v>160</v>
      </c>
      <c r="H3495" s="12" t="s">
        <v>165</v>
      </c>
      <c r="I3495" s="10">
        <f ca="1">IFERROR(__xludf.DUMMYFUNCTION(" VLOOKUP(A3492, IMPORTRANGE(""https://docs.google.com/spreadsheets/d/1QNLbnkR_AongFt22vMfNzfpjZ0CjpI8QI-w0wBnYA1w/"", ""Инфа!A:AA""), 6, FALSE)"),2024)</f>
        <v>2024</v>
      </c>
      <c r="J3495" s="5">
        <f t="shared" ca="1" si="117"/>
        <v>14600</v>
      </c>
      <c r="K3495" s="12" t="s">
        <v>2645</v>
      </c>
      <c r="L3495" s="15" t="s">
        <v>13474</v>
      </c>
    </row>
    <row r="3496" spans="1:12" ht="112.5">
      <c r="A3496" s="8" t="s">
        <v>13475</v>
      </c>
      <c r="B3496" s="9" t="s">
        <v>12</v>
      </c>
      <c r="C3496" s="10" t="s">
        <v>151</v>
      </c>
      <c r="D3496" s="10" t="str">
        <f ca="1">IFERROR(__xludf.DUMMYFUNCTION(" VLOOKUP(A3493, IMPORTRANGE(""https://docs.google.com/spreadsheets/d/1fj_Bhi2XPL3siwIh4sx4VRLAe31yD50oKdj5UlRYW0c/"", ""Сводка!A:AA""), 11, FALSE)"),"978-601-342-453-8")</f>
        <v>978-601-342-453-8</v>
      </c>
      <c r="E3496" s="11" t="s">
        <v>13472</v>
      </c>
      <c r="F3496" s="11" t="s">
        <v>8807</v>
      </c>
      <c r="G3496" s="12">
        <f ca="1">IFERROR(__xludf.DUMMYFUNCTION(" VLOOKUP(A3493, IMPORTRANGE(""https://docs.google.com/spreadsheets/d/1fj_Bhi2XPL3siwIh4sx4VRLAe31yD50oKdj5UlRYW0c/"", ""Сводка!A:AA""), 5, FALSE)"),140)</f>
        <v>140</v>
      </c>
      <c r="H3496" s="12" t="s">
        <v>165</v>
      </c>
      <c r="I3496" s="10">
        <f ca="1">IFERROR(__xludf.DUMMYFUNCTION(" VLOOKUP(A3493, IMPORTRANGE(""https://docs.google.com/spreadsheets/d/1QNLbnkR_AongFt22vMfNzfpjZ0CjpI8QI-w0wBnYA1w/"", ""Инфа!A:AA""), 6, FALSE)"),2024)</f>
        <v>2024</v>
      </c>
      <c r="J3496" s="5">
        <f t="shared" ca="1" si="117"/>
        <v>13400</v>
      </c>
      <c r="K3496" s="12" t="s">
        <v>1105</v>
      </c>
      <c r="L3496" s="15" t="s">
        <v>13476</v>
      </c>
    </row>
    <row r="3497" spans="1:12" ht="315">
      <c r="A3497" s="8" t="s">
        <v>13477</v>
      </c>
      <c r="B3497" s="9" t="s">
        <v>12</v>
      </c>
      <c r="C3497" s="10" t="s">
        <v>151</v>
      </c>
      <c r="D3497" s="10" t="str">
        <f ca="1">IFERROR(__xludf.DUMMYFUNCTION(" VLOOKUP(A3494, IMPORTRANGE(""https://docs.google.com/spreadsheets/d/1fj_Bhi2XPL3siwIh4sx4VRLAe31yD50oKdj5UlRYW0c/"", ""Сводка!A:AA""), 11, FALSE)"),"978-601-342-141-4")</f>
        <v>978-601-342-141-4</v>
      </c>
      <c r="E3497" s="11" t="s">
        <v>13478</v>
      </c>
      <c r="F3497" s="11" t="s">
        <v>13479</v>
      </c>
      <c r="G3497" s="12">
        <f ca="1">IFERROR(__xludf.DUMMYFUNCTION(" VLOOKUP(A3494, IMPORTRANGE(""https://docs.google.com/spreadsheets/d/1fj_Bhi2XPL3siwIh4sx4VRLAe31yD50oKdj5UlRYW0c/"", ""Сводка!A:AA""), 5, FALSE)"),180)</f>
        <v>180</v>
      </c>
      <c r="H3497" s="12" t="s">
        <v>5583</v>
      </c>
      <c r="I3497" s="10">
        <f ca="1">IFERROR(__xludf.DUMMYFUNCTION(" VLOOKUP(A3494, IMPORTRANGE(""https://docs.google.com/spreadsheets/d/1QNLbnkR_AongFt22vMfNzfpjZ0CjpI8QI-w0wBnYA1w/"", ""Инфа!A:AA""), 6, FALSE)"),2024)</f>
        <v>2024</v>
      </c>
      <c r="J3497" s="5">
        <f t="shared" ca="1" si="117"/>
        <v>15800</v>
      </c>
      <c r="K3497" s="12" t="s">
        <v>213</v>
      </c>
      <c r="L3497" s="15" t="s">
        <v>13480</v>
      </c>
    </row>
    <row r="3498" spans="1:12" ht="303.75">
      <c r="A3498" s="8" t="s">
        <v>13481</v>
      </c>
      <c r="B3498" s="9" t="s">
        <v>12</v>
      </c>
      <c r="C3498" s="10" t="s">
        <v>443</v>
      </c>
      <c r="D3498" s="10" t="str">
        <f ca="1">IFERROR(__xludf.DUMMYFUNCTION(" VLOOKUP(A3495, IMPORTRANGE(""https://docs.google.com/spreadsheets/d/1fj_Bhi2XPL3siwIh4sx4VRLAe31yD50oKdj5UlRYW0c/"", ""Сводка!A:AA""), 11, FALSE)"),"978-601-342-124-7")</f>
        <v>978-601-342-124-7</v>
      </c>
      <c r="E3498" s="11" t="s">
        <v>13482</v>
      </c>
      <c r="F3498" s="11" t="s">
        <v>13483</v>
      </c>
      <c r="G3498" s="12">
        <f ca="1">IFERROR(__xludf.DUMMYFUNCTION(" VLOOKUP(A3495, IMPORTRANGE(""https://docs.google.com/spreadsheets/d/1fj_Bhi2XPL3siwIh4sx4VRLAe31yD50oKdj5UlRYW0c/"", ""Сводка!A:AA""), 5, FALSE)"),176)</f>
        <v>176</v>
      </c>
      <c r="H3498" s="12" t="s">
        <v>1271</v>
      </c>
      <c r="I3498" s="10">
        <f ca="1">IFERROR(__xludf.DUMMYFUNCTION(" VLOOKUP(A3495, IMPORTRANGE(""https://docs.google.com/spreadsheets/d/1QNLbnkR_AongFt22vMfNzfpjZ0CjpI8QI-w0wBnYA1w/"", ""Инфа!A:AA""), 6, FALSE)"),2024)</f>
        <v>2024</v>
      </c>
      <c r="J3498" s="5">
        <f t="shared" ca="1" si="117"/>
        <v>15600</v>
      </c>
      <c r="K3498" s="12" t="s">
        <v>213</v>
      </c>
      <c r="L3498" s="15" t="s">
        <v>13484</v>
      </c>
    </row>
    <row r="3499" spans="1:12" ht="146.25">
      <c r="A3499" s="8" t="s">
        <v>13485</v>
      </c>
      <c r="B3499" s="9" t="s">
        <v>12</v>
      </c>
      <c r="C3499" s="10" t="s">
        <v>443</v>
      </c>
      <c r="D3499" s="10" t="str">
        <f ca="1">IFERROR(__xludf.DUMMYFUNCTION(" VLOOKUP(A3496, IMPORTRANGE(""https://docs.google.com/spreadsheets/d/1fj_Bhi2XPL3siwIh4sx4VRLAe31yD50oKdj5UlRYW0c/"", ""Сводка!A:AA""), 11, FALSE)"),"978-601-327-872-8")</f>
        <v>978-601-327-872-8</v>
      </c>
      <c r="E3499" s="11" t="s">
        <v>13486</v>
      </c>
      <c r="F3499" s="11" t="s">
        <v>13487</v>
      </c>
      <c r="G3499" s="12">
        <f ca="1">IFERROR(__xludf.DUMMYFUNCTION(" VLOOKUP(A3496, IMPORTRANGE(""https://docs.google.com/spreadsheets/d/1fj_Bhi2XPL3siwIh4sx4VRLAe31yD50oKdj5UlRYW0c/"", ""Сводка!A:AA""), 5, FALSE)"),300)</f>
        <v>300</v>
      </c>
      <c r="H3499" s="12" t="s">
        <v>13488</v>
      </c>
      <c r="I3499" s="10">
        <f ca="1">IFERROR(__xludf.DUMMYFUNCTION(" VLOOKUP(A3496, IMPORTRANGE(""https://docs.google.com/spreadsheets/d/1QNLbnkR_AongFt22vMfNzfpjZ0CjpI8QI-w0wBnYA1w/"", ""Инфа!A:AA""), 6, FALSE)"),2024)</f>
        <v>2024</v>
      </c>
      <c r="J3499" s="5">
        <f t="shared" ca="1" si="117"/>
        <v>23000</v>
      </c>
      <c r="K3499" s="12" t="s">
        <v>539</v>
      </c>
      <c r="L3499" s="15" t="s">
        <v>13489</v>
      </c>
    </row>
    <row r="3500" spans="1:12" ht="146.25">
      <c r="A3500" s="8" t="s">
        <v>13490</v>
      </c>
      <c r="B3500" s="9" t="s">
        <v>12</v>
      </c>
      <c r="C3500" s="10" t="s">
        <v>443</v>
      </c>
      <c r="D3500" s="10" t="s">
        <v>13491</v>
      </c>
      <c r="E3500" s="11" t="s">
        <v>13492</v>
      </c>
      <c r="F3500" s="11" t="s">
        <v>13493</v>
      </c>
      <c r="G3500" s="12">
        <f ca="1">IFERROR(__xludf.DUMMYFUNCTION(" VLOOKUP(A3497, IMPORTRANGE(""https://docs.google.com/spreadsheets/d/1fj_Bhi2XPL3siwIh4sx4VRLAe31yD50oKdj5UlRYW0c/"", ""Сводка!A:AA""), 5, FALSE)"),244)</f>
        <v>244</v>
      </c>
      <c r="H3500" s="12" t="s">
        <v>13488</v>
      </c>
      <c r="I3500" s="10">
        <f ca="1">IFERROR(__xludf.DUMMYFUNCTION(" VLOOKUP(A3497, IMPORTRANGE(""https://docs.google.com/spreadsheets/d/1QNLbnkR_AongFt22vMfNzfpjZ0CjpI8QI-w0wBnYA1w/"", ""Инфа!A:AA""), 6, FALSE)"),2024)</f>
        <v>2024</v>
      </c>
      <c r="J3500" s="5">
        <f ca="1">ROUND((5000+G3500*30),-2)</f>
        <v>12300</v>
      </c>
      <c r="K3500" s="12" t="s">
        <v>539</v>
      </c>
      <c r="L3500" s="15" t="s">
        <v>13489</v>
      </c>
    </row>
    <row r="3501" spans="1:12" ht="135">
      <c r="A3501" s="8" t="s">
        <v>13494</v>
      </c>
      <c r="B3501" s="9" t="s">
        <v>12</v>
      </c>
      <c r="C3501" s="10" t="s">
        <v>443</v>
      </c>
      <c r="D3501" s="10" t="s">
        <v>13495</v>
      </c>
      <c r="E3501" s="11" t="s">
        <v>13492</v>
      </c>
      <c r="F3501" s="11" t="s">
        <v>13496</v>
      </c>
      <c r="G3501" s="12">
        <f ca="1">IFERROR(__xludf.DUMMYFUNCTION(" VLOOKUP(A3498, IMPORTRANGE(""https://docs.google.com/spreadsheets/d/1fj_Bhi2XPL3siwIh4sx4VRLAe31yD50oKdj5UlRYW0c/"", ""Сводка!A:AA""), 5, FALSE)"),188)</f>
        <v>188</v>
      </c>
      <c r="H3501" s="12" t="s">
        <v>13488</v>
      </c>
      <c r="I3501" s="10">
        <f ca="1">IFERROR(__xludf.DUMMYFUNCTION(" VLOOKUP(A3498, IMPORTRANGE(""https://docs.google.com/spreadsheets/d/1QNLbnkR_AongFt22vMfNzfpjZ0CjpI8QI-w0wBnYA1w/"", ""Инфа!A:AA""), 6, FALSE)"),2024)</f>
        <v>2024</v>
      </c>
      <c r="J3501" s="5">
        <f ca="1">ROUND((5000+G3501*60),-2)</f>
        <v>16300</v>
      </c>
      <c r="K3501" s="12" t="s">
        <v>539</v>
      </c>
      <c r="L3501" s="15" t="s">
        <v>13497</v>
      </c>
    </row>
    <row r="3502" spans="1:12" ht="135">
      <c r="A3502" s="8" t="s">
        <v>13498</v>
      </c>
      <c r="B3502" s="9" t="s">
        <v>12</v>
      </c>
      <c r="C3502" s="10" t="s">
        <v>443</v>
      </c>
      <c r="D3502" s="10" t="str">
        <f ca="1">IFERROR(__xludf.DUMMYFUNCTION(" VLOOKUP(A3499, IMPORTRANGE(""https://docs.google.com/spreadsheets/d/1fj_Bhi2XPL3siwIh4sx4VRLAe31yD50oKdj5UlRYW0c/"", ""Сводка!A:AA""), 11, FALSE)"),"978-601-342-068-4")</f>
        <v>978-601-342-068-4</v>
      </c>
      <c r="E3502" s="11" t="s">
        <v>13492</v>
      </c>
      <c r="F3502" s="11" t="s">
        <v>13499</v>
      </c>
      <c r="G3502" s="12">
        <f ca="1">IFERROR(__xludf.DUMMYFUNCTION(" VLOOKUP(A3499, IMPORTRANGE(""https://docs.google.com/spreadsheets/d/1fj_Bhi2XPL3siwIh4sx4VRLAe31yD50oKdj5UlRYW0c/"", ""Сводка!A:AA""), 5, FALSE)"),252)</f>
        <v>252</v>
      </c>
      <c r="H3502" s="12" t="s">
        <v>538</v>
      </c>
      <c r="I3502" s="10">
        <f ca="1">IFERROR(__xludf.DUMMYFUNCTION(" VLOOKUP(A3499, IMPORTRANGE(""https://docs.google.com/spreadsheets/d/1QNLbnkR_AongFt22vMfNzfpjZ0CjpI8QI-w0wBnYA1w/"", ""Инфа!A:AA""), 6, FALSE)"),2024)</f>
        <v>2024</v>
      </c>
      <c r="J3502" s="5">
        <f ca="1">ROUND((5000+G3502*30),-2)</f>
        <v>12600</v>
      </c>
      <c r="K3502" s="12" t="s">
        <v>539</v>
      </c>
      <c r="L3502" s="15" t="s">
        <v>13500</v>
      </c>
    </row>
    <row r="3503" spans="1:12" ht="135">
      <c r="A3503" s="8" t="s">
        <v>13501</v>
      </c>
      <c r="B3503" s="9" t="s">
        <v>12</v>
      </c>
      <c r="C3503" s="10" t="s">
        <v>443</v>
      </c>
      <c r="D3503" s="10" t="str">
        <f ca="1">IFERROR(__xludf.DUMMYFUNCTION(" VLOOKUP(A3500, IMPORTRANGE(""https://docs.google.com/spreadsheets/d/1fj_Bhi2XPL3siwIh4sx4VRLAe31yD50oKdj5UlRYW0c/"", ""Сводка!A:AA""), 11, FALSE)"),"978-601-342-068-4")</f>
        <v>978-601-342-068-4</v>
      </c>
      <c r="E3503" s="11" t="s">
        <v>13492</v>
      </c>
      <c r="F3503" s="11" t="s">
        <v>13502</v>
      </c>
      <c r="G3503" s="12">
        <f ca="1">IFERROR(__xludf.DUMMYFUNCTION(" VLOOKUP(A3500, IMPORTRANGE(""https://docs.google.com/spreadsheets/d/1fj_Bhi2XPL3siwIh4sx4VRLAe31yD50oKdj5UlRYW0c/"", ""Сводка!A:AA""), 5, FALSE)"),96)</f>
        <v>96</v>
      </c>
      <c r="H3503" s="12" t="s">
        <v>538</v>
      </c>
      <c r="I3503" s="10">
        <f ca="1">IFERROR(__xludf.DUMMYFUNCTION(" VLOOKUP(A3500, IMPORTRANGE(""https://docs.google.com/spreadsheets/d/1QNLbnkR_AongFt22vMfNzfpjZ0CjpI8QI-w0wBnYA1w/"", ""Инфа!A:AA""), 6, FALSE)"),2024)</f>
        <v>2024</v>
      </c>
      <c r="J3503" s="5">
        <f ca="1">ROUND((5000+G3503*30),-2)</f>
        <v>7900</v>
      </c>
      <c r="K3503" s="12" t="s">
        <v>539</v>
      </c>
      <c r="L3503" s="15" t="s">
        <v>13500</v>
      </c>
    </row>
    <row r="3504" spans="1:12" ht="247.5">
      <c r="A3504" s="8" t="s">
        <v>13503</v>
      </c>
      <c r="B3504" s="9" t="s">
        <v>12</v>
      </c>
      <c r="C3504" s="10" t="s">
        <v>443</v>
      </c>
      <c r="D3504" s="10" t="s">
        <v>13504</v>
      </c>
      <c r="E3504" s="11" t="s">
        <v>13492</v>
      </c>
      <c r="F3504" s="11" t="s">
        <v>9995</v>
      </c>
      <c r="G3504" s="12">
        <f ca="1">IFERROR(__xludf.DUMMYFUNCTION(" VLOOKUP(A3501, IMPORTRANGE(""https://docs.google.com/spreadsheets/d/1fj_Bhi2XPL3siwIh4sx4VRLAe31yD50oKdj5UlRYW0c/"", ""Сводка!A:AA""), 5, FALSE)"),268)</f>
        <v>268</v>
      </c>
      <c r="H3504" s="12" t="s">
        <v>538</v>
      </c>
      <c r="I3504" s="10">
        <f ca="1">IFERROR(__xludf.DUMMYFUNCTION(" VLOOKUP(A3501, IMPORTRANGE(""https://docs.google.com/spreadsheets/d/1QNLbnkR_AongFt22vMfNzfpjZ0CjpI8QI-w0wBnYA1w/"", ""Инфа!A:AA""), 6, FALSE)"),2024)</f>
        <v>2024</v>
      </c>
      <c r="J3504" s="5">
        <f ca="1">ROUND((5000+G3504*30),-2)</f>
        <v>13000</v>
      </c>
      <c r="K3504" s="12" t="s">
        <v>539</v>
      </c>
      <c r="L3504" s="15" t="s">
        <v>13505</v>
      </c>
    </row>
    <row r="3505" spans="1:12" ht="38.25">
      <c r="A3505" s="8" t="s">
        <v>13506</v>
      </c>
      <c r="B3505" s="9" t="s">
        <v>12</v>
      </c>
      <c r="C3505" s="10" t="s">
        <v>443</v>
      </c>
      <c r="D3505" s="10" t="str">
        <f ca="1">IFERROR(__xludf.DUMMYFUNCTION(" VLOOKUP(A3502, IMPORTRANGE(""https://docs.google.com/spreadsheets/d/1fj_Bhi2XPL3siwIh4sx4VRLAe31yD50oKdj5UlRYW0c/"", ""Сводка!A:AA""), 11, FALSE)"),"978-601-342-067-7")</f>
        <v>978-601-342-067-7</v>
      </c>
      <c r="E3505" s="11" t="s">
        <v>13492</v>
      </c>
      <c r="F3505" s="11" t="s">
        <v>13507</v>
      </c>
      <c r="G3505" s="12">
        <f ca="1">IFERROR(__xludf.DUMMYFUNCTION(" VLOOKUP(A3502, IMPORTRANGE(""https://docs.google.com/spreadsheets/d/1fj_Bhi2XPL3siwIh4sx4VRLAe31yD50oKdj5UlRYW0c/"", ""Сводка!A:AA""), 5, FALSE)"),264)</f>
        <v>264</v>
      </c>
      <c r="H3505" s="12" t="s">
        <v>106</v>
      </c>
      <c r="I3505" s="10">
        <f ca="1">IFERROR(__xludf.DUMMYFUNCTION(" VLOOKUP(A3502, IMPORTRANGE(""https://docs.google.com/spreadsheets/d/1QNLbnkR_AongFt22vMfNzfpjZ0CjpI8QI-w0wBnYA1w/"", ""Инфа!A:AA""), 6, FALSE)"),2024)</f>
        <v>2024</v>
      </c>
      <c r="J3505" s="5">
        <f ca="1">ROUND((5000+G3505*30),-2)</f>
        <v>12900</v>
      </c>
      <c r="K3505" s="12" t="s">
        <v>539</v>
      </c>
      <c r="L3505" s="15"/>
    </row>
    <row r="3506" spans="1:12" ht="67.5">
      <c r="A3506" s="8" t="s">
        <v>13508</v>
      </c>
      <c r="B3506" s="9" t="s">
        <v>12</v>
      </c>
      <c r="C3506" s="10" t="s">
        <v>443</v>
      </c>
      <c r="D3506" s="10" t="str">
        <f ca="1">IFERROR(__xludf.DUMMYFUNCTION(" VLOOKUP(A3503, IMPORTRANGE(""https://docs.google.com/spreadsheets/d/1fj_Bhi2XPL3siwIh4sx4VRLAe31yD50oKdj5UlRYW0c/"", ""Сводка!A:AA""), 11, FALSE)"),"978-601-327-910-7")</f>
        <v>978-601-327-910-7</v>
      </c>
      <c r="E3506" s="11" t="s">
        <v>13492</v>
      </c>
      <c r="F3506" s="11" t="s">
        <v>13509</v>
      </c>
      <c r="G3506" s="12">
        <f ca="1">IFERROR(__xludf.DUMMYFUNCTION(" VLOOKUP(A3503, IMPORTRANGE(""https://docs.google.com/spreadsheets/d/1fj_Bhi2XPL3siwIh4sx4VRLAe31yD50oKdj5UlRYW0c/"", ""Сводка!A:AA""), 5, FALSE)"),196)</f>
        <v>196</v>
      </c>
      <c r="H3506" s="12" t="s">
        <v>538</v>
      </c>
      <c r="I3506" s="10">
        <f ca="1">IFERROR(__xludf.DUMMYFUNCTION(" VLOOKUP(A3503, IMPORTRANGE(""https://docs.google.com/spreadsheets/d/1QNLbnkR_AongFt22vMfNzfpjZ0CjpI8QI-w0wBnYA1w/"", ""Инфа!A:AA""), 6, FALSE)"),2024)</f>
        <v>2024</v>
      </c>
      <c r="J3506" s="5">
        <f ca="1">ROUND((5000+G3506*30),-2)</f>
        <v>10900</v>
      </c>
      <c r="K3506" s="12" t="s">
        <v>539</v>
      </c>
      <c r="L3506" s="15" t="s">
        <v>13510</v>
      </c>
    </row>
    <row r="3507" spans="1:12" ht="157.5">
      <c r="A3507" s="8" t="s">
        <v>13511</v>
      </c>
      <c r="B3507" s="9" t="s">
        <v>12</v>
      </c>
      <c r="C3507" s="10" t="s">
        <v>443</v>
      </c>
      <c r="D3507" s="10" t="str">
        <f ca="1">IFERROR(__xludf.DUMMYFUNCTION(" VLOOKUP(A3504, IMPORTRANGE(""https://docs.google.com/spreadsheets/d/1fj_Bhi2XPL3siwIh4sx4VRLAe31yD50oKdj5UlRYW0c/"", ""Сводка!A:AA""), 11, FALSE)"),"978-601-342-045-5")</f>
        <v>978-601-342-045-5</v>
      </c>
      <c r="E3507" s="11" t="s">
        <v>13512</v>
      </c>
      <c r="F3507" s="11" t="s">
        <v>13513</v>
      </c>
      <c r="G3507" s="12">
        <f ca="1">IFERROR(__xludf.DUMMYFUNCTION(" VLOOKUP(A3504, IMPORTRANGE(""https://docs.google.com/spreadsheets/d/1fj_Bhi2XPL3siwIh4sx4VRLAe31yD50oKdj5UlRYW0c/"", ""Сводка!A:AA""), 5, FALSE)"),284)</f>
        <v>284</v>
      </c>
      <c r="H3507" s="12" t="s">
        <v>13514</v>
      </c>
      <c r="I3507" s="10">
        <f ca="1">IFERROR(__xludf.DUMMYFUNCTION(" VLOOKUP(A3504, IMPORTRANGE(""https://docs.google.com/spreadsheets/d/1QNLbnkR_AongFt22vMfNzfpjZ0CjpI8QI-w0wBnYA1w/"", ""Инфа!A:AA""), 6, FALSE)"),2024)</f>
        <v>2024</v>
      </c>
      <c r="J3507" s="5">
        <f ca="1">ROUND((5000+G3507*60),-2)</f>
        <v>22000</v>
      </c>
      <c r="K3507" s="12" t="s">
        <v>539</v>
      </c>
      <c r="L3507" s="15" t="s">
        <v>13515</v>
      </c>
    </row>
    <row r="3508" spans="1:12" ht="236.25">
      <c r="A3508" s="8" t="s">
        <v>13516</v>
      </c>
      <c r="B3508" s="9" t="s">
        <v>12</v>
      </c>
      <c r="C3508" s="10" t="s">
        <v>443</v>
      </c>
      <c r="D3508" s="10" t="str">
        <f ca="1">IFERROR(__xludf.DUMMYFUNCTION(" VLOOKUP(A3505, IMPORTRANGE(""https://docs.google.com/spreadsheets/d/1fj_Bhi2XPL3siwIh4sx4VRLAe31yD50oKdj5UlRYW0c/"", ""Сводка!A:AA""), 11, FALSE)"),"978-601-327-101-9")</f>
        <v>978-601-327-101-9</v>
      </c>
      <c r="E3508" s="25" t="s">
        <v>13517</v>
      </c>
      <c r="F3508" s="25" t="s">
        <v>13518</v>
      </c>
      <c r="G3508" s="12">
        <f ca="1">IFERROR(__xludf.DUMMYFUNCTION(" VLOOKUP(A3505, IMPORTRANGE(""https://docs.google.com/spreadsheets/d/1fj_Bhi2XPL3siwIh4sx4VRLAe31yD50oKdj5UlRYW0c/"", ""Сводка!A:AA""), 5, FALSE)"),216)</f>
        <v>216</v>
      </c>
      <c r="H3508" s="26" t="s">
        <v>106</v>
      </c>
      <c r="I3508" s="10">
        <f ca="1">IFERROR(__xludf.DUMMYFUNCTION(" VLOOKUP(A3505, IMPORTRANGE(""https://docs.google.com/spreadsheets/d/1QNLbnkR_AongFt22vMfNzfpjZ0CjpI8QI-w0wBnYA1w/"", ""Инфа!A:AA""), 6, FALSE)"),2024)</f>
        <v>2024</v>
      </c>
      <c r="J3508" s="5">
        <f ca="1">ROUND((5000+G3508*30),-2)</f>
        <v>11500</v>
      </c>
      <c r="K3508" s="12" t="s">
        <v>740</v>
      </c>
      <c r="L3508" s="15" t="s">
        <v>13519</v>
      </c>
    </row>
    <row r="3509" spans="1:12" ht="123.75">
      <c r="A3509" s="8" t="s">
        <v>13520</v>
      </c>
      <c r="B3509" s="9" t="s">
        <v>12</v>
      </c>
      <c r="C3509" s="10" t="s">
        <v>443</v>
      </c>
      <c r="D3509" s="10" t="str">
        <f ca="1">IFERROR(__xludf.DUMMYFUNCTION(" VLOOKUP(A3506, IMPORTRANGE(""https://docs.google.com/spreadsheets/d/1fj_Bhi2XPL3siwIh4sx4VRLAe31yD50oKdj5UlRYW0c/"", ""Сводка!A:AA""), 11, FALSE)"),"978-601-310-655-7")</f>
        <v>978-601-310-655-7</v>
      </c>
      <c r="E3509" s="11" t="s">
        <v>13517</v>
      </c>
      <c r="F3509" s="11" t="s">
        <v>13521</v>
      </c>
      <c r="G3509" s="12">
        <f ca="1">IFERROR(__xludf.DUMMYFUNCTION(" VLOOKUP(A3506, IMPORTRANGE(""https://docs.google.com/spreadsheets/d/1fj_Bhi2XPL3siwIh4sx4VRLAe31yD50oKdj5UlRYW0c/"", ""Сводка!A:AA""), 5, FALSE)"),217)</f>
        <v>217</v>
      </c>
      <c r="H3509" s="12" t="s">
        <v>538</v>
      </c>
      <c r="I3509" s="10">
        <f ca="1">IFERROR(__xludf.DUMMYFUNCTION(" VLOOKUP(A3506, IMPORTRANGE(""https://docs.google.com/spreadsheets/d/1QNLbnkR_AongFt22vMfNzfpjZ0CjpI8QI-w0wBnYA1w/"", ""Инфа!A:AA""), 6, FALSE)"),2024)</f>
        <v>2024</v>
      </c>
      <c r="J3509" s="5">
        <f ca="1">ROUND((5000+G3509*30),-2)</f>
        <v>11500</v>
      </c>
      <c r="K3509" s="12" t="s">
        <v>7097</v>
      </c>
      <c r="L3509" s="15" t="s">
        <v>13522</v>
      </c>
    </row>
    <row r="3510" spans="1:12" ht="168.75">
      <c r="A3510" s="8" t="s">
        <v>13523</v>
      </c>
      <c r="B3510" s="9" t="s">
        <v>12</v>
      </c>
      <c r="C3510" s="10" t="s">
        <v>443</v>
      </c>
      <c r="D3510" s="10" t="str">
        <f ca="1">IFERROR(__xludf.DUMMYFUNCTION(" VLOOKUP(A3507, IMPORTRANGE(""https://docs.google.com/spreadsheets/d/1fj_Bhi2XPL3siwIh4sx4VRLAe31yD50oKdj5UlRYW0c/"", ""Сводка!A:AA""), 11, FALSE)"),"978-601-310-942-8")</f>
        <v>978-601-310-942-8</v>
      </c>
      <c r="E3510" s="11" t="s">
        <v>13524</v>
      </c>
      <c r="F3510" s="11" t="s">
        <v>13525</v>
      </c>
      <c r="G3510" s="12">
        <f ca="1">IFERROR(__xludf.DUMMYFUNCTION(" VLOOKUP(A3507, IMPORTRANGE(""https://docs.google.com/spreadsheets/d/1fj_Bhi2XPL3siwIh4sx4VRLAe31yD50oKdj5UlRYW0c/"", ""Сводка!A:AA""), 5, FALSE)"),152)</f>
        <v>152</v>
      </c>
      <c r="H3510" s="12" t="s">
        <v>538</v>
      </c>
      <c r="I3510" s="10">
        <f ca="1">IFERROR(__xludf.DUMMYFUNCTION(" VLOOKUP(A3507, IMPORTRANGE(""https://docs.google.com/spreadsheets/d/1QNLbnkR_AongFt22vMfNzfpjZ0CjpI8QI-w0wBnYA1w/"", ""Инфа!A:AA""), 6, FALSE)"),2024)</f>
        <v>2024</v>
      </c>
      <c r="J3510" s="5">
        <f ca="1">ROUND(((5000+G3510*30)*1.3),-2)</f>
        <v>12400</v>
      </c>
      <c r="K3510" s="12" t="s">
        <v>13283</v>
      </c>
      <c r="L3510" s="15" t="s">
        <v>13526</v>
      </c>
    </row>
    <row r="3511" spans="1:12" ht="225">
      <c r="A3511" s="8" t="s">
        <v>13527</v>
      </c>
      <c r="B3511" s="9" t="s">
        <v>12</v>
      </c>
      <c r="C3511" s="10" t="s">
        <v>13</v>
      </c>
      <c r="D3511" s="10" t="str">
        <f ca="1">IFERROR(__xludf.DUMMYFUNCTION(" VLOOKUP(A3508, IMPORTRANGE(""https://docs.google.com/spreadsheets/d/1fj_Bhi2XPL3siwIh4sx4VRLAe31yD50oKdj5UlRYW0c/"", ""Сводка!A:AA""), 11, FALSE)"),"978-601-310-500-0")</f>
        <v>978-601-310-500-0</v>
      </c>
      <c r="E3511" s="11" t="s">
        <v>13528</v>
      </c>
      <c r="F3511" s="11" t="s">
        <v>13529</v>
      </c>
      <c r="G3511" s="12">
        <f ca="1">IFERROR(__xludf.DUMMYFUNCTION(" VLOOKUP(A3508, IMPORTRANGE(""https://docs.google.com/spreadsheets/d/1fj_Bhi2XPL3siwIh4sx4VRLAe31yD50oKdj5UlRYW0c/"", ""Сводка!A:AA""), 5, FALSE)"),200)</f>
        <v>200</v>
      </c>
      <c r="H3511" s="12" t="s">
        <v>47</v>
      </c>
      <c r="I3511" s="10">
        <f ca="1">IFERROR(__xludf.DUMMYFUNCTION(" VLOOKUP(A3508, IMPORTRANGE(""https://docs.google.com/spreadsheets/d/1QNLbnkR_AongFt22vMfNzfpjZ0CjpI8QI-w0wBnYA1w/"", ""Инфа!A:AA""), 6, FALSE)"),2024)</f>
        <v>2024</v>
      </c>
      <c r="J3511" s="5">
        <f t="shared" ref="J3511:J3517" ca="1" si="118">ROUND((5000+G3511*30),-2)</f>
        <v>11000</v>
      </c>
      <c r="K3511" s="9" t="s">
        <v>592</v>
      </c>
      <c r="L3511" s="15" t="s">
        <v>13530</v>
      </c>
    </row>
    <row r="3512" spans="1:12" ht="225">
      <c r="A3512" s="8" t="s">
        <v>13531</v>
      </c>
      <c r="B3512" s="9" t="s">
        <v>12</v>
      </c>
      <c r="C3512" s="10" t="s">
        <v>151</v>
      </c>
      <c r="D3512" s="10" t="str">
        <f ca="1">IFERROR(__xludf.DUMMYFUNCTION(" VLOOKUP(A3509, IMPORTRANGE(""https://docs.google.com/spreadsheets/d/1fj_Bhi2XPL3siwIh4sx4VRLAe31yD50oKdj5UlRYW0c/"", ""Сводка!A:AA""), 11, FALSE)"),"978-601-342-027-1")</f>
        <v>978-601-342-027-1</v>
      </c>
      <c r="E3512" s="11" t="s">
        <v>13532</v>
      </c>
      <c r="F3512" s="11" t="s">
        <v>13533</v>
      </c>
      <c r="G3512" s="12">
        <f ca="1">IFERROR(__xludf.DUMMYFUNCTION(" VLOOKUP(A3509, IMPORTRANGE(""https://docs.google.com/spreadsheets/d/1fj_Bhi2XPL3siwIh4sx4VRLAe31yD50oKdj5UlRYW0c/"", ""Сводка!A:AA""), 5, FALSE)"),301)</f>
        <v>301</v>
      </c>
      <c r="H3512" s="12" t="s">
        <v>47</v>
      </c>
      <c r="I3512" s="10">
        <f ca="1">IFERROR(__xludf.DUMMYFUNCTION(" VLOOKUP(A3509, IMPORTRANGE(""https://docs.google.com/spreadsheets/d/1QNLbnkR_AongFt22vMfNzfpjZ0CjpI8QI-w0wBnYA1w/"", ""Инфа!A:AA""), 6, FALSE)"),2024)</f>
        <v>2024</v>
      </c>
      <c r="J3512" s="5">
        <f t="shared" ca="1" si="118"/>
        <v>14000</v>
      </c>
      <c r="K3512" s="12" t="s">
        <v>2046</v>
      </c>
      <c r="L3512" s="15" t="s">
        <v>13534</v>
      </c>
    </row>
    <row r="3513" spans="1:12" ht="258.75">
      <c r="A3513" s="8" t="s">
        <v>13535</v>
      </c>
      <c r="B3513" s="9" t="s">
        <v>12</v>
      </c>
      <c r="C3513" s="10" t="s">
        <v>443</v>
      </c>
      <c r="D3513" s="10" t="str">
        <f ca="1">IFERROR(__xludf.DUMMYFUNCTION(" VLOOKUP(A3510, IMPORTRANGE(""https://docs.google.com/spreadsheets/d/1fj_Bhi2XPL3siwIh4sx4VRLAe31yD50oKdj5UlRYW0c/"", ""Сводка!A:AA""), 11, FALSE)"),"978-601-342-028-8")</f>
        <v>978-601-342-028-8</v>
      </c>
      <c r="E3513" s="11" t="s">
        <v>13532</v>
      </c>
      <c r="F3513" s="11" t="s">
        <v>13536</v>
      </c>
      <c r="G3513" s="12">
        <f ca="1">IFERROR(__xludf.DUMMYFUNCTION(" VLOOKUP(A3510, IMPORTRANGE(""https://docs.google.com/spreadsheets/d/1fj_Bhi2XPL3siwIh4sx4VRLAe31yD50oKdj5UlRYW0c/"", ""Сводка!A:AA""), 5, FALSE)"),181)</f>
        <v>181</v>
      </c>
      <c r="H3513" s="12" t="s">
        <v>538</v>
      </c>
      <c r="I3513" s="10">
        <f ca="1">IFERROR(__xludf.DUMMYFUNCTION(" VLOOKUP(A3510, IMPORTRANGE(""https://docs.google.com/spreadsheets/d/1QNLbnkR_AongFt22vMfNzfpjZ0CjpI8QI-w0wBnYA1w/"", ""Инфа!A:AA""), 6, FALSE)"),2024)</f>
        <v>2024</v>
      </c>
      <c r="J3513" s="5">
        <f t="shared" ca="1" si="118"/>
        <v>10400</v>
      </c>
      <c r="K3513" s="12" t="s">
        <v>2046</v>
      </c>
      <c r="L3513" s="15" t="s">
        <v>13537</v>
      </c>
    </row>
    <row r="3514" spans="1:12" ht="191.25">
      <c r="A3514" s="8" t="s">
        <v>13538</v>
      </c>
      <c r="B3514" s="9" t="s">
        <v>12</v>
      </c>
      <c r="C3514" s="10" t="s">
        <v>151</v>
      </c>
      <c r="D3514" s="10" t="str">
        <f ca="1">IFERROR(__xludf.DUMMYFUNCTION(" VLOOKUP(A3511, IMPORTRANGE(""https://docs.google.com/spreadsheets/d/1fj_Bhi2XPL3siwIh4sx4VRLAe31yD50oKdj5UlRYW0c/"", ""Сводка!A:AA""), 11, FALSE)"),"978-601-310-105-7")</f>
        <v>978-601-310-105-7</v>
      </c>
      <c r="E3514" s="11" t="s">
        <v>4464</v>
      </c>
      <c r="F3514" s="11" t="s">
        <v>13539</v>
      </c>
      <c r="G3514" s="12" t="e">
        <f>#REF!</f>
        <v>#REF!</v>
      </c>
      <c r="H3514" s="12" t="s">
        <v>47</v>
      </c>
      <c r="I3514" s="10">
        <f ca="1">IFERROR(__xludf.DUMMYFUNCTION(" VLOOKUP(A3511, IMPORTRANGE(""https://docs.google.com/spreadsheets/d/1QNLbnkR_AongFt22vMfNzfpjZ0CjpI8QI-w0wBnYA1w/"", ""Инфа!A:AA""), 6, FALSE)"),2024)</f>
        <v>2024</v>
      </c>
      <c r="J3514" s="5" t="e">
        <f t="shared" si="118"/>
        <v>#REF!</v>
      </c>
      <c r="K3514" s="9" t="s">
        <v>26</v>
      </c>
      <c r="L3514" s="15" t="s">
        <v>13540</v>
      </c>
    </row>
    <row r="3515" spans="1:12" ht="191.25">
      <c r="A3515" s="8" t="s">
        <v>13541</v>
      </c>
      <c r="B3515" s="9" t="s">
        <v>12</v>
      </c>
      <c r="C3515" s="10" t="s">
        <v>443</v>
      </c>
      <c r="D3515" s="10" t="str">
        <f ca="1">IFERROR(__xludf.DUMMYFUNCTION(" VLOOKUP(A3512, IMPORTRANGE(""https://docs.google.com/spreadsheets/d/1fj_Bhi2XPL3siwIh4sx4VRLAe31yD50oKdj5UlRYW0c/"", ""Сводка!A:AA""), 11, FALSE)"),"9965-39-005-3")</f>
        <v>9965-39-005-3</v>
      </c>
      <c r="E3515" s="11" t="s">
        <v>13542</v>
      </c>
      <c r="F3515" s="11" t="s">
        <v>13543</v>
      </c>
      <c r="G3515" s="12">
        <f ca="1">IFERROR(__xludf.DUMMYFUNCTION(" VLOOKUP(A3512, IMPORTRANGE(""https://docs.google.com/spreadsheets/d/1fj_Bhi2XPL3siwIh4sx4VRLAe31yD50oKdj5UlRYW0c/"", ""Сводка!A:AA""), 5, FALSE)"),160)</f>
        <v>160</v>
      </c>
      <c r="H3515" s="12" t="s">
        <v>538</v>
      </c>
      <c r="I3515" s="10">
        <f ca="1">IFERROR(__xludf.DUMMYFUNCTION(" VLOOKUP(A3512, IMPORTRANGE(""https://docs.google.com/spreadsheets/d/1QNLbnkR_AongFt22vMfNzfpjZ0CjpI8QI-w0wBnYA1w/"", ""Инфа!A:AA""), 6, FALSE)"),2024)</f>
        <v>2024</v>
      </c>
      <c r="J3515" s="5">
        <f t="shared" ca="1" si="118"/>
        <v>9800</v>
      </c>
      <c r="K3515" s="9" t="s">
        <v>26</v>
      </c>
      <c r="L3515" s="15" t="s">
        <v>13544</v>
      </c>
    </row>
    <row r="3516" spans="1:12" ht="123.75">
      <c r="A3516" s="8" t="s">
        <v>13545</v>
      </c>
      <c r="B3516" s="9" t="s">
        <v>12</v>
      </c>
      <c r="C3516" s="10" t="s">
        <v>151</v>
      </c>
      <c r="D3516" s="10" t="str">
        <f ca="1">IFERROR(__xludf.DUMMYFUNCTION(" VLOOKUP(A3513, IMPORTRANGE(""https://docs.google.com/spreadsheets/d/1fj_Bhi2XPL3siwIh4sx4VRLAe31yD50oKdj5UlRYW0c/"", ""Сводка!A:AA""), 11, FALSE)"),"978-601-327-785-1")</f>
        <v>978-601-327-785-1</v>
      </c>
      <c r="E3516" s="11" t="s">
        <v>13546</v>
      </c>
      <c r="F3516" s="11" t="s">
        <v>13547</v>
      </c>
      <c r="G3516" s="12">
        <f ca="1">IFERROR(__xludf.DUMMYFUNCTION(" VLOOKUP(A3513, IMPORTRANGE(""https://docs.google.com/spreadsheets/d/1fj_Bhi2XPL3siwIh4sx4VRLAe31yD50oKdj5UlRYW0c/"", ""Сводка!A:AA""), 5, FALSE)"),112)</f>
        <v>112</v>
      </c>
      <c r="H3516" s="12" t="s">
        <v>165</v>
      </c>
      <c r="I3516" s="10">
        <f ca="1">IFERROR(__xludf.DUMMYFUNCTION(" VLOOKUP(A3513, IMPORTRANGE(""https://docs.google.com/spreadsheets/d/1QNLbnkR_AongFt22vMfNzfpjZ0CjpI8QI-w0wBnYA1w/"", ""Инфа!A:AA""), 6, FALSE)"),2024)</f>
        <v>2024</v>
      </c>
      <c r="J3516" s="5">
        <f t="shared" ca="1" si="118"/>
        <v>8400</v>
      </c>
      <c r="K3516" s="12" t="s">
        <v>1603</v>
      </c>
      <c r="L3516" s="15" t="s">
        <v>13548</v>
      </c>
    </row>
    <row r="3517" spans="1:12" ht="225">
      <c r="A3517" s="8" t="s">
        <v>13549</v>
      </c>
      <c r="B3517" s="9" t="s">
        <v>12</v>
      </c>
      <c r="C3517" s="10" t="s">
        <v>151</v>
      </c>
      <c r="D3517" s="10" t="str">
        <f ca="1">IFERROR(__xludf.DUMMYFUNCTION(" VLOOKUP(A3514, IMPORTRANGE(""https://docs.google.com/spreadsheets/d/1fj_Bhi2XPL3siwIh4sx4VRLAe31yD50oKdj5UlRYW0c/"", ""Сводка!A:AA""), 11, FALSE)"),"9965 – 845 – 17 – 4")</f>
        <v>9965 – 845 – 17 – 4</v>
      </c>
      <c r="E3517" s="11" t="s">
        <v>13550</v>
      </c>
      <c r="F3517" s="11" t="s">
        <v>13551</v>
      </c>
      <c r="G3517" s="12">
        <f ca="1">IFERROR(__xludf.DUMMYFUNCTION(" VLOOKUP(A3514, IMPORTRANGE(""https://docs.google.com/spreadsheets/d/1fj_Bhi2XPL3siwIh4sx4VRLAe31yD50oKdj5UlRYW0c/"", ""Сводка!A:AA""), 5, FALSE)"),334)</f>
        <v>334</v>
      </c>
      <c r="H3517" s="12" t="s">
        <v>47</v>
      </c>
      <c r="I3517" s="10">
        <f ca="1">IFERROR(__xludf.DUMMYFUNCTION(" VLOOKUP(A3514, IMPORTRANGE(""https://docs.google.com/spreadsheets/d/1QNLbnkR_AongFt22vMfNzfpjZ0CjpI8QI-w0wBnYA1w/"", ""Инфа!A:AA""), 6, FALSE)"),2024)</f>
        <v>2024</v>
      </c>
      <c r="J3517" s="5">
        <f t="shared" ca="1" si="118"/>
        <v>15000</v>
      </c>
      <c r="K3517" s="12" t="s">
        <v>1240</v>
      </c>
      <c r="L3517" s="15" t="s">
        <v>13552</v>
      </c>
    </row>
    <row r="3518" spans="1:12" ht="213.75">
      <c r="A3518" s="8" t="s">
        <v>13553</v>
      </c>
      <c r="B3518" s="9" t="s">
        <v>12</v>
      </c>
      <c r="C3518" s="10" t="s">
        <v>443</v>
      </c>
      <c r="D3518" s="10" t="str">
        <f ca="1">IFERROR(__xludf.DUMMYFUNCTION(" VLOOKUP(A3515, IMPORTRANGE(""https://docs.google.com/spreadsheets/d/1fj_Bhi2XPL3siwIh4sx4VRLAe31yD50oKdj5UlRYW0c/"", ""Сводка!A:AA""), 11, FALSE)"),"978-601-327-186-6")</f>
        <v>978-601-327-186-6</v>
      </c>
      <c r="E3518" s="11" t="s">
        <v>13554</v>
      </c>
      <c r="F3518" s="11" t="s">
        <v>13555</v>
      </c>
      <c r="G3518" s="12">
        <f ca="1">IFERROR(__xludf.DUMMYFUNCTION(" VLOOKUP(A3515, IMPORTRANGE(""https://docs.google.com/spreadsheets/d/1fj_Bhi2XPL3siwIh4sx4VRLAe31yD50oKdj5UlRYW0c/"", ""Сводка!A:AA""), 5, FALSE)"),224)</f>
        <v>224</v>
      </c>
      <c r="H3518" s="12" t="s">
        <v>538</v>
      </c>
      <c r="I3518" s="10">
        <f ca="1">IFERROR(__xludf.DUMMYFUNCTION(" VLOOKUP(A3515, IMPORTRANGE(""https://docs.google.com/spreadsheets/d/1QNLbnkR_AongFt22vMfNzfpjZ0CjpI8QI-w0wBnYA1w/"", ""Инфа!A:AA""), 6, FALSE)"),2024)</f>
        <v>2024</v>
      </c>
      <c r="J3518" s="5">
        <f ca="1">ROUND(((5000+G3518*30)*1.3),-2)</f>
        <v>15200</v>
      </c>
      <c r="K3518" s="12" t="s">
        <v>213</v>
      </c>
      <c r="L3518" s="15" t="s">
        <v>13556</v>
      </c>
    </row>
    <row r="3519" spans="1:12" ht="303.75">
      <c r="A3519" s="8" t="s">
        <v>13557</v>
      </c>
      <c r="B3519" s="9" t="s">
        <v>12</v>
      </c>
      <c r="C3519" s="10" t="s">
        <v>151</v>
      </c>
      <c r="D3519" s="10" t="str">
        <f ca="1">IFERROR(__xludf.DUMMYFUNCTION(" VLOOKUP(A3516, IMPORTRANGE(""https://docs.google.com/spreadsheets/d/1fj_Bhi2XPL3siwIh4sx4VRLAe31yD50oKdj5UlRYW0c/"", ""Сводка!A:AA""), 11, FALSE)"),"978-601-342-349-4")</f>
        <v>978-601-342-349-4</v>
      </c>
      <c r="E3519" s="11" t="s">
        <v>13558</v>
      </c>
      <c r="F3519" s="11" t="s">
        <v>13559</v>
      </c>
      <c r="G3519" s="12">
        <f ca="1">IFERROR(__xludf.DUMMYFUNCTION(" VLOOKUP(A3516, IMPORTRANGE(""https://docs.google.com/spreadsheets/d/1fj_Bhi2XPL3siwIh4sx4VRLAe31yD50oKdj5UlRYW0c/"", ""Сводка!A:AA""), 5, FALSE)"),140)</f>
        <v>140</v>
      </c>
      <c r="H3519" s="12" t="s">
        <v>24</v>
      </c>
      <c r="I3519" s="10">
        <f ca="1">IFERROR(__xludf.DUMMYFUNCTION(" VLOOKUP(A3516, IMPORTRANGE(""https://docs.google.com/spreadsheets/d/1QNLbnkR_AongFt22vMfNzfpjZ0CjpI8QI-w0wBnYA1w/"", ""Инфа!A:AA""), 6, FALSE)"),2024)</f>
        <v>2024</v>
      </c>
      <c r="J3519" s="5">
        <f ca="1">ROUND(((5000+G3519*30)*1.3),-2)</f>
        <v>12000</v>
      </c>
      <c r="K3519" s="12" t="s">
        <v>2228</v>
      </c>
      <c r="L3519" s="15" t="s">
        <v>13560</v>
      </c>
    </row>
    <row r="3520" spans="1:12" ht="281.25">
      <c r="A3520" s="8" t="s">
        <v>13561</v>
      </c>
      <c r="B3520" s="9" t="s">
        <v>12</v>
      </c>
      <c r="C3520" s="10" t="s">
        <v>151</v>
      </c>
      <c r="D3520" s="10" t="str">
        <f ca="1">IFERROR(__xludf.DUMMYFUNCTION(" VLOOKUP(A3517, IMPORTRANGE(""https://docs.google.com/spreadsheets/d/1fj_Bhi2XPL3siwIh4sx4VRLAe31yD50oKdj5UlRYW0c/"", ""Сводка!A:AA""), 11, FALSE)"),"978-601-342-349-4")</f>
        <v>978-601-342-349-4</v>
      </c>
      <c r="E3520" s="11" t="s">
        <v>13558</v>
      </c>
      <c r="F3520" s="11" t="s">
        <v>13562</v>
      </c>
      <c r="G3520" s="12">
        <f ca="1">IFERROR(__xludf.DUMMYFUNCTION(" VLOOKUP(A3517, IMPORTRANGE(""https://docs.google.com/spreadsheets/d/1fj_Bhi2XPL3siwIh4sx4VRLAe31yD50oKdj5UlRYW0c/"", ""Сводка!A:AA""), 5, FALSE)"),144)</f>
        <v>144</v>
      </c>
      <c r="H3520" s="12" t="s">
        <v>24</v>
      </c>
      <c r="I3520" s="10">
        <f ca="1">IFERROR(__xludf.DUMMYFUNCTION(" VLOOKUP(A3517, IMPORTRANGE(""https://docs.google.com/spreadsheets/d/1QNLbnkR_AongFt22vMfNzfpjZ0CjpI8QI-w0wBnYA1w/"", ""Инфа!A:AA""), 6, FALSE)"),2024)</f>
        <v>2024</v>
      </c>
      <c r="J3520" s="5">
        <f ca="1">ROUND(((5000+G3520*60)*1.3),-2)</f>
        <v>17700</v>
      </c>
      <c r="K3520" s="12" t="s">
        <v>2228</v>
      </c>
      <c r="L3520" s="15" t="s">
        <v>13563</v>
      </c>
    </row>
    <row r="3521" spans="1:12" ht="135">
      <c r="A3521" s="8" t="s">
        <v>13564</v>
      </c>
      <c r="B3521" s="9" t="s">
        <v>12</v>
      </c>
      <c r="C3521" s="10" t="s">
        <v>21</v>
      </c>
      <c r="D3521" s="10" t="str">
        <f ca="1">IFERROR(__xludf.DUMMYFUNCTION(" VLOOKUP(A3518, IMPORTRANGE(""https://docs.google.com/spreadsheets/d/1fj_Bhi2XPL3siwIh4sx4VRLAe31yD50oKdj5UlRYW0c/"", ""Сводка!A:AA""), 11, FALSE)"),"978-601-342-401-9")</f>
        <v>978-601-342-401-9</v>
      </c>
      <c r="E3521" s="11" t="s">
        <v>13565</v>
      </c>
      <c r="F3521" s="11" t="s">
        <v>13566</v>
      </c>
      <c r="G3521" s="12">
        <f ca="1">IFERROR(__xludf.DUMMYFUNCTION(" VLOOKUP(A3518, IMPORTRANGE(""https://docs.google.com/spreadsheets/d/1fj_Bhi2XPL3siwIh4sx4VRLAe31yD50oKdj5UlRYW0c/"", ""Сводка!A:AA""), 5, FALSE)"),130)</f>
        <v>130</v>
      </c>
      <c r="H3521" s="12" t="s">
        <v>165</v>
      </c>
      <c r="I3521" s="10">
        <f ca="1">IFERROR(__xludf.DUMMYFUNCTION(" VLOOKUP(A3518, IMPORTRANGE(""https://docs.google.com/spreadsheets/d/1QNLbnkR_AongFt22vMfNzfpjZ0CjpI8QI-w0wBnYA1w/"", ""Инфа!A:AA""), 6, FALSE)"),2024)</f>
        <v>2024</v>
      </c>
      <c r="J3521" s="5">
        <f ca="1">ROUND((5000+G3521*60),-2)</f>
        <v>12800</v>
      </c>
      <c r="K3521" s="12" t="s">
        <v>25</v>
      </c>
      <c r="L3521" s="16" t="s">
        <v>13567</v>
      </c>
    </row>
    <row r="3522" spans="1:12" ht="236.25">
      <c r="A3522" s="8" t="s">
        <v>13568</v>
      </c>
      <c r="B3522" s="9" t="s">
        <v>12</v>
      </c>
      <c r="C3522" s="10" t="s">
        <v>151</v>
      </c>
      <c r="D3522" s="10" t="str">
        <f ca="1">IFERROR(__xludf.DUMMYFUNCTION(" VLOOKUP(A3519, IMPORTRANGE(""https://docs.google.com/spreadsheets/d/1fj_Bhi2XPL3siwIh4sx4VRLAe31yD50oKdj5UlRYW0c/"", ""Сводка!A:AA""), 11, FALSE)"),"978-601-301-906-2")</f>
        <v>978-601-301-906-2</v>
      </c>
      <c r="E3522" s="88" t="s">
        <v>13569</v>
      </c>
      <c r="F3522" s="88" t="s">
        <v>13570</v>
      </c>
      <c r="G3522" s="12">
        <f ca="1">IFERROR(__xludf.DUMMYFUNCTION(" VLOOKUP(A3519, IMPORTRANGE(""https://docs.google.com/spreadsheets/d/1fj_Bhi2XPL3siwIh4sx4VRLAe31yD50oKdj5UlRYW0c/"", ""Сводка!A:AA""), 5, FALSE)"),156)</f>
        <v>156</v>
      </c>
      <c r="H3522" s="89" t="s">
        <v>282</v>
      </c>
      <c r="I3522" s="10">
        <f ca="1">IFERROR(__xludf.DUMMYFUNCTION(" VLOOKUP(A3519, IMPORTRANGE(""https://docs.google.com/spreadsheets/d/1QNLbnkR_AongFt22vMfNzfpjZ0CjpI8QI-w0wBnYA1w/"", ""Инфа!A:AA""), 6, FALSE)"),2024)</f>
        <v>2024</v>
      </c>
      <c r="J3522" s="5">
        <f ca="1">ROUND((5000+G3522*60),-2)</f>
        <v>14400</v>
      </c>
      <c r="K3522" s="89" t="s">
        <v>570</v>
      </c>
      <c r="L3522" s="90" t="s">
        <v>13571</v>
      </c>
    </row>
    <row r="3523" spans="1:12" ht="180">
      <c r="A3523" s="8" t="s">
        <v>13572</v>
      </c>
      <c r="B3523" s="9" t="s">
        <v>12</v>
      </c>
      <c r="C3523" s="13" t="s">
        <v>443</v>
      </c>
      <c r="D3523" s="10" t="str">
        <f ca="1">IFERROR(__xludf.DUMMYFUNCTION(" VLOOKUP(A3520, IMPORTRANGE(""https://docs.google.com/spreadsheets/d/1fj_Bhi2XPL3siwIh4sx4VRLAe31yD50oKdj5UlRYW0c/"", ""Сводка!A:AA""), 11, FALSE)"),"978-601-327-889-6")</f>
        <v>978-601-327-889-6</v>
      </c>
      <c r="E3523" s="19" t="s">
        <v>13573</v>
      </c>
      <c r="F3523" s="32" t="s">
        <v>13574</v>
      </c>
      <c r="G3523" s="12">
        <f ca="1">IFERROR(__xludf.DUMMYFUNCTION(" VLOOKUP(A3520, IMPORTRANGE(""https://docs.google.com/spreadsheets/d/1fj_Bhi2XPL3siwIh4sx4VRLAe31yD50oKdj5UlRYW0c/"", ""Сводка!A:AA""), 5, FALSE)"),224)</f>
        <v>224</v>
      </c>
      <c r="H3523" s="9" t="s">
        <v>777</v>
      </c>
      <c r="I3523" s="10">
        <f ca="1">IFERROR(__xludf.DUMMYFUNCTION(" VLOOKUP(A3520, IMPORTRANGE(""https://docs.google.com/spreadsheets/d/1QNLbnkR_AongFt22vMfNzfpjZ0CjpI8QI-w0wBnYA1w/"", ""Инфа!A:AA""), 6, FALSE)"),2024)</f>
        <v>2024</v>
      </c>
      <c r="J3523" s="5">
        <f ca="1">ROUND((5000+G3523*60),-2)</f>
        <v>18400</v>
      </c>
      <c r="K3523" s="9" t="s">
        <v>26</v>
      </c>
      <c r="L3523" s="15" t="s">
        <v>13575</v>
      </c>
    </row>
    <row r="3524" spans="1:12" ht="112.5">
      <c r="A3524" s="8" t="s">
        <v>13576</v>
      </c>
      <c r="B3524" s="9" t="s">
        <v>12</v>
      </c>
      <c r="C3524" s="10" t="s">
        <v>443</v>
      </c>
      <c r="D3524" s="10" t="str">
        <f ca="1">IFERROR(__xludf.DUMMYFUNCTION(" VLOOKUP(A3521, IMPORTRANGE(""https://docs.google.com/spreadsheets/d/1fj_Bhi2XPL3siwIh4sx4VRLAe31yD50oKdj5UlRYW0c/"", ""Сводка!A:AA""), 11, FALSE)"),"978-601-310-692-3")</f>
        <v>978-601-310-692-3</v>
      </c>
      <c r="E3524" s="11" t="s">
        <v>13577</v>
      </c>
      <c r="F3524" s="11" t="s">
        <v>13578</v>
      </c>
      <c r="G3524" s="12">
        <f ca="1">IFERROR(__xludf.DUMMYFUNCTION(" VLOOKUP(A3521, IMPORTRANGE(""https://docs.google.com/spreadsheets/d/1fj_Bhi2XPL3siwIh4sx4VRLAe31yD50oKdj5UlRYW0c/"", ""Сводка!A:AA""), 5, FALSE)"),184)</f>
        <v>184</v>
      </c>
      <c r="H3524" s="12" t="s">
        <v>24</v>
      </c>
      <c r="I3524" s="10">
        <f ca="1">IFERROR(__xludf.DUMMYFUNCTION(" VLOOKUP(A3521, IMPORTRANGE(""https://docs.google.com/spreadsheets/d/1QNLbnkR_AongFt22vMfNzfpjZ0CjpI8QI-w0wBnYA1w/"", ""Инфа!A:AA""), 6, FALSE)"),2024)</f>
        <v>2024</v>
      </c>
      <c r="J3524" s="5">
        <f ca="1">ROUND((5000+G3524*30),-2)</f>
        <v>10500</v>
      </c>
      <c r="K3524" s="12" t="s">
        <v>2421</v>
      </c>
      <c r="L3524" s="15" t="s">
        <v>13579</v>
      </c>
    </row>
    <row r="3525" spans="1:12" ht="191.25">
      <c r="A3525" s="8" t="s">
        <v>13580</v>
      </c>
      <c r="B3525" s="9" t="s">
        <v>12</v>
      </c>
      <c r="C3525" s="10" t="s">
        <v>13581</v>
      </c>
      <c r="D3525" s="10" t="str">
        <f ca="1">IFERROR(__xludf.DUMMYFUNCTION(" VLOOKUP(A3522, IMPORTRANGE(""https://docs.google.com/spreadsheets/d/1fj_Bhi2XPL3siwIh4sx4VRLAe31yD50oKdj5UlRYW0c/"", ""Сводка!A:AA""), 11, FALSE)"),"978-601-342-502-3")</f>
        <v>978-601-342-502-3</v>
      </c>
      <c r="E3525" s="11" t="s">
        <v>13582</v>
      </c>
      <c r="F3525" s="11" t="s">
        <v>13583</v>
      </c>
      <c r="G3525" s="12">
        <f ca="1">IFERROR(__xludf.DUMMYFUNCTION(" VLOOKUP(A3522, IMPORTRANGE(""https://docs.google.com/spreadsheets/d/1fj_Bhi2XPL3siwIh4sx4VRLAe31yD50oKdj5UlRYW0c/"", ""Сводка!A:AA""), 5, FALSE)"),260)</f>
        <v>260</v>
      </c>
      <c r="H3525" s="12" t="s">
        <v>203</v>
      </c>
      <c r="I3525" s="10">
        <f ca="1">IFERROR(__xludf.DUMMYFUNCTION(" VLOOKUP(A3522, IMPORTRANGE(""https://docs.google.com/spreadsheets/d/1QNLbnkR_AongFt22vMfNzfpjZ0CjpI8QI-w0wBnYA1w/"", ""Инфа!A:AA""), 6, FALSE)"),2024)</f>
        <v>2024</v>
      </c>
      <c r="J3525" s="5">
        <f ca="1">ROUND((5000+G3525*30),-2)</f>
        <v>12800</v>
      </c>
      <c r="K3525" s="12" t="s">
        <v>7911</v>
      </c>
      <c r="L3525" s="15" t="s">
        <v>13584</v>
      </c>
    </row>
    <row r="3526" spans="1:12" ht="216.75">
      <c r="A3526" s="8" t="s">
        <v>13585</v>
      </c>
      <c r="B3526" s="9" t="s">
        <v>12</v>
      </c>
      <c r="C3526" s="10" t="s">
        <v>13581</v>
      </c>
      <c r="D3526" s="10" t="str">
        <f ca="1">IFERROR(__xludf.DUMMYFUNCTION(" VLOOKUP(A3523, IMPORTRANGE(""https://docs.google.com/spreadsheets/d/1fj_Bhi2XPL3siwIh4sx4VRLAe31yD50oKdj5UlRYW0c/"", ""Сводка!A:AA""), 11, FALSE)"),"978-601-342-502-3")</f>
        <v>978-601-342-502-3</v>
      </c>
      <c r="E3526" s="11" t="s">
        <v>13582</v>
      </c>
      <c r="F3526" s="11" t="s">
        <v>13586</v>
      </c>
      <c r="G3526" s="12">
        <f ca="1">IFERROR(__xludf.DUMMYFUNCTION(" VLOOKUP(A3523, IMPORTRANGE(""https://docs.google.com/spreadsheets/d/1fj_Bhi2XPL3siwIh4sx4VRLAe31yD50oKdj5UlRYW0c/"", ""Сводка!A:AA""), 5, FALSE)"),272)</f>
        <v>272</v>
      </c>
      <c r="H3526" s="12" t="s">
        <v>203</v>
      </c>
      <c r="I3526" s="10">
        <f ca="1">IFERROR(__xludf.DUMMYFUNCTION(" VLOOKUP(A3523, IMPORTRANGE(""https://docs.google.com/spreadsheets/d/1QNLbnkR_AongFt22vMfNzfpjZ0CjpI8QI-w0wBnYA1w/"", ""Инфа!A:AA""), 6, FALSE)"),2024)</f>
        <v>2024</v>
      </c>
      <c r="J3526" s="5">
        <f ca="1">ROUND((5000+G3526*30),-2)</f>
        <v>13200</v>
      </c>
      <c r="K3526" s="12" t="s">
        <v>7911</v>
      </c>
      <c r="L3526" s="15" t="s">
        <v>13584</v>
      </c>
    </row>
    <row r="3527" spans="1:12" ht="216.75">
      <c r="A3527" s="8" t="s">
        <v>13587</v>
      </c>
      <c r="B3527" s="9" t="s">
        <v>12</v>
      </c>
      <c r="C3527" s="10" t="s">
        <v>13581</v>
      </c>
      <c r="D3527" s="10" t="str">
        <f ca="1">IFERROR(__xludf.DUMMYFUNCTION(" VLOOKUP(A3524, IMPORTRANGE(""https://docs.google.com/spreadsheets/d/1fj_Bhi2XPL3siwIh4sx4VRLAe31yD50oKdj5UlRYW0c/"", ""Сводка!A:AA""), 11, FALSE)"),"978-601-342-502-3")</f>
        <v>978-601-342-502-3</v>
      </c>
      <c r="E3527" s="11" t="s">
        <v>13582</v>
      </c>
      <c r="F3527" s="11" t="s">
        <v>13588</v>
      </c>
      <c r="G3527" s="12">
        <f ca="1">IFERROR(__xludf.DUMMYFUNCTION(" VLOOKUP(A3524, IMPORTRANGE(""https://docs.google.com/spreadsheets/d/1fj_Bhi2XPL3siwIh4sx4VRLAe31yD50oKdj5UlRYW0c/"", ""Сводка!A:AA""), 5, FALSE)"),249)</f>
        <v>249</v>
      </c>
      <c r="H3527" s="12" t="s">
        <v>203</v>
      </c>
      <c r="I3527" s="10">
        <f ca="1">IFERROR(__xludf.DUMMYFUNCTION(" VLOOKUP(A3524, IMPORTRANGE(""https://docs.google.com/spreadsheets/d/1QNLbnkR_AongFt22vMfNzfpjZ0CjpI8QI-w0wBnYA1w/"", ""Инфа!A:AA""), 6, FALSE)"),2024)</f>
        <v>2024</v>
      </c>
      <c r="J3527" s="5">
        <f ca="1">ROUND((5000+G3527*30),-2)</f>
        <v>12500</v>
      </c>
      <c r="K3527" s="12" t="s">
        <v>7911</v>
      </c>
      <c r="L3527" s="15" t="s">
        <v>13584</v>
      </c>
    </row>
    <row r="3528" spans="1:12" ht="78.75">
      <c r="A3528" s="8" t="s">
        <v>13589</v>
      </c>
      <c r="B3528" s="9" t="s">
        <v>12</v>
      </c>
      <c r="C3528" s="10" t="s">
        <v>443</v>
      </c>
      <c r="D3528" s="10" t="str">
        <f ca="1">IFERROR(__xludf.DUMMYFUNCTION(" VLOOKUP(A3525, IMPORTRANGE(""https://docs.google.com/spreadsheets/d/1fj_Bhi2XPL3siwIh4sx4VRLAe31yD50oKdj5UlRYW0c/"", ""Сводка!A:AA""), 11, FALSE)"),"978-601-310-692-3")</f>
        <v>978-601-310-692-3</v>
      </c>
      <c r="E3528" s="11" t="s">
        <v>13590</v>
      </c>
      <c r="F3528" s="11" t="s">
        <v>13591</v>
      </c>
      <c r="G3528" s="12">
        <f ca="1">IFERROR(__xludf.DUMMYFUNCTION(" VLOOKUP(A3525, IMPORTRANGE(""https://docs.google.com/spreadsheets/d/1fj_Bhi2XPL3siwIh4sx4VRLAe31yD50oKdj5UlRYW0c/"", ""Сводка!A:AA""), 5, FALSE)"),184)</f>
        <v>184</v>
      </c>
      <c r="H3528" s="12" t="s">
        <v>538</v>
      </c>
      <c r="I3528" s="10">
        <f ca="1">IFERROR(__xludf.DUMMYFUNCTION(" VLOOKUP(A3525, IMPORTRANGE(""https://docs.google.com/spreadsheets/d/1QNLbnkR_AongFt22vMfNzfpjZ0CjpI8QI-w0wBnYA1w/"", ""Инфа!A:AA""), 6, FALSE)"),2024)</f>
        <v>2024</v>
      </c>
      <c r="J3528" s="5">
        <f ca="1">ROUND((5000+G3528*30),-2)</f>
        <v>10500</v>
      </c>
      <c r="K3528" s="12" t="s">
        <v>2421</v>
      </c>
      <c r="L3528" s="15" t="s">
        <v>13592</v>
      </c>
    </row>
    <row r="3529" spans="1:12" ht="326.25">
      <c r="A3529" s="8" t="s">
        <v>13593</v>
      </c>
      <c r="B3529" s="9" t="s">
        <v>12</v>
      </c>
      <c r="C3529" s="10" t="s">
        <v>151</v>
      </c>
      <c r="D3529" s="10" t="str">
        <f ca="1">IFERROR(__xludf.DUMMYFUNCTION(" VLOOKUP(A3526, IMPORTRANGE(""https://docs.google.com/spreadsheets/d/1fj_Bhi2XPL3siwIh4sx4VRLAe31yD50oKdj5UlRYW0c/"", ""Сводка!A:AA""), 11, FALSE)"),"978-601-327-948-0")</f>
        <v>978-601-327-948-0</v>
      </c>
      <c r="E3529" s="11" t="s">
        <v>13594</v>
      </c>
      <c r="F3529" s="11" t="s">
        <v>13595</v>
      </c>
      <c r="G3529" s="12">
        <f ca="1">IFERROR(__xludf.DUMMYFUNCTION(" VLOOKUP(A3526, IMPORTRANGE(""https://docs.google.com/spreadsheets/d/1fj_Bhi2XPL3siwIh4sx4VRLAe31yD50oKdj5UlRYW0c/"", ""Сводка!A:AA""), 5, FALSE)"),300)</f>
        <v>300</v>
      </c>
      <c r="H3529" s="12" t="s">
        <v>138</v>
      </c>
      <c r="I3529" s="10">
        <f ca="1">IFERROR(__xludf.DUMMYFUNCTION(" VLOOKUP(A3526, IMPORTRANGE(""https://docs.google.com/spreadsheets/d/1QNLbnkR_AongFt22vMfNzfpjZ0CjpI8QI-w0wBnYA1w/"", ""Инфа!A:AA""), 6, FALSE)"),2024)</f>
        <v>2024</v>
      </c>
      <c r="J3529" s="5">
        <f ca="1">ROUND((5000+G3529*60),-2)</f>
        <v>23000</v>
      </c>
      <c r="K3529" s="12" t="s">
        <v>740</v>
      </c>
      <c r="L3529" s="15" t="s">
        <v>13596</v>
      </c>
    </row>
    <row r="3530" spans="1:12" ht="270">
      <c r="A3530" s="8" t="s">
        <v>13597</v>
      </c>
      <c r="B3530" s="9" t="s">
        <v>12</v>
      </c>
      <c r="C3530" s="10" t="s">
        <v>443</v>
      </c>
      <c r="D3530" s="10" t="str">
        <f ca="1">IFERROR(__xludf.DUMMYFUNCTION(" VLOOKUP(A3527, IMPORTRANGE(""https://docs.google.com/spreadsheets/d/1fj_Bhi2XPL3siwIh4sx4VRLAe31yD50oKdj5UlRYW0c/"", ""Сводка!A:AA""), 11, FALSE)"),"978-601-310-528-4")</f>
        <v>978-601-310-528-4</v>
      </c>
      <c r="E3530" s="11" t="s">
        <v>13598</v>
      </c>
      <c r="F3530" s="11" t="s">
        <v>13599</v>
      </c>
      <c r="G3530" s="12">
        <f ca="1">IFERROR(__xludf.DUMMYFUNCTION(" VLOOKUP(A3527, IMPORTRANGE(""https://docs.google.com/spreadsheets/d/1fj_Bhi2XPL3siwIh4sx4VRLAe31yD50oKdj5UlRYW0c/"", ""Сводка!A:AA""), 5, FALSE)"),176)</f>
        <v>176</v>
      </c>
      <c r="H3530" s="12" t="s">
        <v>777</v>
      </c>
      <c r="I3530" s="10">
        <f ca="1">IFERROR(__xludf.DUMMYFUNCTION(" VLOOKUP(A3527, IMPORTRANGE(""https://docs.google.com/spreadsheets/d/1QNLbnkR_AongFt22vMfNzfpjZ0CjpI8QI-w0wBnYA1w/"", ""Инфа!A:AA""), 6, FALSE)"),2024)</f>
        <v>2024</v>
      </c>
      <c r="J3530" s="5">
        <f ca="1">ROUND((5000+G3530*30),-2)</f>
        <v>10300</v>
      </c>
      <c r="K3530" s="12" t="s">
        <v>570</v>
      </c>
      <c r="L3530" s="15" t="s">
        <v>13600</v>
      </c>
    </row>
    <row r="3531" spans="1:12" ht="180">
      <c r="A3531" s="8" t="s">
        <v>13601</v>
      </c>
      <c r="B3531" s="9" t="s">
        <v>12</v>
      </c>
      <c r="C3531" s="10" t="s">
        <v>443</v>
      </c>
      <c r="D3531" s="10" t="str">
        <f ca="1">IFERROR(__xludf.DUMMYFUNCTION(" VLOOKUP(A3528, IMPORTRANGE(""https://docs.google.com/spreadsheets/d/1fj_Bhi2XPL3siwIh4sx4VRLAe31yD50oKdj5UlRYW0c/"", ""Сводка!A:AA""), 11, FALSE)"),"978-605-360-035-5")</f>
        <v>978-605-360-035-5</v>
      </c>
      <c r="E3531" s="11" t="s">
        <v>13602</v>
      </c>
      <c r="F3531" s="11" t="s">
        <v>13603</v>
      </c>
      <c r="G3531" s="12">
        <f ca="1">IFERROR(__xludf.DUMMYFUNCTION(" VLOOKUP(A3528, IMPORTRANGE(""https://docs.google.com/spreadsheets/d/1fj_Bhi2XPL3siwIh4sx4VRLAe31yD50oKdj5UlRYW0c/"", ""Сводка!A:AA""), 5, FALSE)"),192)</f>
        <v>192</v>
      </c>
      <c r="H3531" s="12" t="s">
        <v>538</v>
      </c>
      <c r="I3531" s="10">
        <f ca="1">IFERROR(__xludf.DUMMYFUNCTION(" VLOOKUP(A3528, IMPORTRANGE(""https://docs.google.com/spreadsheets/d/1QNLbnkR_AongFt22vMfNzfpjZ0CjpI8QI-w0wBnYA1w/"", ""Инфа!A:AA""), 6, FALSE)"),2024)</f>
        <v>2024</v>
      </c>
      <c r="J3531" s="5">
        <f ca="1">ROUND((5000+G3531*30),-2)</f>
        <v>10800</v>
      </c>
      <c r="K3531" s="12" t="s">
        <v>213</v>
      </c>
      <c r="L3531" s="15" t="s">
        <v>13604</v>
      </c>
    </row>
    <row r="3532" spans="1:12" ht="281.25">
      <c r="A3532" s="8" t="s">
        <v>13605</v>
      </c>
      <c r="B3532" s="9" t="s">
        <v>12</v>
      </c>
      <c r="C3532" s="10" t="s">
        <v>151</v>
      </c>
      <c r="D3532" s="10" t="str">
        <f ca="1">IFERROR(__xludf.DUMMYFUNCTION(" VLOOKUP(A3529, IMPORTRANGE(""https://docs.google.com/spreadsheets/d/1fj_Bhi2XPL3siwIh4sx4VRLAe31yD50oKdj5UlRYW0c/"", ""Сводка!A:AA""), 11, FALSE)"),"978-601-327-678-6")</f>
        <v>978-601-327-678-6</v>
      </c>
      <c r="E3532" s="11" t="s">
        <v>5336</v>
      </c>
      <c r="F3532" s="11" t="s">
        <v>13606</v>
      </c>
      <c r="G3532" s="12">
        <f ca="1">IFERROR(__xludf.DUMMYFUNCTION(" VLOOKUP(A3529, IMPORTRANGE(""https://docs.google.com/spreadsheets/d/1fj_Bhi2XPL3siwIh4sx4VRLAe31yD50oKdj5UlRYW0c/"", ""Сводка!A:AA""), 5, FALSE)"),272)</f>
        <v>272</v>
      </c>
      <c r="H3532" s="12" t="s">
        <v>47</v>
      </c>
      <c r="I3532" s="10">
        <f ca="1">IFERROR(__xludf.DUMMYFUNCTION(" VLOOKUP(A3529, IMPORTRANGE(""https://docs.google.com/spreadsheets/d/1QNLbnkR_AongFt22vMfNzfpjZ0CjpI8QI-w0wBnYA1w/"", ""Инфа!A:AA""), 6, FALSE)"),2024)</f>
        <v>2024</v>
      </c>
      <c r="J3532" s="5">
        <f ca="1">ROUND((5000+G3532*60),-2)</f>
        <v>21300</v>
      </c>
      <c r="K3532" s="12" t="s">
        <v>4043</v>
      </c>
      <c r="L3532" s="15" t="s">
        <v>13607</v>
      </c>
    </row>
    <row r="3533" spans="1:12" ht="25.5">
      <c r="A3533" s="8" t="s">
        <v>13608</v>
      </c>
      <c r="B3533" s="9" t="s">
        <v>12</v>
      </c>
      <c r="C3533" s="10" t="s">
        <v>151</v>
      </c>
      <c r="D3533" s="10" t="str">
        <f ca="1">IFERROR(__xludf.DUMMYFUNCTION(" VLOOKUP(A3530, IMPORTRANGE(""https://docs.google.com/spreadsheets/d/1fj_Bhi2XPL3siwIh4sx4VRLAe31yD50oKdj5UlRYW0c/"", ""Сводка!A:AA""), 11, FALSE)"),"978-601-327-392-1")</f>
        <v>978-601-327-392-1</v>
      </c>
      <c r="E3533" s="22" t="s">
        <v>4483</v>
      </c>
      <c r="F3533" s="22" t="s">
        <v>2425</v>
      </c>
      <c r="G3533" s="12">
        <f ca="1">IFERROR(__xludf.DUMMYFUNCTION(" VLOOKUP(A3530, IMPORTRANGE(""https://docs.google.com/spreadsheets/d/1fj_Bhi2XPL3siwIh4sx4VRLAe31yD50oKdj5UlRYW0c/"", ""Сводка!A:AA""), 5, FALSE)"),176)</f>
        <v>176</v>
      </c>
      <c r="H3533" s="10" t="s">
        <v>165</v>
      </c>
      <c r="I3533" s="10">
        <f ca="1">IFERROR(__xludf.DUMMYFUNCTION(" VLOOKUP(A3530, IMPORTRANGE(""https://docs.google.com/spreadsheets/d/1QNLbnkR_AongFt22vMfNzfpjZ0CjpI8QI-w0wBnYA1w/"", ""Инфа!A:AA""), 6, FALSE)"),2024)</f>
        <v>2024</v>
      </c>
      <c r="J3533" s="5">
        <f ca="1">ROUND((5000+G3533*60),-2)</f>
        <v>15600</v>
      </c>
      <c r="K3533" s="12" t="s">
        <v>160</v>
      </c>
      <c r="L3533" s="23"/>
    </row>
    <row r="3534" spans="1:12" ht="25.5">
      <c r="A3534" s="8" t="s">
        <v>13609</v>
      </c>
      <c r="B3534" s="9" t="s">
        <v>12</v>
      </c>
      <c r="C3534" s="10" t="s">
        <v>151</v>
      </c>
      <c r="D3534" s="10" t="str">
        <f ca="1">IFERROR(__xludf.DUMMYFUNCTION(" VLOOKUP(A3531, IMPORTRANGE(""https://docs.google.com/spreadsheets/d/1fj_Bhi2XPL3siwIh4sx4VRLAe31yD50oKdj5UlRYW0c/"", ""Сводка!A:AA""), 11, FALSE)"),"978-601-327-393-8")</f>
        <v>978-601-327-393-8</v>
      </c>
      <c r="E3534" s="22" t="s">
        <v>4483</v>
      </c>
      <c r="F3534" s="22" t="s">
        <v>13610</v>
      </c>
      <c r="G3534" s="12">
        <f ca="1">IFERROR(__xludf.DUMMYFUNCTION(" VLOOKUP(A3531, IMPORTRANGE(""https://docs.google.com/spreadsheets/d/1fj_Bhi2XPL3siwIh4sx4VRLAe31yD50oKdj5UlRYW0c/"", ""Сводка!A:AA""), 5, FALSE)"),136)</f>
        <v>136</v>
      </c>
      <c r="H3534" s="10" t="s">
        <v>165</v>
      </c>
      <c r="I3534" s="10">
        <f ca="1">IFERROR(__xludf.DUMMYFUNCTION(" VLOOKUP(A3531, IMPORTRANGE(""https://docs.google.com/spreadsheets/d/1QNLbnkR_AongFt22vMfNzfpjZ0CjpI8QI-w0wBnYA1w/"", ""Инфа!A:AA""), 6, FALSE)"),2024)</f>
        <v>2024</v>
      </c>
      <c r="J3534" s="5">
        <f ca="1">ROUND((5000+G3534*60),-2)</f>
        <v>13200</v>
      </c>
      <c r="K3534" s="12" t="s">
        <v>160</v>
      </c>
      <c r="L3534" s="23"/>
    </row>
    <row r="3535" spans="1:12" ht="67.5">
      <c r="A3535" s="8" t="s">
        <v>13611</v>
      </c>
      <c r="B3535" s="9" t="s">
        <v>12</v>
      </c>
      <c r="C3535" s="10" t="s">
        <v>151</v>
      </c>
      <c r="D3535" s="10" t="str">
        <f ca="1">IFERROR(__xludf.DUMMYFUNCTION(" VLOOKUP(A3532, IMPORTRANGE(""https://docs.google.com/spreadsheets/d/1fj_Bhi2XPL3siwIh4sx4VRLAe31yD50oKdj5UlRYW0c/"", ""Сводка!A:AA""), 11, FALSE)"),"978-601-327-625-0")</f>
        <v>978-601-327-625-0</v>
      </c>
      <c r="E3535" s="22" t="s">
        <v>4483</v>
      </c>
      <c r="F3535" s="22" t="s">
        <v>13612</v>
      </c>
      <c r="G3535" s="12">
        <f ca="1">IFERROR(__xludf.DUMMYFUNCTION(" VLOOKUP(A3532, IMPORTRANGE(""https://docs.google.com/spreadsheets/d/1fj_Bhi2XPL3siwIh4sx4VRLAe31yD50oKdj5UlRYW0c/"", ""Сводка!A:AA""), 5, FALSE)"),128)</f>
        <v>128</v>
      </c>
      <c r="H3535" s="10" t="s">
        <v>12569</v>
      </c>
      <c r="I3535" s="10">
        <f ca="1">IFERROR(__xludf.DUMMYFUNCTION(" VLOOKUP(A3532, IMPORTRANGE(""https://docs.google.com/spreadsheets/d/1QNLbnkR_AongFt22vMfNzfpjZ0CjpI8QI-w0wBnYA1w/"", ""Инфа!A:AA""), 6, FALSE)"),2024)</f>
        <v>2024</v>
      </c>
      <c r="J3535" s="5">
        <f ca="1">ROUND((5000+G3535*60),-2)</f>
        <v>12700</v>
      </c>
      <c r="K3535" s="12" t="s">
        <v>160</v>
      </c>
      <c r="L3535" s="23" t="s">
        <v>13613</v>
      </c>
    </row>
    <row r="3536" spans="1:12" ht="157.5">
      <c r="A3536" s="8" t="s">
        <v>13614</v>
      </c>
      <c r="B3536" s="9" t="s">
        <v>12</v>
      </c>
      <c r="C3536" s="10" t="s">
        <v>151</v>
      </c>
      <c r="D3536" s="10" t="str">
        <f ca="1">IFERROR(__xludf.DUMMYFUNCTION(" VLOOKUP(A3533, IMPORTRANGE(""https://docs.google.com/spreadsheets/d/1fj_Bhi2XPL3siwIh4sx4VRLAe31yD50oKdj5UlRYW0c/"", ""Сводка!A:AA""), 11, FALSE)"),"978-601-327-391-4")</f>
        <v>978-601-327-391-4</v>
      </c>
      <c r="E3536" s="22" t="s">
        <v>4483</v>
      </c>
      <c r="F3536" s="22" t="s">
        <v>13615</v>
      </c>
      <c r="G3536" s="12">
        <f ca="1">IFERROR(__xludf.DUMMYFUNCTION(" VLOOKUP(A3533, IMPORTRANGE(""https://docs.google.com/spreadsheets/d/1fj_Bhi2XPL3siwIh4sx4VRLAe31yD50oKdj5UlRYW0c/"", ""Сводка!A:AA""), 5, FALSE)"),152)</f>
        <v>152</v>
      </c>
      <c r="H3536" s="10" t="s">
        <v>165</v>
      </c>
      <c r="I3536" s="10">
        <f ca="1">IFERROR(__xludf.DUMMYFUNCTION(" VLOOKUP(A3533, IMPORTRANGE(""https://docs.google.com/spreadsheets/d/1QNLbnkR_AongFt22vMfNzfpjZ0CjpI8QI-w0wBnYA1w/"", ""Инфа!A:AA""), 6, FALSE)"),2024)</f>
        <v>2024</v>
      </c>
      <c r="J3536" s="5">
        <f ca="1">ROUND((5000+G3536*30),-2)</f>
        <v>9600</v>
      </c>
      <c r="K3536" s="12" t="s">
        <v>160</v>
      </c>
      <c r="L3536" s="23" t="s">
        <v>13616</v>
      </c>
    </row>
    <row r="3537" spans="1:12" ht="258.75">
      <c r="A3537" s="8" t="s">
        <v>13617</v>
      </c>
      <c r="B3537" s="9" t="s">
        <v>12</v>
      </c>
      <c r="C3537" s="10" t="s">
        <v>151</v>
      </c>
      <c r="D3537" s="10" t="str">
        <f ca="1">IFERROR(__xludf.DUMMYFUNCTION(" VLOOKUP(A3534, IMPORTRANGE(""https://docs.google.com/spreadsheets/d/1fj_Bhi2XPL3siwIh4sx4VRLAe31yD50oKdj5UlRYW0c/"", ""Сводка!A:AA""), 11, FALSE)"),"978-601-342-046-2")</f>
        <v>978-601-342-046-2</v>
      </c>
      <c r="E3537" s="11" t="s">
        <v>4483</v>
      </c>
      <c r="F3537" s="11" t="s">
        <v>13618</v>
      </c>
      <c r="G3537" s="12">
        <f ca="1">IFERROR(__xludf.DUMMYFUNCTION(" VLOOKUP(A3534, IMPORTRANGE(""https://docs.google.com/spreadsheets/d/1fj_Bhi2XPL3siwIh4sx4VRLAe31yD50oKdj5UlRYW0c/"", ""Сводка!A:AA""), 5, FALSE)"),120)</f>
        <v>120</v>
      </c>
      <c r="H3537" s="12" t="s">
        <v>12569</v>
      </c>
      <c r="I3537" s="10">
        <f ca="1">IFERROR(__xludf.DUMMYFUNCTION(" VLOOKUP(A3534, IMPORTRANGE(""https://docs.google.com/spreadsheets/d/1QNLbnkR_AongFt22vMfNzfpjZ0CjpI8QI-w0wBnYA1w/"", ""Инфа!A:AA""), 6, FALSE)"),2024)</f>
        <v>2024</v>
      </c>
      <c r="J3537" s="5">
        <f ca="1">ROUND((5000+G3537*60),-2)</f>
        <v>12200</v>
      </c>
      <c r="K3537" s="12" t="s">
        <v>160</v>
      </c>
      <c r="L3537" s="15" t="s">
        <v>13619</v>
      </c>
    </row>
    <row r="3538" spans="1:12" ht="202.5">
      <c r="A3538" s="8" t="s">
        <v>13620</v>
      </c>
      <c r="B3538" s="9" t="s">
        <v>12</v>
      </c>
      <c r="C3538" s="10" t="s">
        <v>443</v>
      </c>
      <c r="D3538" s="10" t="str">
        <f ca="1">IFERROR(__xludf.DUMMYFUNCTION(" VLOOKUP(A3535, IMPORTRANGE(""https://docs.google.com/spreadsheets/d/1fj_Bhi2XPL3siwIh4sx4VRLAe31yD50oKdj5UlRYW0c/"", ""Сводка!A:AA""), 11, FALSE)"),"978-601-352-379-8")</f>
        <v>978-601-352-379-8</v>
      </c>
      <c r="E3538" s="11" t="s">
        <v>13621</v>
      </c>
      <c r="F3538" s="11" t="s">
        <v>13622</v>
      </c>
      <c r="G3538" s="12" t="e">
        <f>#REF!</f>
        <v>#REF!</v>
      </c>
      <c r="H3538" s="12" t="s">
        <v>446</v>
      </c>
      <c r="I3538" s="10">
        <f ca="1">IFERROR(__xludf.DUMMYFUNCTION(" VLOOKUP(A3535, IMPORTRANGE(""https://docs.google.com/spreadsheets/d/1QNLbnkR_AongFt22vMfNzfpjZ0CjpI8QI-w0wBnYA1w/"", ""Инфа!A:AA""), 6, FALSE)"),2024)</f>
        <v>2024</v>
      </c>
      <c r="J3538" s="5" t="e">
        <f>ROUND((5000+G3538*30),-2)</f>
        <v>#REF!</v>
      </c>
      <c r="K3538" s="12" t="s">
        <v>160</v>
      </c>
      <c r="L3538" s="15" t="s">
        <v>13623</v>
      </c>
    </row>
    <row r="3539" spans="1:12" ht="25.5">
      <c r="A3539" s="8" t="s">
        <v>13624</v>
      </c>
      <c r="B3539" s="9" t="s">
        <v>12</v>
      </c>
      <c r="C3539" s="10" t="s">
        <v>443</v>
      </c>
      <c r="D3539" s="10" t="str">
        <f ca="1">IFERROR(__xludf.DUMMYFUNCTION(" VLOOKUP(A3536, IMPORTRANGE(""https://docs.google.com/spreadsheets/d/1fj_Bhi2XPL3siwIh4sx4VRLAe31yD50oKdj5UlRYW0c/"", ""Сводка!A:AA""), 11, FALSE)"),"978-5-364-00581-6")</f>
        <v>978-5-364-00581-6</v>
      </c>
      <c r="E3539" s="11" t="s">
        <v>13625</v>
      </c>
      <c r="F3539" s="11" t="s">
        <v>13626</v>
      </c>
      <c r="G3539" s="12">
        <f ca="1">IFERROR(__xludf.DUMMYFUNCTION(" VLOOKUP(A3536, IMPORTRANGE(""https://docs.google.com/spreadsheets/d/1fj_Bhi2XPL3siwIh4sx4VRLAe31yD50oKdj5UlRYW0c/"", ""Сводка!A:AA""), 5, FALSE)"),150)</f>
        <v>150</v>
      </c>
      <c r="H3539" s="12" t="s">
        <v>538</v>
      </c>
      <c r="I3539" s="10">
        <f ca="1">IFERROR(__xludf.DUMMYFUNCTION(" VLOOKUP(A3536, IMPORTRANGE(""https://docs.google.com/spreadsheets/d/1QNLbnkR_AongFt22vMfNzfpjZ0CjpI8QI-w0wBnYA1w/"", ""Инфа!A:AA""), 6, FALSE)"),2024)</f>
        <v>2024</v>
      </c>
      <c r="J3539" s="5">
        <f ca="1">ROUND((5000+G3539*30),-2)</f>
        <v>9500</v>
      </c>
      <c r="K3539" s="12" t="s">
        <v>139</v>
      </c>
      <c r="L3539" s="15"/>
    </row>
    <row r="3540" spans="1:12" ht="123.75">
      <c r="A3540" s="8" t="s">
        <v>13627</v>
      </c>
      <c r="B3540" s="9" t="s">
        <v>12</v>
      </c>
      <c r="C3540" s="10" t="s">
        <v>13</v>
      </c>
      <c r="D3540" s="10" t="str">
        <f ca="1">IFERROR(__xludf.DUMMYFUNCTION(" VLOOKUP(A3537, IMPORTRANGE(""https://docs.google.com/spreadsheets/d/1fj_Bhi2XPL3siwIh4sx4VRLAe31yD50oKdj5UlRYW0c/"", ""Сводка!A:AA""), 11, FALSE)"),"978-601-310-734-9")</f>
        <v>978-601-310-734-9</v>
      </c>
      <c r="E3540" s="11" t="s">
        <v>13628</v>
      </c>
      <c r="F3540" s="11" t="s">
        <v>237</v>
      </c>
      <c r="G3540" s="12">
        <f ca="1">IFERROR(__xludf.DUMMYFUNCTION(" VLOOKUP(A3537, IMPORTRANGE(""https://docs.google.com/spreadsheets/d/1fj_Bhi2XPL3siwIh4sx4VRLAe31yD50oKdj5UlRYW0c/"", ""Сводка!A:AA""), 5, FALSE)"),208)</f>
        <v>208</v>
      </c>
      <c r="H3540" s="12" t="s">
        <v>13629</v>
      </c>
      <c r="I3540" s="10">
        <f ca="1">IFERROR(__xludf.DUMMYFUNCTION(" VLOOKUP(A3537, IMPORTRANGE(""https://docs.google.com/spreadsheets/d/1QNLbnkR_AongFt22vMfNzfpjZ0CjpI8QI-w0wBnYA1w/"", ""Инфа!A:AA""), 6, FALSE)"),2024)</f>
        <v>2024</v>
      </c>
      <c r="J3540" s="5">
        <f t="shared" ref="J3540:J3546" ca="1" si="119">ROUND((5000+G3540*60),-2)</f>
        <v>17500</v>
      </c>
      <c r="K3540" s="12" t="s">
        <v>160</v>
      </c>
      <c r="L3540" s="15" t="s">
        <v>13630</v>
      </c>
    </row>
    <row r="3541" spans="1:12" ht="25.5">
      <c r="A3541" s="8" t="s">
        <v>13631</v>
      </c>
      <c r="B3541" s="9" t="s">
        <v>12</v>
      </c>
      <c r="C3541" s="10" t="s">
        <v>443</v>
      </c>
      <c r="D3541" s="10" t="str">
        <f ca="1">IFERROR(__xludf.DUMMYFUNCTION(" VLOOKUP(A3538, IMPORTRANGE(""https://docs.google.com/spreadsheets/d/1fj_Bhi2XPL3siwIh4sx4VRLAe31yD50oKdj5UlRYW0c/"", ""Сводка!A:AA""), 11, FALSE)"),"978-601-310-505-5")</f>
        <v>978-601-310-505-5</v>
      </c>
      <c r="E3541" s="11" t="s">
        <v>13632</v>
      </c>
      <c r="F3541" s="11" t="s">
        <v>13633</v>
      </c>
      <c r="G3541" s="12">
        <f ca="1">IFERROR(__xludf.DUMMYFUNCTION(" VLOOKUP(A3538, IMPORTRANGE(""https://docs.google.com/spreadsheets/d/1fj_Bhi2XPL3siwIh4sx4VRLAe31yD50oKdj5UlRYW0c/"", ""Сводка!A:AA""), 5, FALSE)"),120)</f>
        <v>120</v>
      </c>
      <c r="H3541" s="12" t="s">
        <v>538</v>
      </c>
      <c r="I3541" s="10">
        <f ca="1">IFERROR(__xludf.DUMMYFUNCTION(" VLOOKUP(A3538, IMPORTRANGE(""https://docs.google.com/spreadsheets/d/1QNLbnkR_AongFt22vMfNzfpjZ0CjpI8QI-w0wBnYA1w/"", ""Инфа!A:AA""), 6, FALSE)"),2024)</f>
        <v>2024</v>
      </c>
      <c r="J3541" s="5">
        <f t="shared" ca="1" si="119"/>
        <v>12200</v>
      </c>
      <c r="K3541" s="9" t="s">
        <v>271</v>
      </c>
      <c r="L3541" s="15"/>
    </row>
    <row r="3542" spans="1:12" ht="123.75">
      <c r="A3542" s="8" t="s">
        <v>13634</v>
      </c>
      <c r="B3542" s="9" t="s">
        <v>12</v>
      </c>
      <c r="C3542" s="10" t="s">
        <v>151</v>
      </c>
      <c r="D3542" s="10" t="str">
        <f ca="1">IFERROR(__xludf.DUMMYFUNCTION(" VLOOKUP(A3539, IMPORTRANGE(""https://docs.google.com/spreadsheets/d/1fj_Bhi2XPL3siwIh4sx4VRLAe31yD50oKdj5UlRYW0c/"", ""Сводка!A:AA""), 11, FALSE)"),"978-601-248-829-6")</f>
        <v>978-601-248-829-6</v>
      </c>
      <c r="E3542" s="11" t="s">
        <v>13635</v>
      </c>
      <c r="F3542" s="11" t="s">
        <v>13636</v>
      </c>
      <c r="G3542" s="12">
        <f ca="1">IFERROR(__xludf.DUMMYFUNCTION(" VLOOKUP(A3539, IMPORTRANGE(""https://docs.google.com/spreadsheets/d/1fj_Bhi2XPL3siwIh4sx4VRLAe31yD50oKdj5UlRYW0c/"", ""Сводка!A:AA""), 5, FALSE)"),208)</f>
        <v>208</v>
      </c>
      <c r="H3542" s="12" t="s">
        <v>24</v>
      </c>
      <c r="I3542" s="10">
        <f ca="1">IFERROR(__xludf.DUMMYFUNCTION(" VLOOKUP(A3539, IMPORTRANGE(""https://docs.google.com/spreadsheets/d/1QNLbnkR_AongFt22vMfNzfpjZ0CjpI8QI-w0wBnYA1w/"", ""Инфа!A:AA""), 6, FALSE)"),2024)</f>
        <v>2024</v>
      </c>
      <c r="J3542" s="5">
        <f t="shared" ca="1" si="119"/>
        <v>17500</v>
      </c>
      <c r="K3542" s="12" t="s">
        <v>248</v>
      </c>
      <c r="L3542" s="15" t="s">
        <v>13637</v>
      </c>
    </row>
    <row r="3543" spans="1:12" ht="146.25">
      <c r="A3543" s="8" t="s">
        <v>13638</v>
      </c>
      <c r="B3543" s="9" t="s">
        <v>12</v>
      </c>
      <c r="C3543" s="10" t="s">
        <v>151</v>
      </c>
      <c r="D3543" s="10" t="str">
        <f ca="1">IFERROR(__xludf.DUMMYFUNCTION(" VLOOKUP(A3540, IMPORTRANGE(""https://docs.google.com/spreadsheets/d/1fj_Bhi2XPL3siwIh4sx4VRLAe31yD50oKdj5UlRYW0c/"", ""Сводка!A:AA""), 11, FALSE)"),"978-601-327-246-7")</f>
        <v>978-601-327-246-7</v>
      </c>
      <c r="E3543" s="11" t="s">
        <v>13639</v>
      </c>
      <c r="F3543" s="11" t="s">
        <v>13640</v>
      </c>
      <c r="G3543" s="12">
        <f ca="1">IFERROR(__xludf.DUMMYFUNCTION(" VLOOKUP(A3540, IMPORTRANGE(""https://docs.google.com/spreadsheets/d/1fj_Bhi2XPL3siwIh4sx4VRLAe31yD50oKdj5UlRYW0c/"", ""Сводка!A:AA""), 5, FALSE)"),184)</f>
        <v>184</v>
      </c>
      <c r="H3543" s="12" t="s">
        <v>165</v>
      </c>
      <c r="I3543" s="10">
        <f ca="1">IFERROR(__xludf.DUMMYFUNCTION(" VLOOKUP(A3540, IMPORTRANGE(""https://docs.google.com/spreadsheets/d/1QNLbnkR_AongFt22vMfNzfpjZ0CjpI8QI-w0wBnYA1w/"", ""Инфа!A:AA""), 6, FALSE)"),2024)</f>
        <v>2024</v>
      </c>
      <c r="J3543" s="5">
        <f t="shared" ca="1" si="119"/>
        <v>16000</v>
      </c>
      <c r="K3543" s="12" t="s">
        <v>13641</v>
      </c>
      <c r="L3543" s="15" t="s">
        <v>13642</v>
      </c>
    </row>
    <row r="3544" spans="1:12" ht="135">
      <c r="A3544" s="8" t="s">
        <v>13643</v>
      </c>
      <c r="B3544" s="9" t="s">
        <v>12</v>
      </c>
      <c r="C3544" s="10" t="s">
        <v>443</v>
      </c>
      <c r="D3544" s="10" t="str">
        <f ca="1">IFERROR(__xludf.DUMMYFUNCTION(" VLOOKUP(A3541, IMPORTRANGE(""https://docs.google.com/spreadsheets/d/1fj_Bhi2XPL3siwIh4sx4VRLAe31yD50oKdj5UlRYW0c/"", ""Сводка!A:AA""), 11, FALSE)"),"978-601-342-310-4")</f>
        <v>978-601-342-310-4</v>
      </c>
      <c r="E3544" s="11" t="s">
        <v>13644</v>
      </c>
      <c r="F3544" s="11" t="s">
        <v>13645</v>
      </c>
      <c r="G3544" s="12">
        <f ca="1">IFERROR(__xludf.DUMMYFUNCTION(" VLOOKUP(A3541, IMPORTRANGE(""https://docs.google.com/spreadsheets/d/1fj_Bhi2XPL3siwIh4sx4VRLAe31yD50oKdj5UlRYW0c/"", ""Сводка!A:AA""), 5, FALSE)"),180)</f>
        <v>180</v>
      </c>
      <c r="H3544" s="12" t="s">
        <v>4928</v>
      </c>
      <c r="I3544" s="10">
        <f ca="1">IFERROR(__xludf.DUMMYFUNCTION(" VLOOKUP(A3541, IMPORTRANGE(""https://docs.google.com/spreadsheets/d/1QNLbnkR_AongFt22vMfNzfpjZ0CjpI8QI-w0wBnYA1w/"", ""Инфа!A:AA""), 6, FALSE)"),2024)</f>
        <v>2024</v>
      </c>
      <c r="J3544" s="5">
        <f t="shared" ca="1" si="119"/>
        <v>15800</v>
      </c>
      <c r="K3544" s="12" t="s">
        <v>2217</v>
      </c>
      <c r="L3544" s="15" t="s">
        <v>13646</v>
      </c>
    </row>
    <row r="3545" spans="1:12" ht="213.75">
      <c r="A3545" s="8" t="s">
        <v>13647</v>
      </c>
      <c r="B3545" s="9" t="s">
        <v>12</v>
      </c>
      <c r="C3545" s="10" t="s">
        <v>443</v>
      </c>
      <c r="D3545" s="10" t="str">
        <f ca="1">IFERROR(__xludf.DUMMYFUNCTION(" VLOOKUP(A3542, IMPORTRANGE(""https://docs.google.com/spreadsheets/d/1fj_Bhi2XPL3siwIh4sx4VRLAe31yD50oKdj5UlRYW0c/"", ""Сводка!A:AA""), 11, FALSE)"),"9965-870-97-7")</f>
        <v>9965-870-97-7</v>
      </c>
      <c r="E3545" s="11" t="s">
        <v>13644</v>
      </c>
      <c r="F3545" s="11" t="s">
        <v>13648</v>
      </c>
      <c r="G3545" s="12">
        <f ca="1">IFERROR(__xludf.DUMMYFUNCTION(" VLOOKUP(A3542, IMPORTRANGE(""https://docs.google.com/spreadsheets/d/1fj_Bhi2XPL3siwIh4sx4VRLAe31yD50oKdj5UlRYW0c/"", ""Сводка!A:AA""), 5, FALSE)"),213)</f>
        <v>213</v>
      </c>
      <c r="H3545" s="12" t="s">
        <v>538</v>
      </c>
      <c r="I3545" s="10">
        <f ca="1">IFERROR(__xludf.DUMMYFUNCTION(" VLOOKUP(A3542, IMPORTRANGE(""https://docs.google.com/spreadsheets/d/1QNLbnkR_AongFt22vMfNzfpjZ0CjpI8QI-w0wBnYA1w/"", ""Инфа!A:AA""), 6, FALSE)"),2024)</f>
        <v>2024</v>
      </c>
      <c r="J3545" s="5">
        <f t="shared" ca="1" si="119"/>
        <v>17800</v>
      </c>
      <c r="K3545" s="12" t="s">
        <v>2217</v>
      </c>
      <c r="L3545" s="15" t="s">
        <v>13649</v>
      </c>
    </row>
    <row r="3546" spans="1:12" ht="90">
      <c r="A3546" s="8" t="s">
        <v>13650</v>
      </c>
      <c r="B3546" s="9" t="s">
        <v>12</v>
      </c>
      <c r="C3546" s="10" t="s">
        <v>443</v>
      </c>
      <c r="D3546" s="10" t="s">
        <v>13651</v>
      </c>
      <c r="E3546" s="11" t="s">
        <v>13644</v>
      </c>
      <c r="F3546" s="11" t="s">
        <v>13652</v>
      </c>
      <c r="G3546" s="12">
        <f ca="1">IFERROR(__xludf.DUMMYFUNCTION(" VLOOKUP(A3543, IMPORTRANGE(""https://docs.google.com/spreadsheets/d/1fj_Bhi2XPL3siwIh4sx4VRLAe31yD50oKdj5UlRYW0c/"", ""Сводка!A:AA""), 5, FALSE)"),236)</f>
        <v>236</v>
      </c>
      <c r="H3546" s="12" t="s">
        <v>671</v>
      </c>
      <c r="I3546" s="10">
        <f ca="1">IFERROR(__xludf.DUMMYFUNCTION(" VLOOKUP(A3543, IMPORTRANGE(""https://docs.google.com/spreadsheets/d/1QNLbnkR_AongFt22vMfNzfpjZ0CjpI8QI-w0wBnYA1w/"", ""Инфа!A:AA""), 6, FALSE)"),2023)</f>
        <v>2023</v>
      </c>
      <c r="J3546" s="5">
        <f t="shared" ca="1" si="119"/>
        <v>19200</v>
      </c>
      <c r="K3546" s="12" t="s">
        <v>2217</v>
      </c>
      <c r="L3546" s="15" t="s">
        <v>13653</v>
      </c>
    </row>
    <row r="3547" spans="1:12" ht="63.75">
      <c r="A3547" s="8" t="s">
        <v>13654</v>
      </c>
      <c r="B3547" s="9" t="s">
        <v>12</v>
      </c>
      <c r="C3547" s="13" t="s">
        <v>13</v>
      </c>
      <c r="D3547" s="10" t="str">
        <f ca="1">IFERROR(__xludf.DUMMYFUNCTION(" VLOOKUP(A3544, IMPORTRANGE(""https://docs.google.com/spreadsheets/d/1fj_Bhi2XPL3siwIh4sx4VRLAe31yD50oKdj5UlRYW0c/"", ""Сводка!A:AA""), 11, FALSE)"),"978-601-240-617-7")</f>
        <v>978-601-240-617-7</v>
      </c>
      <c r="E3547" s="19" t="s">
        <v>13655</v>
      </c>
      <c r="F3547" s="19" t="s">
        <v>13656</v>
      </c>
      <c r="G3547" s="12">
        <f ca="1">IFERROR(__xludf.DUMMYFUNCTION(" VLOOKUP(A3544, IMPORTRANGE(""https://docs.google.com/spreadsheets/d/1fj_Bhi2XPL3siwIh4sx4VRLAe31yD50oKdj5UlRYW0c/"", ""Сводка!A:AA""), 5, FALSE)"),144)</f>
        <v>144</v>
      </c>
      <c r="H3547" s="12" t="s">
        <v>47</v>
      </c>
      <c r="I3547" s="10">
        <f ca="1">IFERROR(__xludf.DUMMYFUNCTION(" VLOOKUP(A3544, IMPORTRANGE(""https://docs.google.com/spreadsheets/d/1QNLbnkR_AongFt22vMfNzfpjZ0CjpI8QI-w0wBnYA1w/"", ""Инфа!A:AA""), 6, FALSE)"),2024)</f>
        <v>2024</v>
      </c>
      <c r="J3547" s="5">
        <f ca="1">ROUND((5000+G3547*30),-2)</f>
        <v>9300</v>
      </c>
      <c r="K3547" s="9" t="s">
        <v>4314</v>
      </c>
      <c r="L3547" s="21"/>
    </row>
    <row r="3548" spans="1:12" ht="303.75">
      <c r="A3548" s="8" t="s">
        <v>13657</v>
      </c>
      <c r="B3548" s="9" t="s">
        <v>12</v>
      </c>
      <c r="C3548" s="13" t="s">
        <v>13</v>
      </c>
      <c r="D3548" s="10" t="str">
        <f ca="1">IFERROR(__xludf.DUMMYFUNCTION(" VLOOKUP(A3545, IMPORTRANGE(""https://docs.google.com/spreadsheets/d/1fj_Bhi2XPL3siwIh4sx4VRLAe31yD50oKdj5UlRYW0c/"", ""Сводка!A:AA""), 11, FALSE)"),"9965-580-75-8")</f>
        <v>9965-580-75-8</v>
      </c>
      <c r="E3548" s="19" t="s">
        <v>13655</v>
      </c>
      <c r="F3548" s="19" t="s">
        <v>13658</v>
      </c>
      <c r="G3548" s="12">
        <f ca="1">IFERROR(__xludf.DUMMYFUNCTION(" VLOOKUP(A3545, IMPORTRANGE(""https://docs.google.com/spreadsheets/d/1fj_Bhi2XPL3siwIh4sx4VRLAe31yD50oKdj5UlRYW0c/"", ""Сводка!A:AA""), 5, FALSE)"),104)</f>
        <v>104</v>
      </c>
      <c r="H3548" s="12" t="s">
        <v>47</v>
      </c>
      <c r="I3548" s="10">
        <f ca="1">IFERROR(__xludf.DUMMYFUNCTION(" VLOOKUP(A3545, IMPORTRANGE(""https://docs.google.com/spreadsheets/d/1QNLbnkR_AongFt22vMfNzfpjZ0CjpI8QI-w0wBnYA1w/"", ""Инфа!A:AA""), 6, FALSE)"),2024)</f>
        <v>2024</v>
      </c>
      <c r="J3548" s="5">
        <f ca="1">ROUND((5000+G3548*30),-2)</f>
        <v>8100</v>
      </c>
      <c r="K3548" s="12" t="s">
        <v>277</v>
      </c>
      <c r="L3548" s="21" t="s">
        <v>13659</v>
      </c>
    </row>
    <row r="3549" spans="1:12" ht="102">
      <c r="A3549" s="8" t="s">
        <v>13660</v>
      </c>
      <c r="B3549" s="9" t="s">
        <v>12</v>
      </c>
      <c r="C3549" s="10" t="s">
        <v>151</v>
      </c>
      <c r="D3549" s="10" t="str">
        <f ca="1">IFERROR(__xludf.DUMMYFUNCTION(" VLOOKUP(A3546, IMPORTRANGE(""https://docs.google.com/spreadsheets/d/1fj_Bhi2XPL3siwIh4sx4VRLAe31yD50oKdj5UlRYW0c/"", ""Сводка!A:AA""), 11, FALSE)"),"978-601-310-599-4")</f>
        <v>978-601-310-599-4</v>
      </c>
      <c r="E3549" s="11" t="s">
        <v>13661</v>
      </c>
      <c r="F3549" s="11" t="s">
        <v>13662</v>
      </c>
      <c r="G3549" s="12">
        <f ca="1">IFERROR(__xludf.DUMMYFUNCTION(" VLOOKUP(A3546, IMPORTRANGE(""https://docs.google.com/spreadsheets/d/1fj_Bhi2XPL3siwIh4sx4VRLAe31yD50oKdj5UlRYW0c/"", ""Сводка!A:AA""), 5, FALSE)"),156)</f>
        <v>156</v>
      </c>
      <c r="H3549" s="12" t="s">
        <v>282</v>
      </c>
      <c r="I3549" s="10">
        <f ca="1">IFERROR(__xludf.DUMMYFUNCTION(" VLOOKUP(A3546, IMPORTRANGE(""https://docs.google.com/spreadsheets/d/1QNLbnkR_AongFt22vMfNzfpjZ0CjpI8QI-w0wBnYA1w/"", ""Инфа!A:AA""), 6, FALSE)"),2024)</f>
        <v>2024</v>
      </c>
      <c r="J3549" s="5">
        <f ca="1">ROUND((5000+G3549*60),-2)</f>
        <v>14400</v>
      </c>
      <c r="K3549" s="12" t="s">
        <v>7402</v>
      </c>
      <c r="L3549" s="15"/>
    </row>
    <row r="3550" spans="1:12" ht="51">
      <c r="A3550" s="8" t="s">
        <v>13663</v>
      </c>
      <c r="B3550" s="9" t="s">
        <v>12</v>
      </c>
      <c r="C3550" s="10" t="s">
        <v>443</v>
      </c>
      <c r="D3550" s="10" t="str">
        <f ca="1">IFERROR(__xludf.DUMMYFUNCTION(" VLOOKUP(A3547, IMPORTRANGE(""https://docs.google.com/spreadsheets/d/1fj_Bhi2XPL3siwIh4sx4VRLAe31yD50oKdj5UlRYW0c/"", ""Сводка!A:AA""), 11, FALSE)"),"9965- 580- 75- 8")</f>
        <v>9965- 580- 75- 8</v>
      </c>
      <c r="E3550" s="11" t="s">
        <v>13661</v>
      </c>
      <c r="F3550" s="11" t="s">
        <v>13664</v>
      </c>
      <c r="G3550" s="12">
        <f ca="1">IFERROR(__xludf.DUMMYFUNCTION(" VLOOKUP(A3547, IMPORTRANGE(""https://docs.google.com/spreadsheets/d/1fj_Bhi2XPL3siwIh4sx4VRLAe31yD50oKdj5UlRYW0c/"", ""Сводка!A:AA""), 5, FALSE)"),160)</f>
        <v>160</v>
      </c>
      <c r="H3550" s="12" t="s">
        <v>538</v>
      </c>
      <c r="I3550" s="10">
        <f ca="1">IFERROR(__xludf.DUMMYFUNCTION(" VLOOKUP(A3547, IMPORTRANGE(""https://docs.google.com/spreadsheets/d/1QNLbnkR_AongFt22vMfNzfpjZ0CjpI8QI-w0wBnYA1w/"", ""Инфа!A:AA""), 6, FALSE)"),2024)</f>
        <v>2024</v>
      </c>
      <c r="J3550" s="5">
        <f t="shared" ref="J3550:J3561" ca="1" si="120">ROUND((5000+G3550*30),-2)</f>
        <v>9800</v>
      </c>
      <c r="K3550" s="12" t="s">
        <v>257</v>
      </c>
      <c r="L3550" s="15"/>
    </row>
    <row r="3551" spans="1:12" ht="51">
      <c r="A3551" s="8" t="s">
        <v>13665</v>
      </c>
      <c r="B3551" s="9" t="s">
        <v>12</v>
      </c>
      <c r="C3551" s="10" t="s">
        <v>443</v>
      </c>
      <c r="D3551" s="10" t="str">
        <f ca="1">IFERROR(__xludf.DUMMYFUNCTION(" VLOOKUP(A3548, IMPORTRANGE(""https://docs.google.com/spreadsheets/d/1fj_Bhi2XPL3siwIh4sx4VRLAe31yD50oKdj5UlRYW0c/"", ""Сводка!A:AA""), 11, FALSE)"),"9965- 580- 75- 8")</f>
        <v>9965- 580- 75- 8</v>
      </c>
      <c r="E3551" s="11" t="s">
        <v>13661</v>
      </c>
      <c r="F3551" s="11" t="s">
        <v>13666</v>
      </c>
      <c r="G3551" s="12">
        <f ca="1">IFERROR(__xludf.DUMMYFUNCTION(" VLOOKUP(A3548, IMPORTRANGE(""https://docs.google.com/spreadsheets/d/1fj_Bhi2XPL3siwIh4sx4VRLAe31yD50oKdj5UlRYW0c/"", ""Сводка!A:AA""), 5, FALSE)"),160)</f>
        <v>160</v>
      </c>
      <c r="H3551" s="12" t="s">
        <v>538</v>
      </c>
      <c r="I3551" s="10">
        <f ca="1">IFERROR(__xludf.DUMMYFUNCTION(" VLOOKUP(A3548, IMPORTRANGE(""https://docs.google.com/spreadsheets/d/1QNLbnkR_AongFt22vMfNzfpjZ0CjpI8QI-w0wBnYA1w/"", ""Инфа!A:AA""), 6, FALSE)"),2024)</f>
        <v>2024</v>
      </c>
      <c r="J3551" s="5">
        <f t="shared" ca="1" si="120"/>
        <v>9800</v>
      </c>
      <c r="K3551" s="12" t="s">
        <v>257</v>
      </c>
      <c r="L3551" s="15"/>
    </row>
    <row r="3552" spans="1:12" ht="135">
      <c r="A3552" s="8" t="s">
        <v>13667</v>
      </c>
      <c r="B3552" s="9" t="s">
        <v>12</v>
      </c>
      <c r="C3552" s="10" t="s">
        <v>13</v>
      </c>
      <c r="D3552" s="10" t="str">
        <f ca="1">IFERROR(__xludf.DUMMYFUNCTION(" VLOOKUP(A3549, IMPORTRANGE(""https://docs.google.com/spreadsheets/d/1fj_Bhi2XPL3siwIh4sx4VRLAe31yD50oKdj5UlRYW0c/"", ""Сводка!A:AA""), 11, FALSE)"),"9965- 580- 75- 8")</f>
        <v>9965- 580- 75- 8</v>
      </c>
      <c r="E3552" s="11" t="s">
        <v>13661</v>
      </c>
      <c r="F3552" s="11" t="s">
        <v>13668</v>
      </c>
      <c r="G3552" s="12">
        <f ca="1">IFERROR(__xludf.DUMMYFUNCTION(" VLOOKUP(A3549, IMPORTRANGE(""https://docs.google.com/spreadsheets/d/1fj_Bhi2XPL3siwIh4sx4VRLAe31yD50oKdj5UlRYW0c/"", ""Сводка!A:AA""), 5, FALSE)"),221)</f>
        <v>221</v>
      </c>
      <c r="H3552" s="12" t="s">
        <v>538</v>
      </c>
      <c r="I3552" s="10">
        <f ca="1">IFERROR(__xludf.DUMMYFUNCTION(" VLOOKUP(A3549, IMPORTRANGE(""https://docs.google.com/spreadsheets/d/1QNLbnkR_AongFt22vMfNzfpjZ0CjpI8QI-w0wBnYA1w/"", ""Инфа!A:AA""), 6, FALSE)"),2024)</f>
        <v>2024</v>
      </c>
      <c r="J3552" s="5">
        <f t="shared" ca="1" si="120"/>
        <v>11600</v>
      </c>
      <c r="K3552" s="12" t="s">
        <v>248</v>
      </c>
      <c r="L3552" s="15" t="s">
        <v>13669</v>
      </c>
    </row>
    <row r="3553" spans="1:12" ht="38.25">
      <c r="A3553" s="8" t="s">
        <v>13670</v>
      </c>
      <c r="B3553" s="9" t="s">
        <v>12</v>
      </c>
      <c r="C3553" s="10" t="s">
        <v>151</v>
      </c>
      <c r="D3553" s="10" t="str">
        <f ca="1">IFERROR(__xludf.DUMMYFUNCTION(" VLOOKUP(A3550, IMPORTRANGE(""https://docs.google.com/spreadsheets/d/1fj_Bhi2XPL3siwIh4sx4VRLAe31yD50oKdj5UlRYW0c/"", ""Сводка!A:AA""), 11, FALSE)"),"9965- 580- 75- 8")</f>
        <v>9965- 580- 75- 8</v>
      </c>
      <c r="E3553" s="11" t="s">
        <v>13661</v>
      </c>
      <c r="F3553" s="11" t="s">
        <v>13671</v>
      </c>
      <c r="G3553" s="12">
        <f ca="1">IFERROR(__xludf.DUMMYFUNCTION(" VLOOKUP(A3550, IMPORTRANGE(""https://docs.google.com/spreadsheets/d/1fj_Bhi2XPL3siwIh4sx4VRLAe31yD50oKdj5UlRYW0c/"", ""Сводка!A:AA""), 5, FALSE)"),248)</f>
        <v>248</v>
      </c>
      <c r="H3553" s="12" t="s">
        <v>47</v>
      </c>
      <c r="I3553" s="10">
        <f ca="1">IFERROR(__xludf.DUMMYFUNCTION(" VLOOKUP(A3550, IMPORTRANGE(""https://docs.google.com/spreadsheets/d/1QNLbnkR_AongFt22vMfNzfpjZ0CjpI8QI-w0wBnYA1w/"", ""Инфа!A:AA""), 6, FALSE)"),2024)</f>
        <v>2024</v>
      </c>
      <c r="J3553" s="5">
        <f t="shared" ca="1" si="120"/>
        <v>12400</v>
      </c>
      <c r="K3553" s="12" t="s">
        <v>248</v>
      </c>
      <c r="L3553" s="15"/>
    </row>
    <row r="3554" spans="1:12" ht="213.75">
      <c r="A3554" s="8" t="s">
        <v>13672</v>
      </c>
      <c r="B3554" s="9" t="s">
        <v>12</v>
      </c>
      <c r="C3554" s="10" t="s">
        <v>151</v>
      </c>
      <c r="D3554" s="10" t="str">
        <f ca="1">IFERROR(__xludf.DUMMYFUNCTION(" VLOOKUP(A3551, IMPORTRANGE(""https://docs.google.com/spreadsheets/d/1fj_Bhi2XPL3siwIh4sx4VRLAe31yD50oKdj5UlRYW0c/"", ""Сводка!A:AA""), 11, FALSE)"),"978-601-7528-92-8")</f>
        <v>978-601-7528-92-8</v>
      </c>
      <c r="E3554" s="11" t="s">
        <v>13673</v>
      </c>
      <c r="F3554" s="11" t="s">
        <v>13674</v>
      </c>
      <c r="G3554" s="12">
        <f ca="1">IFERROR(__xludf.DUMMYFUNCTION(" VLOOKUP(A3551, IMPORTRANGE(""https://docs.google.com/spreadsheets/d/1fj_Bhi2XPL3siwIh4sx4VRLAe31yD50oKdj5UlRYW0c/"", ""Сводка!A:AA""), 5, FALSE)"),144)</f>
        <v>144</v>
      </c>
      <c r="H3554" s="12" t="s">
        <v>24</v>
      </c>
      <c r="I3554" s="10">
        <f ca="1">IFERROR(__xludf.DUMMYFUNCTION(" VLOOKUP(A3551, IMPORTRANGE(""https://docs.google.com/spreadsheets/d/1QNLbnkR_AongFt22vMfNzfpjZ0CjpI8QI-w0wBnYA1w/"", ""Инфа!A:AA""), 6, FALSE)"),2024)</f>
        <v>2024</v>
      </c>
      <c r="J3554" s="5">
        <f t="shared" ca="1" si="120"/>
        <v>9300</v>
      </c>
      <c r="K3554" s="12" t="s">
        <v>13675</v>
      </c>
      <c r="L3554" s="15" t="s">
        <v>13676</v>
      </c>
    </row>
    <row r="3555" spans="1:12" ht="112.5">
      <c r="A3555" s="8" t="s">
        <v>13677</v>
      </c>
      <c r="B3555" s="9" t="s">
        <v>12</v>
      </c>
      <c r="C3555" s="10" t="s">
        <v>151</v>
      </c>
      <c r="D3555" s="10" t="s">
        <v>13678</v>
      </c>
      <c r="E3555" s="11" t="s">
        <v>13679</v>
      </c>
      <c r="F3555" s="11" t="s">
        <v>13680</v>
      </c>
      <c r="G3555" s="12">
        <f ca="1">IFERROR(__xludf.DUMMYFUNCTION(" VLOOKUP(A3552, IMPORTRANGE(""https://docs.google.com/spreadsheets/d/1fj_Bhi2XPL3siwIh4sx4VRLAe31yD50oKdj5UlRYW0c/"", ""Сводка!A:AA""), 5, FALSE)"),200)</f>
        <v>200</v>
      </c>
      <c r="H3555" s="12" t="s">
        <v>165</v>
      </c>
      <c r="I3555" s="10">
        <f ca="1">IFERROR(__xludf.DUMMYFUNCTION(" VLOOKUP(A3552, IMPORTRANGE(""https://docs.google.com/spreadsheets/d/1QNLbnkR_AongFt22vMfNzfpjZ0CjpI8QI-w0wBnYA1w/"", ""Инфа!A:AA""), 6, FALSE)"),2024)</f>
        <v>2024</v>
      </c>
      <c r="J3555" s="5">
        <f t="shared" ca="1" si="120"/>
        <v>11000</v>
      </c>
      <c r="K3555" s="12" t="s">
        <v>160</v>
      </c>
      <c r="L3555" s="15" t="s">
        <v>13681</v>
      </c>
    </row>
    <row r="3556" spans="1:12" ht="38.25">
      <c r="A3556" s="8" t="s">
        <v>13682</v>
      </c>
      <c r="B3556" s="9" t="s">
        <v>12</v>
      </c>
      <c r="C3556" s="10" t="s">
        <v>151</v>
      </c>
      <c r="D3556" s="10" t="str">
        <f ca="1">IFERROR(__xludf.DUMMYFUNCTION(" VLOOKUP(A3553, IMPORTRANGE(""https://docs.google.com/spreadsheets/d/1fj_Bhi2XPL3siwIh4sx4VRLAe31yD50oKdj5UlRYW0c/"", ""Сводка!A:AA""), 11, FALSE)"),"980-604-242-070-56")</f>
        <v>980-604-242-070-56</v>
      </c>
      <c r="E3556" s="11" t="s">
        <v>13683</v>
      </c>
      <c r="F3556" s="11" t="s">
        <v>13684</v>
      </c>
      <c r="G3556" s="12">
        <f ca="1">IFERROR(__xludf.DUMMYFUNCTION(" VLOOKUP(A3553, IMPORTRANGE(""https://docs.google.com/spreadsheets/d/1fj_Bhi2XPL3siwIh4sx4VRLAe31yD50oKdj5UlRYW0c/"", ""Сводка!A:AA""), 5, FALSE)"),224)</f>
        <v>224</v>
      </c>
      <c r="H3556" s="12" t="s">
        <v>47</v>
      </c>
      <c r="I3556" s="10">
        <f ca="1">IFERROR(__xludf.DUMMYFUNCTION(" VLOOKUP(A3553, IMPORTRANGE(""https://docs.google.com/spreadsheets/d/1QNLbnkR_AongFt22vMfNzfpjZ0CjpI8QI-w0wBnYA1w/"", ""Инфа!A:AA""), 6, FALSE)"),2024)</f>
        <v>2024</v>
      </c>
      <c r="J3556" s="5">
        <f t="shared" ca="1" si="120"/>
        <v>11700</v>
      </c>
      <c r="K3556" s="12" t="s">
        <v>1219</v>
      </c>
      <c r="L3556" s="15"/>
    </row>
    <row r="3557" spans="1:12" ht="25.5">
      <c r="A3557" s="8" t="s">
        <v>13685</v>
      </c>
      <c r="B3557" s="9" t="s">
        <v>12</v>
      </c>
      <c r="C3557" s="10" t="s">
        <v>443</v>
      </c>
      <c r="D3557" s="10" t="str">
        <f ca="1">IFERROR(__xludf.DUMMYFUNCTION(" VLOOKUP(A3554, IMPORTRANGE(""https://docs.google.com/spreadsheets/d/1fj_Bhi2XPL3siwIh4sx4VRLAe31yD50oKdj5UlRYW0c/"", ""Сводка!A:AA""), 11, FALSE)"),"978-601-310-275-3")</f>
        <v>978-601-310-275-3</v>
      </c>
      <c r="E3557" s="11" t="s">
        <v>13683</v>
      </c>
      <c r="F3557" s="11" t="s">
        <v>13686</v>
      </c>
      <c r="G3557" s="12">
        <f ca="1">IFERROR(__xludf.DUMMYFUNCTION(" VLOOKUP(A3554, IMPORTRANGE(""https://docs.google.com/spreadsheets/d/1fj_Bhi2XPL3siwIh4sx4VRLAe31yD50oKdj5UlRYW0c/"", ""Сводка!A:AA""), 5, FALSE)"),152)</f>
        <v>152</v>
      </c>
      <c r="H3557" s="12" t="s">
        <v>538</v>
      </c>
      <c r="I3557" s="10">
        <f ca="1">IFERROR(__xludf.DUMMYFUNCTION(" VLOOKUP(A3554, IMPORTRANGE(""https://docs.google.com/spreadsheets/d/1QNLbnkR_AongFt22vMfNzfpjZ0CjpI8QI-w0wBnYA1w/"", ""Инфа!A:AA""), 6, FALSE)"),2024)</f>
        <v>2024</v>
      </c>
      <c r="J3557" s="5">
        <f t="shared" ca="1" si="120"/>
        <v>9600</v>
      </c>
      <c r="K3557" s="9" t="s">
        <v>1219</v>
      </c>
      <c r="L3557" s="15"/>
    </row>
    <row r="3558" spans="1:12" ht="204">
      <c r="A3558" s="8" t="s">
        <v>13687</v>
      </c>
      <c r="B3558" s="9" t="s">
        <v>12</v>
      </c>
      <c r="C3558" s="10" t="s">
        <v>151</v>
      </c>
      <c r="D3558" s="10" t="str">
        <f ca="1">IFERROR(__xludf.DUMMYFUNCTION(" VLOOKUP(A3555, IMPORTRANGE(""https://docs.google.com/spreadsheets/d/1fj_Bhi2XPL3siwIh4sx4VRLAe31yD50oKdj5UlRYW0c/"", ""Сводка!A:AA""), 11, FALSE)"),"978-601-241-801-9")</f>
        <v>978-601-241-801-9</v>
      </c>
      <c r="E3558" s="11" t="s">
        <v>13688</v>
      </c>
      <c r="F3558" s="11" t="s">
        <v>13689</v>
      </c>
      <c r="G3558" s="12">
        <f ca="1">IFERROR(__xludf.DUMMYFUNCTION(" VLOOKUP(A3555, IMPORTRANGE(""https://docs.google.com/spreadsheets/d/1fj_Bhi2XPL3siwIh4sx4VRLAe31yD50oKdj5UlRYW0c/"", ""Сводка!A:AA""), 5, FALSE)"),197)</f>
        <v>197</v>
      </c>
      <c r="H3558" s="12" t="s">
        <v>47</v>
      </c>
      <c r="I3558" s="10">
        <f ca="1">IFERROR(__xludf.DUMMYFUNCTION(" VLOOKUP(A3555, IMPORTRANGE(""https://docs.google.com/spreadsheets/d/1QNLbnkR_AongFt22vMfNzfpjZ0CjpI8QI-w0wBnYA1w/"", ""Инфа!A:AA""), 6, FALSE)"),2024)</f>
        <v>2024</v>
      </c>
      <c r="J3558" s="5">
        <f t="shared" ca="1" si="120"/>
        <v>10900</v>
      </c>
      <c r="K3558" s="12" t="s">
        <v>177</v>
      </c>
      <c r="L3558" s="15" t="s">
        <v>13690</v>
      </c>
    </row>
    <row r="3559" spans="1:12" ht="326.25">
      <c r="A3559" s="8" t="s">
        <v>13691</v>
      </c>
      <c r="B3559" s="9" t="s">
        <v>12</v>
      </c>
      <c r="C3559" s="10" t="s">
        <v>443</v>
      </c>
      <c r="D3559" s="10" t="str">
        <f ca="1">IFERROR(__xludf.DUMMYFUNCTION(" VLOOKUP(A3556, IMPORTRANGE(""https://docs.google.com/spreadsheets/d/1fj_Bhi2XPL3siwIh4sx4VRLAe31yD50oKdj5UlRYW0c/"", ""Сводка!A:AA""), 11, FALSE)"),"978-601-241-800-2")</f>
        <v>978-601-241-800-2</v>
      </c>
      <c r="E3559" s="11" t="s">
        <v>13692</v>
      </c>
      <c r="F3559" s="11" t="s">
        <v>13693</v>
      </c>
      <c r="G3559" s="12">
        <f ca="1">IFERROR(__xludf.DUMMYFUNCTION(" VLOOKUP(A3556, IMPORTRANGE(""https://docs.google.com/spreadsheets/d/1fj_Bhi2XPL3siwIh4sx4VRLAe31yD50oKdj5UlRYW0c/"", ""Сводка!A:AA""), 5, FALSE)"),164)</f>
        <v>164</v>
      </c>
      <c r="H3559" s="12" t="s">
        <v>47</v>
      </c>
      <c r="I3559" s="10">
        <f ca="1">IFERROR(__xludf.DUMMYFUNCTION(" VLOOKUP(A3556, IMPORTRANGE(""https://docs.google.com/spreadsheets/d/1QNLbnkR_AongFt22vMfNzfpjZ0CjpI8QI-w0wBnYA1w/"", ""Инфа!A:AA""), 6, FALSE)"),2024)</f>
        <v>2024</v>
      </c>
      <c r="J3559" s="5">
        <f t="shared" ca="1" si="120"/>
        <v>9900</v>
      </c>
      <c r="K3559" s="12" t="s">
        <v>177</v>
      </c>
      <c r="L3559" s="15" t="s">
        <v>13694</v>
      </c>
    </row>
    <row r="3560" spans="1:12" ht="51">
      <c r="A3560" s="8" t="s">
        <v>13695</v>
      </c>
      <c r="B3560" s="9" t="s">
        <v>12</v>
      </c>
      <c r="C3560" s="10" t="s">
        <v>151</v>
      </c>
      <c r="D3560" s="10" t="str">
        <f ca="1">IFERROR(__xludf.DUMMYFUNCTION(" VLOOKUP(A3557, IMPORTRANGE(""https://docs.google.com/spreadsheets/d/1fj_Bhi2XPL3siwIh4sx4VRLAe31yD50oKdj5UlRYW0c/"", ""Сводка!A:AA""), 11, FALSE)"),"978-601-207-397-3")</f>
        <v>978-601-207-397-3</v>
      </c>
      <c r="E3560" s="11" t="s">
        <v>13696</v>
      </c>
      <c r="F3560" s="11" t="s">
        <v>13697</v>
      </c>
      <c r="G3560" s="12">
        <f ca="1">IFERROR(__xludf.DUMMYFUNCTION(" VLOOKUP(A3557, IMPORTRANGE(""https://docs.google.com/spreadsheets/d/1fj_Bhi2XPL3siwIh4sx4VRLAe31yD50oKdj5UlRYW0c/"", ""Сводка!A:AA""), 5, FALSE)"),180)</f>
        <v>180</v>
      </c>
      <c r="H3560" s="12" t="s">
        <v>47</v>
      </c>
      <c r="I3560" s="10">
        <f ca="1">IFERROR(__xludf.DUMMYFUNCTION(" VLOOKUP(A3557, IMPORTRANGE(""https://docs.google.com/spreadsheets/d/1QNLbnkR_AongFt22vMfNzfpjZ0CjpI8QI-w0wBnYA1w/"", ""Инфа!A:AA""), 6, FALSE)"),2024)</f>
        <v>2024</v>
      </c>
      <c r="J3560" s="5">
        <f t="shared" ca="1" si="120"/>
        <v>10400</v>
      </c>
      <c r="K3560" s="12" t="s">
        <v>302</v>
      </c>
      <c r="L3560" s="15"/>
    </row>
    <row r="3561" spans="1:12" ht="25.5">
      <c r="A3561" s="8" t="s">
        <v>13698</v>
      </c>
      <c r="B3561" s="9" t="s">
        <v>12</v>
      </c>
      <c r="C3561" s="10" t="s">
        <v>443</v>
      </c>
      <c r="D3561" s="10" t="str">
        <f ca="1">IFERROR(__xludf.DUMMYFUNCTION(" VLOOKUP(A3558, IMPORTRANGE(""https://docs.google.com/spreadsheets/d/1fj_Bhi2XPL3siwIh4sx4VRLAe31yD50oKdj5UlRYW0c/"", ""Сводка!A:AA""), 11, FALSE)"),"978-601-207-380-5")</f>
        <v>978-601-207-380-5</v>
      </c>
      <c r="E3561" s="11" t="s">
        <v>13696</v>
      </c>
      <c r="F3561" s="11" t="s">
        <v>13699</v>
      </c>
      <c r="G3561" s="12">
        <f ca="1">IFERROR(__xludf.DUMMYFUNCTION(" VLOOKUP(A3558, IMPORTRANGE(""https://docs.google.com/spreadsheets/d/1fj_Bhi2XPL3siwIh4sx4VRLAe31yD50oKdj5UlRYW0c/"", ""Сводка!A:AA""), 5, FALSE)"),132)</f>
        <v>132</v>
      </c>
      <c r="H3561" s="12" t="s">
        <v>538</v>
      </c>
      <c r="I3561" s="10">
        <f ca="1">IFERROR(__xludf.DUMMYFUNCTION(" VLOOKUP(A3558, IMPORTRANGE(""https://docs.google.com/spreadsheets/d/1QNLbnkR_AongFt22vMfNzfpjZ0CjpI8QI-w0wBnYA1w/"", ""Инфа!A:AA""), 6, FALSE)"),2024)</f>
        <v>2024</v>
      </c>
      <c r="J3561" s="5">
        <f t="shared" ca="1" si="120"/>
        <v>9000</v>
      </c>
      <c r="K3561" s="9" t="s">
        <v>616</v>
      </c>
      <c r="L3561" s="15"/>
    </row>
    <row r="3562" spans="1:12" ht="180">
      <c r="A3562" s="8" t="s">
        <v>13700</v>
      </c>
      <c r="B3562" s="9" t="s">
        <v>12</v>
      </c>
      <c r="C3562" s="10" t="s">
        <v>443</v>
      </c>
      <c r="D3562" s="10" t="str">
        <f ca="1">IFERROR(__xludf.DUMMYFUNCTION(" VLOOKUP(A3559, IMPORTRANGE(""https://docs.google.com/spreadsheets/d/1fj_Bhi2XPL3siwIh4sx4VRLAe31yD50oKdj5UlRYW0c/"", ""Сводка!A:AA""), 11, FALSE)"),"978-601-337-041-5")</f>
        <v>978-601-337-041-5</v>
      </c>
      <c r="E3562" s="11" t="s">
        <v>13701</v>
      </c>
      <c r="F3562" s="11" t="s">
        <v>13702</v>
      </c>
      <c r="G3562" s="12">
        <f ca="1">IFERROR(__xludf.DUMMYFUNCTION(" VLOOKUP(A3559, IMPORTRANGE(""https://docs.google.com/spreadsheets/d/1fj_Bhi2XPL3siwIh4sx4VRLAe31yD50oKdj5UlRYW0c/"", ""Сводка!A:AA""), 5, FALSE)"),188)</f>
        <v>188</v>
      </c>
      <c r="H3562" s="12" t="s">
        <v>538</v>
      </c>
      <c r="I3562" s="10">
        <f ca="1">IFERROR(__xludf.DUMMYFUNCTION(" VLOOKUP(A3559, IMPORTRANGE(""https://docs.google.com/spreadsheets/d/1QNLbnkR_AongFt22vMfNzfpjZ0CjpI8QI-w0wBnYA1w/"", ""Инфа!A:AA""), 6, FALSE)"),2024)</f>
        <v>2024</v>
      </c>
      <c r="J3562" s="5">
        <f ca="1">ROUND((5000+G3562*60),-2)</f>
        <v>16300</v>
      </c>
      <c r="K3562" s="12" t="s">
        <v>271</v>
      </c>
      <c r="L3562" s="15" t="s">
        <v>13703</v>
      </c>
    </row>
    <row r="3563" spans="1:12" ht="213.75">
      <c r="A3563" s="8" t="s">
        <v>13704</v>
      </c>
      <c r="B3563" s="9" t="s">
        <v>12</v>
      </c>
      <c r="C3563" s="10" t="s">
        <v>151</v>
      </c>
      <c r="D3563" s="10" t="str">
        <f ca="1">IFERROR(__xludf.DUMMYFUNCTION(" VLOOKUP(A3560, IMPORTRANGE(""https://docs.google.com/spreadsheets/d/1fj_Bhi2XPL3siwIh4sx4VRLAe31yD50oKdj5UlRYW0c/"", ""Сводка!A:AA""), 11, FALSE)"),"978-601-327-347-1")</f>
        <v>978-601-327-347-1</v>
      </c>
      <c r="E3563" s="11" t="s">
        <v>13705</v>
      </c>
      <c r="F3563" s="11" t="s">
        <v>13706</v>
      </c>
      <c r="G3563" s="12">
        <f ca="1">IFERROR(__xludf.DUMMYFUNCTION(" VLOOKUP(A3560, IMPORTRANGE(""https://docs.google.com/spreadsheets/d/1fj_Bhi2XPL3siwIh4sx4VRLAe31yD50oKdj5UlRYW0c/"", ""Сводка!A:AA""), 5, FALSE)"),201)</f>
        <v>201</v>
      </c>
      <c r="H3563" s="12" t="s">
        <v>47</v>
      </c>
      <c r="I3563" s="10">
        <f ca="1">IFERROR(__xludf.DUMMYFUNCTION(" VLOOKUP(A3560, IMPORTRANGE(""https://docs.google.com/spreadsheets/d/1QNLbnkR_AongFt22vMfNzfpjZ0CjpI8QI-w0wBnYA1w/"", ""Инфа!A:AA""), 6, FALSE)"),2024)</f>
        <v>2024</v>
      </c>
      <c r="J3563" s="5">
        <f ca="1">ROUND((5000+G3563*60),-2)</f>
        <v>17100</v>
      </c>
      <c r="K3563" s="12" t="s">
        <v>2046</v>
      </c>
      <c r="L3563" s="15" t="s">
        <v>13707</v>
      </c>
    </row>
    <row r="3564" spans="1:12" ht="146.25">
      <c r="A3564" s="8" t="s">
        <v>13708</v>
      </c>
      <c r="B3564" s="9" t="s">
        <v>12</v>
      </c>
      <c r="C3564" s="13" t="s">
        <v>2517</v>
      </c>
      <c r="D3564" s="10" t="str">
        <f ca="1">IFERROR(__xludf.DUMMYFUNCTION(" VLOOKUP(A3561, IMPORTRANGE(""https://docs.google.com/spreadsheets/d/1fj_Bhi2XPL3siwIh4sx4VRLAe31yD50oKdj5UlRYW0c/"", ""Сводка!A:AA""), 11, FALSE)"),"978-601-240-118-9")</f>
        <v>978-601-240-118-9</v>
      </c>
      <c r="E3564" s="19" t="s">
        <v>13709</v>
      </c>
      <c r="F3564" s="19" t="s">
        <v>13710</v>
      </c>
      <c r="G3564" s="12">
        <f ca="1">IFERROR(__xludf.DUMMYFUNCTION(" VLOOKUP(A3561, IMPORTRANGE(""https://docs.google.com/spreadsheets/d/1fj_Bhi2XPL3siwIh4sx4VRLAe31yD50oKdj5UlRYW0c/"", ""Сводка!A:AA""), 5, FALSE)"),320)</f>
        <v>320</v>
      </c>
      <c r="H3564" s="9" t="s">
        <v>498</v>
      </c>
      <c r="I3564" s="10">
        <f ca="1">IFERROR(__xludf.DUMMYFUNCTION(" VLOOKUP(A3561, IMPORTRANGE(""https://docs.google.com/spreadsheets/d/1QNLbnkR_AongFt22vMfNzfpjZ0CjpI8QI-w0wBnYA1w/"", ""Инфа!A:AA""), 6, FALSE)"),2024)</f>
        <v>2024</v>
      </c>
      <c r="J3564" s="5">
        <f ca="1">ROUND((5000+G3564*30),-2)</f>
        <v>14600</v>
      </c>
      <c r="K3564" s="12" t="s">
        <v>961</v>
      </c>
      <c r="L3564" s="21" t="s">
        <v>13711</v>
      </c>
    </row>
    <row r="3565" spans="1:12" ht="25.5">
      <c r="A3565" s="8" t="s">
        <v>13712</v>
      </c>
      <c r="B3565" s="9" t="s">
        <v>12</v>
      </c>
      <c r="C3565" s="10" t="s">
        <v>151</v>
      </c>
      <c r="D3565" s="10" t="str">
        <f ca="1">IFERROR(__xludf.DUMMYFUNCTION(" VLOOKUP(A3562, IMPORTRANGE(""https://docs.google.com/spreadsheets/d/1fj_Bhi2XPL3siwIh4sx4VRLAe31yD50oKdj5UlRYW0c/"", ""Сводка!A:AA""), 11, FALSE)"),"978-601-207-352-2")</f>
        <v>978-601-207-352-2</v>
      </c>
      <c r="E3565" s="11" t="s">
        <v>13713</v>
      </c>
      <c r="F3565" s="11" t="s">
        <v>13714</v>
      </c>
      <c r="G3565" s="12">
        <f ca="1">IFERROR(__xludf.DUMMYFUNCTION(" VLOOKUP(A3562, IMPORTRANGE(""https://docs.google.com/spreadsheets/d/1fj_Bhi2XPL3siwIh4sx4VRLAe31yD50oKdj5UlRYW0c/"", ""Сводка!A:AA""), 5, FALSE)"),136)</f>
        <v>136</v>
      </c>
      <c r="H3565" s="12" t="s">
        <v>47</v>
      </c>
      <c r="I3565" s="10">
        <f ca="1">IFERROR(__xludf.DUMMYFUNCTION(" VLOOKUP(A3562, IMPORTRANGE(""https://docs.google.com/spreadsheets/d/1QNLbnkR_AongFt22vMfNzfpjZ0CjpI8QI-w0wBnYA1w/"", ""Инфа!A:AA""), 6, FALSE)"),2024)</f>
        <v>2024</v>
      </c>
      <c r="J3565" s="5">
        <f ca="1">ROUND((5000+G3565*30),-2)</f>
        <v>9100</v>
      </c>
      <c r="K3565" s="12" t="s">
        <v>961</v>
      </c>
      <c r="L3565" s="15"/>
    </row>
    <row r="3566" spans="1:12" ht="337.5">
      <c r="A3566" s="8" t="s">
        <v>13715</v>
      </c>
      <c r="B3566" s="9" t="s">
        <v>12</v>
      </c>
      <c r="C3566" s="10" t="s">
        <v>2342</v>
      </c>
      <c r="D3566" s="10" t="str">
        <f ca="1">IFERROR(__xludf.DUMMYFUNCTION(" VLOOKUP(A3563, IMPORTRANGE(""https://docs.google.com/spreadsheets/d/1fj_Bhi2XPL3siwIh4sx4VRLAe31yD50oKdj5UlRYW0c/"", ""Сводка!A:AA""), 11, FALSE)"),"978-601-327-409-6")</f>
        <v>978-601-327-409-6</v>
      </c>
      <c r="E3566" s="11" t="s">
        <v>13716</v>
      </c>
      <c r="F3566" s="11" t="s">
        <v>13717</v>
      </c>
      <c r="G3566" s="12">
        <f ca="1">IFERROR(__xludf.DUMMYFUNCTION(" VLOOKUP(A3563, IMPORTRANGE(""https://docs.google.com/spreadsheets/d/1fj_Bhi2XPL3siwIh4sx4VRLAe31yD50oKdj5UlRYW0c/"", ""Сводка!A:AA""), 5, FALSE)"),64)</f>
        <v>64</v>
      </c>
      <c r="H3566" s="12" t="s">
        <v>47</v>
      </c>
      <c r="I3566" s="10">
        <f ca="1">IFERROR(__xludf.DUMMYFUNCTION(" VLOOKUP(A3563, IMPORTRANGE(""https://docs.google.com/spreadsheets/d/1QNLbnkR_AongFt22vMfNzfpjZ0CjpI8QI-w0wBnYA1w/"", ""Инфа!A:AA""), 6, FALSE)"),2024)</f>
        <v>2024</v>
      </c>
      <c r="J3566" s="5">
        <f ca="1">ROUND((5000+G3566*30),-2)</f>
        <v>6900</v>
      </c>
      <c r="K3566" s="12" t="s">
        <v>11014</v>
      </c>
      <c r="L3566" s="15" t="s">
        <v>13718</v>
      </c>
    </row>
    <row r="3567" spans="1:12" ht="225">
      <c r="A3567" s="8" t="s">
        <v>13719</v>
      </c>
      <c r="B3567" s="9" t="s">
        <v>12</v>
      </c>
      <c r="C3567" s="10" t="s">
        <v>2342</v>
      </c>
      <c r="D3567" s="10" t="str">
        <f ca="1">IFERROR(__xludf.DUMMYFUNCTION(" VLOOKUP(A3564, IMPORTRANGE(""https://docs.google.com/spreadsheets/d/1fj_Bhi2XPL3siwIh4sx4VRLAe31yD50oKdj5UlRYW0c/"", ""Сводка!A:AA""), 11, FALSE)"),"978-601-327-410-2")</f>
        <v>978-601-327-410-2</v>
      </c>
      <c r="E3567" s="11" t="s">
        <v>13716</v>
      </c>
      <c r="F3567" s="11" t="s">
        <v>13720</v>
      </c>
      <c r="G3567" s="12">
        <f ca="1">IFERROR(__xludf.DUMMYFUNCTION(" VLOOKUP(A3564, IMPORTRANGE(""https://docs.google.com/spreadsheets/d/1fj_Bhi2XPL3siwIh4sx4VRLAe31yD50oKdj5UlRYW0c/"", ""Сводка!A:AA""), 5, FALSE)"),64)</f>
        <v>64</v>
      </c>
      <c r="H3567" s="12" t="s">
        <v>1577</v>
      </c>
      <c r="I3567" s="10">
        <f ca="1">IFERROR(__xludf.DUMMYFUNCTION(" VLOOKUP(A3564, IMPORTRANGE(""https://docs.google.com/spreadsheets/d/1QNLbnkR_AongFt22vMfNzfpjZ0CjpI8QI-w0wBnYA1w/"", ""Инфа!A:AA""), 6, FALSE)"),2024)</f>
        <v>2024</v>
      </c>
      <c r="J3567" s="5">
        <f ca="1">ROUND((5000+G3567*30),-2)</f>
        <v>6900</v>
      </c>
      <c r="K3567" s="12" t="s">
        <v>11014</v>
      </c>
      <c r="L3567" s="15" t="s">
        <v>13721</v>
      </c>
    </row>
    <row r="3568" spans="1:12" ht="202.5">
      <c r="A3568" s="8" t="s">
        <v>13722</v>
      </c>
      <c r="B3568" s="9" t="s">
        <v>12</v>
      </c>
      <c r="C3568" s="10" t="s">
        <v>151</v>
      </c>
      <c r="D3568" s="10" t="str">
        <f ca="1">IFERROR(__xludf.DUMMYFUNCTION(" VLOOKUP(A3565, IMPORTRANGE(""https://docs.google.com/spreadsheets/d/1fj_Bhi2XPL3siwIh4sx4VRLAe31yD50oKdj5UlRYW0c/"", ""Сводка!A:AA""), 11, FALSE)"),"978-601-342-009-7")</f>
        <v>978-601-342-009-7</v>
      </c>
      <c r="E3568" s="11" t="s">
        <v>4638</v>
      </c>
      <c r="F3568" s="11" t="s">
        <v>13723</v>
      </c>
      <c r="G3568" s="12">
        <f ca="1">IFERROR(__xludf.DUMMYFUNCTION(" VLOOKUP(A3565, IMPORTRANGE(""https://docs.google.com/spreadsheets/d/1fj_Bhi2XPL3siwIh4sx4VRLAe31yD50oKdj5UlRYW0c/"", ""Сводка!A:AA""), 5, FALSE)"),72)</f>
        <v>72</v>
      </c>
      <c r="H3568" s="12" t="s">
        <v>47</v>
      </c>
      <c r="I3568" s="10">
        <f ca="1">IFERROR(__xludf.DUMMYFUNCTION(" VLOOKUP(A3565, IMPORTRANGE(""https://docs.google.com/spreadsheets/d/1QNLbnkR_AongFt22vMfNzfpjZ0CjpI8QI-w0wBnYA1w/"", ""Инфа!A:AA""), 6, FALSE)"),2024)</f>
        <v>2024</v>
      </c>
      <c r="J3568" s="5">
        <f ca="1">ROUND((5000+G3568*60),-2)</f>
        <v>9300</v>
      </c>
      <c r="K3568" s="12" t="s">
        <v>277</v>
      </c>
      <c r="L3568" s="15" t="s">
        <v>13724</v>
      </c>
    </row>
    <row r="3569" spans="1:12" ht="292.5">
      <c r="A3569" s="8" t="s">
        <v>13725</v>
      </c>
      <c r="B3569" s="9" t="s">
        <v>12</v>
      </c>
      <c r="C3569" s="10" t="s">
        <v>443</v>
      </c>
      <c r="D3569" s="10" t="str">
        <f ca="1">IFERROR(__xludf.DUMMYFUNCTION(" VLOOKUP(A3566, IMPORTRANGE(""https://docs.google.com/spreadsheets/d/1fj_Bhi2XPL3siwIh4sx4VRLAe31yD50oKdj5UlRYW0c/"", ""Сводка!A:AA""), 11, FALSE)"),"978-601-327-581-9")</f>
        <v>978-601-327-581-9</v>
      </c>
      <c r="E3569" s="22" t="s">
        <v>13726</v>
      </c>
      <c r="F3569" s="22" t="s">
        <v>9995</v>
      </c>
      <c r="G3569" s="12">
        <f ca="1">IFERROR(__xludf.DUMMYFUNCTION(" VLOOKUP(A3566, IMPORTRANGE(""https://docs.google.com/spreadsheets/d/1fj_Bhi2XPL3siwIh4sx4VRLAe31yD50oKdj5UlRYW0c/"", ""Сводка!A:AA""), 5, FALSE)"),284)</f>
        <v>284</v>
      </c>
      <c r="H3569" s="10" t="s">
        <v>538</v>
      </c>
      <c r="I3569" s="10">
        <f ca="1">IFERROR(__xludf.DUMMYFUNCTION(" VLOOKUP(A3566, IMPORTRANGE(""https://docs.google.com/spreadsheets/d/1QNLbnkR_AongFt22vMfNzfpjZ0CjpI8QI-w0wBnYA1w/"", ""Инфа!A:AA""), 6, FALSE)"),2024)</f>
        <v>2024</v>
      </c>
      <c r="J3569" s="5">
        <f ca="1">ROUND((5000+G3569*60),-2)</f>
        <v>22000</v>
      </c>
      <c r="K3569" s="9" t="s">
        <v>539</v>
      </c>
      <c r="L3569" s="23" t="s">
        <v>13727</v>
      </c>
    </row>
    <row r="3570" spans="1:12" ht="292.5">
      <c r="A3570" s="8" t="s">
        <v>13728</v>
      </c>
      <c r="B3570" s="9" t="s">
        <v>12</v>
      </c>
      <c r="C3570" s="10" t="s">
        <v>443</v>
      </c>
      <c r="D3570" s="10" t="str">
        <f ca="1">IFERROR(__xludf.DUMMYFUNCTION(" VLOOKUP(A3567, IMPORTRANGE(""https://docs.google.com/spreadsheets/d/1fj_Bhi2XPL3siwIh4sx4VRLAe31yD50oKdj5UlRYW0c/"", ""Сводка!A:AA""), 11, FALSE)"),"978-601-327-580-2")</f>
        <v>978-601-327-580-2</v>
      </c>
      <c r="E3570" s="22" t="s">
        <v>13726</v>
      </c>
      <c r="F3570" s="22" t="s">
        <v>13729</v>
      </c>
      <c r="G3570" s="12">
        <f ca="1">IFERROR(__xludf.DUMMYFUNCTION(" VLOOKUP(A3567, IMPORTRANGE(""https://docs.google.com/spreadsheets/d/1fj_Bhi2XPL3siwIh4sx4VRLAe31yD50oKdj5UlRYW0c/"", ""Сводка!A:AA""), 5, FALSE)"),180)</f>
        <v>180</v>
      </c>
      <c r="H3570" s="10" t="s">
        <v>538</v>
      </c>
      <c r="I3570" s="10">
        <f ca="1">IFERROR(__xludf.DUMMYFUNCTION(" VLOOKUP(A3567, IMPORTRANGE(""https://docs.google.com/spreadsheets/d/1QNLbnkR_AongFt22vMfNzfpjZ0CjpI8QI-w0wBnYA1w/"", ""Инфа!A:AA""), 6, FALSE)"),2024)</f>
        <v>2024</v>
      </c>
      <c r="J3570" s="5">
        <f ca="1">ROUND((5000+G3570*30),-2)</f>
        <v>10400</v>
      </c>
      <c r="K3570" s="9" t="s">
        <v>539</v>
      </c>
      <c r="L3570" s="23" t="s">
        <v>13727</v>
      </c>
    </row>
    <row r="3571" spans="1:12" ht="281.25">
      <c r="A3571" s="8" t="s">
        <v>13730</v>
      </c>
      <c r="B3571" s="9" t="s">
        <v>12</v>
      </c>
      <c r="C3571" s="10" t="s">
        <v>443</v>
      </c>
      <c r="D3571" s="10" t="str">
        <f ca="1">IFERROR(__xludf.DUMMYFUNCTION(" VLOOKUP(A3568, IMPORTRANGE(""https://docs.google.com/spreadsheets/d/1fj_Bhi2XPL3siwIh4sx4VRLAe31yD50oKdj5UlRYW0c/"", ""Сводка!A:AA""), 11, FALSE)"),"9965-750-86-6")</f>
        <v>9965-750-86-6</v>
      </c>
      <c r="E3571" s="11" t="s">
        <v>7229</v>
      </c>
      <c r="F3571" s="11" t="s">
        <v>13731</v>
      </c>
      <c r="G3571" s="12">
        <f ca="1">IFERROR(__xludf.DUMMYFUNCTION(" VLOOKUP(A3568, IMPORTRANGE(""https://docs.google.com/spreadsheets/d/1fj_Bhi2XPL3siwIh4sx4VRLAe31yD50oKdj5UlRYW0c/"", ""Сводка!A:AA""), 5, FALSE)"),268)</f>
        <v>268</v>
      </c>
      <c r="H3571" s="12" t="s">
        <v>511</v>
      </c>
      <c r="I3571" s="10">
        <f ca="1">IFERROR(__xludf.DUMMYFUNCTION(" VLOOKUP(A3568, IMPORTRANGE(""https://docs.google.com/spreadsheets/d/1QNLbnkR_AongFt22vMfNzfpjZ0CjpI8QI-w0wBnYA1w/"", ""Инфа!A:AA""), 6, FALSE)"),2024)</f>
        <v>2024</v>
      </c>
      <c r="J3571" s="5">
        <f ca="1">ROUND((5000+G3571*30),-2)</f>
        <v>13000</v>
      </c>
      <c r="K3571" s="9" t="s">
        <v>616</v>
      </c>
      <c r="L3571" s="15" t="s">
        <v>13732</v>
      </c>
    </row>
    <row r="3572" spans="1:12" ht="63.75">
      <c r="A3572" s="8" t="s">
        <v>13733</v>
      </c>
      <c r="B3572" s="9" t="s">
        <v>12</v>
      </c>
      <c r="C3572" s="10" t="s">
        <v>443</v>
      </c>
      <c r="D3572" s="10" t="str">
        <f ca="1">IFERROR(__xludf.DUMMYFUNCTION(" VLOOKUP(A3569, IMPORTRANGE(""https://docs.google.com/spreadsheets/d/1fj_Bhi2XPL3siwIh4sx4VRLAe31yD50oKdj5UlRYW0c/"", ""Сводка!A:AA""), 11, FALSE)"),"978-601-310-545-1")</f>
        <v>978-601-310-545-1</v>
      </c>
      <c r="E3572" s="11" t="s">
        <v>7229</v>
      </c>
      <c r="F3572" s="11" t="s">
        <v>13734</v>
      </c>
      <c r="G3572" s="12">
        <f ca="1">IFERROR(__xludf.DUMMYFUNCTION(" VLOOKUP(A3569, IMPORTRANGE(""https://docs.google.com/spreadsheets/d/1fj_Bhi2XPL3siwIh4sx4VRLAe31yD50oKdj5UlRYW0c/"", ""Сводка!A:AA""), 5, FALSE)"),192)</f>
        <v>192</v>
      </c>
      <c r="H3572" s="12" t="s">
        <v>538</v>
      </c>
      <c r="I3572" s="10">
        <f ca="1">IFERROR(__xludf.DUMMYFUNCTION(" VLOOKUP(A3569, IMPORTRANGE(""https://docs.google.com/spreadsheets/d/1QNLbnkR_AongFt22vMfNzfpjZ0CjpI8QI-w0wBnYA1w/"", ""Инфа!A:AA""), 6, FALSE)"),2024)</f>
        <v>2024</v>
      </c>
      <c r="J3572" s="5">
        <f ca="1">ROUND((5000+G3572*60),-2)</f>
        <v>16500</v>
      </c>
      <c r="K3572" s="9" t="s">
        <v>616</v>
      </c>
      <c r="L3572" s="15"/>
    </row>
    <row r="3573" spans="1:12" ht="180">
      <c r="A3573" s="8" t="s">
        <v>13735</v>
      </c>
      <c r="B3573" s="9" t="s">
        <v>12</v>
      </c>
      <c r="C3573" s="10" t="s">
        <v>151</v>
      </c>
      <c r="D3573" s="10" t="str">
        <f ca="1">IFERROR(__xludf.DUMMYFUNCTION(" VLOOKUP(A3570, IMPORTRANGE(""https://docs.google.com/spreadsheets/d/1fj_Bhi2XPL3siwIh4sx4VRLAe31yD50oKdj5UlRYW0c/"", ""Сводка!A:AA""), 11, FALSE)"),"978-601-207-350-8")</f>
        <v>978-601-207-350-8</v>
      </c>
      <c r="E3573" s="11" t="s">
        <v>7229</v>
      </c>
      <c r="F3573" s="11" t="s">
        <v>13736</v>
      </c>
      <c r="G3573" s="12">
        <f ca="1">IFERROR(__xludf.DUMMYFUNCTION(" VLOOKUP(A3570, IMPORTRANGE(""https://docs.google.com/spreadsheets/d/1fj_Bhi2XPL3siwIh4sx4VRLAe31yD50oKdj5UlRYW0c/"", ""Сводка!A:AA""), 5, FALSE)"),160)</f>
        <v>160</v>
      </c>
      <c r="H3573" s="12" t="s">
        <v>47</v>
      </c>
      <c r="I3573" s="10">
        <f ca="1">IFERROR(__xludf.DUMMYFUNCTION(" VLOOKUP(A3570, IMPORTRANGE(""https://docs.google.com/spreadsheets/d/1QNLbnkR_AongFt22vMfNzfpjZ0CjpI8QI-w0wBnYA1w/"", ""Инфа!A:AA""), 6, FALSE)"),2024)</f>
        <v>2024</v>
      </c>
      <c r="J3573" s="5">
        <f ca="1">ROUND((5000+G3573*30),-2)</f>
        <v>9800</v>
      </c>
      <c r="K3573" s="9" t="s">
        <v>616</v>
      </c>
      <c r="L3573" s="15" t="s">
        <v>13737</v>
      </c>
    </row>
    <row r="3574" spans="1:12" ht="38.25">
      <c r="A3574" s="8" t="s">
        <v>13738</v>
      </c>
      <c r="B3574" s="9" t="s">
        <v>12</v>
      </c>
      <c r="C3574" s="10" t="s">
        <v>151</v>
      </c>
      <c r="D3574" s="10" t="str">
        <f ca="1">IFERROR(__xludf.DUMMYFUNCTION(" VLOOKUP(A3571, IMPORTRANGE(""https://docs.google.com/spreadsheets/d/1fj_Bhi2XPL3siwIh4sx4VRLAe31yD50oKdj5UlRYW0c/"", ""Сводка!A:AA""), 11, FALSE)"),"978-601-240-252-0")</f>
        <v>978-601-240-252-0</v>
      </c>
      <c r="E3574" s="11" t="s">
        <v>7229</v>
      </c>
      <c r="F3574" s="11" t="s">
        <v>13739</v>
      </c>
      <c r="G3574" s="12">
        <f ca="1">IFERROR(__xludf.DUMMYFUNCTION(" VLOOKUP(A3571, IMPORTRANGE(""https://docs.google.com/spreadsheets/d/1fj_Bhi2XPL3siwIh4sx4VRLAe31yD50oKdj5UlRYW0c/"", ""Сводка!A:AA""), 5, FALSE)"),252)</f>
        <v>252</v>
      </c>
      <c r="H3574" s="12" t="s">
        <v>47</v>
      </c>
      <c r="I3574" s="10">
        <f ca="1">IFERROR(__xludf.DUMMYFUNCTION(" VLOOKUP(A3571, IMPORTRANGE(""https://docs.google.com/spreadsheets/d/1QNLbnkR_AongFt22vMfNzfpjZ0CjpI8QI-w0wBnYA1w/"", ""Инфа!A:AA""), 6, FALSE)"),2024)</f>
        <v>2024</v>
      </c>
      <c r="J3574" s="5">
        <f ca="1">ROUND((5000+G3574*30),-2)</f>
        <v>12600</v>
      </c>
      <c r="K3574" s="12" t="s">
        <v>302</v>
      </c>
      <c r="L3574" s="15"/>
    </row>
    <row r="3575" spans="1:12" ht="25.5">
      <c r="A3575" s="8" t="s">
        <v>13740</v>
      </c>
      <c r="B3575" s="9" t="s">
        <v>12</v>
      </c>
      <c r="C3575" s="10" t="s">
        <v>151</v>
      </c>
      <c r="D3575" s="10" t="str">
        <f ca="1">IFERROR(__xludf.DUMMYFUNCTION(" VLOOKUP(A3572, IMPORTRANGE(""https://docs.google.com/spreadsheets/d/1fj_Bhi2XPL3siwIh4sx4VRLAe31yD50oKdj5UlRYW0c/"", ""Сводка!A:AA""), 11, FALSE)"),"978-601-310-517-8")</f>
        <v>978-601-310-517-8</v>
      </c>
      <c r="E3575" s="11" t="s">
        <v>7229</v>
      </c>
      <c r="F3575" s="11" t="s">
        <v>13741</v>
      </c>
      <c r="G3575" s="12">
        <f ca="1">IFERROR(__xludf.DUMMYFUNCTION(" VLOOKUP(A3572, IMPORTRANGE(""https://docs.google.com/spreadsheets/d/1fj_Bhi2XPL3siwIh4sx4VRLAe31yD50oKdj5UlRYW0c/"", ""Сводка!A:AA""), 5, FALSE)"),112)</f>
        <v>112</v>
      </c>
      <c r="H3575" s="12" t="s">
        <v>47</v>
      </c>
      <c r="I3575" s="10">
        <f ca="1">IFERROR(__xludf.DUMMYFUNCTION(" VLOOKUP(A3572, IMPORTRANGE(""https://docs.google.com/spreadsheets/d/1QNLbnkR_AongFt22vMfNzfpjZ0CjpI8QI-w0wBnYA1w/"", ""Инфа!A:AA""), 6, FALSE)"),2024)</f>
        <v>2024</v>
      </c>
      <c r="J3575" s="5">
        <f ca="1">ROUND((5000+G3575*60),-2)</f>
        <v>11700</v>
      </c>
      <c r="K3575" s="9" t="s">
        <v>616</v>
      </c>
      <c r="L3575" s="15"/>
    </row>
    <row r="3576" spans="1:12" ht="25.5">
      <c r="A3576" s="8" t="s">
        <v>13742</v>
      </c>
      <c r="B3576" s="9" t="s">
        <v>12</v>
      </c>
      <c r="C3576" s="10" t="s">
        <v>443</v>
      </c>
      <c r="D3576" s="10" t="str">
        <f ca="1">IFERROR(__xludf.DUMMYFUNCTION(" VLOOKUP(A3573, IMPORTRANGE(""https://docs.google.com/spreadsheets/d/1fj_Bhi2XPL3siwIh4sx4VRLAe31yD50oKdj5UlRYW0c/"", ""Сводка!A:AA""), 11, FALSE)"),"978-601-207-456-7")</f>
        <v>978-601-207-456-7</v>
      </c>
      <c r="E3576" s="11" t="s">
        <v>7229</v>
      </c>
      <c r="F3576" s="11" t="s">
        <v>12752</v>
      </c>
      <c r="G3576" s="12" t="e">
        <f>#REF!</f>
        <v>#REF!</v>
      </c>
      <c r="H3576" s="12" t="s">
        <v>511</v>
      </c>
      <c r="I3576" s="10">
        <f ca="1">IFERROR(__xludf.DUMMYFUNCTION(" VLOOKUP(A3573, IMPORTRANGE(""https://docs.google.com/spreadsheets/d/1QNLbnkR_AongFt22vMfNzfpjZ0CjpI8QI-w0wBnYA1w/"", ""Инфа!A:AA""), 6, FALSE)"),2024)</f>
        <v>2024</v>
      </c>
      <c r="J3576" s="5" t="e">
        <f>ROUND((5000+G3576*60),-2)</f>
        <v>#REF!</v>
      </c>
      <c r="K3576" s="12" t="s">
        <v>302</v>
      </c>
      <c r="L3576" s="15"/>
    </row>
    <row r="3577" spans="1:12" ht="38.25">
      <c r="A3577" s="8" t="s">
        <v>13743</v>
      </c>
      <c r="B3577" s="9" t="s">
        <v>12</v>
      </c>
      <c r="C3577" s="10" t="s">
        <v>443</v>
      </c>
      <c r="D3577" s="10" t="str">
        <f ca="1">IFERROR(__xludf.DUMMYFUNCTION(" VLOOKUP(A3574, IMPORTRANGE(""https://docs.google.com/spreadsheets/d/1fj_Bhi2XPL3siwIh4sx4VRLAe31yD50oKdj5UlRYW0c/"", ""Сводка!A:AA""), 11, FALSE)"),"978-601-240-891-1")</f>
        <v>978-601-240-891-1</v>
      </c>
      <c r="E3577" s="11" t="s">
        <v>7229</v>
      </c>
      <c r="F3577" s="11" t="s">
        <v>13744</v>
      </c>
      <c r="G3577" s="12">
        <f ca="1">IFERROR(__xludf.DUMMYFUNCTION(" VLOOKUP(A3574, IMPORTRANGE(""https://docs.google.com/spreadsheets/d/1fj_Bhi2XPL3siwIh4sx4VRLAe31yD50oKdj5UlRYW0c/"", ""Сводка!A:AA""), 5, FALSE)"),224)</f>
        <v>224</v>
      </c>
      <c r="H3577" s="12" t="s">
        <v>777</v>
      </c>
      <c r="I3577" s="10">
        <f ca="1">IFERROR(__xludf.DUMMYFUNCTION(" VLOOKUP(A3574, IMPORTRANGE(""https://docs.google.com/spreadsheets/d/1QNLbnkR_AongFt22vMfNzfpjZ0CjpI8QI-w0wBnYA1w/"", ""Инфа!A:AA""), 6, FALSE)"),2024)</f>
        <v>2024</v>
      </c>
      <c r="J3577" s="5">
        <f ca="1">ROUND((5000+G3577*60),-2)</f>
        <v>18400</v>
      </c>
      <c r="K3577" s="12" t="s">
        <v>302</v>
      </c>
      <c r="L3577" s="15"/>
    </row>
    <row r="3578" spans="1:12" ht="38.25">
      <c r="A3578" s="8" t="s">
        <v>13745</v>
      </c>
      <c r="B3578" s="9" t="s">
        <v>12</v>
      </c>
      <c r="C3578" s="10" t="s">
        <v>151</v>
      </c>
      <c r="D3578" s="10" t="str">
        <f ca="1">IFERROR(__xludf.DUMMYFUNCTION(" VLOOKUP(A3575, IMPORTRANGE(""https://docs.google.com/spreadsheets/d/1fj_Bhi2XPL3siwIh4sx4VRLAe31yD50oKdj5UlRYW0c/"", ""Сводка!A:AA""), 11, FALSE)"),"9965-750-55-6")</f>
        <v>9965-750-55-6</v>
      </c>
      <c r="E3578" s="11" t="s">
        <v>7229</v>
      </c>
      <c r="F3578" s="11" t="s">
        <v>13746</v>
      </c>
      <c r="G3578" s="12">
        <f ca="1">IFERROR(__xludf.DUMMYFUNCTION(" VLOOKUP(A3575, IMPORTRANGE(""https://docs.google.com/spreadsheets/d/1fj_Bhi2XPL3siwIh4sx4VRLAe31yD50oKdj5UlRYW0c/"", ""Сводка!A:AA""), 5, FALSE)"),328)</f>
        <v>328</v>
      </c>
      <c r="H3578" s="12" t="s">
        <v>498</v>
      </c>
      <c r="I3578" s="10">
        <f ca="1">IFERROR(__xludf.DUMMYFUNCTION(" VLOOKUP(A3575, IMPORTRANGE(""https://docs.google.com/spreadsheets/d/1QNLbnkR_AongFt22vMfNzfpjZ0CjpI8QI-w0wBnYA1w/"", ""Инфа!A:AA""), 6, FALSE)"),2024)</f>
        <v>2024</v>
      </c>
      <c r="J3578" s="5">
        <f ca="1">ROUND((5000+G3578*30),-2)</f>
        <v>14800</v>
      </c>
      <c r="K3578" s="12" t="s">
        <v>302</v>
      </c>
      <c r="L3578" s="15"/>
    </row>
    <row r="3579" spans="1:12" ht="168.75">
      <c r="A3579" s="8" t="s">
        <v>13747</v>
      </c>
      <c r="B3579" s="9" t="s">
        <v>12</v>
      </c>
      <c r="C3579" s="10" t="s">
        <v>151</v>
      </c>
      <c r="D3579" s="10" t="str">
        <f ca="1">IFERROR(__xludf.DUMMYFUNCTION(" VLOOKUP(A3576, IMPORTRANGE(""https://docs.google.com/spreadsheets/d/1fj_Bhi2XPL3siwIh4sx4VRLAe31yD50oKdj5UlRYW0c/"", ""Сводка!A:AA""), 11, FALSE)"),"987-601-310-545-1")</f>
        <v>987-601-310-545-1</v>
      </c>
      <c r="E3579" s="11" t="s">
        <v>7229</v>
      </c>
      <c r="F3579" s="11" t="s">
        <v>13748</v>
      </c>
      <c r="G3579" s="12">
        <f ca="1">IFERROR(__xludf.DUMMYFUNCTION(" VLOOKUP(A3576, IMPORTRANGE(""https://docs.google.com/spreadsheets/d/1fj_Bhi2XPL3siwIh4sx4VRLAe31yD50oKdj5UlRYW0c/"", ""Сводка!A:AA""), 5, FALSE)"),240)</f>
        <v>240</v>
      </c>
      <c r="H3579" s="12" t="s">
        <v>165</v>
      </c>
      <c r="I3579" s="10">
        <f ca="1">IFERROR(__xludf.DUMMYFUNCTION(" VLOOKUP(A3576, IMPORTRANGE(""https://docs.google.com/spreadsheets/d/1QNLbnkR_AongFt22vMfNzfpjZ0CjpI8QI-w0wBnYA1w/"", ""Инфа!A:AA""), 6, FALSE)"),2024)</f>
        <v>2024</v>
      </c>
      <c r="J3579" s="5">
        <f ca="1">ROUND((5000+G3579*60),-2)</f>
        <v>19400</v>
      </c>
      <c r="K3579" s="9" t="s">
        <v>616</v>
      </c>
      <c r="L3579" s="15" t="s">
        <v>13749</v>
      </c>
    </row>
    <row r="3580" spans="1:12" ht="38.25">
      <c r="A3580" s="8" t="s">
        <v>13750</v>
      </c>
      <c r="B3580" s="9" t="s">
        <v>12</v>
      </c>
      <c r="C3580" s="10" t="s">
        <v>151</v>
      </c>
      <c r="D3580" s="10" t="str">
        <f ca="1">IFERROR(__xludf.DUMMYFUNCTION(" VLOOKUP(A3577, IMPORTRANGE(""https://docs.google.com/spreadsheets/d/1fj_Bhi2XPL3siwIh4sx4VRLAe31yD50oKdj5UlRYW0c/"", ""Сводка!A:AA""), 11, FALSE)"),"978-601-310-551-2")</f>
        <v>978-601-310-551-2</v>
      </c>
      <c r="E3580" s="11" t="s">
        <v>7229</v>
      </c>
      <c r="F3580" s="11" t="s">
        <v>13751</v>
      </c>
      <c r="G3580" s="12">
        <f ca="1">IFERROR(__xludf.DUMMYFUNCTION(" VLOOKUP(A3577, IMPORTRANGE(""https://docs.google.com/spreadsheets/d/1fj_Bhi2XPL3siwIh4sx4VRLAe31yD50oKdj5UlRYW0c/"", ""Сводка!A:AA""), 5, FALSE)"),196)</f>
        <v>196</v>
      </c>
      <c r="H3580" s="12" t="s">
        <v>47</v>
      </c>
      <c r="I3580" s="10">
        <f ca="1">IFERROR(__xludf.DUMMYFUNCTION(" VLOOKUP(A3577, IMPORTRANGE(""https://docs.google.com/spreadsheets/d/1QNLbnkR_AongFt22vMfNzfpjZ0CjpI8QI-w0wBnYA1w/"", ""Инфа!A:AA""), 6, FALSE)"),2024)</f>
        <v>2024</v>
      </c>
      <c r="J3580" s="5">
        <f ca="1">ROUND((5000+G3580*60),-2)</f>
        <v>16800</v>
      </c>
      <c r="K3580" s="9" t="s">
        <v>616</v>
      </c>
      <c r="L3580" s="15"/>
    </row>
    <row r="3581" spans="1:12" ht="102">
      <c r="A3581" s="8" t="s">
        <v>13752</v>
      </c>
      <c r="B3581" s="9" t="s">
        <v>12</v>
      </c>
      <c r="C3581" s="10" t="s">
        <v>151</v>
      </c>
      <c r="D3581" s="10" t="str">
        <f ca="1">IFERROR(__xludf.DUMMYFUNCTION(" VLOOKUP(A3578, IMPORTRANGE(""https://docs.google.com/spreadsheets/d/1fj_Bhi2XPL3siwIh4sx4VRLAe31yD50oKdj5UlRYW0c/"", ""Сводка!A:AA""), 11, FALSE)"),"978-601-310-446-1")</f>
        <v>978-601-310-446-1</v>
      </c>
      <c r="E3581" s="11" t="s">
        <v>7229</v>
      </c>
      <c r="F3581" s="11" t="s">
        <v>13753</v>
      </c>
      <c r="G3581" s="12">
        <f ca="1">IFERROR(__xludf.DUMMYFUNCTION(" VLOOKUP(A3578, IMPORTRANGE(""https://docs.google.com/spreadsheets/d/1fj_Bhi2XPL3siwIh4sx4VRLAe31yD50oKdj5UlRYW0c/"", ""Сводка!A:AA""), 5, FALSE)"),212)</f>
        <v>212</v>
      </c>
      <c r="H3581" s="12" t="s">
        <v>47</v>
      </c>
      <c r="I3581" s="10">
        <f ca="1">IFERROR(__xludf.DUMMYFUNCTION(" VLOOKUP(A3578, IMPORTRANGE(""https://docs.google.com/spreadsheets/d/1QNLbnkR_AongFt22vMfNzfpjZ0CjpI8QI-w0wBnYA1w/"", ""Инфа!A:AA""), 6, FALSE)"),2024)</f>
        <v>2024</v>
      </c>
      <c r="J3581" s="5">
        <f ca="1">ROUND((5000+G3581*60),-2)</f>
        <v>17700</v>
      </c>
      <c r="K3581" s="12" t="s">
        <v>302</v>
      </c>
      <c r="L3581" s="15"/>
    </row>
    <row r="3582" spans="1:12" ht="326.25">
      <c r="A3582" s="8" t="s">
        <v>13754</v>
      </c>
      <c r="B3582" s="9" t="s">
        <v>12</v>
      </c>
      <c r="C3582" s="10" t="s">
        <v>151</v>
      </c>
      <c r="D3582" s="10" t="str">
        <f ca="1">IFERROR(__xludf.DUMMYFUNCTION(" VLOOKUP(A3579, IMPORTRANGE(""https://docs.google.com/spreadsheets/d/1fj_Bhi2XPL3siwIh4sx4VRLAe31yD50oKdj5UlRYW0c/"", ""Сводка!A:AA""), 11, FALSE)"),"978-601-327-732-5")</f>
        <v>978-601-327-732-5</v>
      </c>
      <c r="E3582" s="11" t="s">
        <v>7229</v>
      </c>
      <c r="F3582" s="11" t="s">
        <v>13755</v>
      </c>
      <c r="G3582" s="12">
        <f ca="1">IFERROR(__xludf.DUMMYFUNCTION(" VLOOKUP(A3579, IMPORTRANGE(""https://docs.google.com/spreadsheets/d/1fj_Bhi2XPL3siwIh4sx4VRLAe31yD50oKdj5UlRYW0c/"", ""Сводка!A:AA""), 5, FALSE)"),144)</f>
        <v>144</v>
      </c>
      <c r="H3582" s="12" t="s">
        <v>106</v>
      </c>
      <c r="I3582" s="10">
        <f ca="1">IFERROR(__xludf.DUMMYFUNCTION(" VLOOKUP(A3579, IMPORTRANGE(""https://docs.google.com/spreadsheets/d/1QNLbnkR_AongFt22vMfNzfpjZ0CjpI8QI-w0wBnYA1w/"", ""Инфа!A:AA""), 6, FALSE)"),2024)</f>
        <v>2024</v>
      </c>
      <c r="J3582" s="5">
        <f ca="1">ROUND((5000+G3582*60),-2)</f>
        <v>13600</v>
      </c>
      <c r="K3582" s="12" t="s">
        <v>302</v>
      </c>
      <c r="L3582" s="15" t="s">
        <v>13756</v>
      </c>
    </row>
    <row r="3583" spans="1:12" ht="25.5">
      <c r="A3583" s="8" t="s">
        <v>13757</v>
      </c>
      <c r="B3583" s="9" t="s">
        <v>12</v>
      </c>
      <c r="C3583" s="10" t="s">
        <v>151</v>
      </c>
      <c r="D3583" s="10" t="str">
        <f ca="1">IFERROR(__xludf.DUMMYFUNCTION(" VLOOKUP(A3580, IMPORTRANGE(""https://docs.google.com/spreadsheets/d/1fj_Bhi2XPL3siwIh4sx4VRLAe31yD50oKdj5UlRYW0c/"", ""Сводка!A:AA""), 11, FALSE)"),"978-601-240-236-0")</f>
        <v>978-601-240-236-0</v>
      </c>
      <c r="E3583" s="11" t="s">
        <v>7229</v>
      </c>
      <c r="F3583" s="11" t="s">
        <v>13758</v>
      </c>
      <c r="G3583" s="12">
        <f ca="1">IFERROR(__xludf.DUMMYFUNCTION(" VLOOKUP(A3580, IMPORTRANGE(""https://docs.google.com/spreadsheets/d/1fj_Bhi2XPL3siwIh4sx4VRLAe31yD50oKdj5UlRYW0c/"", ""Сводка!A:AA""), 5, FALSE)"),200)</f>
        <v>200</v>
      </c>
      <c r="H3583" s="12" t="s">
        <v>538</v>
      </c>
      <c r="I3583" s="10">
        <f ca="1">IFERROR(__xludf.DUMMYFUNCTION(" VLOOKUP(A3580, IMPORTRANGE(""https://docs.google.com/spreadsheets/d/1QNLbnkR_AongFt22vMfNzfpjZ0CjpI8QI-w0wBnYA1w/"", ""Инфа!A:AA""), 6, FALSE)"),2024)</f>
        <v>2024</v>
      </c>
      <c r="J3583" s="5">
        <f ca="1">ROUND((5000+G3583*30),-2)</f>
        <v>11000</v>
      </c>
      <c r="K3583" s="12" t="s">
        <v>302</v>
      </c>
      <c r="L3583" s="15"/>
    </row>
    <row r="3584" spans="1:12" ht="225">
      <c r="A3584" s="8" t="s">
        <v>13759</v>
      </c>
      <c r="B3584" s="9" t="s">
        <v>12</v>
      </c>
      <c r="C3584" s="10" t="s">
        <v>151</v>
      </c>
      <c r="D3584" s="10" t="str">
        <f ca="1">IFERROR(__xludf.DUMMYFUNCTION(" VLOOKUP(A3581, IMPORTRANGE(""https://docs.google.com/spreadsheets/d/1fj_Bhi2XPL3siwIh4sx4VRLAe31yD50oKdj5UlRYW0c/"", ""Сводка!A:AA""), 11, FALSE)"),"978-601-327-194-1")</f>
        <v>978-601-327-194-1</v>
      </c>
      <c r="E3584" s="11" t="s">
        <v>13760</v>
      </c>
      <c r="F3584" s="11" t="s">
        <v>13761</v>
      </c>
      <c r="G3584" s="12">
        <f ca="1">IFERROR(__xludf.DUMMYFUNCTION(" VLOOKUP(A3581, IMPORTRANGE(""https://docs.google.com/spreadsheets/d/1fj_Bhi2XPL3siwIh4sx4VRLAe31yD50oKdj5UlRYW0c/"", ""Сводка!A:AA""), 5, FALSE)"),140)</f>
        <v>140</v>
      </c>
      <c r="H3584" s="12" t="s">
        <v>47</v>
      </c>
      <c r="I3584" s="10">
        <f ca="1">IFERROR(__xludf.DUMMYFUNCTION(" VLOOKUP(A3581, IMPORTRANGE(""https://docs.google.com/spreadsheets/d/1QNLbnkR_AongFt22vMfNzfpjZ0CjpI8QI-w0wBnYA1w/"", ""Инфа!A:AA""), 6, FALSE)"),2024)</f>
        <v>2024</v>
      </c>
      <c r="J3584" s="5">
        <f ca="1">ROUND((5000+G3584*60),-2)</f>
        <v>13400</v>
      </c>
      <c r="K3584" s="9" t="s">
        <v>616</v>
      </c>
      <c r="L3584" s="15" t="s">
        <v>13762</v>
      </c>
    </row>
    <row r="3585" spans="1:12" ht="213.75">
      <c r="A3585" s="8" t="s">
        <v>13763</v>
      </c>
      <c r="B3585" s="9" t="s">
        <v>12</v>
      </c>
      <c r="C3585" s="10" t="s">
        <v>151</v>
      </c>
      <c r="D3585" s="10" t="str">
        <f ca="1">IFERROR(__xludf.DUMMYFUNCTION(" VLOOKUP(A3582, IMPORTRANGE(""https://docs.google.com/spreadsheets/d/1fj_Bhi2XPL3siwIh4sx4VRLAe31yD50oKdj5UlRYW0c/"", ""Сводка!A:AA""), 11, FALSE)"),"978-601-342-590-0")</f>
        <v>978-601-342-590-0</v>
      </c>
      <c r="E3585" s="11" t="s">
        <v>13764</v>
      </c>
      <c r="F3585" s="11" t="s">
        <v>13765</v>
      </c>
      <c r="G3585" s="12">
        <f ca="1">IFERROR(__xludf.DUMMYFUNCTION(" VLOOKUP(A3582, IMPORTRANGE(""https://docs.google.com/spreadsheets/d/1fj_Bhi2XPL3siwIh4sx4VRLAe31yD50oKdj5UlRYW0c/"", ""Сводка!A:AA""), 5, FALSE)"),244)</f>
        <v>244</v>
      </c>
      <c r="H3585" s="12" t="s">
        <v>47</v>
      </c>
      <c r="I3585" s="10">
        <f ca="1">IFERROR(__xludf.DUMMYFUNCTION(" VLOOKUP(A3582, IMPORTRANGE(""https://docs.google.com/spreadsheets/d/1QNLbnkR_AongFt22vMfNzfpjZ0CjpI8QI-w0wBnYA1w/"", ""Инфа!A:AA""), 6, FALSE)"),2024)</f>
        <v>2024</v>
      </c>
      <c r="J3585" s="5">
        <f ca="1">ROUND((5000+G3585*60),-2)</f>
        <v>19600</v>
      </c>
      <c r="K3585" s="12" t="s">
        <v>326</v>
      </c>
      <c r="L3585" s="15" t="s">
        <v>13766</v>
      </c>
    </row>
    <row r="3586" spans="1:12" ht="213.75">
      <c r="A3586" s="8" t="s">
        <v>13767</v>
      </c>
      <c r="B3586" s="9" t="s">
        <v>12</v>
      </c>
      <c r="C3586" s="10" t="s">
        <v>151</v>
      </c>
      <c r="D3586" s="10" t="str">
        <f ca="1">IFERROR(__xludf.DUMMYFUNCTION(" VLOOKUP(A3583, IMPORTRANGE(""https://docs.google.com/spreadsheets/d/1fj_Bhi2XPL3siwIh4sx4VRLAe31yD50oKdj5UlRYW0c/"", ""Сводка!A:AA""), 11, FALSE)"),"978-601-342-589-4")</f>
        <v>978-601-342-589-4</v>
      </c>
      <c r="E3586" s="11" t="s">
        <v>13764</v>
      </c>
      <c r="F3586" s="11" t="s">
        <v>13768</v>
      </c>
      <c r="G3586" s="12">
        <f ca="1">IFERROR(__xludf.DUMMYFUNCTION(" VLOOKUP(A3583, IMPORTRANGE(""https://docs.google.com/spreadsheets/d/1fj_Bhi2XPL3siwIh4sx4VRLAe31yD50oKdj5UlRYW0c/"", ""Сводка!A:AA""), 5, FALSE)"),248)</f>
        <v>248</v>
      </c>
      <c r="H3586" s="12" t="s">
        <v>47</v>
      </c>
      <c r="I3586" s="10">
        <f ca="1">IFERROR(__xludf.DUMMYFUNCTION(" VLOOKUP(A3583, IMPORTRANGE(""https://docs.google.com/spreadsheets/d/1QNLbnkR_AongFt22vMfNzfpjZ0CjpI8QI-w0wBnYA1w/"", ""Инфа!A:AA""), 6, FALSE)"),2024)</f>
        <v>2024</v>
      </c>
      <c r="J3586" s="5">
        <f ca="1">ROUND((5000+G3586*60),-2)</f>
        <v>19900</v>
      </c>
      <c r="K3586" s="12" t="s">
        <v>326</v>
      </c>
      <c r="L3586" s="15" t="s">
        <v>13769</v>
      </c>
    </row>
    <row r="3587" spans="1:12" ht="191.25">
      <c r="A3587" s="8" t="s">
        <v>13770</v>
      </c>
      <c r="B3587" s="9" t="s">
        <v>12</v>
      </c>
      <c r="C3587" s="10" t="s">
        <v>443</v>
      </c>
      <c r="D3587" s="10" t="str">
        <f ca="1">IFERROR(__xludf.DUMMYFUNCTION(" VLOOKUP(A3584, IMPORTRANGE(""https://docs.google.com/spreadsheets/d/1fj_Bhi2XPL3siwIh4sx4VRLAe31yD50oKdj5UlRYW0c/"", ""Сводка!A:AA""), 11, FALSE)"),"978-601-207-619-6")</f>
        <v>978-601-207-619-6</v>
      </c>
      <c r="E3587" s="11" t="s">
        <v>13771</v>
      </c>
      <c r="F3587" s="11" t="s">
        <v>13772</v>
      </c>
      <c r="G3587" s="12">
        <f ca="1">IFERROR(__xludf.DUMMYFUNCTION(" VLOOKUP(A3584, IMPORTRANGE(""https://docs.google.com/spreadsheets/d/1fj_Bhi2XPL3siwIh4sx4VRLAe31yD50oKdj5UlRYW0c/"", ""Сводка!A:AA""), 5, FALSE)"),260)</f>
        <v>260</v>
      </c>
      <c r="H3587" s="12" t="s">
        <v>538</v>
      </c>
      <c r="I3587" s="10">
        <f ca="1">IFERROR(__xludf.DUMMYFUNCTION(" VLOOKUP(A3584, IMPORTRANGE(""https://docs.google.com/spreadsheets/d/1QNLbnkR_AongFt22vMfNzfpjZ0CjpI8QI-w0wBnYA1w/"", ""Инфа!A:AA""), 6, FALSE)"),2024)</f>
        <v>2024</v>
      </c>
      <c r="J3587" s="5">
        <f ca="1">ROUND((5000+G3587*60),-2)</f>
        <v>20600</v>
      </c>
      <c r="K3587" s="9" t="s">
        <v>616</v>
      </c>
      <c r="L3587" s="15" t="s">
        <v>13773</v>
      </c>
    </row>
    <row r="3588" spans="1:12" ht="123.75">
      <c r="A3588" s="8" t="s">
        <v>13774</v>
      </c>
      <c r="B3588" s="9" t="s">
        <v>12</v>
      </c>
      <c r="C3588" s="10" t="s">
        <v>443</v>
      </c>
      <c r="D3588" s="10" t="str">
        <f ca="1">IFERROR(__xludf.DUMMYFUNCTION(" VLOOKUP(A3585, IMPORTRANGE(""https://docs.google.com/spreadsheets/d/1fj_Bhi2XPL3siwIh4sx4VRLAe31yD50oKdj5UlRYW0c/"", ""Сводка!A:AA""), 11, FALSE)"),"978-601-342-491-0")</f>
        <v>978-601-342-491-0</v>
      </c>
      <c r="E3588" s="11" t="s">
        <v>13771</v>
      </c>
      <c r="F3588" s="11" t="s">
        <v>7230</v>
      </c>
      <c r="G3588" s="12">
        <f ca="1">IFERROR(__xludf.DUMMYFUNCTION(" VLOOKUP(A3585, IMPORTRANGE(""https://docs.google.com/spreadsheets/d/1fj_Bhi2XPL3siwIh4sx4VRLAe31yD50oKdj5UlRYW0c/"", ""Сводка!A:AA""), 5, FALSE)"),272)</f>
        <v>272</v>
      </c>
      <c r="H3588" s="12" t="s">
        <v>671</v>
      </c>
      <c r="I3588" s="10">
        <f ca="1">IFERROR(__xludf.DUMMYFUNCTION(" VLOOKUP(A3585, IMPORTRANGE(""https://docs.google.com/spreadsheets/d/1QNLbnkR_AongFt22vMfNzfpjZ0CjpI8QI-w0wBnYA1w/"", ""Инфа!A:AA""), 6, FALSE)"),2024)</f>
        <v>2024</v>
      </c>
      <c r="J3588" s="5">
        <f t="shared" ref="J3588:J3594" ca="1" si="121">ROUND((5000+G3588*30),-2)</f>
        <v>13200</v>
      </c>
      <c r="K3588" s="12" t="s">
        <v>7363</v>
      </c>
      <c r="L3588" s="15" t="s">
        <v>13775</v>
      </c>
    </row>
    <row r="3589" spans="1:12" ht="202.5">
      <c r="A3589" s="8" t="s">
        <v>13776</v>
      </c>
      <c r="B3589" s="9" t="s">
        <v>12</v>
      </c>
      <c r="C3589" s="10" t="s">
        <v>443</v>
      </c>
      <c r="D3589" s="10" t="str">
        <f ca="1">IFERROR(__xludf.DUMMYFUNCTION(" VLOOKUP(A3586, IMPORTRANGE(""https://docs.google.com/spreadsheets/d/1fj_Bhi2XPL3siwIh4sx4VRLAe31yD50oKdj5UlRYW0c/"", ""Сводка!A:AA""), 11, FALSE)"),"978-601-310-361-7")</f>
        <v>978-601-310-361-7</v>
      </c>
      <c r="E3589" s="11" t="s">
        <v>13777</v>
      </c>
      <c r="F3589" s="11" t="s">
        <v>13778</v>
      </c>
      <c r="G3589" s="12">
        <f ca="1">IFERROR(__xludf.DUMMYFUNCTION(" VLOOKUP(A3586, IMPORTRANGE(""https://docs.google.com/spreadsheets/d/1fj_Bhi2XPL3siwIh4sx4VRLAe31yD50oKdj5UlRYW0c/"", ""Сводка!A:AA""), 5, FALSE)"),176)</f>
        <v>176</v>
      </c>
      <c r="H3589" s="12" t="s">
        <v>538</v>
      </c>
      <c r="I3589" s="10">
        <f ca="1">IFERROR(__xludf.DUMMYFUNCTION(" VLOOKUP(A3586, IMPORTRANGE(""https://docs.google.com/spreadsheets/d/1QNLbnkR_AongFt22vMfNzfpjZ0CjpI8QI-w0wBnYA1w/"", ""Инфа!A:AA""), 6, FALSE)"),2024)</f>
        <v>2024</v>
      </c>
      <c r="J3589" s="5">
        <f t="shared" ca="1" si="121"/>
        <v>10300</v>
      </c>
      <c r="K3589" s="12" t="s">
        <v>7097</v>
      </c>
      <c r="L3589" s="15" t="s">
        <v>13779</v>
      </c>
    </row>
    <row r="3590" spans="1:12" ht="258.75">
      <c r="A3590" s="8" t="s">
        <v>13780</v>
      </c>
      <c r="B3590" s="9" t="s">
        <v>12</v>
      </c>
      <c r="C3590" s="10" t="s">
        <v>443</v>
      </c>
      <c r="D3590" s="10" t="str">
        <f ca="1">IFERROR(__xludf.DUMMYFUNCTION(" VLOOKUP(A3587, IMPORTRANGE(""https://docs.google.com/spreadsheets/d/1fj_Bhi2XPL3siwIh4sx4VRLAe31yD50oKdj5UlRYW0c/"", ""Сводка!A:AA""), 11, FALSE)"),"978-601-240-582-8")</f>
        <v>978-601-240-582-8</v>
      </c>
      <c r="E3590" s="11" t="s">
        <v>13781</v>
      </c>
      <c r="F3590" s="11" t="s">
        <v>13782</v>
      </c>
      <c r="G3590" s="12">
        <f ca="1">IFERROR(__xludf.DUMMYFUNCTION(" VLOOKUP(A3587, IMPORTRANGE(""https://docs.google.com/spreadsheets/d/1fj_Bhi2XPL3siwIh4sx4VRLAe31yD50oKdj5UlRYW0c/"", ""Сводка!A:AA""), 5, FALSE)"),84)</f>
        <v>84</v>
      </c>
      <c r="H3590" s="12" t="s">
        <v>511</v>
      </c>
      <c r="I3590" s="10">
        <f ca="1">IFERROR(__xludf.DUMMYFUNCTION(" VLOOKUP(A3587, IMPORTRANGE(""https://docs.google.com/spreadsheets/d/1QNLbnkR_AongFt22vMfNzfpjZ0CjpI8QI-w0wBnYA1w/"", ""Инфа!A:AA""), 6, FALSE)"),2024)</f>
        <v>2024</v>
      </c>
      <c r="J3590" s="5">
        <f t="shared" ca="1" si="121"/>
        <v>7500</v>
      </c>
      <c r="K3590" s="12" t="s">
        <v>1581</v>
      </c>
      <c r="L3590" s="15" t="s">
        <v>13783</v>
      </c>
    </row>
    <row r="3591" spans="1:12" ht="225">
      <c r="A3591" s="8" t="s">
        <v>13784</v>
      </c>
      <c r="B3591" s="9" t="s">
        <v>12</v>
      </c>
      <c r="C3591" s="10" t="s">
        <v>151</v>
      </c>
      <c r="D3591" s="10" t="str">
        <f ca="1">IFERROR(__xludf.DUMMYFUNCTION(" VLOOKUP(A3588, IMPORTRANGE(""https://docs.google.com/spreadsheets/d/1fj_Bhi2XPL3siwIh4sx4VRLAe31yD50oKdj5UlRYW0c/"", ""Сводка!A:AA""), 11, FALSE)"),"978-601-240-263-6")</f>
        <v>978-601-240-263-6</v>
      </c>
      <c r="E3591" s="11" t="s">
        <v>13785</v>
      </c>
      <c r="F3591" s="11" t="s">
        <v>13786</v>
      </c>
      <c r="G3591" s="12">
        <f ca="1">IFERROR(__xludf.DUMMYFUNCTION(" VLOOKUP(A3588, IMPORTRANGE(""https://docs.google.com/spreadsheets/d/1fj_Bhi2XPL3siwIh4sx4VRLAe31yD50oKdj5UlRYW0c/"", ""Сводка!A:AA""), 5, FALSE)"),116)</f>
        <v>116</v>
      </c>
      <c r="H3591" s="12" t="s">
        <v>47</v>
      </c>
      <c r="I3591" s="10">
        <f ca="1">IFERROR(__xludf.DUMMYFUNCTION(" VLOOKUP(A3588, IMPORTRANGE(""https://docs.google.com/spreadsheets/d/1QNLbnkR_AongFt22vMfNzfpjZ0CjpI8QI-w0wBnYA1w/"", ""Инфа!A:AA""), 6, FALSE)"),2024)</f>
        <v>2024</v>
      </c>
      <c r="J3591" s="5">
        <f t="shared" ca="1" si="121"/>
        <v>8500</v>
      </c>
      <c r="K3591" s="12" t="s">
        <v>302</v>
      </c>
      <c r="L3591" s="15" t="s">
        <v>13787</v>
      </c>
    </row>
    <row r="3592" spans="1:12" ht="236.25">
      <c r="A3592" s="8" t="s">
        <v>13788</v>
      </c>
      <c r="B3592" s="9" t="s">
        <v>12</v>
      </c>
      <c r="C3592" s="10" t="s">
        <v>443</v>
      </c>
      <c r="D3592" s="10" t="str">
        <f ca="1">IFERROR(__xludf.DUMMYFUNCTION(" VLOOKUP(A3589, IMPORTRANGE(""https://docs.google.com/spreadsheets/d/1fj_Bhi2XPL3siwIh4sx4VRLAe31yD50oKdj5UlRYW0c/"", ""Сводка!A:AA""), 11, FALSE)"),"978-601-240-503-2")</f>
        <v>978-601-240-503-2</v>
      </c>
      <c r="E3592" s="11" t="s">
        <v>13789</v>
      </c>
      <c r="F3592" s="11" t="s">
        <v>13790</v>
      </c>
      <c r="G3592" s="12">
        <f ca="1">IFERROR(__xludf.DUMMYFUNCTION(" VLOOKUP(A3589, IMPORTRANGE(""https://docs.google.com/spreadsheets/d/1fj_Bhi2XPL3siwIh4sx4VRLAe31yD50oKdj5UlRYW0c/"", ""Сводка!A:AA""), 5, FALSE)"),144)</f>
        <v>144</v>
      </c>
      <c r="H3592" s="12" t="s">
        <v>538</v>
      </c>
      <c r="I3592" s="10">
        <f ca="1">IFERROR(__xludf.DUMMYFUNCTION(" VLOOKUP(A3589, IMPORTRANGE(""https://docs.google.com/spreadsheets/d/1QNLbnkR_AongFt22vMfNzfpjZ0CjpI8QI-w0wBnYA1w/"", ""Инфа!A:AA""), 6, FALSE)"),2024)</f>
        <v>2024</v>
      </c>
      <c r="J3592" s="5">
        <f t="shared" ca="1" si="121"/>
        <v>9300</v>
      </c>
      <c r="K3592" s="12" t="s">
        <v>13791</v>
      </c>
      <c r="L3592" s="15" t="s">
        <v>13792</v>
      </c>
    </row>
    <row r="3593" spans="1:12" ht="135">
      <c r="A3593" s="8" t="s">
        <v>13793</v>
      </c>
      <c r="B3593" s="9" t="s">
        <v>12</v>
      </c>
      <c r="C3593" s="10" t="s">
        <v>443</v>
      </c>
      <c r="D3593" s="10" t="str">
        <f ca="1">IFERROR(__xludf.DUMMYFUNCTION(" VLOOKUP(A3590, IMPORTRANGE(""https://docs.google.com/spreadsheets/d/1fj_Bhi2XPL3siwIh4sx4VRLAe31yD50oKdj5UlRYW0c/"", ""Сводка!A:AA""), 11, FALSE)"),"978-601-327-395-2")</f>
        <v>978-601-327-395-2</v>
      </c>
      <c r="E3593" s="22" t="s">
        <v>13794</v>
      </c>
      <c r="F3593" s="22" t="s">
        <v>13795</v>
      </c>
      <c r="G3593" s="12">
        <f ca="1">IFERROR(__xludf.DUMMYFUNCTION(" VLOOKUP(A3590, IMPORTRANGE(""https://docs.google.com/spreadsheets/d/1fj_Bhi2XPL3siwIh4sx4VRLAe31yD50oKdj5UlRYW0c/"", ""Сводка!A:AA""), 5, FALSE)"),344)</f>
        <v>344</v>
      </c>
      <c r="H3593" s="10" t="s">
        <v>538</v>
      </c>
      <c r="I3593" s="10">
        <f ca="1">IFERROR(__xludf.DUMMYFUNCTION(" VLOOKUP(A3590, IMPORTRANGE(""https://docs.google.com/spreadsheets/d/1QNLbnkR_AongFt22vMfNzfpjZ0CjpI8QI-w0wBnYA1w/"", ""Инфа!A:AA""), 6, FALSE)"),2024)</f>
        <v>2024</v>
      </c>
      <c r="J3593" s="5">
        <f t="shared" ca="1" si="121"/>
        <v>15300</v>
      </c>
      <c r="K3593" s="9" t="s">
        <v>539</v>
      </c>
      <c r="L3593" s="23" t="s">
        <v>13796</v>
      </c>
    </row>
    <row r="3594" spans="1:12" ht="213.75">
      <c r="A3594" s="8" t="s">
        <v>13797</v>
      </c>
      <c r="B3594" s="9" t="s">
        <v>12</v>
      </c>
      <c r="C3594" s="10" t="s">
        <v>151</v>
      </c>
      <c r="D3594" s="10" t="str">
        <f ca="1">IFERROR(__xludf.DUMMYFUNCTION(" VLOOKUP(A3591, IMPORTRANGE(""https://docs.google.com/spreadsheets/d/1fj_Bhi2XPL3siwIh4sx4VRLAe31yD50oKdj5UlRYW0c/"", ""Сводка!A:AA""), 11, FALSE)"),"978-601-327-272-6")</f>
        <v>978-601-327-272-6</v>
      </c>
      <c r="E3594" s="11" t="s">
        <v>13798</v>
      </c>
      <c r="F3594" s="11" t="s">
        <v>13799</v>
      </c>
      <c r="G3594" s="12">
        <f ca="1">IFERROR(__xludf.DUMMYFUNCTION(" VLOOKUP(A3591, IMPORTRANGE(""https://docs.google.com/spreadsheets/d/1fj_Bhi2XPL3siwIh4sx4VRLAe31yD50oKdj5UlRYW0c/"", ""Сводка!A:AA""), 5, FALSE)"),232)</f>
        <v>232</v>
      </c>
      <c r="H3594" s="12" t="s">
        <v>47</v>
      </c>
      <c r="I3594" s="10">
        <f ca="1">IFERROR(__xludf.DUMMYFUNCTION(" VLOOKUP(A3591, IMPORTRANGE(""https://docs.google.com/spreadsheets/d/1QNLbnkR_AongFt22vMfNzfpjZ0CjpI8QI-w0wBnYA1w/"", ""Инфа!A:AA""), 6, FALSE)"),2024)</f>
        <v>2024</v>
      </c>
      <c r="J3594" s="5">
        <f t="shared" ca="1" si="121"/>
        <v>12000</v>
      </c>
      <c r="K3594" s="12" t="s">
        <v>160</v>
      </c>
      <c r="L3594" s="15" t="s">
        <v>13800</v>
      </c>
    </row>
    <row r="3595" spans="1:12" ht="213.75">
      <c r="A3595" s="8" t="s">
        <v>13801</v>
      </c>
      <c r="B3595" s="9" t="s">
        <v>12</v>
      </c>
      <c r="C3595" s="10" t="s">
        <v>151</v>
      </c>
      <c r="D3595" s="10" t="str">
        <f ca="1">IFERROR(__xludf.DUMMYFUNCTION(" VLOOKUP(A3592, IMPORTRANGE(""https://docs.google.com/spreadsheets/d/1fj_Bhi2XPL3siwIh4sx4VRLAe31yD50oKdj5UlRYW0c/"", ""Сводка!A:AA""), 11, FALSE)"),"978-601-327-272-6")</f>
        <v>978-601-327-272-6</v>
      </c>
      <c r="E3595" s="11" t="s">
        <v>13798</v>
      </c>
      <c r="F3595" s="11" t="s">
        <v>13802</v>
      </c>
      <c r="G3595" s="12">
        <f ca="1">IFERROR(__xludf.DUMMYFUNCTION(" VLOOKUP(A3592, IMPORTRANGE(""https://docs.google.com/spreadsheets/d/1fj_Bhi2XPL3siwIh4sx4VRLAe31yD50oKdj5UlRYW0c/"", ""Сводка!A:AA""), 5, FALSE)"),184)</f>
        <v>184</v>
      </c>
      <c r="H3595" s="12" t="s">
        <v>47</v>
      </c>
      <c r="I3595" s="10">
        <f ca="1">IFERROR(__xludf.DUMMYFUNCTION(" VLOOKUP(A3592, IMPORTRANGE(""https://docs.google.com/spreadsheets/d/1QNLbnkR_AongFt22vMfNzfpjZ0CjpI8QI-w0wBnYA1w/"", ""Инфа!A:AA""), 6, FALSE)"),2024)</f>
        <v>2024</v>
      </c>
      <c r="J3595" s="5">
        <f ca="1">ROUND((5000+G3595*60),-2)</f>
        <v>16000</v>
      </c>
      <c r="K3595" s="12" t="s">
        <v>160</v>
      </c>
      <c r="L3595" s="15" t="s">
        <v>13800</v>
      </c>
    </row>
    <row r="3596" spans="1:12" ht="292.5">
      <c r="A3596" s="8" t="s">
        <v>13803</v>
      </c>
      <c r="B3596" s="9" t="s">
        <v>12</v>
      </c>
      <c r="C3596" s="10" t="s">
        <v>443</v>
      </c>
      <c r="D3596" s="10" t="str">
        <f ca="1">IFERROR(__xludf.DUMMYFUNCTION(" VLOOKUP(A3593, IMPORTRANGE(""https://docs.google.com/spreadsheets/d/1fj_Bhi2XPL3siwIh4sx4VRLAe31yD50oKdj5UlRYW0c/"", ""Сводка!A:AA""), 11, FALSE)"),"978-601-327-535-2")</f>
        <v>978-601-327-535-2</v>
      </c>
      <c r="E3596" s="11" t="s">
        <v>13804</v>
      </c>
      <c r="F3596" s="11" t="s">
        <v>13805</v>
      </c>
      <c r="G3596" s="12">
        <f ca="1">IFERROR(__xludf.DUMMYFUNCTION(" VLOOKUP(A3593, IMPORTRANGE(""https://docs.google.com/spreadsheets/d/1fj_Bhi2XPL3siwIh4sx4VRLAe31yD50oKdj5UlRYW0c/"", ""Сводка!A:AA""), 5, FALSE)"),100)</f>
        <v>100</v>
      </c>
      <c r="H3596" s="12" t="s">
        <v>1908</v>
      </c>
      <c r="I3596" s="10">
        <f ca="1">IFERROR(__xludf.DUMMYFUNCTION(" VLOOKUP(A3593, IMPORTRANGE(""https://docs.google.com/spreadsheets/d/1QNLbnkR_AongFt22vMfNzfpjZ0CjpI8QI-w0wBnYA1w/"", ""Инфа!A:AA""), 6, FALSE)"),2024)</f>
        <v>2024</v>
      </c>
      <c r="J3596" s="5">
        <f ca="1">ROUND((5000+G3596*30),-2)</f>
        <v>8000</v>
      </c>
      <c r="K3596" s="12" t="s">
        <v>1240</v>
      </c>
      <c r="L3596" s="15" t="s">
        <v>13806</v>
      </c>
    </row>
    <row r="3597" spans="1:12" ht="303.75">
      <c r="A3597" s="8" t="s">
        <v>13807</v>
      </c>
      <c r="B3597" s="9" t="s">
        <v>12</v>
      </c>
      <c r="C3597" s="10" t="s">
        <v>443</v>
      </c>
      <c r="D3597" s="10" t="str">
        <f ca="1">IFERROR(__xludf.DUMMYFUNCTION(" VLOOKUP(A3594, IMPORTRANGE(""https://docs.google.com/spreadsheets/d/1fj_Bhi2XPL3siwIh4sx4VRLAe31yD50oKdj5UlRYW0c/"", ""Сводка!A:AA""), 11, FALSE)"),"978-601-327-297-9")</f>
        <v>978-601-327-297-9</v>
      </c>
      <c r="E3597" s="11" t="s">
        <v>13808</v>
      </c>
      <c r="F3597" s="11" t="s">
        <v>13809</v>
      </c>
      <c r="G3597" s="12">
        <f ca="1">IFERROR(__xludf.DUMMYFUNCTION(" VLOOKUP(A3594, IMPORTRANGE(""https://docs.google.com/spreadsheets/d/1fj_Bhi2XPL3siwIh4sx4VRLAe31yD50oKdj5UlRYW0c/"", ""Сводка!A:AA""), 5, FALSE)"),320)</f>
        <v>320</v>
      </c>
      <c r="H3597" s="12" t="s">
        <v>1908</v>
      </c>
      <c r="I3597" s="10">
        <f ca="1">IFERROR(__xludf.DUMMYFUNCTION(" VLOOKUP(A3594, IMPORTRANGE(""https://docs.google.com/spreadsheets/d/1QNLbnkR_AongFt22vMfNzfpjZ0CjpI8QI-w0wBnYA1w/"", ""Инфа!A:AA""), 6, FALSE)"),2024)</f>
        <v>2024</v>
      </c>
      <c r="J3597" s="5">
        <f ca="1">ROUND((5000+G3597*30),-2)</f>
        <v>14600</v>
      </c>
      <c r="K3597" s="12" t="s">
        <v>2046</v>
      </c>
      <c r="L3597" s="15" t="s">
        <v>13810</v>
      </c>
    </row>
    <row r="3598" spans="1:12" ht="258.75">
      <c r="A3598" s="8" t="s">
        <v>13811</v>
      </c>
      <c r="B3598" s="9" t="s">
        <v>12</v>
      </c>
      <c r="C3598" s="10" t="s">
        <v>443</v>
      </c>
      <c r="D3598" s="10" t="str">
        <f ca="1">IFERROR(__xludf.DUMMYFUNCTION(" VLOOKUP(A3595, IMPORTRANGE(""https://docs.google.com/spreadsheets/d/1fj_Bhi2XPL3siwIh4sx4VRLAe31yD50oKdj5UlRYW0c/"", ""Сводка!A:AA""), 11, FALSE)"),"978-601-327-299-3")</f>
        <v>978-601-327-299-3</v>
      </c>
      <c r="E3598" s="11" t="s">
        <v>13812</v>
      </c>
      <c r="F3598" s="11" t="s">
        <v>13813</v>
      </c>
      <c r="G3598" s="12">
        <f ca="1">IFERROR(__xludf.DUMMYFUNCTION(" VLOOKUP(A3595, IMPORTRANGE(""https://docs.google.com/spreadsheets/d/1fj_Bhi2XPL3siwIh4sx4VRLAe31yD50oKdj5UlRYW0c/"", ""Сводка!A:AA""), 5, FALSE)"),124)</f>
        <v>124</v>
      </c>
      <c r="H3598" s="12" t="s">
        <v>1271</v>
      </c>
      <c r="I3598" s="10">
        <f ca="1">IFERROR(__xludf.DUMMYFUNCTION(" VLOOKUP(A3595, IMPORTRANGE(""https://docs.google.com/spreadsheets/d/1QNLbnkR_AongFt22vMfNzfpjZ0CjpI8QI-w0wBnYA1w/"", ""Инфа!A:AA""), 6, FALSE)"),2024)</f>
        <v>2024</v>
      </c>
      <c r="J3598" s="5">
        <f ca="1">ROUND((5000+G3598*60),-2)</f>
        <v>12400</v>
      </c>
      <c r="K3598" s="12" t="s">
        <v>2046</v>
      </c>
      <c r="L3598" s="15" t="s">
        <v>13814</v>
      </c>
    </row>
    <row r="3599" spans="1:12" ht="303.75">
      <c r="A3599" s="8" t="s">
        <v>13815</v>
      </c>
      <c r="B3599" s="9" t="s">
        <v>12</v>
      </c>
      <c r="C3599" s="10" t="s">
        <v>151</v>
      </c>
      <c r="D3599" s="10" t="str">
        <f ca="1">IFERROR(__xludf.DUMMYFUNCTION(" VLOOKUP(A3596, IMPORTRANGE(""https://docs.google.com/spreadsheets/d/1fj_Bhi2XPL3siwIh4sx4VRLAe31yD50oKdj5UlRYW0c/"", ""Сводка!A:AA""), 11, FALSE)"),"978-601-327-298-6")</f>
        <v>978-601-327-298-6</v>
      </c>
      <c r="E3599" s="11" t="s">
        <v>13816</v>
      </c>
      <c r="F3599" s="11" t="s">
        <v>13817</v>
      </c>
      <c r="G3599" s="12">
        <f ca="1">IFERROR(__xludf.DUMMYFUNCTION(" VLOOKUP(A3596, IMPORTRANGE(""https://docs.google.com/spreadsheets/d/1fj_Bhi2XPL3siwIh4sx4VRLAe31yD50oKdj5UlRYW0c/"", ""Сводка!A:AA""), 5, FALSE)"),138)</f>
        <v>138</v>
      </c>
      <c r="H3599" s="12" t="s">
        <v>47</v>
      </c>
      <c r="I3599" s="10">
        <f ca="1">IFERROR(__xludf.DUMMYFUNCTION(" VLOOKUP(A3596, IMPORTRANGE(""https://docs.google.com/spreadsheets/d/1QNLbnkR_AongFt22vMfNzfpjZ0CjpI8QI-w0wBnYA1w/"", ""Инфа!A:AA""), 6, FALSE)"),2024)</f>
        <v>2024</v>
      </c>
      <c r="J3599" s="5">
        <f ca="1">ROUND((5000+G3599*60),-2)</f>
        <v>13300</v>
      </c>
      <c r="K3599" s="12" t="s">
        <v>2046</v>
      </c>
      <c r="L3599" s="15" t="s">
        <v>13818</v>
      </c>
    </row>
    <row r="3600" spans="1:12" ht="247.5">
      <c r="A3600" s="8" t="s">
        <v>13819</v>
      </c>
      <c r="B3600" s="9" t="s">
        <v>12</v>
      </c>
      <c r="C3600" s="10" t="s">
        <v>443</v>
      </c>
      <c r="D3600" s="10" t="str">
        <f ca="1">IFERROR(__xludf.DUMMYFUNCTION(" VLOOKUP(A3597, IMPORTRANGE(""https://docs.google.com/spreadsheets/d/1fj_Bhi2XPL3siwIh4sx4VRLAe31yD50oKdj5UlRYW0c/"", ""Сводка!A:AA""), 11, FALSE)"),"978-601-327-788-3")</f>
        <v>978-601-327-788-3</v>
      </c>
      <c r="E3600" s="11" t="s">
        <v>13820</v>
      </c>
      <c r="F3600" s="11" t="s">
        <v>13821</v>
      </c>
      <c r="G3600" s="12">
        <f ca="1">IFERROR(__xludf.DUMMYFUNCTION(" VLOOKUP(A3597, IMPORTRANGE(""https://docs.google.com/spreadsheets/d/1fj_Bhi2XPL3siwIh4sx4VRLAe31yD50oKdj5UlRYW0c/"", ""Сводка!A:AA""), 5, FALSE)"),188)</f>
        <v>188</v>
      </c>
      <c r="H3600" s="10" t="s">
        <v>106</v>
      </c>
      <c r="I3600" s="10">
        <f ca="1">IFERROR(__xludf.DUMMYFUNCTION(" VLOOKUP(A3597, IMPORTRANGE(""https://docs.google.com/spreadsheets/d/1QNLbnkR_AongFt22vMfNzfpjZ0CjpI8QI-w0wBnYA1w/"", ""Инфа!A:AA""), 6, FALSE)"),2024)</f>
        <v>2024</v>
      </c>
      <c r="J3600" s="5">
        <f ca="1">ROUND((5000+G3600*60),-2)</f>
        <v>16300</v>
      </c>
      <c r="K3600" s="9" t="s">
        <v>408</v>
      </c>
      <c r="L3600" s="15" t="s">
        <v>13822</v>
      </c>
    </row>
    <row r="3601" spans="1:12" ht="25.5">
      <c r="A3601" s="8" t="s">
        <v>13823</v>
      </c>
      <c r="B3601" s="9" t="s">
        <v>12</v>
      </c>
      <c r="C3601" s="10" t="s">
        <v>443</v>
      </c>
      <c r="D3601" s="10" t="str">
        <f ca="1">IFERROR(__xludf.DUMMYFUNCTION(" VLOOKUP(A3598, IMPORTRANGE(""https://docs.google.com/spreadsheets/d/1fj_Bhi2XPL3siwIh4sx4VRLAe31yD50oKdj5UlRYW0c/"", ""Сводка!A:AA""), 11, FALSE)"),"975-604-114-510-8")</f>
        <v>975-604-114-510-8</v>
      </c>
      <c r="E3601" s="11" t="s">
        <v>13824</v>
      </c>
      <c r="F3601" s="11" t="s">
        <v>13825</v>
      </c>
      <c r="G3601" s="12">
        <f ca="1">IFERROR(__xludf.DUMMYFUNCTION(" VLOOKUP(A3598, IMPORTRANGE(""https://docs.google.com/spreadsheets/d/1fj_Bhi2XPL3siwIh4sx4VRLAe31yD50oKdj5UlRYW0c/"", ""Сводка!A:AA""), 5, FALSE)"),152)</f>
        <v>152</v>
      </c>
      <c r="H3601" s="12" t="s">
        <v>538</v>
      </c>
      <c r="I3601" s="10">
        <f ca="1">IFERROR(__xludf.DUMMYFUNCTION(" VLOOKUP(A3598, IMPORTRANGE(""https://docs.google.com/spreadsheets/d/1QNLbnkR_AongFt22vMfNzfpjZ0CjpI8QI-w0wBnYA1w/"", ""Инфа!A:AA""), 6, FALSE)"),2024)</f>
        <v>2024</v>
      </c>
      <c r="J3601" s="5">
        <f ca="1">ROUND((5000+G3601*30),-2)</f>
        <v>9600</v>
      </c>
      <c r="K3601" s="12" t="s">
        <v>287</v>
      </c>
      <c r="L3601" s="15"/>
    </row>
    <row r="3602" spans="1:12" ht="25.5">
      <c r="A3602" s="8" t="s">
        <v>13826</v>
      </c>
      <c r="B3602" s="9" t="s">
        <v>12</v>
      </c>
      <c r="C3602" s="10" t="s">
        <v>151</v>
      </c>
      <c r="D3602" s="10" t="str">
        <f ca="1">IFERROR(__xludf.DUMMYFUNCTION(" VLOOKUP(A3599, IMPORTRANGE(""https://docs.google.com/spreadsheets/d/1fj_Bhi2XPL3siwIh4sx4VRLAe31yD50oKdj5UlRYW0c/"", ""Сводка!A:AA""), 11, FALSE)"),"978-601-240-072-4")</f>
        <v>978-601-240-072-4</v>
      </c>
      <c r="E3602" s="11" t="s">
        <v>13827</v>
      </c>
      <c r="F3602" s="11" t="s">
        <v>13828</v>
      </c>
      <c r="G3602" s="12">
        <f ca="1">IFERROR(__xludf.DUMMYFUNCTION(" VLOOKUP(A3599, IMPORTRANGE(""https://docs.google.com/spreadsheets/d/1fj_Bhi2XPL3siwIh4sx4VRLAe31yD50oKdj5UlRYW0c/"", ""Сводка!A:AA""), 5, FALSE)"),172)</f>
        <v>172</v>
      </c>
      <c r="H3602" s="12" t="s">
        <v>47</v>
      </c>
      <c r="I3602" s="10">
        <f ca="1">IFERROR(__xludf.DUMMYFUNCTION(" VLOOKUP(A3599, IMPORTRANGE(""https://docs.google.com/spreadsheets/d/1QNLbnkR_AongFt22vMfNzfpjZ0CjpI8QI-w0wBnYA1w/"", ""Инфа!A:AA""), 6, FALSE)"),2024)</f>
        <v>2024</v>
      </c>
      <c r="J3602" s="5">
        <f ca="1">ROUND((5000+G3602*30),-2)</f>
        <v>10200</v>
      </c>
      <c r="K3602" s="12" t="s">
        <v>4043</v>
      </c>
      <c r="L3602" s="15"/>
    </row>
    <row r="3603" spans="1:12" ht="45">
      <c r="A3603" s="8" t="s">
        <v>13829</v>
      </c>
      <c r="B3603" s="9" t="s">
        <v>12</v>
      </c>
      <c r="C3603" s="10" t="s">
        <v>443</v>
      </c>
      <c r="D3603" s="10" t="str">
        <f ca="1">IFERROR(__xludf.DUMMYFUNCTION(" VLOOKUP(A3600, IMPORTRANGE(""https://docs.google.com/spreadsheets/d/1fj_Bhi2XPL3siwIh4sx4VRLAe31yD50oKdj5UlRYW0c/"", ""Сводка!A:AA""), 11, FALSE)"),"978-601-310-045-6")</f>
        <v>978-601-310-045-6</v>
      </c>
      <c r="E3603" s="11" t="s">
        <v>13830</v>
      </c>
      <c r="F3603" s="11" t="s">
        <v>13831</v>
      </c>
      <c r="G3603" s="12">
        <f ca="1">IFERROR(__xludf.DUMMYFUNCTION(" VLOOKUP(A3600, IMPORTRANGE(""https://docs.google.com/spreadsheets/d/1fj_Bhi2XPL3siwIh4sx4VRLAe31yD50oKdj5UlRYW0c/"", ""Сводка!A:AA""), 5, FALSE)"),344)</f>
        <v>344</v>
      </c>
      <c r="H3603" s="12" t="s">
        <v>511</v>
      </c>
      <c r="I3603" s="10">
        <f ca="1">IFERROR(__xludf.DUMMYFUNCTION(" VLOOKUP(A3600, IMPORTRANGE(""https://docs.google.com/spreadsheets/d/1QNLbnkR_AongFt22vMfNzfpjZ0CjpI8QI-w0wBnYA1w/"", ""Инфа!A:AA""), 6, FALSE)"),2024)</f>
        <v>2024</v>
      </c>
      <c r="J3603" s="5">
        <f ca="1">ROUND((5000+G3603*60),-2)</f>
        <v>25600</v>
      </c>
      <c r="K3603" s="9" t="s">
        <v>171</v>
      </c>
      <c r="L3603" s="15" t="s">
        <v>13832</v>
      </c>
    </row>
    <row r="3604" spans="1:12" ht="157.5">
      <c r="A3604" s="8" t="s">
        <v>13833</v>
      </c>
      <c r="B3604" s="9" t="s">
        <v>12</v>
      </c>
      <c r="C3604" s="10" t="s">
        <v>443</v>
      </c>
      <c r="D3604" s="10" t="str">
        <f ca="1">IFERROR(__xludf.DUMMYFUNCTION(" VLOOKUP(A3601, IMPORTRANGE(""https://docs.google.com/spreadsheets/d/1fj_Bhi2XPL3siwIh4sx4VRLAe31yD50oKdj5UlRYW0c/"", ""Сводка!A:AA""), 11, FALSE)"),"978-601-327-489-8")</f>
        <v>978-601-327-489-8</v>
      </c>
      <c r="E3604" s="22" t="s">
        <v>13834</v>
      </c>
      <c r="F3604" s="22" t="s">
        <v>13835</v>
      </c>
      <c r="G3604" s="12">
        <f ca="1">IFERROR(__xludf.DUMMYFUNCTION(" VLOOKUP(A3601, IMPORTRANGE(""https://docs.google.com/spreadsheets/d/1fj_Bhi2XPL3siwIh4sx4VRLAe31yD50oKdj5UlRYW0c/"", ""Сводка!A:AA""), 5, FALSE)"),100)</f>
        <v>100</v>
      </c>
      <c r="H3604" s="10" t="s">
        <v>538</v>
      </c>
      <c r="I3604" s="10">
        <f ca="1">IFERROR(__xludf.DUMMYFUNCTION(" VLOOKUP(A3601, IMPORTRANGE(""https://docs.google.com/spreadsheets/d/1QNLbnkR_AongFt22vMfNzfpjZ0CjpI8QI-w0wBnYA1w/"", ""Инфа!A:AA""), 6, FALSE)"),2024)</f>
        <v>2024</v>
      </c>
      <c r="J3604" s="5">
        <f ca="1">ROUND((5000+G3604*60),-2)</f>
        <v>11000</v>
      </c>
      <c r="K3604" s="12" t="s">
        <v>302</v>
      </c>
      <c r="L3604" s="23" t="s">
        <v>13836</v>
      </c>
    </row>
    <row r="3605" spans="1:12" ht="90">
      <c r="A3605" s="8" t="s">
        <v>13837</v>
      </c>
      <c r="B3605" s="9" t="s">
        <v>12</v>
      </c>
      <c r="C3605" s="10" t="s">
        <v>13</v>
      </c>
      <c r="D3605" s="10" t="str">
        <f ca="1">IFERROR(__xludf.DUMMYFUNCTION(" VLOOKUP(A3602, IMPORTRANGE(""https://docs.google.com/spreadsheets/d/1fj_Bhi2XPL3siwIh4sx4VRLAe31yD50oKdj5UlRYW0c/"", ""Сводка!A:AA""), 11, FALSE)"),"978-601-310-361-8")</f>
        <v>978-601-310-361-8</v>
      </c>
      <c r="E3605" s="22" t="s">
        <v>13838</v>
      </c>
      <c r="F3605" s="22" t="s">
        <v>13839</v>
      </c>
      <c r="G3605" s="12">
        <f ca="1">IFERROR(__xludf.DUMMYFUNCTION(" VLOOKUP(A3602, IMPORTRANGE(""https://docs.google.com/spreadsheets/d/1fj_Bhi2XPL3siwIh4sx4VRLAe31yD50oKdj5UlRYW0c/"", ""Сводка!A:AA""), 5, FALSE)"),128)</f>
        <v>128</v>
      </c>
      <c r="H3605" s="10"/>
      <c r="I3605" s="10">
        <f ca="1">IFERROR(__xludf.DUMMYFUNCTION(" VLOOKUP(A3602, IMPORTRANGE(""https://docs.google.com/spreadsheets/d/1QNLbnkR_AongFt22vMfNzfpjZ0CjpI8QI-w0wBnYA1w/"", ""Инфа!A:AA""), 6, FALSE)"),2024)</f>
        <v>2024</v>
      </c>
      <c r="J3605" s="5">
        <f ca="1">ROUND((5000+G3605*60),-2)</f>
        <v>12700</v>
      </c>
      <c r="K3605" s="12" t="s">
        <v>160</v>
      </c>
      <c r="L3605" s="23" t="s">
        <v>13840</v>
      </c>
    </row>
    <row r="3606" spans="1:12" ht="123.75">
      <c r="A3606" s="8" t="s">
        <v>13841</v>
      </c>
      <c r="B3606" s="9" t="s">
        <v>12</v>
      </c>
      <c r="C3606" s="10" t="s">
        <v>443</v>
      </c>
      <c r="D3606" s="10" t="str">
        <f ca="1">IFERROR(__xludf.DUMMYFUNCTION(" VLOOKUP(A3603, IMPORTRANGE(""https://docs.google.com/spreadsheets/d/1fj_Bhi2XPL3siwIh4sx4VRLAe31yD50oKdj5UlRYW0c/"", ""Сводка!A:AA""), 11, FALSE)"),"978-601-342-440-8")</f>
        <v>978-601-342-440-8</v>
      </c>
      <c r="E3606" s="22" t="s">
        <v>13842</v>
      </c>
      <c r="F3606" s="22" t="s">
        <v>13843</v>
      </c>
      <c r="G3606" s="12">
        <f ca="1">IFERROR(__xludf.DUMMYFUNCTION(" VLOOKUP(A3603, IMPORTRANGE(""https://docs.google.com/spreadsheets/d/1fj_Bhi2XPL3siwIh4sx4VRLAe31yD50oKdj5UlRYW0c/"", ""Сводка!A:AA""), 5, FALSE)"),152)</f>
        <v>152</v>
      </c>
      <c r="H3606" s="10" t="s">
        <v>1633</v>
      </c>
      <c r="I3606" s="10">
        <f ca="1">IFERROR(__xludf.DUMMYFUNCTION(" VLOOKUP(A3603, IMPORTRANGE(""https://docs.google.com/spreadsheets/d/1QNLbnkR_AongFt22vMfNzfpjZ0CjpI8QI-w0wBnYA1w/"", ""Инфа!A:AA""), 6, FALSE)"),2024)</f>
        <v>2024</v>
      </c>
      <c r="J3606" s="5">
        <f ca="1">ROUND((5000+G3606*60),-2)</f>
        <v>14100</v>
      </c>
      <c r="K3606" s="10" t="s">
        <v>539</v>
      </c>
      <c r="L3606" s="23" t="s">
        <v>13844</v>
      </c>
    </row>
    <row r="3607" spans="1:12" ht="123.75">
      <c r="A3607" s="8" t="s">
        <v>13845</v>
      </c>
      <c r="B3607" s="9" t="s">
        <v>12</v>
      </c>
      <c r="C3607" s="10" t="s">
        <v>443</v>
      </c>
      <c r="D3607" s="10" t="str">
        <f ca="1">IFERROR(__xludf.DUMMYFUNCTION(" VLOOKUP(A3604, IMPORTRANGE(""https://docs.google.com/spreadsheets/d/1fj_Bhi2XPL3siwIh4sx4VRLAe31yD50oKdj5UlRYW0c/"", ""Сводка!A:AA""), 11, FALSE)"),"978-601-342-440-8")</f>
        <v>978-601-342-440-8</v>
      </c>
      <c r="E3607" s="22" t="s">
        <v>13842</v>
      </c>
      <c r="F3607" s="22" t="s">
        <v>13846</v>
      </c>
      <c r="G3607" s="12">
        <f ca="1">IFERROR(__xludf.DUMMYFUNCTION(" VLOOKUP(A3604, IMPORTRANGE(""https://docs.google.com/spreadsheets/d/1fj_Bhi2XPL3siwIh4sx4VRLAe31yD50oKdj5UlRYW0c/"", ""Сводка!A:AA""), 5, FALSE)"),320)</f>
        <v>320</v>
      </c>
      <c r="H3607" s="10" t="s">
        <v>1633</v>
      </c>
      <c r="I3607" s="10">
        <f ca="1">IFERROR(__xludf.DUMMYFUNCTION(" VLOOKUP(A3604, IMPORTRANGE(""https://docs.google.com/spreadsheets/d/1QNLbnkR_AongFt22vMfNzfpjZ0CjpI8QI-w0wBnYA1w/"", ""Инфа!A:AA""), 6, FALSE)"),2024)</f>
        <v>2024</v>
      </c>
      <c r="J3607" s="5">
        <f ca="1">ROUND((5000+G3607*30),-2)</f>
        <v>14600</v>
      </c>
      <c r="K3607" s="10" t="s">
        <v>539</v>
      </c>
      <c r="L3607" s="23" t="s">
        <v>13844</v>
      </c>
    </row>
    <row r="3608" spans="1:12">
      <c r="A3608" s="8"/>
      <c r="B3608" s="9"/>
      <c r="C3608" s="10"/>
      <c r="D3608" s="10"/>
      <c r="E3608" s="11"/>
      <c r="F3608" s="11"/>
      <c r="G3608" s="12"/>
      <c r="H3608" s="12"/>
      <c r="I3608" s="10"/>
      <c r="J3608" s="5"/>
      <c r="K3608" s="9"/>
      <c r="L3608" s="15"/>
    </row>
    <row r="3609" spans="1:12">
      <c r="A3609" s="8"/>
      <c r="B3609" s="9"/>
      <c r="C3609" s="10"/>
      <c r="D3609" s="10"/>
      <c r="E3609" s="11"/>
      <c r="F3609" s="11"/>
      <c r="G3609" s="12"/>
      <c r="H3609" s="12"/>
      <c r="I3609" s="10"/>
      <c r="J3609" s="5"/>
      <c r="K3609" s="9"/>
      <c r="L3609" s="15"/>
    </row>
    <row r="3610" spans="1:12">
      <c r="A3610" s="8"/>
      <c r="B3610" s="9"/>
      <c r="C3610" s="10"/>
      <c r="D3610" s="10"/>
      <c r="E3610" s="11"/>
      <c r="F3610" s="11"/>
      <c r="G3610" s="12"/>
      <c r="H3610" s="12"/>
      <c r="I3610" s="10"/>
      <c r="J3610" s="5"/>
      <c r="K3610" s="9"/>
      <c r="L3610" s="15"/>
    </row>
    <row r="3611" spans="1:12">
      <c r="A3611" s="8"/>
      <c r="B3611" s="9"/>
      <c r="C3611" s="10"/>
      <c r="D3611" s="10"/>
      <c r="E3611" s="11"/>
      <c r="F3611" s="11"/>
      <c r="G3611" s="12"/>
      <c r="H3611" s="12"/>
      <c r="I3611" s="10"/>
      <c r="J3611" s="5"/>
      <c r="K3611" s="12"/>
      <c r="L3611" s="15"/>
    </row>
    <row r="3612" spans="1:12">
      <c r="A3612" s="8"/>
      <c r="B3612" s="9"/>
      <c r="C3612" s="10"/>
      <c r="D3612" s="10"/>
      <c r="E3612" s="11"/>
      <c r="F3612" s="11"/>
      <c r="G3612" s="12"/>
      <c r="H3612" s="12"/>
      <c r="I3612" s="10"/>
      <c r="J3612" s="5"/>
      <c r="K3612" s="12"/>
      <c r="L3612" s="15"/>
    </row>
    <row r="3613" spans="1:12">
      <c r="A3613" s="8"/>
      <c r="B3613" s="9"/>
      <c r="C3613" s="10"/>
      <c r="D3613" s="10"/>
      <c r="E3613" s="11"/>
      <c r="F3613" s="11"/>
      <c r="G3613" s="12"/>
      <c r="H3613" s="12"/>
      <c r="I3613" s="10"/>
      <c r="J3613" s="5"/>
      <c r="K3613" s="12"/>
      <c r="L3613" s="15"/>
    </row>
    <row r="3614" spans="1:12">
      <c r="A3614" s="8"/>
      <c r="B3614" s="9"/>
      <c r="C3614" s="10"/>
      <c r="D3614" s="10"/>
      <c r="E3614" s="11"/>
      <c r="F3614" s="11"/>
      <c r="G3614" s="12"/>
      <c r="H3614" s="12"/>
      <c r="I3614" s="10"/>
      <c r="J3614" s="5"/>
      <c r="K3614" s="12"/>
      <c r="L3614" s="15"/>
    </row>
    <row r="3615" spans="1:12">
      <c r="A3615" s="8"/>
      <c r="B3615" s="9"/>
      <c r="C3615" s="10"/>
      <c r="D3615" s="10"/>
      <c r="E3615" s="11"/>
      <c r="F3615" s="11"/>
      <c r="G3615" s="12"/>
      <c r="H3615" s="12"/>
      <c r="I3615" s="10"/>
      <c r="J3615" s="5"/>
      <c r="K3615" s="12"/>
      <c r="L3615" s="15"/>
    </row>
    <row r="3616" spans="1:12">
      <c r="A3616" s="8"/>
      <c r="B3616" s="9"/>
      <c r="C3616" s="10"/>
      <c r="D3616" s="10"/>
      <c r="E3616" s="11"/>
      <c r="F3616" s="11"/>
      <c r="G3616" s="12"/>
      <c r="H3616" s="12"/>
      <c r="I3616" s="10"/>
      <c r="J3616" s="5"/>
      <c r="K3616" s="9"/>
      <c r="L3616" s="15"/>
    </row>
    <row r="3617" spans="1:12">
      <c r="A3617" s="8"/>
      <c r="B3617" s="9"/>
      <c r="C3617" s="10"/>
      <c r="D3617" s="10"/>
      <c r="E3617" s="11"/>
      <c r="F3617" s="11"/>
      <c r="G3617" s="12"/>
      <c r="H3617" s="12"/>
      <c r="I3617" s="10"/>
      <c r="J3617" s="5"/>
      <c r="K3617" s="9"/>
      <c r="L3617" s="15"/>
    </row>
    <row r="3618" spans="1:12">
      <c r="A3618" s="8"/>
      <c r="B3618" s="9"/>
      <c r="C3618" s="10"/>
      <c r="D3618" s="10"/>
      <c r="E3618" s="11"/>
      <c r="F3618" s="11"/>
      <c r="G3618" s="12"/>
      <c r="H3618" s="12"/>
      <c r="I3618" s="10"/>
      <c r="J3618" s="5"/>
      <c r="K3618" s="12"/>
      <c r="L3618" s="15"/>
    </row>
    <row r="3619" spans="1:12">
      <c r="A3619" s="8"/>
      <c r="B3619" s="9"/>
      <c r="C3619" s="10"/>
      <c r="D3619" s="10"/>
      <c r="E3619" s="11"/>
      <c r="F3619" s="11"/>
      <c r="G3619" s="12"/>
      <c r="H3619" s="12"/>
      <c r="I3619" s="10"/>
      <c r="J3619" s="5"/>
      <c r="K3619" s="12"/>
      <c r="L3619" s="15"/>
    </row>
    <row r="3620" spans="1:12">
      <c r="A3620" s="8"/>
      <c r="B3620" s="9"/>
      <c r="C3620" s="10"/>
      <c r="D3620" s="10"/>
      <c r="E3620" s="11"/>
      <c r="F3620" s="11"/>
      <c r="G3620" s="12"/>
      <c r="H3620" s="12"/>
      <c r="I3620" s="10"/>
      <c r="J3620" s="5"/>
      <c r="K3620" s="12"/>
      <c r="L3620" s="15"/>
    </row>
    <row r="3621" spans="1:12">
      <c r="A3621" s="8"/>
      <c r="B3621" s="9"/>
      <c r="C3621" s="10"/>
      <c r="D3621" s="10"/>
      <c r="E3621" s="11"/>
      <c r="F3621" s="11"/>
      <c r="G3621" s="12"/>
      <c r="H3621" s="12"/>
      <c r="I3621" s="10"/>
      <c r="J3621" s="5"/>
      <c r="K3621" s="12"/>
      <c r="L3621" s="15"/>
    </row>
    <row r="3622" spans="1:12">
      <c r="A3622" s="8"/>
      <c r="B3622" s="9"/>
      <c r="C3622" s="10"/>
      <c r="D3622" s="10"/>
      <c r="E3622" s="11"/>
      <c r="F3622" s="11"/>
      <c r="G3622" s="12"/>
      <c r="H3622" s="12"/>
      <c r="I3622" s="10"/>
      <c r="J3622" s="5"/>
      <c r="K3622" s="12"/>
      <c r="L3622" s="15"/>
    </row>
    <row r="3623" spans="1:12">
      <c r="A3623" s="8"/>
      <c r="B3623" s="9"/>
      <c r="C3623" s="10"/>
      <c r="D3623" s="10"/>
      <c r="E3623" s="11"/>
      <c r="F3623" s="11"/>
      <c r="G3623" s="12"/>
      <c r="H3623" s="12"/>
      <c r="I3623" s="10"/>
      <c r="J3623" s="5"/>
      <c r="K3623" s="9"/>
      <c r="L3623" s="15"/>
    </row>
    <row r="3624" spans="1:12">
      <c r="A3624" s="8"/>
      <c r="B3624" s="9"/>
      <c r="C3624" s="10"/>
      <c r="D3624" s="10"/>
      <c r="E3624" s="11"/>
      <c r="F3624" s="11"/>
      <c r="G3624" s="12"/>
      <c r="H3624" s="12"/>
      <c r="I3624" s="10"/>
      <c r="J3624" s="5"/>
      <c r="K3624" s="9"/>
      <c r="L3624" s="15"/>
    </row>
    <row r="3625" spans="1:12">
      <c r="A3625" s="8"/>
      <c r="B3625" s="9"/>
      <c r="C3625" s="10"/>
      <c r="D3625" s="10"/>
      <c r="E3625" s="11"/>
      <c r="F3625" s="11"/>
      <c r="G3625" s="12"/>
      <c r="H3625" s="12"/>
      <c r="I3625" s="10"/>
      <c r="J3625" s="5"/>
      <c r="K3625" s="12"/>
      <c r="L3625" s="15"/>
    </row>
    <row r="3626" spans="1:12">
      <c r="A3626" s="8"/>
      <c r="B3626" s="9"/>
      <c r="C3626" s="10"/>
      <c r="D3626" s="10"/>
      <c r="E3626" s="11"/>
      <c r="F3626" s="11"/>
      <c r="G3626" s="12"/>
      <c r="H3626" s="12"/>
      <c r="I3626" s="10"/>
      <c r="J3626" s="5"/>
      <c r="K3626" s="9"/>
      <c r="L3626" s="15"/>
    </row>
    <row r="3627" spans="1:12">
      <c r="A3627" s="8"/>
      <c r="B3627" s="9"/>
      <c r="C3627" s="10"/>
      <c r="D3627" s="10"/>
      <c r="E3627" s="11"/>
      <c r="F3627" s="11"/>
      <c r="G3627" s="12"/>
      <c r="H3627" s="10"/>
      <c r="I3627" s="10"/>
      <c r="J3627" s="5"/>
      <c r="K3627" s="12"/>
      <c r="L3627" s="23"/>
    </row>
    <row r="3628" spans="1:12">
      <c r="A3628" s="8"/>
      <c r="B3628" s="9"/>
      <c r="C3628" s="10"/>
      <c r="D3628" s="10"/>
      <c r="E3628" s="11"/>
      <c r="F3628" s="11"/>
      <c r="G3628" s="12"/>
      <c r="H3628" s="12"/>
      <c r="I3628" s="10"/>
      <c r="J3628" s="5"/>
      <c r="K3628" s="12"/>
      <c r="L3628" s="15"/>
    </row>
    <row r="3629" spans="1:12">
      <c r="A3629" s="8"/>
      <c r="B3629" s="9"/>
      <c r="C3629" s="10"/>
      <c r="D3629" s="10"/>
      <c r="E3629" s="11"/>
      <c r="F3629" s="11"/>
      <c r="G3629" s="12"/>
      <c r="H3629" s="12"/>
      <c r="I3629" s="10"/>
      <c r="J3629" s="5"/>
      <c r="K3629" s="12"/>
      <c r="L3629" s="15"/>
    </row>
    <row r="3630" spans="1:12">
      <c r="A3630" s="8"/>
      <c r="B3630" s="9"/>
      <c r="C3630" s="10"/>
      <c r="D3630" s="10"/>
      <c r="E3630" s="11"/>
      <c r="F3630" s="11"/>
      <c r="G3630" s="12"/>
      <c r="H3630" s="12"/>
      <c r="I3630" s="10"/>
      <c r="J3630" s="5"/>
      <c r="K3630" s="12"/>
      <c r="L3630" s="16"/>
    </row>
    <row r="3631" spans="1:12">
      <c r="A3631" s="8"/>
      <c r="B3631" s="9"/>
      <c r="C3631" s="10"/>
      <c r="D3631" s="10"/>
      <c r="E3631" s="11"/>
      <c r="F3631" s="11"/>
      <c r="G3631" s="12"/>
      <c r="H3631" s="12"/>
      <c r="I3631" s="10"/>
      <c r="J3631" s="5"/>
      <c r="K3631" s="12"/>
      <c r="L3631" s="15"/>
    </row>
    <row r="3632" spans="1:12">
      <c r="A3632" s="8"/>
      <c r="B3632" s="9"/>
      <c r="C3632" s="10"/>
      <c r="D3632" s="10"/>
      <c r="E3632" s="11"/>
      <c r="F3632" s="11"/>
      <c r="G3632" s="12"/>
      <c r="H3632" s="12"/>
      <c r="I3632" s="10"/>
      <c r="J3632" s="5"/>
      <c r="K3632" s="12"/>
      <c r="L3632" s="15"/>
    </row>
    <row r="3633" spans="1:12">
      <c r="A3633" s="8"/>
      <c r="B3633" s="9"/>
      <c r="C3633" s="10"/>
      <c r="D3633" s="10"/>
      <c r="E3633" s="11"/>
      <c r="F3633" s="11"/>
      <c r="G3633" s="12"/>
      <c r="H3633" s="12"/>
      <c r="I3633" s="10"/>
      <c r="J3633" s="5"/>
      <c r="K3633" s="12"/>
      <c r="L3633" s="15"/>
    </row>
    <row r="3634" spans="1:12">
      <c r="A3634" s="8"/>
      <c r="B3634" s="9"/>
      <c r="C3634" s="10"/>
      <c r="D3634" s="10"/>
      <c r="E3634" s="11"/>
      <c r="F3634" s="11"/>
      <c r="G3634" s="12"/>
      <c r="H3634" s="12"/>
      <c r="I3634" s="10"/>
      <c r="J3634" s="5"/>
      <c r="K3634" s="12"/>
      <c r="L3634" s="15"/>
    </row>
    <row r="3635" spans="1:12">
      <c r="A3635" s="8"/>
      <c r="B3635" s="9"/>
      <c r="C3635" s="10"/>
      <c r="D3635" s="10"/>
      <c r="E3635" s="11"/>
      <c r="F3635" s="11"/>
      <c r="G3635" s="12"/>
      <c r="H3635" s="12"/>
      <c r="I3635" s="10"/>
      <c r="J3635" s="5"/>
      <c r="K3635" s="12"/>
      <c r="L3635" s="15"/>
    </row>
    <row r="3636" spans="1:12">
      <c r="A3636" s="8"/>
      <c r="B3636" s="9"/>
      <c r="C3636" s="10"/>
      <c r="D3636" s="10"/>
      <c r="E3636" s="11"/>
      <c r="F3636" s="11"/>
      <c r="G3636" s="12"/>
      <c r="H3636" s="12"/>
      <c r="I3636" s="10"/>
      <c r="J3636" s="5"/>
      <c r="K3636" s="12"/>
      <c r="L3636" s="15"/>
    </row>
    <row r="3637" spans="1:12">
      <c r="A3637" s="8"/>
      <c r="B3637" s="9"/>
      <c r="C3637" s="10"/>
      <c r="D3637" s="10"/>
      <c r="E3637" s="11"/>
      <c r="F3637" s="11"/>
      <c r="G3637" s="12"/>
      <c r="H3637" s="12"/>
      <c r="I3637" s="10"/>
      <c r="J3637" s="5"/>
      <c r="K3637" s="12"/>
      <c r="L3637" s="15"/>
    </row>
    <row r="3638" spans="1:12">
      <c r="A3638" s="8"/>
      <c r="B3638" s="9"/>
      <c r="C3638" s="10"/>
      <c r="D3638" s="10"/>
      <c r="E3638" s="11"/>
      <c r="F3638" s="11"/>
      <c r="G3638" s="12"/>
      <c r="H3638" s="12"/>
      <c r="I3638" s="10"/>
      <c r="J3638" s="5"/>
      <c r="K3638" s="12"/>
      <c r="L3638" s="15"/>
    </row>
    <row r="3639" spans="1:12">
      <c r="A3639" s="8"/>
      <c r="B3639" s="9"/>
      <c r="C3639" s="10"/>
      <c r="D3639" s="10"/>
      <c r="E3639" s="11"/>
      <c r="F3639" s="11"/>
      <c r="G3639" s="12"/>
      <c r="H3639" s="12"/>
      <c r="I3639" s="10"/>
      <c r="J3639" s="5"/>
      <c r="K3639" s="12"/>
      <c r="L3639" s="15"/>
    </row>
    <row r="3640" spans="1:12">
      <c r="A3640" s="8"/>
      <c r="B3640" s="9"/>
      <c r="C3640" s="10"/>
      <c r="D3640" s="10"/>
      <c r="E3640" s="11"/>
      <c r="F3640" s="11"/>
      <c r="G3640" s="12"/>
      <c r="H3640" s="12"/>
      <c r="I3640" s="10"/>
      <c r="J3640" s="5"/>
      <c r="K3640" s="12"/>
      <c r="L3640" s="15"/>
    </row>
    <row r="3641" spans="1:12">
      <c r="A3641" s="8"/>
      <c r="B3641" s="9"/>
      <c r="C3641" s="10"/>
      <c r="D3641" s="10"/>
      <c r="E3641" s="11"/>
      <c r="F3641" s="11"/>
      <c r="G3641" s="12"/>
      <c r="H3641" s="12"/>
      <c r="I3641" s="10"/>
      <c r="J3641" s="5"/>
      <c r="K3641" s="12"/>
      <c r="L3641" s="15"/>
    </row>
    <row r="3642" spans="1:12">
      <c r="A3642" s="8"/>
      <c r="B3642" s="9"/>
      <c r="C3642" s="13"/>
      <c r="D3642" s="10"/>
      <c r="E3642" s="19"/>
      <c r="F3642" s="19"/>
      <c r="G3642" s="12"/>
      <c r="H3642" s="9"/>
      <c r="I3642" s="10"/>
      <c r="J3642" s="5"/>
      <c r="K3642" s="9"/>
      <c r="L3642" s="21"/>
    </row>
    <row r="3643" spans="1:12">
      <c r="A3643" s="8"/>
      <c r="B3643" s="9"/>
      <c r="C3643" s="13"/>
      <c r="D3643" s="10"/>
      <c r="E3643" s="19"/>
      <c r="F3643" s="19"/>
      <c r="G3643" s="12"/>
      <c r="H3643" s="9"/>
      <c r="I3643" s="10"/>
      <c r="J3643" s="5"/>
      <c r="K3643" s="9"/>
      <c r="L3643" s="21"/>
    </row>
    <row r="3644" spans="1:12">
      <c r="A3644" s="8"/>
      <c r="B3644" s="9"/>
      <c r="C3644" s="10"/>
      <c r="D3644" s="10"/>
      <c r="E3644" s="11"/>
      <c r="F3644" s="11"/>
      <c r="G3644" s="12"/>
      <c r="H3644" s="12"/>
      <c r="I3644" s="10"/>
      <c r="J3644" s="5"/>
      <c r="K3644" s="12"/>
      <c r="L3644" s="15"/>
    </row>
    <row r="3645" spans="1:12">
      <c r="A3645" s="8"/>
      <c r="B3645" s="9"/>
      <c r="C3645" s="10"/>
      <c r="D3645" s="10"/>
      <c r="E3645" s="11"/>
      <c r="F3645" s="11"/>
      <c r="G3645" s="12"/>
      <c r="H3645" s="12"/>
      <c r="I3645" s="10"/>
      <c r="J3645" s="5"/>
      <c r="K3645" s="12"/>
      <c r="L3645" s="15"/>
    </row>
    <row r="3646" spans="1:12">
      <c r="A3646" s="8"/>
      <c r="B3646" s="9"/>
      <c r="C3646" s="10"/>
      <c r="D3646" s="10"/>
      <c r="E3646" s="11"/>
      <c r="F3646" s="11"/>
      <c r="G3646" s="12"/>
      <c r="H3646" s="12"/>
      <c r="I3646" s="10"/>
      <c r="J3646" s="5"/>
      <c r="K3646" s="12"/>
      <c r="L3646" s="15"/>
    </row>
    <row r="3647" spans="1:12">
      <c r="A3647" s="8"/>
      <c r="B3647" s="9"/>
      <c r="C3647" s="10"/>
      <c r="D3647" s="10"/>
      <c r="E3647" s="11"/>
      <c r="F3647" s="11"/>
      <c r="G3647" s="12"/>
      <c r="H3647" s="12"/>
      <c r="I3647" s="10"/>
      <c r="J3647" s="5"/>
      <c r="K3647" s="12"/>
      <c r="L3647" s="15"/>
    </row>
    <row r="3648" spans="1:12">
      <c r="A3648" s="8"/>
      <c r="B3648" s="9"/>
      <c r="C3648" s="10"/>
      <c r="D3648" s="10"/>
      <c r="E3648" s="11"/>
      <c r="F3648" s="11"/>
      <c r="G3648" s="12"/>
      <c r="H3648" s="12"/>
      <c r="I3648" s="10"/>
      <c r="J3648" s="5"/>
      <c r="K3648" s="12"/>
      <c r="L3648" s="15"/>
    </row>
    <row r="3649" spans="1:12">
      <c r="A3649" s="8"/>
      <c r="B3649" s="9"/>
      <c r="C3649" s="10"/>
      <c r="D3649" s="10"/>
      <c r="E3649" s="11"/>
      <c r="F3649" s="11"/>
      <c r="G3649" s="12"/>
      <c r="H3649" s="12"/>
      <c r="I3649" s="10"/>
      <c r="J3649" s="5"/>
      <c r="K3649" s="12"/>
      <c r="L3649" s="15"/>
    </row>
    <row r="3650" spans="1:12">
      <c r="A3650" s="8"/>
      <c r="B3650" s="9"/>
      <c r="C3650" s="10"/>
      <c r="D3650" s="10"/>
      <c r="E3650" s="11"/>
      <c r="F3650" s="11"/>
      <c r="G3650" s="12"/>
      <c r="H3650" s="12"/>
      <c r="I3650" s="10"/>
      <c r="J3650" s="5"/>
      <c r="K3650" s="12"/>
      <c r="L3650" s="15"/>
    </row>
    <row r="3651" spans="1:12">
      <c r="A3651" s="8"/>
      <c r="B3651" s="9"/>
      <c r="C3651" s="10"/>
      <c r="D3651" s="10"/>
      <c r="E3651" s="11"/>
      <c r="F3651" s="11"/>
      <c r="G3651" s="12"/>
      <c r="H3651" s="12"/>
      <c r="I3651" s="10"/>
      <c r="J3651" s="5"/>
      <c r="K3651" s="12"/>
      <c r="L3651" s="15"/>
    </row>
    <row r="3652" spans="1:12">
      <c r="A3652" s="8"/>
      <c r="B3652" s="9"/>
      <c r="C3652" s="10"/>
      <c r="D3652" s="10"/>
      <c r="E3652" s="11"/>
      <c r="F3652" s="11"/>
      <c r="G3652" s="12"/>
      <c r="H3652" s="12"/>
      <c r="I3652" s="10"/>
      <c r="J3652" s="5"/>
      <c r="K3652" s="12"/>
      <c r="L3652" s="15"/>
    </row>
    <row r="3653" spans="1:12">
      <c r="A3653" s="8"/>
      <c r="B3653" s="9"/>
      <c r="C3653" s="10"/>
      <c r="D3653" s="10"/>
      <c r="E3653" s="11"/>
      <c r="F3653" s="11"/>
      <c r="G3653" s="12"/>
      <c r="H3653" s="12"/>
      <c r="I3653" s="10"/>
      <c r="J3653" s="5"/>
      <c r="K3653" s="12"/>
      <c r="L3653" s="15"/>
    </row>
    <row r="3654" spans="1:12">
      <c r="A3654" s="8"/>
      <c r="B3654" s="9"/>
      <c r="C3654" s="10"/>
      <c r="D3654" s="10"/>
      <c r="E3654" s="11"/>
      <c r="F3654" s="11"/>
      <c r="G3654" s="12"/>
      <c r="H3654" s="12"/>
      <c r="I3654" s="10"/>
      <c r="J3654" s="5"/>
      <c r="K3654" s="12"/>
      <c r="L3654" s="15"/>
    </row>
    <row r="3655" spans="1:12">
      <c r="A3655" s="8"/>
      <c r="B3655" s="9"/>
      <c r="C3655" s="10"/>
      <c r="D3655" s="10"/>
      <c r="E3655" s="11"/>
      <c r="F3655" s="11"/>
      <c r="G3655" s="12"/>
      <c r="H3655" s="12"/>
      <c r="I3655" s="10"/>
      <c r="J3655" s="5"/>
      <c r="K3655" s="9"/>
      <c r="L3655" s="15"/>
    </row>
    <row r="3656" spans="1:12">
      <c r="A3656" s="8"/>
      <c r="B3656" s="9"/>
      <c r="C3656" s="10"/>
      <c r="D3656" s="10"/>
      <c r="E3656" s="11"/>
      <c r="F3656" s="11"/>
      <c r="G3656" s="12"/>
      <c r="H3656" s="12"/>
      <c r="I3656" s="10"/>
      <c r="J3656" s="5"/>
      <c r="K3656" s="9"/>
      <c r="L3656" s="15"/>
    </row>
    <row r="3657" spans="1:12">
      <c r="A3657" s="8"/>
      <c r="B3657" s="9"/>
      <c r="C3657" s="10"/>
      <c r="D3657" s="10"/>
      <c r="E3657" s="11"/>
      <c r="F3657" s="11"/>
      <c r="G3657" s="12"/>
      <c r="H3657" s="12"/>
      <c r="I3657" s="10"/>
      <c r="J3657" s="5"/>
      <c r="K3657" s="12"/>
      <c r="L3657" s="15"/>
    </row>
    <row r="3658" spans="1:12">
      <c r="A3658" s="8"/>
      <c r="B3658" s="9"/>
      <c r="C3658" s="10"/>
      <c r="D3658" s="10"/>
      <c r="E3658" s="19"/>
      <c r="F3658" s="11"/>
      <c r="G3658" s="12"/>
      <c r="H3658" s="12"/>
      <c r="I3658" s="10"/>
      <c r="J3658" s="5"/>
      <c r="K3658" s="12"/>
      <c r="L3658" s="15"/>
    </row>
    <row r="3659" spans="1:12">
      <c r="A3659" s="8"/>
      <c r="B3659" s="9"/>
      <c r="C3659" s="10"/>
      <c r="D3659" s="10"/>
      <c r="E3659" s="19"/>
      <c r="F3659" s="11"/>
      <c r="G3659" s="12"/>
      <c r="H3659" s="12"/>
      <c r="I3659" s="10"/>
      <c r="J3659" s="5"/>
      <c r="K3659" s="12"/>
      <c r="L3659" s="15"/>
    </row>
    <row r="3660" spans="1:12">
      <c r="A3660" s="8"/>
      <c r="B3660" s="9"/>
      <c r="C3660" s="10"/>
      <c r="D3660" s="10"/>
      <c r="E3660" s="11"/>
      <c r="F3660" s="11"/>
      <c r="G3660" s="12"/>
      <c r="H3660" s="12"/>
      <c r="I3660" s="10"/>
      <c r="J3660" s="5"/>
      <c r="K3660" s="12"/>
      <c r="L3660" s="15"/>
    </row>
    <row r="3661" spans="1:12">
      <c r="A3661" s="8"/>
      <c r="B3661" s="9"/>
      <c r="C3661" s="10"/>
      <c r="D3661" s="10"/>
      <c r="E3661" s="11"/>
      <c r="F3661" s="11"/>
      <c r="G3661" s="12"/>
      <c r="H3661" s="12"/>
      <c r="I3661" s="10"/>
      <c r="J3661" s="5"/>
      <c r="K3661" s="12"/>
      <c r="L3661" s="15"/>
    </row>
    <row r="3662" spans="1:12">
      <c r="A3662" s="8"/>
      <c r="B3662" s="9"/>
      <c r="C3662" s="10"/>
      <c r="D3662" s="10"/>
      <c r="E3662" s="11"/>
      <c r="F3662" s="11"/>
      <c r="G3662" s="12"/>
      <c r="H3662" s="12"/>
      <c r="I3662" s="10"/>
      <c r="J3662" s="5"/>
      <c r="K3662" s="12"/>
      <c r="L3662" s="15"/>
    </row>
    <row r="3663" spans="1:12">
      <c r="A3663" s="8"/>
      <c r="B3663" s="9"/>
      <c r="C3663" s="10"/>
      <c r="D3663" s="10"/>
      <c r="E3663" s="11"/>
      <c r="F3663" s="11"/>
      <c r="G3663" s="12"/>
      <c r="H3663" s="12"/>
      <c r="I3663" s="10"/>
      <c r="J3663" s="5"/>
      <c r="K3663" s="12"/>
      <c r="L3663" s="15"/>
    </row>
    <row r="3664" spans="1:12">
      <c r="A3664" s="8"/>
      <c r="B3664" s="9"/>
      <c r="C3664" s="10"/>
      <c r="D3664" s="10"/>
      <c r="E3664" s="11"/>
      <c r="F3664" s="11"/>
      <c r="G3664" s="12"/>
      <c r="H3664" s="12"/>
      <c r="I3664" s="10"/>
      <c r="J3664" s="5"/>
      <c r="K3664" s="12"/>
      <c r="L3664" s="15"/>
    </row>
    <row r="3665" spans="1:12">
      <c r="A3665" s="8"/>
      <c r="B3665" s="9"/>
      <c r="C3665" s="10"/>
      <c r="D3665" s="10"/>
      <c r="E3665" s="11"/>
      <c r="F3665" s="11"/>
      <c r="G3665" s="12"/>
      <c r="H3665" s="12"/>
      <c r="I3665" s="10"/>
      <c r="J3665" s="5"/>
      <c r="K3665" s="12"/>
      <c r="L3665" s="15"/>
    </row>
    <row r="3666" spans="1:12">
      <c r="A3666" s="8"/>
      <c r="B3666" s="9"/>
      <c r="C3666" s="65"/>
      <c r="D3666" s="10"/>
      <c r="E3666" s="34"/>
      <c r="F3666" s="34"/>
      <c r="G3666" s="12"/>
      <c r="H3666" s="35"/>
      <c r="I3666" s="10"/>
      <c r="J3666" s="5"/>
      <c r="K3666" s="35"/>
      <c r="L3666" s="66"/>
    </row>
    <row r="3667" spans="1:12">
      <c r="A3667" s="8"/>
      <c r="B3667" s="9"/>
      <c r="C3667" s="10"/>
      <c r="D3667" s="10"/>
      <c r="E3667" s="19"/>
      <c r="F3667" s="19"/>
      <c r="G3667" s="12"/>
      <c r="H3667" s="12"/>
      <c r="I3667" s="10"/>
      <c r="J3667" s="5"/>
      <c r="K3667" s="12"/>
      <c r="L3667" s="15"/>
    </row>
    <row r="3668" spans="1:12">
      <c r="A3668" s="8"/>
      <c r="B3668" s="9"/>
      <c r="C3668" s="10"/>
      <c r="D3668" s="10"/>
      <c r="E3668" s="19"/>
      <c r="F3668" s="19"/>
      <c r="G3668" s="12"/>
      <c r="H3668" s="12"/>
      <c r="I3668" s="10"/>
      <c r="J3668" s="5"/>
      <c r="K3668" s="12"/>
      <c r="L3668" s="15"/>
    </row>
    <row r="3669" spans="1:12">
      <c r="A3669" s="8"/>
      <c r="B3669" s="9"/>
      <c r="C3669" s="10"/>
      <c r="D3669" s="10"/>
      <c r="E3669" s="11"/>
      <c r="F3669" s="11"/>
      <c r="G3669" s="12"/>
      <c r="H3669" s="12"/>
      <c r="I3669" s="10"/>
      <c r="J3669" s="5"/>
      <c r="K3669" s="12"/>
      <c r="L3669" s="15"/>
    </row>
    <row r="3670" spans="1:12">
      <c r="A3670" s="8"/>
      <c r="B3670" s="9"/>
      <c r="C3670" s="10"/>
      <c r="D3670" s="10"/>
      <c r="E3670" s="11"/>
      <c r="F3670" s="11"/>
      <c r="G3670" s="12"/>
      <c r="H3670" s="12"/>
      <c r="I3670" s="10"/>
      <c r="J3670" s="5"/>
      <c r="K3670" s="12"/>
      <c r="L3670" s="15"/>
    </row>
    <row r="3671" spans="1:12">
      <c r="A3671" s="8"/>
      <c r="B3671" s="9"/>
      <c r="C3671" s="10"/>
      <c r="D3671" s="10"/>
      <c r="E3671" s="11"/>
      <c r="F3671" s="11"/>
      <c r="G3671" s="12"/>
      <c r="H3671" s="12"/>
      <c r="I3671" s="10"/>
      <c r="J3671" s="5"/>
      <c r="K3671" s="9"/>
      <c r="L3671" s="15"/>
    </row>
    <row r="3672" spans="1:12">
      <c r="A3672" s="8"/>
      <c r="B3672" s="9"/>
      <c r="C3672" s="10"/>
      <c r="D3672" s="10"/>
      <c r="E3672" s="11"/>
      <c r="F3672" s="11"/>
      <c r="G3672" s="12"/>
      <c r="H3672" s="12"/>
      <c r="I3672" s="10"/>
      <c r="J3672" s="5"/>
      <c r="K3672" s="12"/>
      <c r="L3672" s="15"/>
    </row>
    <row r="3673" spans="1:12">
      <c r="A3673" s="8"/>
      <c r="B3673" s="9"/>
      <c r="C3673" s="10"/>
      <c r="D3673" s="10"/>
      <c r="E3673" s="11"/>
      <c r="F3673" s="11"/>
      <c r="G3673" s="12"/>
      <c r="H3673" s="12"/>
      <c r="I3673" s="10"/>
      <c r="J3673" s="5"/>
      <c r="K3673" s="12"/>
      <c r="L3673" s="15"/>
    </row>
    <row r="3674" spans="1:12">
      <c r="A3674" s="8"/>
      <c r="B3674" s="9"/>
      <c r="C3674" s="10"/>
      <c r="D3674" s="10"/>
      <c r="E3674" s="11"/>
      <c r="F3674" s="11"/>
      <c r="G3674" s="12"/>
      <c r="H3674" s="12"/>
      <c r="I3674" s="10"/>
      <c r="J3674" s="5"/>
      <c r="K3674" s="12"/>
      <c r="L3674" s="15"/>
    </row>
    <row r="3675" spans="1:12">
      <c r="A3675" s="8"/>
      <c r="B3675" s="9"/>
      <c r="C3675" s="10"/>
      <c r="D3675" s="10"/>
      <c r="E3675" s="11"/>
      <c r="F3675" s="11"/>
      <c r="G3675" s="12"/>
      <c r="H3675" s="12"/>
      <c r="I3675" s="10"/>
      <c r="J3675" s="5"/>
      <c r="K3675" s="12"/>
      <c r="L3675" s="15"/>
    </row>
    <row r="3676" spans="1:12">
      <c r="A3676" s="8"/>
      <c r="B3676" s="9"/>
      <c r="C3676" s="10"/>
      <c r="D3676" s="10"/>
      <c r="E3676" s="11"/>
      <c r="F3676" s="91"/>
      <c r="G3676" s="12"/>
      <c r="H3676" s="12"/>
      <c r="I3676" s="10"/>
      <c r="J3676" s="5"/>
      <c r="K3676" s="92"/>
      <c r="L3676" s="15"/>
    </row>
    <row r="3677" spans="1:12">
      <c r="A3677" s="8"/>
      <c r="B3677" s="9"/>
      <c r="C3677" s="10"/>
      <c r="D3677" s="10"/>
      <c r="E3677" s="11"/>
      <c r="F3677" s="11"/>
      <c r="G3677" s="12"/>
      <c r="H3677" s="12"/>
      <c r="I3677" s="10"/>
      <c r="J3677" s="5"/>
      <c r="K3677" s="12"/>
      <c r="L3677" s="15"/>
    </row>
    <row r="3678" spans="1:12">
      <c r="A3678" s="8"/>
      <c r="B3678" s="9"/>
      <c r="C3678" s="10"/>
      <c r="D3678" s="10"/>
      <c r="E3678" s="11"/>
      <c r="F3678" s="11"/>
      <c r="G3678" s="12"/>
      <c r="H3678" s="12"/>
      <c r="I3678" s="10"/>
      <c r="J3678" s="5"/>
      <c r="K3678" s="12"/>
      <c r="L3678" s="15"/>
    </row>
    <row r="3679" spans="1:12">
      <c r="A3679" s="8"/>
      <c r="B3679" s="9"/>
      <c r="C3679" s="10"/>
      <c r="D3679" s="10"/>
      <c r="E3679" s="11"/>
      <c r="F3679" s="11"/>
      <c r="G3679" s="12"/>
      <c r="H3679" s="12"/>
      <c r="I3679" s="10"/>
      <c r="J3679" s="5"/>
      <c r="K3679" s="12"/>
      <c r="L3679" s="15"/>
    </row>
    <row r="3680" spans="1:12">
      <c r="A3680" s="8"/>
      <c r="B3680" s="9"/>
      <c r="C3680" s="10"/>
      <c r="D3680" s="10"/>
      <c r="E3680" s="11"/>
      <c r="F3680" s="11"/>
      <c r="G3680" s="12"/>
      <c r="H3680" s="12"/>
      <c r="I3680" s="10"/>
      <c r="J3680" s="5"/>
      <c r="K3680" s="12"/>
      <c r="L3680" s="15"/>
    </row>
    <row r="3681" spans="1:12">
      <c r="A3681" s="8"/>
      <c r="B3681" s="9"/>
      <c r="C3681" s="10"/>
      <c r="D3681" s="10"/>
      <c r="E3681" s="11"/>
      <c r="F3681" s="11"/>
      <c r="G3681" s="12"/>
      <c r="H3681" s="12"/>
      <c r="I3681" s="10"/>
      <c r="J3681" s="5"/>
      <c r="K3681" s="12"/>
      <c r="L3681" s="15"/>
    </row>
    <row r="3682" spans="1:12">
      <c r="A3682" s="8"/>
      <c r="B3682" s="9"/>
      <c r="C3682" s="10"/>
      <c r="D3682" s="10"/>
      <c r="E3682" s="11"/>
      <c r="F3682" s="11"/>
      <c r="G3682" s="12"/>
      <c r="H3682" s="12"/>
      <c r="I3682" s="10"/>
      <c r="J3682" s="5"/>
      <c r="K3682" s="9"/>
      <c r="L3682" s="15"/>
    </row>
    <row r="3683" spans="1:12">
      <c r="A3683" s="8"/>
      <c r="B3683" s="9"/>
      <c r="C3683" s="10"/>
      <c r="D3683" s="10"/>
      <c r="E3683" s="11"/>
      <c r="F3683" s="11"/>
      <c r="G3683" s="12"/>
      <c r="H3683" s="12"/>
      <c r="I3683" s="10"/>
      <c r="J3683" s="5"/>
      <c r="K3683" s="9"/>
      <c r="L3683" s="15"/>
    </row>
    <row r="3684" spans="1:12">
      <c r="A3684" s="8"/>
      <c r="B3684" s="9"/>
      <c r="C3684" s="10"/>
      <c r="D3684" s="10"/>
      <c r="E3684" s="11"/>
      <c r="F3684" s="11"/>
      <c r="G3684" s="12"/>
      <c r="H3684" s="12"/>
      <c r="I3684" s="10"/>
      <c r="J3684" s="5"/>
      <c r="K3684" s="12"/>
      <c r="L3684" s="15"/>
    </row>
    <row r="3685" spans="1:12">
      <c r="A3685" s="8"/>
      <c r="B3685" s="9"/>
      <c r="C3685" s="10"/>
      <c r="D3685" s="10"/>
      <c r="E3685" s="11"/>
      <c r="F3685" s="11"/>
      <c r="G3685" s="12"/>
      <c r="H3685" s="12"/>
      <c r="I3685" s="10"/>
      <c r="J3685" s="5"/>
      <c r="K3685" s="12"/>
      <c r="L3685" s="15"/>
    </row>
    <row r="3686" spans="1:12">
      <c r="A3686" s="8"/>
      <c r="B3686" s="9"/>
      <c r="C3686" s="10"/>
      <c r="D3686" s="10"/>
      <c r="E3686" s="11"/>
      <c r="F3686" s="11"/>
      <c r="G3686" s="12"/>
      <c r="H3686" s="12"/>
      <c r="I3686" s="10"/>
      <c r="J3686" s="5"/>
      <c r="K3686" s="12"/>
      <c r="L3686" s="15"/>
    </row>
    <row r="3687" spans="1:12">
      <c r="A3687" s="8"/>
      <c r="B3687" s="9"/>
      <c r="C3687" s="10"/>
      <c r="D3687" s="10"/>
      <c r="E3687" s="11"/>
      <c r="F3687" s="11"/>
      <c r="G3687" s="12"/>
      <c r="H3687" s="12"/>
      <c r="I3687" s="10"/>
      <c r="J3687" s="5"/>
      <c r="K3687" s="12"/>
      <c r="L3687" s="15"/>
    </row>
    <row r="3688" spans="1:12">
      <c r="A3688" s="8"/>
      <c r="B3688" s="9"/>
      <c r="C3688" s="10"/>
      <c r="D3688" s="10"/>
      <c r="E3688" s="11"/>
      <c r="F3688" s="11"/>
      <c r="G3688" s="12"/>
      <c r="H3688" s="12"/>
      <c r="I3688" s="10"/>
      <c r="J3688" s="5"/>
      <c r="K3688" s="12"/>
      <c r="L3688" s="15"/>
    </row>
    <row r="3689" spans="1:12">
      <c r="A3689" s="8"/>
      <c r="B3689" s="9"/>
      <c r="C3689" s="10"/>
      <c r="D3689" s="10"/>
      <c r="E3689" s="11"/>
      <c r="F3689" s="11"/>
      <c r="G3689" s="12"/>
      <c r="H3689" s="12"/>
      <c r="I3689" s="10"/>
      <c r="J3689" s="5"/>
      <c r="K3689" s="12"/>
      <c r="L3689" s="15"/>
    </row>
    <row r="3690" spans="1:12">
      <c r="A3690" s="8"/>
      <c r="B3690" s="9"/>
      <c r="C3690" s="10"/>
      <c r="D3690" s="10"/>
      <c r="E3690" s="11"/>
      <c r="F3690" s="11"/>
      <c r="G3690" s="12"/>
      <c r="H3690" s="12"/>
      <c r="I3690" s="10"/>
      <c r="J3690" s="5"/>
      <c r="K3690" s="12"/>
      <c r="L3690" s="15"/>
    </row>
    <row r="3691" spans="1:12">
      <c r="A3691" s="8"/>
      <c r="B3691" s="9"/>
      <c r="C3691" s="10"/>
      <c r="D3691" s="10"/>
      <c r="E3691" s="11"/>
      <c r="F3691" s="11"/>
      <c r="G3691" s="12"/>
      <c r="H3691" s="12"/>
      <c r="I3691" s="10"/>
      <c r="J3691" s="5"/>
      <c r="K3691" s="12"/>
      <c r="L3691" s="15"/>
    </row>
    <row r="3692" spans="1:12">
      <c r="A3692" s="8"/>
      <c r="B3692" s="9"/>
      <c r="C3692" s="10"/>
      <c r="D3692" s="10"/>
      <c r="E3692" s="11"/>
      <c r="F3692" s="11"/>
      <c r="G3692" s="12"/>
      <c r="H3692" s="12"/>
      <c r="I3692" s="10"/>
      <c r="J3692" s="5"/>
      <c r="K3692" s="12"/>
      <c r="L3692" s="15"/>
    </row>
    <row r="3693" spans="1:12">
      <c r="A3693" s="8"/>
      <c r="B3693" s="9"/>
      <c r="C3693" s="10"/>
      <c r="D3693" s="10"/>
      <c r="E3693" s="11"/>
      <c r="F3693" s="11"/>
      <c r="G3693" s="12"/>
      <c r="H3693" s="12"/>
      <c r="I3693" s="10"/>
      <c r="J3693" s="5"/>
      <c r="K3693" s="12"/>
      <c r="L3693" s="15"/>
    </row>
    <row r="3694" spans="1:12">
      <c r="A3694" s="8"/>
      <c r="B3694" s="9"/>
      <c r="C3694" s="10"/>
      <c r="D3694" s="10"/>
      <c r="E3694" s="93"/>
      <c r="F3694" s="11"/>
      <c r="G3694" s="12"/>
      <c r="H3694" s="12"/>
      <c r="I3694" s="10"/>
      <c r="J3694" s="5"/>
      <c r="K3694" s="12"/>
      <c r="L3694" s="15"/>
    </row>
    <row r="3695" spans="1:12">
      <c r="A3695" s="8"/>
      <c r="B3695" s="9"/>
      <c r="C3695" s="10"/>
      <c r="D3695" s="10"/>
      <c r="E3695" s="11"/>
      <c r="F3695" s="11"/>
      <c r="G3695" s="12"/>
      <c r="H3695" s="12"/>
      <c r="I3695" s="10"/>
      <c r="J3695" s="5"/>
      <c r="K3695" s="12"/>
      <c r="L3695" s="15"/>
    </row>
    <row r="3696" spans="1:12">
      <c r="A3696" s="8"/>
      <c r="B3696" s="9"/>
      <c r="C3696" s="10"/>
      <c r="D3696" s="10"/>
      <c r="E3696" s="19"/>
      <c r="F3696" s="19"/>
      <c r="G3696" s="12"/>
      <c r="H3696" s="9"/>
      <c r="I3696" s="10"/>
      <c r="J3696" s="5"/>
      <c r="K3696" s="9"/>
      <c r="L3696" s="15"/>
    </row>
    <row r="3697" spans="1:12">
      <c r="A3697" s="8"/>
      <c r="B3697" s="9"/>
      <c r="C3697" s="10"/>
      <c r="D3697" s="10"/>
      <c r="E3697" s="19"/>
      <c r="F3697" s="19"/>
      <c r="G3697" s="12"/>
      <c r="H3697" s="9"/>
      <c r="I3697" s="10"/>
      <c r="J3697" s="5"/>
      <c r="K3697" s="9"/>
      <c r="L3697" s="15"/>
    </row>
    <row r="3698" spans="1:12">
      <c r="A3698" s="8"/>
      <c r="B3698" s="9"/>
      <c r="C3698" s="10"/>
      <c r="D3698" s="10"/>
      <c r="E3698" s="11"/>
      <c r="F3698" s="11"/>
      <c r="G3698" s="12"/>
      <c r="H3698" s="12"/>
      <c r="I3698" s="10"/>
      <c r="J3698" s="5"/>
      <c r="K3698" s="12"/>
      <c r="L3698" s="15"/>
    </row>
    <row r="3699" spans="1:12">
      <c r="A3699" s="8"/>
      <c r="B3699" s="9"/>
      <c r="C3699" s="10"/>
      <c r="D3699" s="10"/>
      <c r="E3699" s="11"/>
      <c r="F3699" s="11"/>
      <c r="G3699" s="12"/>
      <c r="H3699" s="12"/>
      <c r="I3699" s="10"/>
      <c r="J3699" s="5"/>
      <c r="K3699" s="9"/>
      <c r="L3699" s="15"/>
    </row>
    <row r="3700" spans="1:12">
      <c r="A3700" s="8"/>
      <c r="B3700" s="9"/>
      <c r="C3700" s="10"/>
      <c r="D3700" s="10"/>
      <c r="E3700" s="11"/>
      <c r="F3700" s="11"/>
      <c r="G3700" s="12"/>
      <c r="H3700" s="12"/>
      <c r="I3700" s="10"/>
      <c r="J3700" s="5"/>
      <c r="K3700" s="12"/>
      <c r="L3700" s="15"/>
    </row>
    <row r="3701" spans="1:12">
      <c r="A3701" s="8"/>
      <c r="B3701" s="9"/>
      <c r="C3701" s="10"/>
      <c r="D3701" s="10"/>
      <c r="E3701" s="11"/>
      <c r="F3701" s="11"/>
      <c r="G3701" s="12"/>
      <c r="H3701" s="12"/>
      <c r="I3701" s="10"/>
      <c r="J3701" s="5"/>
      <c r="K3701" s="12"/>
      <c r="L3701" s="15"/>
    </row>
    <row r="3702" spans="1:12">
      <c r="A3702" s="8"/>
      <c r="B3702" s="9"/>
      <c r="C3702" s="10"/>
      <c r="D3702" s="10"/>
      <c r="E3702" s="11"/>
      <c r="F3702" s="11"/>
      <c r="G3702" s="12"/>
      <c r="H3702" s="12"/>
      <c r="I3702" s="10"/>
      <c r="J3702" s="5"/>
      <c r="K3702" s="12"/>
      <c r="L3702" s="15"/>
    </row>
    <row r="3703" spans="1:12">
      <c r="A3703" s="8"/>
      <c r="B3703" s="9"/>
      <c r="C3703" s="10"/>
      <c r="D3703" s="10"/>
      <c r="E3703" s="11"/>
      <c r="F3703" s="11"/>
      <c r="G3703" s="12"/>
      <c r="H3703" s="12"/>
      <c r="I3703" s="10"/>
      <c r="J3703" s="5"/>
      <c r="K3703" s="12"/>
      <c r="L3703" s="15"/>
    </row>
    <row r="3704" spans="1:12">
      <c r="A3704" s="8"/>
      <c r="B3704" s="9"/>
      <c r="C3704" s="10"/>
      <c r="D3704" s="10"/>
      <c r="E3704" s="11"/>
      <c r="F3704" s="11"/>
      <c r="G3704" s="12"/>
      <c r="H3704" s="12"/>
      <c r="I3704" s="10"/>
      <c r="J3704" s="5"/>
      <c r="K3704" s="12"/>
      <c r="L3704" s="15"/>
    </row>
    <row r="3705" spans="1:12">
      <c r="A3705" s="8"/>
      <c r="B3705" s="9"/>
      <c r="C3705" s="10"/>
      <c r="D3705" s="10"/>
      <c r="E3705" s="11"/>
      <c r="F3705" s="11"/>
      <c r="G3705" s="12"/>
      <c r="H3705" s="12"/>
      <c r="I3705" s="10"/>
      <c r="J3705" s="5"/>
      <c r="K3705" s="12"/>
      <c r="L3705" s="15"/>
    </row>
    <row r="3706" spans="1:12">
      <c r="A3706" s="8"/>
      <c r="B3706" s="9"/>
      <c r="C3706" s="10"/>
      <c r="D3706" s="10"/>
      <c r="E3706" s="11"/>
      <c r="F3706" s="11"/>
      <c r="G3706" s="12"/>
      <c r="H3706" s="12"/>
      <c r="I3706" s="10"/>
      <c r="J3706" s="5"/>
      <c r="K3706" s="9"/>
      <c r="L3706" s="15"/>
    </row>
    <row r="3707" spans="1:12">
      <c r="A3707" s="8"/>
      <c r="B3707" s="9"/>
      <c r="C3707" s="10"/>
      <c r="D3707" s="10"/>
      <c r="E3707" s="11"/>
      <c r="F3707" s="11"/>
      <c r="G3707" s="12"/>
      <c r="H3707" s="12"/>
      <c r="I3707" s="10"/>
      <c r="J3707" s="5"/>
      <c r="K3707" s="9"/>
      <c r="L3707" s="15"/>
    </row>
    <row r="3708" spans="1:12">
      <c r="A3708" s="8"/>
      <c r="B3708" s="9"/>
      <c r="C3708" s="10"/>
      <c r="D3708" s="10"/>
      <c r="E3708" s="11"/>
      <c r="F3708" s="11"/>
      <c r="G3708" s="12"/>
      <c r="H3708" s="12"/>
      <c r="I3708" s="10"/>
      <c r="J3708" s="5"/>
      <c r="K3708" s="9"/>
      <c r="L3708" s="15"/>
    </row>
    <row r="3709" spans="1:12">
      <c r="A3709" s="8"/>
      <c r="B3709" s="9"/>
      <c r="C3709" s="10"/>
      <c r="D3709" s="10"/>
      <c r="E3709" s="11"/>
      <c r="F3709" s="11"/>
      <c r="G3709" s="12"/>
      <c r="H3709" s="12"/>
      <c r="I3709" s="10"/>
      <c r="J3709" s="5"/>
      <c r="K3709" s="9"/>
      <c r="L3709" s="15"/>
    </row>
    <row r="3710" spans="1:12">
      <c r="A3710" s="8"/>
      <c r="B3710" s="9"/>
      <c r="C3710" s="10"/>
      <c r="D3710" s="10"/>
      <c r="E3710" s="11"/>
      <c r="F3710" s="11"/>
      <c r="G3710" s="12"/>
      <c r="H3710" s="12"/>
      <c r="I3710" s="10"/>
      <c r="J3710" s="5"/>
      <c r="K3710" s="12"/>
      <c r="L3710" s="15"/>
    </row>
    <row r="3711" spans="1:12">
      <c r="A3711" s="8"/>
      <c r="B3711" s="9"/>
      <c r="C3711" s="10"/>
      <c r="D3711" s="10"/>
      <c r="E3711" s="19"/>
      <c r="F3711" s="19"/>
      <c r="G3711" s="12"/>
      <c r="H3711" s="9"/>
      <c r="I3711" s="10"/>
      <c r="J3711" s="5"/>
      <c r="K3711" s="12"/>
      <c r="L3711" s="15"/>
    </row>
    <row r="3712" spans="1:12">
      <c r="A3712" s="8"/>
      <c r="B3712" s="9"/>
      <c r="C3712" s="10"/>
      <c r="D3712" s="10"/>
      <c r="E3712" s="11"/>
      <c r="F3712" s="11"/>
      <c r="G3712" s="12"/>
      <c r="H3712" s="12"/>
      <c r="I3712" s="10"/>
      <c r="J3712" s="5"/>
      <c r="K3712" s="9"/>
      <c r="L3712" s="15"/>
    </row>
    <row r="3713" spans="1:12">
      <c r="A3713" s="8"/>
      <c r="B3713" s="9"/>
      <c r="C3713" s="10"/>
      <c r="D3713" s="10"/>
      <c r="E3713" s="11"/>
      <c r="F3713" s="11"/>
      <c r="G3713" s="12"/>
      <c r="H3713" s="12"/>
      <c r="I3713" s="10"/>
      <c r="J3713" s="5"/>
      <c r="K3713" s="9"/>
      <c r="L3713" s="15"/>
    </row>
    <row r="3714" spans="1:12">
      <c r="A3714" s="8"/>
      <c r="B3714" s="9"/>
      <c r="C3714" s="10"/>
      <c r="D3714" s="10"/>
      <c r="E3714" s="11"/>
      <c r="F3714" s="11"/>
      <c r="G3714" s="12"/>
      <c r="H3714" s="12"/>
      <c r="I3714" s="10"/>
      <c r="J3714" s="5"/>
      <c r="K3714" s="12"/>
      <c r="L3714" s="15"/>
    </row>
    <row r="3715" spans="1:12">
      <c r="A3715" s="8"/>
      <c r="B3715" s="9"/>
      <c r="C3715" s="10"/>
      <c r="D3715" s="10"/>
      <c r="E3715" s="11"/>
      <c r="F3715" s="11"/>
      <c r="G3715" s="12"/>
      <c r="H3715" s="12"/>
      <c r="I3715" s="10"/>
      <c r="J3715" s="5"/>
      <c r="K3715" s="12"/>
      <c r="L3715" s="15"/>
    </row>
    <row r="3716" spans="1:12">
      <c r="A3716" s="8"/>
      <c r="B3716" s="9"/>
      <c r="C3716" s="10"/>
      <c r="D3716" s="10"/>
      <c r="E3716" s="11"/>
      <c r="F3716" s="11"/>
      <c r="G3716" s="12"/>
      <c r="H3716" s="12"/>
      <c r="I3716" s="10"/>
      <c r="J3716" s="5"/>
      <c r="K3716" s="12"/>
      <c r="L3716" s="15"/>
    </row>
    <row r="3717" spans="1:12">
      <c r="A3717" s="8"/>
      <c r="B3717" s="9"/>
      <c r="C3717" s="10"/>
      <c r="D3717" s="10"/>
      <c r="E3717" s="11"/>
      <c r="F3717" s="11"/>
      <c r="G3717" s="12"/>
      <c r="H3717" s="12"/>
      <c r="I3717" s="10"/>
      <c r="J3717" s="5"/>
      <c r="K3717" s="12"/>
      <c r="L3717" s="15"/>
    </row>
    <row r="3718" spans="1:12">
      <c r="A3718" s="8"/>
      <c r="B3718" s="9"/>
      <c r="C3718" s="10"/>
      <c r="D3718" s="10"/>
      <c r="E3718" s="11"/>
      <c r="F3718" s="11"/>
      <c r="G3718" s="12"/>
      <c r="H3718" s="12"/>
      <c r="I3718" s="10"/>
      <c r="J3718" s="5"/>
      <c r="K3718" s="12"/>
      <c r="L3718" s="15"/>
    </row>
    <row r="3719" spans="1:12">
      <c r="A3719" s="8"/>
      <c r="B3719" s="9"/>
      <c r="C3719" s="10"/>
      <c r="D3719" s="10"/>
      <c r="E3719" s="19"/>
      <c r="F3719" s="19"/>
      <c r="G3719" s="12"/>
      <c r="H3719" s="9"/>
      <c r="I3719" s="10"/>
      <c r="J3719" s="5"/>
      <c r="K3719" s="12"/>
      <c r="L3719" s="15"/>
    </row>
    <row r="3720" spans="1:12">
      <c r="A3720" s="8"/>
      <c r="B3720" s="9"/>
      <c r="C3720" s="10"/>
      <c r="D3720" s="10"/>
      <c r="E3720" s="11"/>
      <c r="F3720" s="11"/>
      <c r="G3720" s="12"/>
      <c r="H3720" s="12"/>
      <c r="I3720" s="10"/>
      <c r="J3720" s="5"/>
      <c r="K3720" s="12"/>
      <c r="L3720" s="15"/>
    </row>
    <row r="3721" spans="1:12">
      <c r="A3721" s="8"/>
      <c r="B3721" s="9"/>
      <c r="C3721" s="10"/>
      <c r="D3721" s="10"/>
      <c r="E3721" s="11"/>
      <c r="F3721" s="11"/>
      <c r="G3721" s="12"/>
      <c r="H3721" s="12"/>
      <c r="I3721" s="10"/>
      <c r="J3721" s="5"/>
      <c r="K3721" s="9"/>
      <c r="L3721" s="15"/>
    </row>
    <row r="3722" spans="1:12">
      <c r="A3722" s="8"/>
      <c r="B3722" s="9"/>
      <c r="C3722" s="10"/>
      <c r="D3722" s="10"/>
      <c r="E3722" s="11"/>
      <c r="F3722" s="11"/>
      <c r="G3722" s="12"/>
      <c r="H3722" s="12"/>
      <c r="I3722" s="10"/>
      <c r="J3722" s="5"/>
      <c r="K3722" s="12"/>
      <c r="L3722" s="15"/>
    </row>
    <row r="3723" spans="1:12">
      <c r="A3723" s="8"/>
      <c r="B3723" s="9"/>
      <c r="C3723" s="10"/>
      <c r="D3723" s="10"/>
      <c r="E3723" s="11"/>
      <c r="F3723" s="11"/>
      <c r="G3723" s="12"/>
      <c r="H3723" s="12"/>
      <c r="I3723" s="10"/>
      <c r="J3723" s="5"/>
      <c r="K3723" s="12"/>
      <c r="L3723" s="15"/>
    </row>
    <row r="3724" spans="1:12">
      <c r="A3724" s="8"/>
      <c r="B3724" s="9"/>
      <c r="C3724" s="10"/>
      <c r="D3724" s="10"/>
      <c r="E3724" s="11"/>
      <c r="F3724" s="11"/>
      <c r="G3724" s="12"/>
      <c r="H3724" s="12"/>
      <c r="I3724" s="10"/>
      <c r="J3724" s="5"/>
      <c r="K3724" s="12"/>
      <c r="L3724" s="15"/>
    </row>
    <row r="3725" spans="1:12">
      <c r="A3725" s="8"/>
      <c r="B3725" s="9"/>
      <c r="C3725" s="10"/>
      <c r="D3725" s="10"/>
      <c r="E3725" s="11"/>
      <c r="F3725" s="11"/>
      <c r="G3725" s="12"/>
      <c r="H3725" s="12"/>
      <c r="I3725" s="10"/>
      <c r="J3725" s="5"/>
      <c r="K3725" s="12"/>
      <c r="L3725" s="15"/>
    </row>
    <row r="3726" spans="1:12">
      <c r="A3726" s="8"/>
      <c r="B3726" s="9"/>
      <c r="C3726" s="10"/>
      <c r="D3726" s="10"/>
      <c r="E3726" s="11"/>
      <c r="F3726" s="11"/>
      <c r="G3726" s="12"/>
      <c r="H3726" s="12"/>
      <c r="I3726" s="10"/>
      <c r="J3726" s="5"/>
      <c r="K3726" s="12"/>
      <c r="L3726" s="15"/>
    </row>
    <row r="3727" spans="1:12">
      <c r="A3727" s="8"/>
      <c r="B3727" s="9"/>
      <c r="C3727" s="10"/>
      <c r="D3727" s="10"/>
      <c r="E3727" s="11"/>
      <c r="F3727" s="11"/>
      <c r="G3727" s="12"/>
      <c r="H3727" s="12"/>
      <c r="I3727" s="10"/>
      <c r="J3727" s="5"/>
      <c r="K3727" s="12"/>
      <c r="L3727" s="15"/>
    </row>
    <row r="3728" spans="1:12">
      <c r="A3728" s="8"/>
      <c r="B3728" s="9"/>
      <c r="C3728" s="10"/>
      <c r="D3728" s="10"/>
      <c r="E3728" s="11"/>
      <c r="F3728" s="11"/>
      <c r="G3728" s="12"/>
      <c r="H3728" s="12"/>
      <c r="I3728" s="10"/>
      <c r="J3728" s="5"/>
      <c r="K3728" s="12"/>
      <c r="L3728" s="15"/>
    </row>
    <row r="3729" spans="1:12">
      <c r="A3729" s="8"/>
      <c r="B3729" s="9"/>
      <c r="C3729" s="10"/>
      <c r="D3729" s="10"/>
      <c r="E3729" s="11"/>
      <c r="F3729" s="11"/>
      <c r="G3729" s="12"/>
      <c r="H3729" s="12"/>
      <c r="I3729" s="10"/>
      <c r="J3729" s="5"/>
      <c r="K3729" s="12"/>
      <c r="L3729" s="15"/>
    </row>
    <row r="3730" spans="1:12">
      <c r="A3730" s="8"/>
      <c r="B3730" s="9"/>
      <c r="C3730" s="10"/>
      <c r="D3730" s="10"/>
      <c r="E3730" s="11"/>
      <c r="F3730" s="11"/>
      <c r="G3730" s="12"/>
      <c r="H3730" s="12"/>
      <c r="I3730" s="10"/>
      <c r="J3730" s="5"/>
      <c r="K3730" s="12"/>
      <c r="L3730" s="15"/>
    </row>
    <row r="3731" spans="1:12">
      <c r="A3731" s="8"/>
      <c r="B3731" s="9"/>
      <c r="C3731" s="10"/>
      <c r="D3731" s="10"/>
      <c r="E3731" s="11"/>
      <c r="F3731" s="11"/>
      <c r="G3731" s="12"/>
      <c r="H3731" s="12"/>
      <c r="I3731" s="10"/>
      <c r="J3731" s="5"/>
      <c r="K3731" s="12"/>
      <c r="L3731" s="15"/>
    </row>
    <row r="3732" spans="1:12">
      <c r="A3732" s="8"/>
      <c r="B3732" s="9"/>
      <c r="C3732" s="10"/>
      <c r="D3732" s="10"/>
      <c r="E3732" s="11"/>
      <c r="F3732" s="11"/>
      <c r="G3732" s="12"/>
      <c r="H3732" s="12"/>
      <c r="I3732" s="10"/>
      <c r="J3732" s="5"/>
      <c r="K3732" s="12"/>
      <c r="L3732" s="15"/>
    </row>
    <row r="3733" spans="1:12">
      <c r="A3733" s="8"/>
      <c r="B3733" s="9"/>
      <c r="C3733" s="10"/>
      <c r="D3733" s="10"/>
      <c r="E3733" s="11"/>
      <c r="F3733" s="11"/>
      <c r="G3733" s="12"/>
      <c r="H3733" s="12"/>
      <c r="I3733" s="10"/>
      <c r="J3733" s="5"/>
      <c r="K3733" s="12"/>
      <c r="L3733" s="15"/>
    </row>
    <row r="3734" spans="1:12">
      <c r="A3734" s="8"/>
      <c r="B3734" s="9"/>
      <c r="C3734" s="10"/>
      <c r="D3734" s="10"/>
      <c r="E3734" s="11"/>
      <c r="F3734" s="11"/>
      <c r="G3734" s="12"/>
      <c r="H3734" s="12"/>
      <c r="I3734" s="10"/>
      <c r="J3734" s="5"/>
      <c r="K3734" s="12"/>
      <c r="L3734" s="15"/>
    </row>
    <row r="3735" spans="1:12">
      <c r="A3735" s="8"/>
      <c r="B3735" s="9"/>
      <c r="C3735" s="10"/>
      <c r="D3735" s="10"/>
      <c r="E3735" s="11"/>
      <c r="F3735" s="11"/>
      <c r="G3735" s="12"/>
      <c r="H3735" s="12"/>
      <c r="I3735" s="10"/>
      <c r="J3735" s="5"/>
      <c r="K3735" s="12"/>
      <c r="L3735" s="15"/>
    </row>
    <row r="3736" spans="1:12">
      <c r="A3736" s="8"/>
      <c r="B3736" s="9"/>
      <c r="C3736" s="10"/>
      <c r="D3736" s="10"/>
      <c r="E3736" s="11"/>
      <c r="F3736" s="11"/>
      <c r="G3736" s="12"/>
      <c r="H3736" s="12"/>
      <c r="I3736" s="10"/>
      <c r="J3736" s="5"/>
      <c r="K3736" s="12"/>
      <c r="L3736" s="15"/>
    </row>
    <row r="3737" spans="1:12">
      <c r="A3737" s="8"/>
      <c r="B3737" s="9"/>
      <c r="C3737" s="10"/>
      <c r="D3737" s="10"/>
      <c r="E3737" s="11"/>
      <c r="F3737" s="11"/>
      <c r="G3737" s="12"/>
      <c r="H3737" s="12"/>
      <c r="I3737" s="10"/>
      <c r="J3737" s="5"/>
      <c r="K3737" s="12"/>
      <c r="L3737" s="15"/>
    </row>
    <row r="3738" spans="1:12">
      <c r="A3738" s="8"/>
      <c r="B3738" s="9"/>
      <c r="C3738" s="10"/>
      <c r="D3738" s="10"/>
      <c r="E3738" s="11"/>
      <c r="F3738" s="11"/>
      <c r="G3738" s="12"/>
      <c r="H3738" s="12"/>
      <c r="I3738" s="10"/>
      <c r="J3738" s="5"/>
      <c r="K3738" s="9"/>
      <c r="L3738" s="15"/>
    </row>
    <row r="3739" spans="1:12">
      <c r="A3739" s="8"/>
      <c r="B3739" s="9"/>
      <c r="C3739" s="10"/>
      <c r="D3739" s="10"/>
      <c r="E3739" s="11"/>
      <c r="F3739" s="11"/>
      <c r="G3739" s="12"/>
      <c r="H3739" s="12"/>
      <c r="I3739" s="10"/>
      <c r="J3739" s="5"/>
      <c r="K3739" s="12"/>
      <c r="L3739" s="15"/>
    </row>
    <row r="3740" spans="1:12">
      <c r="A3740" s="8"/>
      <c r="B3740" s="9"/>
      <c r="C3740" s="10"/>
      <c r="D3740" s="10"/>
      <c r="E3740" s="11"/>
      <c r="F3740" s="11"/>
      <c r="G3740" s="12"/>
      <c r="H3740" s="12"/>
      <c r="I3740" s="10"/>
      <c r="J3740" s="5"/>
      <c r="K3740" s="12"/>
      <c r="L3740" s="15"/>
    </row>
    <row r="3741" spans="1:12">
      <c r="A3741" s="8"/>
      <c r="B3741" s="9"/>
      <c r="C3741" s="10"/>
      <c r="D3741" s="10"/>
      <c r="E3741" s="11"/>
      <c r="F3741" s="11"/>
      <c r="G3741" s="12"/>
      <c r="H3741" s="12"/>
      <c r="I3741" s="10"/>
      <c r="J3741" s="5"/>
      <c r="K3741" s="12"/>
      <c r="L3741" s="15"/>
    </row>
    <row r="3742" spans="1:12">
      <c r="A3742" s="8"/>
      <c r="B3742" s="9"/>
      <c r="C3742" s="10"/>
      <c r="D3742" s="10"/>
      <c r="E3742" s="19"/>
      <c r="F3742" s="19"/>
      <c r="G3742" s="12"/>
      <c r="H3742" s="9"/>
      <c r="I3742" s="10"/>
      <c r="J3742" s="5"/>
      <c r="K3742" s="9"/>
      <c r="L3742" s="15"/>
    </row>
    <row r="3743" spans="1:12">
      <c r="A3743" s="8"/>
      <c r="B3743" s="9"/>
      <c r="C3743" s="10"/>
      <c r="D3743" s="10"/>
      <c r="E3743" s="11"/>
      <c r="F3743" s="11"/>
      <c r="G3743" s="12"/>
      <c r="H3743" s="12"/>
      <c r="I3743" s="10"/>
      <c r="J3743" s="5"/>
      <c r="K3743" s="9"/>
      <c r="L3743" s="15"/>
    </row>
    <row r="3744" spans="1:12">
      <c r="A3744" s="8"/>
      <c r="B3744" s="9"/>
      <c r="C3744" s="10"/>
      <c r="D3744" s="10"/>
      <c r="E3744" s="11"/>
      <c r="F3744" s="11"/>
      <c r="G3744" s="12"/>
      <c r="H3744" s="12"/>
      <c r="I3744" s="10"/>
      <c r="J3744" s="5"/>
      <c r="K3744" s="12"/>
      <c r="L3744" s="15"/>
    </row>
    <row r="3745" spans="1:12">
      <c r="A3745" s="8"/>
      <c r="B3745" s="9"/>
      <c r="C3745" s="10"/>
      <c r="D3745" s="10"/>
      <c r="E3745" s="25"/>
      <c r="F3745" s="25"/>
      <c r="G3745" s="12"/>
      <c r="H3745" s="26"/>
      <c r="I3745" s="10"/>
      <c r="J3745" s="5"/>
      <c r="K3745" s="12"/>
      <c r="L3745" s="15"/>
    </row>
    <row r="3746" spans="1:12">
      <c r="A3746" s="8"/>
      <c r="B3746" s="9"/>
      <c r="C3746" s="10"/>
      <c r="D3746" s="10"/>
      <c r="E3746" s="11"/>
      <c r="F3746" s="11"/>
      <c r="G3746" s="12"/>
      <c r="H3746" s="12"/>
      <c r="I3746" s="10"/>
      <c r="J3746" s="5"/>
      <c r="K3746" s="12"/>
      <c r="L3746" s="15"/>
    </row>
    <row r="3747" spans="1:12">
      <c r="A3747" s="8"/>
      <c r="B3747" s="9"/>
      <c r="C3747" s="10"/>
      <c r="D3747" s="10"/>
      <c r="E3747" s="11"/>
      <c r="F3747" s="11"/>
      <c r="G3747" s="12"/>
      <c r="H3747" s="12"/>
      <c r="I3747" s="10"/>
      <c r="J3747" s="5"/>
      <c r="K3747" s="12"/>
      <c r="L3747" s="15"/>
    </row>
    <row r="3748" spans="1:12">
      <c r="A3748" s="8"/>
      <c r="B3748" s="9"/>
      <c r="C3748" s="10"/>
      <c r="D3748" s="10"/>
      <c r="E3748" s="11"/>
      <c r="F3748" s="11"/>
      <c r="G3748" s="12"/>
      <c r="H3748" s="12"/>
      <c r="I3748" s="10"/>
      <c r="J3748" s="5"/>
      <c r="K3748" s="12"/>
      <c r="L3748" s="15"/>
    </row>
    <row r="3749" spans="1:12">
      <c r="A3749" s="8"/>
      <c r="B3749" s="9"/>
      <c r="C3749" s="10"/>
      <c r="D3749" s="10"/>
      <c r="E3749" s="11"/>
      <c r="F3749" s="11"/>
      <c r="G3749" s="12"/>
      <c r="H3749" s="9"/>
      <c r="I3749" s="10"/>
      <c r="J3749" s="5"/>
      <c r="K3749" s="12"/>
      <c r="L3749" s="15"/>
    </row>
    <row r="3750" spans="1:12">
      <c r="A3750" s="8"/>
      <c r="B3750" s="9"/>
      <c r="C3750" s="10"/>
      <c r="D3750" s="10"/>
      <c r="E3750" s="11"/>
      <c r="F3750" s="11"/>
      <c r="G3750" s="12"/>
      <c r="H3750" s="12"/>
      <c r="I3750" s="10"/>
      <c r="J3750" s="5"/>
      <c r="K3750" s="9"/>
      <c r="L3750" s="15"/>
    </row>
    <row r="3751" spans="1:12">
      <c r="A3751" s="8"/>
      <c r="B3751" s="9"/>
      <c r="C3751" s="10"/>
      <c r="D3751" s="10"/>
      <c r="E3751" s="19"/>
      <c r="F3751" s="19"/>
      <c r="G3751" s="12"/>
      <c r="H3751" s="9"/>
      <c r="I3751" s="10"/>
      <c r="J3751" s="5"/>
      <c r="K3751" s="9"/>
      <c r="L3751" s="15"/>
    </row>
    <row r="3752" spans="1:12">
      <c r="A3752" s="8"/>
      <c r="B3752" s="9"/>
      <c r="C3752" s="10"/>
      <c r="D3752" s="10"/>
      <c r="E3752" s="25"/>
      <c r="F3752" s="25"/>
      <c r="G3752" s="12"/>
      <c r="H3752" s="26"/>
      <c r="I3752" s="10"/>
      <c r="J3752" s="5"/>
      <c r="K3752" s="12"/>
      <c r="L3752" s="15"/>
    </row>
    <row r="3753" spans="1:12">
      <c r="A3753" s="8"/>
      <c r="B3753" s="9"/>
      <c r="C3753" s="10"/>
      <c r="D3753" s="10"/>
      <c r="E3753" s="25"/>
      <c r="F3753" s="25"/>
      <c r="G3753" s="12"/>
      <c r="H3753" s="26"/>
      <c r="I3753" s="10"/>
      <c r="J3753" s="5"/>
      <c r="K3753" s="12"/>
      <c r="L3753" s="15"/>
    </row>
    <row r="3754" spans="1:12">
      <c r="A3754" s="8"/>
      <c r="B3754" s="9"/>
      <c r="C3754" s="10"/>
      <c r="D3754" s="10"/>
      <c r="E3754" s="25"/>
      <c r="F3754" s="25"/>
      <c r="G3754" s="12"/>
      <c r="H3754" s="26"/>
      <c r="I3754" s="10"/>
      <c r="J3754" s="5"/>
      <c r="K3754" s="12"/>
      <c r="L3754" s="15"/>
    </row>
    <row r="3755" spans="1:12">
      <c r="A3755" s="8"/>
      <c r="B3755" s="9"/>
      <c r="C3755" s="10"/>
      <c r="D3755" s="10"/>
      <c r="E3755" s="25"/>
      <c r="F3755" s="25"/>
      <c r="G3755" s="12"/>
      <c r="H3755" s="26"/>
      <c r="I3755" s="10"/>
      <c r="J3755" s="5"/>
      <c r="K3755" s="12"/>
      <c r="L3755" s="15"/>
    </row>
    <row r="3756" spans="1:12">
      <c r="A3756" s="8"/>
      <c r="B3756" s="9"/>
      <c r="C3756" s="10"/>
      <c r="D3756" s="10"/>
      <c r="E3756" s="11"/>
      <c r="F3756" s="11"/>
      <c r="G3756" s="12"/>
      <c r="H3756" s="12"/>
      <c r="I3756" s="10"/>
      <c r="J3756" s="5"/>
      <c r="K3756" s="9"/>
      <c r="L3756" s="15"/>
    </row>
    <row r="3757" spans="1:12">
      <c r="A3757" s="8"/>
      <c r="B3757" s="9"/>
      <c r="C3757" s="10"/>
      <c r="D3757" s="10"/>
      <c r="E3757" s="11"/>
      <c r="F3757" s="11"/>
      <c r="G3757" s="12"/>
      <c r="H3757" s="12"/>
      <c r="I3757" s="10"/>
      <c r="J3757" s="5"/>
      <c r="K3757" s="9"/>
      <c r="L3757" s="15"/>
    </row>
    <row r="3758" spans="1:12">
      <c r="A3758" s="8"/>
      <c r="B3758" s="9"/>
      <c r="C3758" s="10"/>
      <c r="D3758" s="10"/>
      <c r="E3758" s="11"/>
      <c r="F3758" s="11"/>
      <c r="G3758" s="12"/>
      <c r="H3758" s="12"/>
      <c r="I3758" s="10"/>
      <c r="J3758" s="5"/>
      <c r="K3758" s="12"/>
      <c r="L3758" s="15"/>
    </row>
    <row r="3759" spans="1:12">
      <c r="A3759" s="8"/>
      <c r="B3759" s="9"/>
      <c r="C3759" s="10"/>
      <c r="D3759" s="10"/>
      <c r="E3759" s="11"/>
      <c r="F3759" s="11"/>
      <c r="G3759" s="12"/>
      <c r="H3759" s="12"/>
      <c r="I3759" s="10"/>
      <c r="J3759" s="5"/>
      <c r="K3759" s="12"/>
      <c r="L3759" s="15"/>
    </row>
    <row r="3760" spans="1:12">
      <c r="A3760" s="8"/>
      <c r="B3760" s="9"/>
      <c r="C3760" s="10"/>
      <c r="D3760" s="10"/>
      <c r="E3760" s="11"/>
      <c r="F3760" s="11"/>
      <c r="G3760" s="12"/>
      <c r="H3760" s="12"/>
      <c r="I3760" s="10"/>
      <c r="J3760" s="5"/>
      <c r="K3760" s="12"/>
      <c r="L3760" s="15"/>
    </row>
    <row r="3761" spans="1:12">
      <c r="A3761" s="8"/>
      <c r="B3761" s="9"/>
      <c r="C3761" s="10"/>
      <c r="D3761" s="10"/>
      <c r="E3761" s="11"/>
      <c r="F3761" s="11"/>
      <c r="G3761" s="12"/>
      <c r="H3761" s="12"/>
      <c r="I3761" s="10"/>
      <c r="J3761" s="5"/>
      <c r="K3761" s="9"/>
      <c r="L3761" s="15"/>
    </row>
    <row r="3762" spans="1:12">
      <c r="A3762" s="8"/>
      <c r="B3762" s="9"/>
      <c r="C3762" s="10"/>
      <c r="D3762" s="10"/>
      <c r="E3762" s="11"/>
      <c r="F3762" s="11"/>
      <c r="G3762" s="12"/>
      <c r="H3762" s="12"/>
      <c r="I3762" s="10"/>
      <c r="J3762" s="5"/>
      <c r="K3762" s="12"/>
      <c r="L3762" s="15"/>
    </row>
    <row r="3763" spans="1:12">
      <c r="A3763" s="8"/>
      <c r="B3763" s="9"/>
      <c r="C3763" s="10"/>
      <c r="D3763" s="10"/>
      <c r="E3763" s="11"/>
      <c r="F3763" s="11"/>
      <c r="G3763" s="12"/>
      <c r="H3763" s="12"/>
      <c r="I3763" s="10"/>
      <c r="J3763" s="5"/>
      <c r="K3763" s="12"/>
      <c r="L3763" s="15"/>
    </row>
    <row r="3764" spans="1:12">
      <c r="A3764" s="8"/>
      <c r="B3764" s="9"/>
      <c r="C3764" s="10"/>
      <c r="D3764" s="10"/>
      <c r="E3764" s="11"/>
      <c r="F3764" s="11"/>
      <c r="G3764" s="12"/>
      <c r="H3764" s="12"/>
      <c r="I3764" s="10"/>
      <c r="J3764" s="5"/>
      <c r="K3764" s="12"/>
      <c r="L3764" s="15"/>
    </row>
    <row r="3765" spans="1:12">
      <c r="A3765" s="8"/>
      <c r="B3765" s="9"/>
      <c r="C3765" s="10"/>
      <c r="D3765" s="10"/>
      <c r="E3765" s="11"/>
      <c r="F3765" s="11"/>
      <c r="G3765" s="12"/>
      <c r="H3765" s="12"/>
      <c r="I3765" s="10"/>
      <c r="J3765" s="5"/>
      <c r="K3765" s="12"/>
      <c r="L3765" s="15"/>
    </row>
    <row r="3766" spans="1:12">
      <c r="A3766" s="8"/>
      <c r="B3766" s="9"/>
      <c r="C3766" s="10"/>
      <c r="D3766" s="10"/>
      <c r="E3766" s="11"/>
      <c r="F3766" s="11"/>
      <c r="G3766" s="12"/>
      <c r="H3766" s="12"/>
      <c r="I3766" s="10"/>
      <c r="J3766" s="5"/>
      <c r="K3766" s="12"/>
      <c r="L3766" s="15"/>
    </row>
    <row r="3767" spans="1:12">
      <c r="A3767" s="8"/>
      <c r="B3767" s="9"/>
      <c r="C3767" s="10"/>
      <c r="D3767" s="10"/>
      <c r="E3767" s="11"/>
      <c r="F3767" s="11"/>
      <c r="G3767" s="12"/>
      <c r="H3767" s="12"/>
      <c r="I3767" s="10"/>
      <c r="J3767" s="5"/>
      <c r="K3767" s="9"/>
      <c r="L3767" s="15"/>
    </row>
    <row r="3768" spans="1:12">
      <c r="A3768" s="8"/>
      <c r="B3768" s="9"/>
      <c r="C3768" s="10"/>
      <c r="D3768" s="10"/>
      <c r="E3768" s="11"/>
      <c r="F3768" s="11"/>
      <c r="G3768" s="12"/>
      <c r="H3768" s="12"/>
      <c r="I3768" s="10"/>
      <c r="J3768" s="5"/>
      <c r="K3768" s="9"/>
      <c r="L3768" s="15"/>
    </row>
    <row r="3769" spans="1:12">
      <c r="A3769" s="8"/>
      <c r="B3769" s="9"/>
      <c r="C3769" s="10"/>
      <c r="D3769" s="10"/>
      <c r="E3769" s="11"/>
      <c r="F3769" s="11"/>
      <c r="G3769" s="12"/>
      <c r="H3769" s="12"/>
      <c r="I3769" s="10"/>
      <c r="J3769" s="5"/>
      <c r="K3769" s="12"/>
      <c r="L3769" s="15"/>
    </row>
    <row r="3770" spans="1:12">
      <c r="A3770" s="8"/>
      <c r="B3770" s="9"/>
      <c r="C3770" s="10"/>
      <c r="D3770" s="10"/>
      <c r="E3770" s="11"/>
      <c r="F3770" s="11"/>
      <c r="G3770" s="12"/>
      <c r="H3770" s="12"/>
      <c r="I3770" s="10"/>
      <c r="J3770" s="5"/>
      <c r="K3770" s="12"/>
      <c r="L3770" s="15"/>
    </row>
    <row r="3771" spans="1:12">
      <c r="A3771" s="8"/>
      <c r="B3771" s="9"/>
      <c r="C3771" s="10"/>
      <c r="D3771" s="10"/>
      <c r="E3771" s="11"/>
      <c r="F3771" s="11"/>
      <c r="G3771" s="12"/>
      <c r="H3771" s="12"/>
      <c r="I3771" s="10"/>
      <c r="J3771" s="5"/>
      <c r="K3771" s="9"/>
      <c r="L3771" s="15"/>
    </row>
    <row r="3772" spans="1:12">
      <c r="A3772" s="8"/>
      <c r="B3772" s="9"/>
      <c r="C3772" s="10"/>
      <c r="D3772" s="10"/>
      <c r="E3772" s="11"/>
      <c r="F3772" s="11"/>
      <c r="G3772" s="12"/>
      <c r="H3772" s="12"/>
      <c r="I3772" s="10"/>
      <c r="J3772" s="5"/>
      <c r="K3772" s="12"/>
      <c r="L3772" s="15"/>
    </row>
    <row r="3773" spans="1:12">
      <c r="A3773" s="8"/>
      <c r="B3773" s="9"/>
      <c r="C3773" s="10"/>
      <c r="D3773" s="10"/>
      <c r="E3773" s="11"/>
      <c r="F3773" s="11"/>
      <c r="G3773" s="12"/>
      <c r="H3773" s="12"/>
      <c r="I3773" s="10"/>
      <c r="J3773" s="5"/>
      <c r="K3773" s="12"/>
      <c r="L3773" s="15"/>
    </row>
    <row r="3774" spans="1:12">
      <c r="A3774" s="8"/>
      <c r="B3774" s="9"/>
      <c r="C3774" s="65"/>
      <c r="D3774" s="10"/>
      <c r="E3774" s="34"/>
      <c r="F3774" s="34"/>
      <c r="G3774" s="12"/>
      <c r="H3774" s="35"/>
      <c r="I3774" s="10"/>
      <c r="J3774" s="5"/>
      <c r="K3774" s="9"/>
      <c r="L3774" s="66"/>
    </row>
    <row r="3775" spans="1:12">
      <c r="A3775" s="8"/>
      <c r="B3775" s="9"/>
      <c r="C3775" s="10"/>
      <c r="D3775" s="10"/>
      <c r="E3775" s="11"/>
      <c r="F3775" s="11"/>
      <c r="G3775" s="12"/>
      <c r="H3775" s="12"/>
      <c r="I3775" s="10"/>
      <c r="J3775" s="5"/>
      <c r="K3775" s="9"/>
      <c r="L3775" s="15"/>
    </row>
    <row r="3776" spans="1:12">
      <c r="A3776" s="8"/>
      <c r="B3776" s="9"/>
      <c r="C3776" s="10"/>
      <c r="D3776" s="10"/>
      <c r="E3776" s="11"/>
      <c r="F3776" s="11"/>
      <c r="G3776" s="12"/>
      <c r="H3776" s="12"/>
      <c r="I3776" s="10"/>
      <c r="J3776" s="5"/>
      <c r="K3776" s="12"/>
      <c r="L3776" s="15"/>
    </row>
    <row r="3777" spans="1:12">
      <c r="A3777" s="8"/>
      <c r="B3777" s="9"/>
      <c r="C3777" s="10"/>
      <c r="D3777" s="10"/>
      <c r="E3777" s="11"/>
      <c r="F3777" s="11"/>
      <c r="G3777" s="12"/>
      <c r="H3777" s="12"/>
      <c r="I3777" s="10"/>
      <c r="J3777" s="5"/>
      <c r="K3777" s="12"/>
      <c r="L3777" s="15"/>
    </row>
    <row r="3778" spans="1:12">
      <c r="A3778" s="8"/>
      <c r="B3778" s="9"/>
      <c r="C3778" s="10"/>
      <c r="D3778" s="10"/>
      <c r="E3778" s="11"/>
      <c r="F3778" s="11"/>
      <c r="G3778" s="12"/>
      <c r="H3778" s="12"/>
      <c r="I3778" s="10"/>
      <c r="J3778" s="5"/>
      <c r="K3778" s="12"/>
      <c r="L3778" s="15"/>
    </row>
    <row r="3779" spans="1:12">
      <c r="A3779" s="8"/>
      <c r="B3779" s="9"/>
      <c r="C3779" s="10"/>
      <c r="D3779" s="10"/>
      <c r="E3779" s="11"/>
      <c r="F3779" s="11"/>
      <c r="G3779" s="12"/>
      <c r="H3779" s="12"/>
      <c r="I3779" s="10"/>
      <c r="J3779" s="5"/>
      <c r="K3779" s="12"/>
      <c r="L3779" s="15"/>
    </row>
    <row r="3780" spans="1:12">
      <c r="A3780" s="8"/>
      <c r="B3780" s="9"/>
      <c r="C3780" s="10"/>
      <c r="D3780" s="10"/>
      <c r="E3780" s="11"/>
      <c r="F3780" s="11"/>
      <c r="G3780" s="12"/>
      <c r="H3780" s="12"/>
      <c r="I3780" s="10"/>
      <c r="J3780" s="5"/>
      <c r="K3780" s="12"/>
      <c r="L3780" s="15"/>
    </row>
    <row r="3781" spans="1:12">
      <c r="A3781" s="8"/>
      <c r="B3781" s="9"/>
      <c r="C3781" s="10"/>
      <c r="D3781" s="10"/>
      <c r="E3781" s="11"/>
      <c r="F3781" s="11"/>
      <c r="G3781" s="12"/>
      <c r="H3781" s="12"/>
      <c r="I3781" s="10"/>
      <c r="J3781" s="5"/>
      <c r="K3781" s="12"/>
      <c r="L3781" s="15"/>
    </row>
    <row r="3782" spans="1:12">
      <c r="A3782" s="8"/>
      <c r="B3782" s="9"/>
      <c r="C3782" s="10"/>
      <c r="D3782" s="10"/>
      <c r="E3782" s="11"/>
      <c r="F3782" s="11"/>
      <c r="G3782" s="12"/>
      <c r="H3782" s="12"/>
      <c r="I3782" s="10"/>
      <c r="J3782" s="5"/>
      <c r="K3782" s="12"/>
      <c r="L3782" s="15"/>
    </row>
    <row r="3783" spans="1:12">
      <c r="A3783" s="8"/>
      <c r="B3783" s="9"/>
      <c r="C3783" s="10"/>
      <c r="D3783" s="10"/>
      <c r="E3783" s="11"/>
      <c r="F3783" s="11"/>
      <c r="G3783" s="12"/>
      <c r="H3783" s="12"/>
      <c r="I3783" s="10"/>
      <c r="J3783" s="5"/>
      <c r="K3783" s="12"/>
      <c r="L3783" s="15"/>
    </row>
    <row r="3784" spans="1:12">
      <c r="A3784" s="8"/>
      <c r="B3784" s="9"/>
      <c r="C3784" s="10"/>
      <c r="D3784" s="10"/>
      <c r="E3784" s="11"/>
      <c r="F3784" s="11"/>
      <c r="G3784" s="12"/>
      <c r="H3784" s="12"/>
      <c r="I3784" s="10"/>
      <c r="J3784" s="5"/>
      <c r="K3784" s="9"/>
      <c r="L3784" s="15"/>
    </row>
    <row r="3785" spans="1:12">
      <c r="A3785" s="8"/>
      <c r="B3785" s="9"/>
      <c r="C3785" s="10"/>
      <c r="D3785" s="10"/>
      <c r="E3785" s="11"/>
      <c r="F3785" s="11"/>
      <c r="G3785" s="12"/>
      <c r="H3785" s="12"/>
      <c r="I3785" s="10"/>
      <c r="J3785" s="5"/>
      <c r="K3785" s="12"/>
      <c r="L3785" s="15"/>
    </row>
    <row r="3786" spans="1:12">
      <c r="A3786" s="8"/>
      <c r="B3786" s="9"/>
      <c r="C3786" s="10"/>
      <c r="D3786" s="10"/>
      <c r="E3786" s="11"/>
      <c r="F3786" s="11"/>
      <c r="G3786" s="12"/>
      <c r="H3786" s="12"/>
      <c r="I3786" s="10"/>
      <c r="J3786" s="5"/>
      <c r="K3786" s="12"/>
      <c r="L3786" s="15"/>
    </row>
    <row r="3787" spans="1:12">
      <c r="A3787" s="8"/>
      <c r="B3787" s="9"/>
      <c r="C3787" s="10"/>
      <c r="D3787" s="10"/>
      <c r="E3787" s="11"/>
      <c r="F3787" s="22"/>
      <c r="G3787" s="12"/>
      <c r="H3787" s="10"/>
      <c r="I3787" s="10"/>
      <c r="J3787" s="5"/>
      <c r="K3787" s="12"/>
      <c r="L3787" s="15"/>
    </row>
    <row r="3788" spans="1:12">
      <c r="A3788" s="8"/>
      <c r="B3788" s="9"/>
      <c r="C3788" s="10"/>
      <c r="D3788" s="10"/>
      <c r="E3788" s="11"/>
      <c r="F3788" s="22"/>
      <c r="G3788" s="12"/>
      <c r="H3788" s="10"/>
      <c r="I3788" s="10"/>
      <c r="J3788" s="5"/>
      <c r="K3788" s="12"/>
      <c r="L3788" s="15"/>
    </row>
    <row r="3789" spans="1:12">
      <c r="A3789" s="8"/>
      <c r="B3789" s="9"/>
      <c r="C3789" s="10"/>
      <c r="D3789" s="10"/>
      <c r="E3789" s="19"/>
      <c r="F3789" s="19"/>
      <c r="G3789" s="12"/>
      <c r="H3789" s="12"/>
      <c r="I3789" s="10"/>
      <c r="J3789" s="5"/>
      <c r="K3789" s="12"/>
      <c r="L3789" s="15"/>
    </row>
    <row r="3790" spans="1:12">
      <c r="A3790" s="8"/>
      <c r="B3790" s="9"/>
      <c r="C3790" s="10"/>
      <c r="D3790" s="10"/>
      <c r="E3790" s="11"/>
      <c r="F3790" s="11"/>
      <c r="G3790" s="12"/>
      <c r="H3790" s="12"/>
      <c r="I3790" s="10"/>
      <c r="J3790" s="5"/>
      <c r="K3790" s="12"/>
      <c r="L3790" s="15"/>
    </row>
    <row r="3791" spans="1:12">
      <c r="A3791" s="8"/>
      <c r="B3791" s="9"/>
      <c r="C3791" s="10"/>
      <c r="D3791" s="10"/>
      <c r="E3791" s="11"/>
      <c r="F3791" s="11"/>
      <c r="G3791" s="12"/>
      <c r="H3791" s="12"/>
      <c r="I3791" s="10"/>
      <c r="J3791" s="5"/>
      <c r="K3791" s="12"/>
      <c r="L3791" s="15"/>
    </row>
    <row r="3792" spans="1:12">
      <c r="A3792" s="8"/>
      <c r="B3792" s="9"/>
      <c r="C3792" s="10"/>
      <c r="D3792" s="10"/>
      <c r="E3792" s="11"/>
      <c r="F3792" s="11"/>
      <c r="G3792" s="12"/>
      <c r="H3792" s="12"/>
      <c r="I3792" s="10"/>
      <c r="J3792" s="5"/>
      <c r="K3792" s="12"/>
      <c r="L3792" s="15"/>
    </row>
    <row r="3793" spans="1:12">
      <c r="A3793" s="8"/>
      <c r="B3793" s="9"/>
      <c r="C3793" s="10"/>
      <c r="D3793" s="10"/>
      <c r="E3793" s="11"/>
      <c r="F3793" s="11"/>
      <c r="G3793" s="12"/>
      <c r="H3793" s="12"/>
      <c r="I3793" s="10"/>
      <c r="J3793" s="5"/>
      <c r="K3793" s="12"/>
      <c r="L3793" s="15"/>
    </row>
    <row r="3794" spans="1:12">
      <c r="A3794" s="8"/>
      <c r="B3794" s="9"/>
      <c r="C3794" s="10"/>
      <c r="D3794" s="10"/>
      <c r="E3794" s="11"/>
      <c r="F3794" s="11"/>
      <c r="G3794" s="12"/>
      <c r="H3794" s="12"/>
      <c r="I3794" s="10"/>
      <c r="J3794" s="5"/>
      <c r="K3794" s="12"/>
      <c r="L3794" s="15"/>
    </row>
    <row r="3795" spans="1:12">
      <c r="A3795" s="8"/>
      <c r="B3795" s="9"/>
      <c r="C3795" s="10"/>
      <c r="D3795" s="10"/>
      <c r="E3795" s="11"/>
      <c r="F3795" s="11"/>
      <c r="G3795" s="12"/>
      <c r="H3795" s="12"/>
      <c r="I3795" s="10"/>
      <c r="J3795" s="5"/>
      <c r="K3795" s="12"/>
      <c r="L3795" s="15"/>
    </row>
    <row r="3796" spans="1:12">
      <c r="A3796" s="8"/>
      <c r="B3796" s="9"/>
      <c r="C3796" s="10"/>
      <c r="D3796" s="10"/>
      <c r="E3796" s="11"/>
      <c r="F3796" s="11"/>
      <c r="G3796" s="12"/>
      <c r="H3796" s="12"/>
      <c r="I3796" s="10"/>
      <c r="J3796" s="5"/>
      <c r="K3796" s="12"/>
      <c r="L3796" s="15"/>
    </row>
    <row r="3797" spans="1:12">
      <c r="A3797" s="8"/>
      <c r="B3797" s="9"/>
      <c r="C3797" s="10"/>
      <c r="D3797" s="10"/>
      <c r="E3797" s="11"/>
      <c r="F3797" s="11"/>
      <c r="G3797" s="12"/>
      <c r="H3797" s="12"/>
      <c r="I3797" s="10"/>
      <c r="J3797" s="5"/>
      <c r="K3797" s="9"/>
      <c r="L3797" s="15"/>
    </row>
    <row r="3798" spans="1:12">
      <c r="A3798" s="8"/>
      <c r="B3798" s="9"/>
      <c r="C3798" s="10"/>
      <c r="D3798" s="10"/>
      <c r="E3798" s="11"/>
      <c r="F3798" s="11"/>
      <c r="G3798" s="12"/>
      <c r="H3798" s="12"/>
      <c r="I3798" s="10"/>
      <c r="J3798" s="5"/>
      <c r="K3798" s="9"/>
      <c r="L3798" s="15"/>
    </row>
    <row r="3799" spans="1:12">
      <c r="A3799" s="8"/>
      <c r="B3799" s="9"/>
      <c r="C3799" s="10"/>
      <c r="D3799" s="10"/>
      <c r="E3799" s="11"/>
      <c r="F3799" s="11"/>
      <c r="G3799" s="12"/>
      <c r="H3799" s="12"/>
      <c r="I3799" s="10"/>
      <c r="J3799" s="5"/>
      <c r="K3799" s="12"/>
      <c r="L3799" s="15"/>
    </row>
    <row r="3800" spans="1:12">
      <c r="A3800" s="8"/>
      <c r="B3800" s="9"/>
      <c r="C3800" s="10"/>
      <c r="D3800" s="10"/>
      <c r="E3800" s="11"/>
      <c r="F3800" s="11"/>
      <c r="G3800" s="12"/>
      <c r="H3800" s="12"/>
      <c r="I3800" s="10"/>
      <c r="J3800" s="5"/>
      <c r="K3800" s="9"/>
      <c r="L3800" s="15"/>
    </row>
    <row r="3801" spans="1:12">
      <c r="A3801" s="8"/>
      <c r="B3801" s="9"/>
      <c r="C3801" s="13"/>
      <c r="D3801" s="10"/>
      <c r="E3801" s="19"/>
      <c r="F3801" s="19"/>
      <c r="G3801" s="12"/>
      <c r="H3801" s="9"/>
      <c r="I3801" s="10"/>
      <c r="J3801" s="5"/>
      <c r="K3801" s="9"/>
      <c r="L3801" s="21"/>
    </row>
    <row r="3802" spans="1:12">
      <c r="A3802" s="8"/>
      <c r="B3802" s="9"/>
      <c r="C3802" s="13"/>
      <c r="D3802" s="10"/>
      <c r="E3802" s="19"/>
      <c r="F3802" s="19"/>
      <c r="G3802" s="12"/>
      <c r="H3802" s="9"/>
      <c r="I3802" s="10"/>
      <c r="J3802" s="5"/>
      <c r="K3802" s="9"/>
      <c r="L3802" s="21"/>
    </row>
    <row r="3803" spans="1:12">
      <c r="A3803" s="8"/>
      <c r="B3803" s="9"/>
      <c r="C3803" s="13"/>
      <c r="D3803" s="10"/>
      <c r="E3803" s="19"/>
      <c r="F3803" s="19"/>
      <c r="G3803" s="12"/>
      <c r="H3803" s="9"/>
      <c r="I3803" s="10"/>
      <c r="J3803" s="5"/>
      <c r="K3803" s="9"/>
      <c r="L3803" s="21"/>
    </row>
    <row r="3804" spans="1:12">
      <c r="A3804" s="8"/>
      <c r="B3804" s="9"/>
      <c r="C3804" s="13"/>
      <c r="D3804" s="10"/>
      <c r="E3804" s="19"/>
      <c r="F3804" s="19"/>
      <c r="G3804" s="12"/>
      <c r="H3804" s="9"/>
      <c r="I3804" s="10"/>
      <c r="J3804" s="5"/>
      <c r="K3804" s="9"/>
      <c r="L3804" s="21"/>
    </row>
    <row r="3805" spans="1:12">
      <c r="A3805" s="8"/>
      <c r="B3805" s="9"/>
      <c r="C3805" s="13"/>
      <c r="D3805" s="10"/>
      <c r="E3805" s="19"/>
      <c r="F3805" s="19"/>
      <c r="G3805" s="12"/>
      <c r="H3805" s="9"/>
      <c r="I3805" s="10"/>
      <c r="J3805" s="5"/>
      <c r="K3805" s="9"/>
      <c r="L3805" s="21"/>
    </row>
    <row r="3806" spans="1:12">
      <c r="A3806" s="8"/>
      <c r="B3806" s="9"/>
      <c r="C3806" s="13"/>
      <c r="D3806" s="10"/>
      <c r="E3806" s="19"/>
      <c r="F3806" s="19"/>
      <c r="G3806" s="12"/>
      <c r="H3806" s="9"/>
      <c r="I3806" s="10"/>
      <c r="J3806" s="5"/>
      <c r="K3806" s="9"/>
      <c r="L3806" s="21"/>
    </row>
    <row r="3807" spans="1:12">
      <c r="A3807" s="8"/>
      <c r="B3807" s="9"/>
      <c r="C3807" s="10"/>
      <c r="D3807" s="10"/>
      <c r="E3807" s="11"/>
      <c r="F3807" s="11"/>
      <c r="G3807" s="12"/>
      <c r="H3807" s="12"/>
      <c r="I3807" s="10"/>
      <c r="J3807" s="5"/>
      <c r="K3807" s="12"/>
      <c r="L3807" s="15"/>
    </row>
    <row r="3808" spans="1:12">
      <c r="A3808" s="8"/>
      <c r="B3808" s="9"/>
      <c r="C3808" s="10"/>
      <c r="D3808" s="10"/>
      <c r="E3808" s="11"/>
      <c r="F3808" s="11"/>
      <c r="G3808" s="12"/>
      <c r="H3808" s="12"/>
      <c r="I3808" s="10"/>
      <c r="J3808" s="5"/>
      <c r="K3808" s="12"/>
      <c r="L3808" s="15"/>
    </row>
    <row r="3809" spans="1:12">
      <c r="A3809" s="8"/>
      <c r="B3809" s="9"/>
      <c r="C3809" s="10"/>
      <c r="D3809" s="10"/>
      <c r="E3809" s="11"/>
      <c r="F3809" s="19"/>
      <c r="G3809" s="12"/>
      <c r="H3809" s="12"/>
      <c r="I3809" s="10"/>
      <c r="J3809" s="5"/>
      <c r="K3809" s="12"/>
      <c r="L3809" s="15"/>
    </row>
    <row r="3810" spans="1:12">
      <c r="A3810" s="8"/>
      <c r="B3810" s="9"/>
      <c r="C3810" s="10"/>
      <c r="D3810" s="10"/>
      <c r="E3810" s="11"/>
      <c r="F3810" s="11"/>
      <c r="G3810" s="12"/>
      <c r="H3810" s="12"/>
      <c r="I3810" s="10"/>
      <c r="J3810" s="5"/>
      <c r="K3810" s="12"/>
      <c r="L3810" s="15"/>
    </row>
    <row r="3811" spans="1:12">
      <c r="A3811" s="8"/>
      <c r="B3811" s="9"/>
      <c r="C3811" s="10"/>
      <c r="D3811" s="10"/>
      <c r="E3811" s="22"/>
      <c r="F3811" s="22"/>
      <c r="G3811" s="12"/>
      <c r="H3811" s="10"/>
      <c r="I3811" s="10"/>
      <c r="J3811" s="5"/>
      <c r="K3811" s="12"/>
      <c r="L3811" s="23"/>
    </row>
    <row r="3812" spans="1:12">
      <c r="A3812" s="8"/>
      <c r="B3812" s="9"/>
      <c r="C3812" s="10"/>
      <c r="D3812" s="10"/>
      <c r="E3812" s="11"/>
      <c r="F3812" s="11"/>
      <c r="G3812" s="12"/>
      <c r="H3812" s="12"/>
      <c r="I3812" s="10"/>
      <c r="J3812" s="5"/>
      <c r="K3812" s="12"/>
      <c r="L3812" s="15"/>
    </row>
    <row r="3813" spans="1:12">
      <c r="A3813" s="8"/>
      <c r="B3813" s="9"/>
      <c r="C3813" s="10"/>
      <c r="D3813" s="10"/>
      <c r="E3813" s="11"/>
      <c r="F3813" s="11"/>
      <c r="G3813" s="12"/>
      <c r="H3813" s="12"/>
      <c r="I3813" s="10"/>
      <c r="J3813" s="5"/>
      <c r="K3813" s="12"/>
      <c r="L3813" s="15"/>
    </row>
    <row r="3814" spans="1:12">
      <c r="A3814" s="8"/>
      <c r="B3814" s="9"/>
      <c r="C3814" s="10"/>
      <c r="D3814" s="10"/>
      <c r="E3814" s="11"/>
      <c r="F3814" s="11"/>
      <c r="G3814" s="12"/>
      <c r="H3814" s="12"/>
      <c r="I3814" s="10"/>
      <c r="J3814" s="5"/>
      <c r="K3814" s="9"/>
      <c r="L3814" s="15"/>
    </row>
    <row r="3815" spans="1:12">
      <c r="A3815" s="8"/>
      <c r="B3815" s="9"/>
      <c r="C3815" s="10"/>
      <c r="D3815" s="10"/>
      <c r="E3815" s="11"/>
      <c r="F3815" s="11"/>
      <c r="G3815" s="12"/>
      <c r="H3815" s="12"/>
      <c r="I3815" s="10"/>
      <c r="J3815" s="5"/>
      <c r="K3815" s="9"/>
      <c r="L3815" s="15"/>
    </row>
    <row r="3816" spans="1:12">
      <c r="A3816" s="8"/>
      <c r="B3816" s="9"/>
      <c r="C3816" s="10"/>
      <c r="D3816" s="10"/>
      <c r="E3816" s="11"/>
      <c r="F3816" s="11"/>
      <c r="G3816" s="12"/>
      <c r="H3816" s="12"/>
      <c r="I3816" s="10"/>
      <c r="J3816" s="5"/>
      <c r="K3816" s="9"/>
      <c r="L3816" s="15"/>
    </row>
    <row r="3817" spans="1:12">
      <c r="A3817" s="8"/>
      <c r="B3817" s="9"/>
      <c r="C3817" s="13"/>
      <c r="D3817" s="10"/>
      <c r="E3817" s="19"/>
      <c r="F3817" s="19"/>
      <c r="G3817" s="12"/>
      <c r="H3817" s="9"/>
      <c r="I3817" s="10"/>
      <c r="J3817" s="5"/>
      <c r="K3817" s="12"/>
      <c r="L3817" s="21"/>
    </row>
    <row r="3818" spans="1:12">
      <c r="A3818" s="8"/>
      <c r="B3818" s="9"/>
      <c r="C3818" s="13"/>
      <c r="D3818" s="10"/>
      <c r="E3818" s="19"/>
      <c r="F3818" s="19"/>
      <c r="G3818" s="12"/>
      <c r="H3818" s="9"/>
      <c r="I3818" s="10"/>
      <c r="J3818" s="5"/>
      <c r="K3818" s="12"/>
      <c r="L3818" s="21"/>
    </row>
    <row r="3819" spans="1:12">
      <c r="A3819" s="8"/>
      <c r="B3819" s="9"/>
      <c r="C3819" s="10"/>
      <c r="D3819" s="10"/>
      <c r="E3819" s="11"/>
      <c r="F3819" s="11"/>
      <c r="G3819" s="12"/>
      <c r="H3819" s="12"/>
      <c r="I3819" s="10"/>
      <c r="J3819" s="5"/>
      <c r="K3819" s="12"/>
      <c r="L3819" s="15"/>
    </row>
    <row r="3820" spans="1:12">
      <c r="A3820" s="8"/>
      <c r="B3820" s="9"/>
      <c r="C3820" s="10"/>
      <c r="D3820" s="10"/>
      <c r="E3820" s="11"/>
      <c r="F3820" s="11"/>
      <c r="G3820" s="12"/>
      <c r="H3820" s="12"/>
      <c r="I3820" s="10"/>
      <c r="J3820" s="5"/>
      <c r="K3820" s="12"/>
      <c r="L3820" s="15"/>
    </row>
    <row r="3821" spans="1:12">
      <c r="A3821" s="8"/>
      <c r="B3821" s="9"/>
      <c r="C3821" s="10"/>
      <c r="D3821" s="10"/>
      <c r="E3821" s="11"/>
      <c r="F3821" s="11"/>
      <c r="G3821" s="12"/>
      <c r="H3821" s="12"/>
      <c r="I3821" s="10"/>
      <c r="J3821" s="5"/>
      <c r="K3821" s="12"/>
      <c r="L3821" s="15"/>
    </row>
    <row r="3822" spans="1:12">
      <c r="A3822" s="8"/>
      <c r="B3822" s="9"/>
      <c r="C3822" s="10"/>
      <c r="D3822" s="10"/>
      <c r="E3822" s="11"/>
      <c r="F3822" s="11"/>
      <c r="G3822" s="12"/>
      <c r="H3822" s="12"/>
      <c r="I3822" s="10"/>
      <c r="J3822" s="5"/>
      <c r="K3822" s="12"/>
      <c r="L3822" s="15"/>
    </row>
    <row r="3823" spans="1:12">
      <c r="A3823" s="8"/>
      <c r="B3823" s="9"/>
      <c r="C3823" s="10"/>
      <c r="D3823" s="10"/>
      <c r="E3823" s="11"/>
      <c r="F3823" s="11"/>
      <c r="G3823" s="12"/>
      <c r="H3823" s="12"/>
      <c r="I3823" s="10"/>
      <c r="J3823" s="5"/>
      <c r="K3823" s="12"/>
      <c r="L3823" s="15"/>
    </row>
    <row r="3824" spans="1:12">
      <c r="A3824" s="8"/>
      <c r="B3824" s="9"/>
      <c r="C3824" s="10"/>
      <c r="D3824" s="10"/>
      <c r="E3824" s="22"/>
      <c r="F3824" s="22"/>
      <c r="G3824" s="12"/>
      <c r="H3824" s="10"/>
      <c r="I3824" s="10"/>
      <c r="J3824" s="5"/>
      <c r="K3824" s="10"/>
      <c r="L3824" s="289"/>
    </row>
    <row r="3825" spans="1:12">
      <c r="A3825" s="8"/>
      <c r="B3825" s="9"/>
      <c r="C3825" s="10"/>
      <c r="D3825" s="10"/>
      <c r="E3825" s="11"/>
      <c r="F3825" s="11"/>
      <c r="G3825" s="12"/>
      <c r="H3825" s="12"/>
      <c r="I3825" s="10"/>
      <c r="J3825" s="5"/>
      <c r="K3825" s="12"/>
      <c r="L3825" s="15"/>
    </row>
    <row r="3826" spans="1:12">
      <c r="A3826" s="8"/>
      <c r="B3826" s="9"/>
      <c r="C3826" s="10"/>
      <c r="D3826" s="10"/>
      <c r="E3826" s="11"/>
      <c r="F3826" s="11"/>
      <c r="G3826" s="12"/>
      <c r="H3826" s="12"/>
      <c r="I3826" s="10"/>
      <c r="J3826" s="5"/>
      <c r="K3826" s="9"/>
      <c r="L3826" s="15"/>
    </row>
    <row r="3827" spans="1:12">
      <c r="A3827" s="8"/>
      <c r="B3827" s="9"/>
      <c r="C3827" s="10"/>
      <c r="D3827" s="10"/>
      <c r="E3827" s="11"/>
      <c r="F3827" s="11"/>
      <c r="G3827" s="12"/>
      <c r="H3827" s="12"/>
      <c r="I3827" s="10"/>
      <c r="J3827" s="5"/>
      <c r="K3827" s="9"/>
      <c r="L3827" s="15"/>
    </row>
    <row r="3828" spans="1:12">
      <c r="A3828" s="8"/>
      <c r="B3828" s="9"/>
      <c r="C3828" s="10"/>
      <c r="D3828" s="10"/>
      <c r="E3828" s="11"/>
      <c r="F3828" s="11"/>
      <c r="G3828" s="12"/>
      <c r="H3828" s="12"/>
      <c r="I3828" s="10"/>
      <c r="J3828" s="5"/>
      <c r="K3828" s="9"/>
      <c r="L3828" s="15"/>
    </row>
    <row r="3829" spans="1:12">
      <c r="A3829" s="8"/>
      <c r="B3829" s="9"/>
      <c r="C3829" s="10"/>
      <c r="D3829" s="10"/>
      <c r="E3829" s="11"/>
      <c r="F3829" s="11"/>
      <c r="G3829" s="12"/>
      <c r="H3829" s="12"/>
      <c r="I3829" s="10"/>
      <c r="J3829" s="5"/>
      <c r="K3829" s="12"/>
      <c r="L3829" s="15"/>
    </row>
    <row r="3830" spans="1:12">
      <c r="A3830" s="8"/>
      <c r="B3830" s="9"/>
      <c r="C3830" s="10"/>
      <c r="D3830" s="10"/>
      <c r="E3830" s="11"/>
      <c r="F3830" s="11"/>
      <c r="G3830" s="12"/>
      <c r="H3830" s="12"/>
      <c r="I3830" s="10"/>
      <c r="J3830" s="5"/>
      <c r="K3830" s="12"/>
      <c r="L3830" s="15"/>
    </row>
    <row r="3831" spans="1:12">
      <c r="A3831" s="8"/>
      <c r="B3831" s="9"/>
      <c r="C3831" s="10"/>
      <c r="D3831" s="10"/>
      <c r="E3831" s="11"/>
      <c r="F3831" s="11"/>
      <c r="G3831" s="12"/>
      <c r="H3831" s="12"/>
      <c r="I3831" s="10"/>
      <c r="J3831" s="5"/>
      <c r="K3831" s="12"/>
      <c r="L3831" s="15"/>
    </row>
    <row r="3832" spans="1:12">
      <c r="A3832" s="8"/>
      <c r="B3832" s="9"/>
      <c r="C3832" s="10"/>
      <c r="D3832" s="10"/>
      <c r="E3832" s="11"/>
      <c r="F3832" s="11"/>
      <c r="G3832" s="12"/>
      <c r="H3832" s="12"/>
      <c r="I3832" s="10"/>
      <c r="J3832" s="5"/>
      <c r="K3832" s="12"/>
      <c r="L3832" s="15"/>
    </row>
    <row r="3833" spans="1:12">
      <c r="A3833" s="8"/>
      <c r="B3833" s="9"/>
      <c r="C3833" s="10"/>
      <c r="D3833" s="10"/>
      <c r="E3833" s="11"/>
      <c r="F3833" s="11"/>
      <c r="G3833" s="12"/>
      <c r="H3833" s="12"/>
      <c r="I3833" s="10"/>
      <c r="J3833" s="5"/>
      <c r="K3833" s="12"/>
      <c r="L3833" s="15"/>
    </row>
    <row r="3834" spans="1:12">
      <c r="A3834" s="8"/>
      <c r="B3834" s="9"/>
      <c r="C3834" s="10"/>
      <c r="D3834" s="10"/>
      <c r="E3834" s="11"/>
      <c r="F3834" s="11"/>
      <c r="G3834" s="12"/>
      <c r="H3834" s="12"/>
      <c r="I3834" s="10"/>
      <c r="J3834" s="5"/>
      <c r="K3834" s="12"/>
      <c r="L3834" s="15"/>
    </row>
    <row r="3835" spans="1:12">
      <c r="A3835" s="8"/>
      <c r="B3835" s="9"/>
      <c r="C3835" s="10"/>
      <c r="D3835" s="10"/>
      <c r="E3835" s="11"/>
      <c r="F3835" s="11"/>
      <c r="G3835" s="12"/>
      <c r="H3835" s="12"/>
      <c r="I3835" s="10"/>
      <c r="J3835" s="5"/>
      <c r="K3835" s="12"/>
      <c r="L3835" s="15"/>
    </row>
    <row r="3836" spans="1:12">
      <c r="A3836" s="8"/>
      <c r="B3836" s="9"/>
      <c r="C3836" s="10"/>
      <c r="D3836" s="10"/>
      <c r="E3836" s="11"/>
      <c r="F3836" s="11"/>
      <c r="G3836" s="12"/>
      <c r="H3836" s="12"/>
      <c r="I3836" s="10"/>
      <c r="J3836" s="5"/>
      <c r="K3836" s="9"/>
      <c r="L3836" s="15"/>
    </row>
    <row r="3837" spans="1:12">
      <c r="A3837" s="8"/>
      <c r="B3837" s="9"/>
      <c r="C3837" s="10"/>
      <c r="D3837" s="10"/>
      <c r="E3837" s="11"/>
      <c r="F3837" s="11"/>
      <c r="G3837" s="12"/>
      <c r="H3837" s="12"/>
      <c r="I3837" s="10"/>
      <c r="J3837" s="5"/>
      <c r="K3837" s="12"/>
      <c r="L3837" s="15"/>
    </row>
    <row r="3838" spans="1:12">
      <c r="A3838" s="8"/>
      <c r="B3838" s="9"/>
      <c r="C3838" s="10"/>
      <c r="D3838" s="10"/>
      <c r="E3838" s="11"/>
      <c r="F3838" s="11"/>
      <c r="G3838" s="12"/>
      <c r="H3838" s="12"/>
      <c r="I3838" s="10"/>
      <c r="J3838" s="5"/>
      <c r="K3838" s="9"/>
      <c r="L3838" s="15"/>
    </row>
    <row r="3839" spans="1:12">
      <c r="A3839" s="8"/>
      <c r="B3839" s="9"/>
      <c r="C3839" s="10"/>
      <c r="D3839" s="10"/>
      <c r="E3839" s="11"/>
      <c r="F3839" s="11"/>
      <c r="G3839" s="12"/>
      <c r="H3839" s="12"/>
      <c r="I3839" s="10"/>
      <c r="J3839" s="5"/>
      <c r="K3839" s="9"/>
      <c r="L3839" s="15"/>
    </row>
    <row r="3840" spans="1:12">
      <c r="A3840" s="8"/>
      <c r="B3840" s="9"/>
      <c r="C3840" s="10"/>
      <c r="D3840" s="10"/>
      <c r="E3840" s="22"/>
      <c r="F3840" s="22"/>
      <c r="G3840" s="12"/>
      <c r="H3840" s="10"/>
      <c r="I3840" s="10"/>
      <c r="J3840" s="5"/>
      <c r="K3840" s="12"/>
      <c r="L3840" s="23"/>
    </row>
    <row r="3841" spans="1:12">
      <c r="A3841" s="8"/>
      <c r="B3841" s="9"/>
      <c r="C3841" s="10"/>
      <c r="D3841" s="10"/>
      <c r="E3841" s="11"/>
      <c r="F3841" s="11"/>
      <c r="G3841" s="12"/>
      <c r="H3841" s="12"/>
      <c r="I3841" s="10"/>
      <c r="J3841" s="5"/>
      <c r="K3841" s="12"/>
      <c r="L3841" s="15"/>
    </row>
    <row r="3842" spans="1:12">
      <c r="A3842" s="8"/>
      <c r="B3842" s="9"/>
      <c r="C3842" s="10"/>
      <c r="D3842" s="10"/>
      <c r="E3842" s="11"/>
      <c r="F3842" s="11"/>
      <c r="G3842" s="12"/>
      <c r="H3842" s="12"/>
      <c r="I3842" s="10"/>
      <c r="J3842" s="5"/>
      <c r="K3842" s="12"/>
      <c r="L3842" s="15"/>
    </row>
    <row r="3843" spans="1:12">
      <c r="A3843" s="8"/>
      <c r="B3843" s="9"/>
      <c r="C3843" s="10"/>
      <c r="D3843" s="10"/>
      <c r="E3843" s="11"/>
      <c r="F3843" s="11"/>
      <c r="G3843" s="12"/>
      <c r="H3843" s="12"/>
      <c r="I3843" s="10"/>
      <c r="J3843" s="5"/>
      <c r="K3843" s="12"/>
      <c r="L3843" s="15"/>
    </row>
    <row r="3844" spans="1:12">
      <c r="A3844" s="8"/>
      <c r="B3844" s="9"/>
      <c r="C3844" s="10"/>
      <c r="D3844" s="10"/>
      <c r="E3844" s="11"/>
      <c r="F3844" s="11"/>
      <c r="G3844" s="12"/>
      <c r="H3844" s="12"/>
      <c r="I3844" s="10"/>
      <c r="J3844" s="5"/>
      <c r="K3844" s="9"/>
      <c r="L3844" s="15"/>
    </row>
    <row r="3845" spans="1:12">
      <c r="A3845" s="8"/>
      <c r="B3845" s="9"/>
      <c r="C3845" s="10"/>
      <c r="D3845" s="10"/>
      <c r="E3845" s="11"/>
      <c r="F3845" s="11"/>
      <c r="G3845" s="12"/>
      <c r="H3845" s="12"/>
      <c r="I3845" s="10"/>
      <c r="J3845" s="5"/>
      <c r="K3845" s="9"/>
      <c r="L3845" s="15"/>
    </row>
    <row r="3846" spans="1:12">
      <c r="A3846" s="8"/>
      <c r="B3846" s="9"/>
      <c r="C3846" s="10"/>
      <c r="D3846" s="10"/>
      <c r="E3846" s="11"/>
      <c r="F3846" s="11"/>
      <c r="G3846" s="12"/>
      <c r="H3846" s="12"/>
      <c r="I3846" s="10"/>
      <c r="J3846" s="5"/>
      <c r="K3846" s="9"/>
      <c r="L3846" s="15"/>
    </row>
    <row r="3847" spans="1:12">
      <c r="A3847" s="8"/>
      <c r="B3847" s="9"/>
      <c r="C3847" s="13"/>
      <c r="D3847" s="10"/>
      <c r="E3847" s="19"/>
      <c r="F3847" s="19"/>
      <c r="G3847" s="12"/>
      <c r="H3847" s="9"/>
      <c r="I3847" s="10"/>
      <c r="J3847" s="5"/>
      <c r="K3847" s="9"/>
      <c r="L3847" s="21"/>
    </row>
    <row r="3848" spans="1:12">
      <c r="A3848" s="8"/>
      <c r="B3848" s="9"/>
      <c r="C3848" s="10"/>
      <c r="D3848" s="10"/>
      <c r="E3848" s="25"/>
      <c r="F3848" s="25"/>
      <c r="G3848" s="12"/>
      <c r="H3848" s="26"/>
      <c r="I3848" s="10"/>
      <c r="J3848" s="5"/>
      <c r="K3848" s="12"/>
      <c r="L3848" s="15"/>
    </row>
    <row r="3849" spans="1:12">
      <c r="A3849" s="8"/>
      <c r="B3849" s="9"/>
      <c r="C3849" s="10"/>
      <c r="D3849" s="10"/>
      <c r="E3849" s="11"/>
      <c r="F3849" s="11"/>
      <c r="G3849" s="12"/>
      <c r="H3849" s="12"/>
      <c r="I3849" s="10"/>
      <c r="J3849" s="5"/>
      <c r="K3849" s="12"/>
      <c r="L3849" s="15"/>
    </row>
    <row r="3850" spans="1:12">
      <c r="A3850" s="8"/>
      <c r="B3850" s="9"/>
      <c r="C3850" s="10"/>
      <c r="D3850" s="10"/>
      <c r="E3850" s="11"/>
      <c r="F3850" s="11"/>
      <c r="G3850" s="12"/>
      <c r="H3850" s="12"/>
      <c r="I3850" s="10"/>
      <c r="J3850" s="5"/>
      <c r="K3850" s="9"/>
      <c r="L3850" s="15"/>
    </row>
    <row r="3851" spans="1:12">
      <c r="A3851" s="8"/>
      <c r="B3851" s="9"/>
      <c r="C3851" s="10"/>
      <c r="D3851" s="10"/>
      <c r="E3851" s="11"/>
      <c r="F3851" s="11"/>
      <c r="G3851" s="12"/>
      <c r="H3851" s="12"/>
      <c r="I3851" s="10"/>
      <c r="J3851" s="5"/>
      <c r="K3851" s="9"/>
      <c r="L3851" s="15"/>
    </row>
    <row r="3852" spans="1:12">
      <c r="A3852" s="8"/>
      <c r="B3852" s="9"/>
      <c r="C3852" s="10"/>
      <c r="D3852" s="10"/>
      <c r="E3852" s="11"/>
      <c r="F3852" s="11"/>
      <c r="G3852" s="12"/>
      <c r="H3852" s="12"/>
      <c r="I3852" s="10"/>
      <c r="J3852" s="5"/>
      <c r="K3852" s="12"/>
      <c r="L3852" s="15"/>
    </row>
    <row r="3853" spans="1:12">
      <c r="A3853" s="8"/>
      <c r="B3853" s="9"/>
      <c r="C3853" s="10"/>
      <c r="D3853" s="10"/>
      <c r="E3853" s="11"/>
      <c r="F3853" s="11"/>
      <c r="G3853" s="12"/>
      <c r="H3853" s="12"/>
      <c r="I3853" s="10"/>
      <c r="J3853" s="5"/>
      <c r="K3853" s="12"/>
      <c r="L3853" s="15"/>
    </row>
    <row r="3854" spans="1:12">
      <c r="A3854" s="8"/>
      <c r="B3854" s="9"/>
      <c r="C3854" s="10"/>
      <c r="D3854" s="10"/>
      <c r="E3854" s="11"/>
      <c r="F3854" s="11"/>
      <c r="G3854" s="12"/>
      <c r="H3854" s="12"/>
      <c r="I3854" s="10"/>
      <c r="J3854" s="5"/>
      <c r="K3854" s="12"/>
      <c r="L3854" s="15"/>
    </row>
    <row r="3855" spans="1:12">
      <c r="A3855" s="8"/>
      <c r="B3855" s="9"/>
      <c r="C3855" s="10"/>
      <c r="D3855" s="10"/>
      <c r="E3855" s="22"/>
      <c r="F3855" s="22"/>
      <c r="G3855" s="12"/>
      <c r="H3855" s="10"/>
      <c r="I3855" s="10"/>
      <c r="J3855" s="5"/>
      <c r="K3855" s="12"/>
      <c r="L3855" s="21"/>
    </row>
    <row r="3856" spans="1:12">
      <c r="A3856" s="8"/>
      <c r="B3856" s="9"/>
      <c r="C3856" s="10"/>
      <c r="D3856" s="10"/>
      <c r="E3856" s="11"/>
      <c r="F3856" s="11"/>
      <c r="G3856" s="12"/>
      <c r="H3856" s="12"/>
      <c r="I3856" s="10"/>
      <c r="J3856" s="5"/>
      <c r="K3856" s="12"/>
      <c r="L3856" s="15"/>
    </row>
    <row r="3857" spans="1:12">
      <c r="A3857" s="8"/>
      <c r="B3857" s="9"/>
      <c r="C3857" s="10"/>
      <c r="D3857" s="10"/>
      <c r="E3857" s="11"/>
      <c r="F3857" s="11"/>
      <c r="G3857" s="12"/>
      <c r="H3857" s="12"/>
      <c r="I3857" s="10"/>
      <c r="J3857" s="5"/>
      <c r="K3857" s="12"/>
      <c r="L3857" s="15"/>
    </row>
    <row r="3858" spans="1:12">
      <c r="A3858" s="8"/>
      <c r="B3858" s="9"/>
      <c r="C3858" s="10"/>
      <c r="D3858" s="10"/>
      <c r="E3858" s="11"/>
      <c r="F3858" s="11"/>
      <c r="G3858" s="12"/>
      <c r="H3858" s="12"/>
      <c r="I3858" s="10"/>
      <c r="J3858" s="5"/>
      <c r="K3858" s="12"/>
      <c r="L3858" s="15"/>
    </row>
    <row r="3859" spans="1:12">
      <c r="A3859" s="8"/>
      <c r="B3859" s="9"/>
      <c r="C3859" s="10"/>
      <c r="D3859" s="10"/>
      <c r="E3859" s="11"/>
      <c r="F3859" s="11"/>
      <c r="G3859" s="12"/>
      <c r="H3859" s="12"/>
      <c r="I3859" s="10"/>
      <c r="J3859" s="5"/>
      <c r="K3859" s="12"/>
      <c r="L3859" s="15"/>
    </row>
    <row r="3860" spans="1:12">
      <c r="A3860" s="8"/>
      <c r="B3860" s="9"/>
      <c r="C3860" s="10"/>
      <c r="D3860" s="10"/>
      <c r="E3860" s="11"/>
      <c r="F3860" s="11"/>
      <c r="G3860" s="12"/>
      <c r="H3860" s="12"/>
      <c r="I3860" s="10"/>
      <c r="J3860" s="5"/>
      <c r="K3860" s="9"/>
      <c r="L3860" s="15"/>
    </row>
    <row r="3861" spans="1:12">
      <c r="A3861" s="8"/>
      <c r="B3861" s="9"/>
      <c r="C3861" s="10"/>
      <c r="D3861" s="10"/>
      <c r="E3861" s="11"/>
      <c r="F3861" s="11"/>
      <c r="G3861" s="12"/>
      <c r="H3861" s="12"/>
      <c r="I3861" s="10"/>
      <c r="J3861" s="5"/>
      <c r="K3861" s="12"/>
      <c r="L3861" s="15"/>
    </row>
    <row r="3862" spans="1:12">
      <c r="A3862" s="8"/>
      <c r="B3862" s="9"/>
      <c r="C3862" s="10"/>
      <c r="D3862" s="10"/>
      <c r="E3862" s="11"/>
      <c r="F3862" s="11"/>
      <c r="G3862" s="12"/>
      <c r="H3862" s="12"/>
      <c r="I3862" s="10"/>
      <c r="J3862" s="5"/>
      <c r="K3862" s="12"/>
      <c r="L3862" s="15"/>
    </row>
    <row r="3863" spans="1:12">
      <c r="A3863" s="8"/>
      <c r="B3863" s="9"/>
      <c r="C3863" s="10"/>
      <c r="D3863" s="10"/>
      <c r="E3863" s="11"/>
      <c r="F3863" s="11"/>
      <c r="G3863" s="12"/>
      <c r="H3863" s="12"/>
      <c r="I3863" s="10"/>
      <c r="J3863" s="5"/>
      <c r="K3863" s="9"/>
      <c r="L3863" s="15"/>
    </row>
    <row r="3864" spans="1:12">
      <c r="A3864" s="8"/>
      <c r="B3864" s="9"/>
      <c r="C3864" s="10"/>
      <c r="D3864" s="10"/>
      <c r="E3864" s="11"/>
      <c r="F3864" s="11"/>
      <c r="G3864" s="12"/>
      <c r="H3864" s="12"/>
      <c r="I3864" s="10"/>
      <c r="J3864" s="5"/>
      <c r="K3864" s="9"/>
      <c r="L3864" s="15"/>
    </row>
    <row r="3865" spans="1:12">
      <c r="A3865" s="8"/>
      <c r="B3865" s="9"/>
      <c r="C3865" s="10"/>
      <c r="D3865" s="10"/>
      <c r="E3865" s="11"/>
      <c r="F3865" s="11"/>
      <c r="G3865" s="12"/>
      <c r="H3865" s="12"/>
      <c r="I3865" s="10"/>
      <c r="J3865" s="5"/>
      <c r="K3865" s="9"/>
      <c r="L3865" s="15"/>
    </row>
    <row r="3866" spans="1:12">
      <c r="A3866" s="8"/>
      <c r="B3866" s="9"/>
      <c r="C3866" s="10"/>
      <c r="D3866" s="10"/>
      <c r="E3866" s="11"/>
      <c r="F3866" s="11"/>
      <c r="G3866" s="12"/>
      <c r="H3866" s="12"/>
      <c r="I3866" s="10"/>
      <c r="J3866" s="5"/>
      <c r="K3866" s="12"/>
      <c r="L3866" s="15"/>
    </row>
    <row r="3867" spans="1:12">
      <c r="A3867" s="8"/>
      <c r="B3867" s="9"/>
      <c r="C3867" s="10"/>
      <c r="D3867" s="10"/>
      <c r="E3867" s="11"/>
      <c r="F3867" s="11"/>
      <c r="G3867" s="12"/>
      <c r="H3867" s="12"/>
      <c r="I3867" s="10"/>
      <c r="J3867" s="5"/>
      <c r="K3867" s="12"/>
      <c r="L3867" s="15"/>
    </row>
    <row r="3868" spans="1:12">
      <c r="A3868" s="8"/>
      <c r="B3868" s="9"/>
      <c r="C3868" s="10"/>
      <c r="D3868" s="10"/>
      <c r="E3868" s="11"/>
      <c r="F3868" s="11"/>
      <c r="G3868" s="12"/>
      <c r="H3868" s="12"/>
      <c r="I3868" s="10"/>
      <c r="J3868" s="5"/>
      <c r="K3868" s="12"/>
      <c r="L3868" s="15"/>
    </row>
    <row r="3869" spans="1:12">
      <c r="A3869" s="8"/>
      <c r="B3869" s="9"/>
      <c r="C3869" s="13"/>
      <c r="D3869" s="10"/>
      <c r="E3869" s="19"/>
      <c r="F3869" s="19"/>
      <c r="G3869" s="12"/>
      <c r="H3869" s="9"/>
      <c r="I3869" s="10"/>
      <c r="J3869" s="5"/>
      <c r="K3869" s="12"/>
      <c r="L3869" s="21"/>
    </row>
    <row r="3870" spans="1:12">
      <c r="A3870" s="8"/>
      <c r="B3870" s="9"/>
      <c r="C3870" s="10"/>
      <c r="D3870" s="10"/>
      <c r="E3870" s="11"/>
      <c r="F3870" s="11"/>
      <c r="G3870" s="12"/>
      <c r="H3870" s="12"/>
      <c r="I3870" s="10"/>
      <c r="J3870" s="5"/>
      <c r="K3870" s="12"/>
      <c r="L3870" s="15"/>
    </row>
    <row r="3871" spans="1:12">
      <c r="A3871" s="8"/>
      <c r="B3871" s="9"/>
      <c r="C3871" s="10"/>
      <c r="D3871" s="10"/>
      <c r="E3871" s="11"/>
      <c r="F3871" s="11"/>
      <c r="G3871" s="12"/>
      <c r="H3871" s="12"/>
      <c r="I3871" s="10"/>
      <c r="J3871" s="5"/>
      <c r="K3871" s="12"/>
      <c r="L3871" s="15"/>
    </row>
    <row r="3872" spans="1:12">
      <c r="A3872" s="8"/>
      <c r="B3872" s="9"/>
      <c r="C3872" s="10"/>
      <c r="D3872" s="10"/>
      <c r="E3872" s="11"/>
      <c r="F3872" s="11"/>
      <c r="G3872" s="12"/>
      <c r="H3872" s="12"/>
      <c r="I3872" s="10"/>
      <c r="J3872" s="5"/>
      <c r="K3872" s="12"/>
      <c r="L3872" s="15"/>
    </row>
    <row r="3873" spans="1:12">
      <c r="A3873" s="8"/>
      <c r="B3873" s="9"/>
      <c r="C3873" s="10"/>
      <c r="D3873" s="10"/>
      <c r="E3873" s="11"/>
      <c r="F3873" s="11"/>
      <c r="G3873" s="12"/>
      <c r="H3873" s="12"/>
      <c r="I3873" s="10"/>
      <c r="J3873" s="5"/>
      <c r="K3873" s="9"/>
      <c r="L3873" s="15"/>
    </row>
    <row r="3874" spans="1:12">
      <c r="A3874" s="8"/>
      <c r="B3874" s="9"/>
      <c r="C3874" s="10"/>
      <c r="D3874" s="10"/>
      <c r="E3874" s="11"/>
      <c r="F3874" s="11"/>
      <c r="G3874" s="12"/>
      <c r="H3874" s="12"/>
      <c r="I3874" s="10"/>
      <c r="J3874" s="5"/>
      <c r="K3874" s="12"/>
      <c r="L3874" s="15"/>
    </row>
    <row r="3875" spans="1:12">
      <c r="A3875" s="8"/>
      <c r="B3875" s="9"/>
      <c r="C3875" s="10"/>
      <c r="D3875" s="10"/>
      <c r="E3875" s="11"/>
      <c r="F3875" s="11"/>
      <c r="G3875" s="12"/>
      <c r="H3875" s="12"/>
      <c r="I3875" s="10"/>
      <c r="J3875" s="5"/>
      <c r="K3875" s="12"/>
      <c r="L3875" s="290"/>
    </row>
    <row r="3876" spans="1:12">
      <c r="A3876" s="8"/>
      <c r="B3876" s="9"/>
      <c r="C3876" s="10"/>
      <c r="D3876" s="10"/>
      <c r="E3876" s="11"/>
      <c r="F3876" s="11"/>
      <c r="G3876" s="12"/>
      <c r="H3876" s="12"/>
      <c r="I3876" s="10"/>
      <c r="J3876" s="5"/>
      <c r="K3876" s="12"/>
      <c r="L3876" s="15"/>
    </row>
    <row r="3877" spans="1:12">
      <c r="A3877" s="8"/>
      <c r="B3877" s="9"/>
      <c r="C3877" s="10"/>
      <c r="D3877" s="10"/>
      <c r="E3877" s="11"/>
      <c r="F3877" s="11"/>
      <c r="G3877" s="12"/>
      <c r="H3877" s="12"/>
      <c r="I3877" s="10"/>
      <c r="J3877" s="5"/>
      <c r="K3877" s="12"/>
      <c r="L3877" s="15"/>
    </row>
    <row r="3878" spans="1:12">
      <c r="A3878" s="8"/>
      <c r="B3878" s="9"/>
      <c r="C3878" s="10"/>
      <c r="D3878" s="10"/>
      <c r="E3878" s="11"/>
      <c r="F3878" s="11"/>
      <c r="G3878" s="12"/>
      <c r="H3878" s="12"/>
      <c r="I3878" s="10"/>
      <c r="J3878" s="5"/>
      <c r="K3878" s="12"/>
      <c r="L3878" s="15"/>
    </row>
    <row r="3879" spans="1:12">
      <c r="A3879" s="8"/>
      <c r="B3879" s="9"/>
      <c r="C3879" s="10"/>
      <c r="D3879" s="10"/>
      <c r="E3879" s="11"/>
      <c r="F3879" s="11"/>
      <c r="G3879" s="12"/>
      <c r="H3879" s="12"/>
      <c r="I3879" s="10"/>
      <c r="J3879" s="5"/>
      <c r="K3879" s="12"/>
      <c r="L3879" s="15"/>
    </row>
    <row r="3880" spans="1:12">
      <c r="A3880" s="8"/>
      <c r="B3880" s="9"/>
      <c r="C3880" s="10"/>
      <c r="D3880" s="10"/>
      <c r="E3880" s="11"/>
      <c r="F3880" s="11"/>
      <c r="G3880" s="12"/>
      <c r="H3880" s="12"/>
      <c r="I3880" s="10"/>
      <c r="J3880" s="5"/>
      <c r="K3880" s="12"/>
      <c r="L3880" s="15"/>
    </row>
    <row r="3881" spans="1:12">
      <c r="A3881" s="8"/>
      <c r="B3881" s="9"/>
      <c r="C3881" s="10"/>
      <c r="D3881" s="10"/>
      <c r="E3881" s="11"/>
      <c r="F3881" s="11"/>
      <c r="G3881" s="12"/>
      <c r="H3881" s="12"/>
      <c r="I3881" s="10"/>
      <c r="J3881" s="5"/>
      <c r="K3881" s="12"/>
      <c r="L3881" s="15"/>
    </row>
    <row r="3882" spans="1:12">
      <c r="A3882" s="8"/>
      <c r="B3882" s="9"/>
      <c r="C3882" s="10"/>
      <c r="D3882" s="10"/>
      <c r="E3882" s="22"/>
      <c r="F3882" s="22"/>
      <c r="G3882" s="12"/>
      <c r="H3882" s="10"/>
      <c r="I3882" s="10"/>
      <c r="J3882" s="5"/>
      <c r="K3882" s="10"/>
      <c r="L3882" s="23"/>
    </row>
    <row r="3883" spans="1:12">
      <c r="A3883" s="8"/>
      <c r="B3883" s="9"/>
      <c r="C3883" s="10"/>
      <c r="D3883" s="10"/>
      <c r="E3883" s="11"/>
      <c r="F3883" s="11"/>
      <c r="G3883" s="12"/>
      <c r="H3883" s="12"/>
      <c r="I3883" s="10"/>
      <c r="J3883" s="5"/>
      <c r="K3883" s="9"/>
      <c r="L3883" s="15"/>
    </row>
    <row r="3884" spans="1:12">
      <c r="A3884" s="8"/>
      <c r="B3884" s="9"/>
      <c r="C3884" s="10"/>
      <c r="D3884" s="10"/>
      <c r="E3884" s="11"/>
      <c r="F3884" s="11"/>
      <c r="G3884" s="12"/>
      <c r="H3884" s="12"/>
      <c r="I3884" s="10"/>
      <c r="J3884" s="5"/>
      <c r="K3884" s="9"/>
      <c r="L3884" s="15"/>
    </row>
    <row r="3885" spans="1:12">
      <c r="A3885" s="8"/>
      <c r="B3885" s="9"/>
      <c r="C3885" s="10"/>
      <c r="D3885" s="10"/>
      <c r="E3885" s="11"/>
      <c r="F3885" s="11"/>
      <c r="G3885" s="12"/>
      <c r="H3885" s="12"/>
      <c r="I3885" s="10"/>
      <c r="J3885" s="5"/>
      <c r="K3885" s="12"/>
      <c r="L3885" s="290"/>
    </row>
    <row r="3886" spans="1:12">
      <c r="A3886" s="8"/>
      <c r="B3886" s="9"/>
      <c r="C3886" s="10"/>
      <c r="D3886" s="10"/>
      <c r="E3886" s="11"/>
      <c r="F3886" s="11"/>
      <c r="G3886" s="12"/>
      <c r="H3886" s="12"/>
      <c r="I3886" s="10"/>
      <c r="J3886" s="5"/>
      <c r="K3886" s="12"/>
      <c r="L3886" s="290"/>
    </row>
    <row r="3887" spans="1:12">
      <c r="A3887" s="8"/>
      <c r="B3887" s="9"/>
      <c r="C3887" s="10"/>
      <c r="D3887" s="10"/>
      <c r="E3887" s="11"/>
      <c r="F3887" s="11"/>
      <c r="G3887" s="12"/>
      <c r="H3887" s="12"/>
      <c r="I3887" s="10"/>
      <c r="J3887" s="5"/>
      <c r="K3887" s="12"/>
      <c r="L3887" s="290"/>
    </row>
    <row r="3888" spans="1:12">
      <c r="A3888" s="8"/>
      <c r="B3888" s="9"/>
      <c r="C3888" s="10"/>
      <c r="D3888" s="10"/>
      <c r="E3888" s="11"/>
      <c r="F3888" s="11"/>
      <c r="G3888" s="12"/>
      <c r="H3888" s="12"/>
      <c r="I3888" s="10"/>
      <c r="J3888" s="5"/>
      <c r="K3888" s="10"/>
      <c r="L3888" s="15"/>
    </row>
    <row r="3889" spans="1:12">
      <c r="A3889" s="8"/>
      <c r="B3889" s="9"/>
      <c r="C3889" s="10"/>
      <c r="D3889" s="10"/>
      <c r="E3889" s="11"/>
      <c r="F3889" s="11"/>
      <c r="G3889" s="12"/>
      <c r="H3889" s="12"/>
      <c r="I3889" s="10"/>
      <c r="J3889" s="5"/>
      <c r="K3889" s="10"/>
      <c r="L3889" s="15"/>
    </row>
    <row r="3890" spans="1:12">
      <c r="A3890" s="8"/>
      <c r="B3890" s="9"/>
      <c r="C3890" s="10"/>
      <c r="D3890" s="10"/>
      <c r="E3890" s="11"/>
      <c r="F3890" s="11"/>
      <c r="G3890" s="12"/>
      <c r="H3890" s="12"/>
      <c r="I3890" s="10"/>
      <c r="J3890" s="5"/>
      <c r="K3890" s="10"/>
      <c r="L3890" s="15"/>
    </row>
    <row r="3891" spans="1:12">
      <c r="A3891" s="8"/>
      <c r="B3891" s="9"/>
      <c r="C3891" s="10"/>
      <c r="D3891" s="10"/>
      <c r="E3891" s="11"/>
      <c r="F3891" s="11"/>
      <c r="G3891" s="12"/>
      <c r="H3891" s="12"/>
      <c r="I3891" s="10"/>
      <c r="J3891" s="5"/>
      <c r="K3891" s="10"/>
      <c r="L3891" s="15"/>
    </row>
    <row r="3892" spans="1:12">
      <c r="A3892" s="8"/>
      <c r="B3892" s="9"/>
      <c r="C3892" s="10"/>
      <c r="D3892" s="10"/>
      <c r="E3892" s="11"/>
      <c r="F3892" s="11"/>
      <c r="G3892" s="12"/>
      <c r="H3892" s="12"/>
      <c r="I3892" s="10"/>
      <c r="J3892" s="5"/>
      <c r="K3892" s="10"/>
      <c r="L3892" s="15"/>
    </row>
    <row r="3893" spans="1:12">
      <c r="A3893" s="8"/>
      <c r="B3893" s="9"/>
      <c r="C3893" s="10"/>
      <c r="D3893" s="10"/>
      <c r="E3893" s="11"/>
      <c r="F3893" s="11"/>
      <c r="G3893" s="12"/>
      <c r="H3893" s="12"/>
      <c r="I3893" s="10"/>
      <c r="J3893" s="5"/>
      <c r="K3893" s="10"/>
      <c r="L3893" s="15"/>
    </row>
    <row r="3894" spans="1:12">
      <c r="A3894" s="8"/>
      <c r="B3894" s="9"/>
      <c r="C3894" s="10"/>
      <c r="D3894" s="10"/>
      <c r="E3894" s="11"/>
      <c r="F3894" s="11"/>
      <c r="G3894" s="12"/>
      <c r="H3894" s="12"/>
      <c r="I3894" s="10"/>
      <c r="J3894" s="5"/>
      <c r="K3894" s="10"/>
      <c r="L3894" s="15"/>
    </row>
    <row r="3895" spans="1:12">
      <c r="A3895" s="8"/>
      <c r="B3895" s="9"/>
      <c r="C3895" s="10"/>
      <c r="D3895" s="10"/>
      <c r="E3895" s="11"/>
      <c r="F3895" s="11"/>
      <c r="G3895" s="12"/>
      <c r="H3895" s="12"/>
      <c r="I3895" s="10"/>
      <c r="J3895" s="5"/>
      <c r="K3895" s="10"/>
      <c r="L3895" s="15"/>
    </row>
    <row r="3896" spans="1:12">
      <c r="A3896" s="8"/>
      <c r="B3896" s="9"/>
      <c r="C3896" s="10"/>
      <c r="D3896" s="10"/>
      <c r="E3896" s="11"/>
      <c r="F3896" s="11"/>
      <c r="G3896" s="12"/>
      <c r="H3896" s="12"/>
      <c r="I3896" s="10"/>
      <c r="J3896" s="5"/>
      <c r="K3896" s="10"/>
      <c r="L3896" s="15"/>
    </row>
    <row r="3897" spans="1:12">
      <c r="A3897" s="8"/>
      <c r="B3897" s="9"/>
      <c r="C3897" s="10"/>
      <c r="D3897" s="10"/>
      <c r="E3897" s="11"/>
      <c r="F3897" s="11"/>
      <c r="G3897" s="12"/>
      <c r="H3897" s="12"/>
      <c r="I3897" s="10"/>
      <c r="J3897" s="5"/>
      <c r="K3897" s="10"/>
      <c r="L3897" s="15"/>
    </row>
    <row r="3898" spans="1:12">
      <c r="A3898" s="8"/>
      <c r="B3898" s="9"/>
      <c r="C3898" s="10"/>
      <c r="D3898" s="10"/>
      <c r="E3898" s="11"/>
      <c r="F3898" s="11"/>
      <c r="G3898" s="12"/>
      <c r="H3898" s="12"/>
      <c r="I3898" s="10"/>
      <c r="J3898" s="5"/>
      <c r="K3898" s="12"/>
      <c r="L3898" s="15"/>
    </row>
    <row r="3899" spans="1:12">
      <c r="A3899" s="8"/>
      <c r="B3899" s="9"/>
      <c r="C3899" s="10"/>
      <c r="D3899" s="10"/>
      <c r="E3899" s="11"/>
      <c r="F3899" s="11"/>
      <c r="G3899" s="12"/>
      <c r="H3899" s="12"/>
      <c r="I3899" s="10"/>
      <c r="J3899" s="5"/>
      <c r="K3899" s="12"/>
      <c r="L3899" s="15"/>
    </row>
    <row r="3900" spans="1:12">
      <c r="A3900" s="8"/>
      <c r="B3900" s="9"/>
      <c r="C3900" s="10"/>
      <c r="D3900" s="10"/>
      <c r="E3900" s="11"/>
      <c r="F3900" s="11"/>
      <c r="G3900" s="12"/>
      <c r="H3900" s="12"/>
      <c r="I3900" s="10"/>
      <c r="J3900" s="5"/>
      <c r="K3900" s="12"/>
      <c r="L3900" s="15"/>
    </row>
    <row r="3901" spans="1:12">
      <c r="A3901" s="8"/>
      <c r="B3901" s="9"/>
      <c r="C3901" s="10"/>
      <c r="D3901" s="10"/>
      <c r="E3901" s="62"/>
      <c r="F3901" s="62"/>
      <c r="G3901" s="12"/>
      <c r="H3901" s="63"/>
      <c r="I3901" s="10"/>
      <c r="J3901" s="5"/>
      <c r="K3901" s="12"/>
      <c r="L3901" s="64"/>
    </row>
    <row r="3902" spans="1:12">
      <c r="A3902" s="8"/>
      <c r="B3902" s="9"/>
      <c r="C3902" s="10"/>
      <c r="D3902" s="10"/>
      <c r="E3902" s="11"/>
      <c r="F3902" s="11"/>
      <c r="G3902" s="12"/>
      <c r="H3902" s="12"/>
      <c r="I3902" s="10"/>
      <c r="J3902" s="5"/>
      <c r="K3902" s="12"/>
      <c r="L3902" s="16"/>
    </row>
    <row r="3903" spans="1:12">
      <c r="A3903" s="8"/>
      <c r="B3903" s="9"/>
      <c r="C3903" s="10"/>
      <c r="D3903" s="10"/>
      <c r="E3903" s="22"/>
      <c r="F3903" s="22"/>
      <c r="G3903" s="12"/>
      <c r="H3903" s="10"/>
      <c r="I3903" s="10"/>
      <c r="J3903" s="5"/>
      <c r="K3903" s="12"/>
      <c r="L3903" s="15"/>
    </row>
    <row r="3904" spans="1:12">
      <c r="A3904" s="8"/>
      <c r="B3904" s="9"/>
      <c r="C3904" s="10"/>
      <c r="D3904" s="10"/>
      <c r="E3904" s="11"/>
      <c r="F3904" s="11"/>
      <c r="G3904" s="12"/>
      <c r="H3904" s="12"/>
      <c r="I3904" s="10"/>
      <c r="J3904" s="5"/>
      <c r="K3904" s="9"/>
      <c r="L3904" s="15"/>
    </row>
    <row r="3905" spans="1:12">
      <c r="A3905" s="8"/>
      <c r="B3905" s="9"/>
      <c r="C3905" s="10"/>
      <c r="D3905" s="10"/>
      <c r="E3905" s="11"/>
      <c r="F3905" s="11"/>
      <c r="G3905" s="12"/>
      <c r="H3905" s="12"/>
      <c r="I3905" s="10"/>
      <c r="J3905" s="5"/>
      <c r="K3905" s="12"/>
      <c r="L3905" s="15"/>
    </row>
    <row r="3906" spans="1:12">
      <c r="A3906" s="8"/>
      <c r="B3906" s="9"/>
      <c r="C3906" s="10"/>
      <c r="D3906" s="10"/>
      <c r="E3906" s="11"/>
      <c r="F3906" s="11"/>
      <c r="G3906" s="12"/>
      <c r="H3906" s="12"/>
      <c r="I3906" s="10"/>
      <c r="J3906" s="5"/>
      <c r="K3906" s="12"/>
      <c r="L3906" s="15"/>
    </row>
    <row r="3907" spans="1:12">
      <c r="A3907" s="8"/>
      <c r="B3907" s="9"/>
      <c r="C3907" s="10"/>
      <c r="D3907" s="10"/>
      <c r="E3907" s="11"/>
      <c r="F3907" s="11"/>
      <c r="G3907" s="12"/>
      <c r="H3907" s="12"/>
      <c r="I3907" s="10"/>
      <c r="J3907" s="5"/>
      <c r="K3907" s="12"/>
      <c r="L3907" s="15"/>
    </row>
    <row r="3908" spans="1:12">
      <c r="A3908" s="8"/>
      <c r="B3908" s="9"/>
      <c r="C3908" s="10"/>
      <c r="D3908" s="10"/>
      <c r="E3908" s="11"/>
      <c r="F3908" s="11"/>
      <c r="G3908" s="12"/>
      <c r="H3908" s="12"/>
      <c r="I3908" s="10"/>
      <c r="J3908" s="5"/>
      <c r="K3908" s="12"/>
      <c r="L3908" s="15"/>
    </row>
    <row r="3909" spans="1:12">
      <c r="A3909" s="8"/>
      <c r="B3909" s="9"/>
      <c r="C3909" s="10"/>
      <c r="D3909" s="10"/>
      <c r="E3909" s="11"/>
      <c r="F3909" s="11"/>
      <c r="G3909" s="12"/>
      <c r="H3909" s="12"/>
      <c r="I3909" s="10"/>
      <c r="J3909" s="5"/>
      <c r="K3909" s="12"/>
      <c r="L3909" s="15"/>
    </row>
    <row r="3910" spans="1:12">
      <c r="A3910" s="8"/>
      <c r="B3910" s="9"/>
      <c r="C3910" s="10"/>
      <c r="D3910" s="10"/>
      <c r="E3910" s="11"/>
      <c r="F3910" s="11"/>
      <c r="G3910" s="12"/>
      <c r="H3910" s="12"/>
      <c r="I3910" s="10"/>
      <c r="J3910" s="5"/>
      <c r="K3910" s="12"/>
      <c r="L3910" s="15"/>
    </row>
    <row r="3911" spans="1:12">
      <c r="A3911" s="8"/>
      <c r="B3911" s="9"/>
      <c r="C3911" s="10"/>
      <c r="D3911" s="10"/>
      <c r="E3911" s="11"/>
      <c r="F3911" s="11"/>
      <c r="G3911" s="12"/>
      <c r="H3911" s="12"/>
      <c r="I3911" s="10"/>
      <c r="J3911" s="5"/>
      <c r="K3911" s="12"/>
      <c r="L3911" s="15"/>
    </row>
    <row r="3912" spans="1:12">
      <c r="A3912" s="8"/>
      <c r="B3912" s="9"/>
      <c r="C3912" s="10"/>
      <c r="D3912" s="10"/>
      <c r="E3912" s="11"/>
      <c r="F3912" s="11"/>
      <c r="G3912" s="12"/>
      <c r="H3912" s="12"/>
      <c r="I3912" s="10"/>
      <c r="J3912" s="5"/>
      <c r="K3912" s="12"/>
      <c r="L3912" s="15"/>
    </row>
    <row r="3913" spans="1:12">
      <c r="A3913" s="8"/>
      <c r="B3913" s="9"/>
      <c r="C3913" s="10"/>
      <c r="D3913" s="10"/>
      <c r="E3913" s="11"/>
      <c r="F3913" s="11"/>
      <c r="G3913" s="12"/>
      <c r="H3913" s="12"/>
      <c r="I3913" s="10"/>
      <c r="J3913" s="5"/>
      <c r="K3913" s="12"/>
      <c r="L3913" s="15"/>
    </row>
    <row r="3914" spans="1:12">
      <c r="A3914" s="8"/>
      <c r="B3914" s="9"/>
      <c r="C3914" s="10"/>
      <c r="D3914" s="10"/>
      <c r="E3914" s="11"/>
      <c r="F3914" s="11"/>
      <c r="G3914" s="12"/>
      <c r="H3914" s="12"/>
      <c r="I3914" s="10"/>
      <c r="J3914" s="5"/>
      <c r="K3914" s="12"/>
      <c r="L3914" s="15"/>
    </row>
    <row r="3915" spans="1:12">
      <c r="A3915" s="8"/>
      <c r="B3915" s="9"/>
      <c r="C3915" s="10"/>
      <c r="D3915" s="10"/>
      <c r="E3915" s="11"/>
      <c r="F3915" s="11"/>
      <c r="G3915" s="12"/>
      <c r="H3915" s="12"/>
      <c r="I3915" s="10"/>
      <c r="J3915" s="5"/>
      <c r="K3915" s="12"/>
      <c r="L3915" s="15"/>
    </row>
    <row r="3916" spans="1:12">
      <c r="A3916" s="8"/>
      <c r="B3916" s="9"/>
      <c r="C3916" s="10"/>
      <c r="D3916" s="10"/>
      <c r="E3916" s="11"/>
      <c r="F3916" s="11"/>
      <c r="G3916" s="12"/>
      <c r="H3916" s="12"/>
      <c r="I3916" s="10"/>
      <c r="J3916" s="5"/>
      <c r="K3916" s="12"/>
      <c r="L3916" s="15"/>
    </row>
    <row r="3917" spans="1:12">
      <c r="A3917" s="8"/>
      <c r="B3917" s="9"/>
      <c r="C3917" s="10"/>
      <c r="D3917" s="10"/>
      <c r="E3917" s="11"/>
      <c r="F3917" s="11"/>
      <c r="G3917" s="12"/>
      <c r="H3917" s="12"/>
      <c r="I3917" s="10"/>
      <c r="J3917" s="5"/>
      <c r="K3917" s="12"/>
      <c r="L3917" s="15"/>
    </row>
    <row r="3918" spans="1:12">
      <c r="A3918" s="8"/>
      <c r="B3918" s="9"/>
      <c r="C3918" s="10"/>
      <c r="D3918" s="10"/>
      <c r="E3918" s="11"/>
      <c r="F3918" s="11"/>
      <c r="G3918" s="12"/>
      <c r="H3918" s="12"/>
      <c r="I3918" s="10"/>
      <c r="J3918" s="5"/>
      <c r="K3918" s="12"/>
      <c r="L3918" s="15"/>
    </row>
    <row r="3919" spans="1:12">
      <c r="A3919" s="8"/>
      <c r="B3919" s="9"/>
      <c r="C3919" s="10"/>
      <c r="D3919" s="10"/>
      <c r="E3919" s="11"/>
      <c r="F3919" s="11"/>
      <c r="G3919" s="12"/>
      <c r="H3919" s="12"/>
      <c r="I3919" s="10"/>
      <c r="J3919" s="5"/>
      <c r="K3919" s="9"/>
      <c r="L3919" s="15"/>
    </row>
    <row r="3920" spans="1:12">
      <c r="A3920" s="8"/>
      <c r="B3920" s="9"/>
      <c r="C3920" s="10"/>
      <c r="D3920" s="10"/>
      <c r="E3920" s="11"/>
      <c r="F3920" s="11"/>
      <c r="G3920" s="12"/>
      <c r="H3920" s="12"/>
      <c r="I3920" s="10"/>
      <c r="J3920" s="5"/>
      <c r="K3920" s="12"/>
      <c r="L3920" s="15"/>
    </row>
    <row r="3921" spans="1:12">
      <c r="A3921" s="8"/>
      <c r="B3921" s="9"/>
      <c r="C3921" s="10"/>
      <c r="D3921" s="10"/>
      <c r="E3921" s="11"/>
      <c r="F3921" s="11"/>
      <c r="G3921" s="12"/>
      <c r="H3921" s="12"/>
      <c r="I3921" s="10"/>
      <c r="J3921" s="5"/>
      <c r="K3921" s="12"/>
      <c r="L3921" s="15"/>
    </row>
    <row r="3922" spans="1:12">
      <c r="A3922" s="8"/>
      <c r="B3922" s="9"/>
      <c r="C3922" s="10"/>
      <c r="D3922" s="10"/>
      <c r="E3922" s="25"/>
      <c r="F3922" s="25"/>
      <c r="G3922" s="12"/>
      <c r="H3922" s="26"/>
      <c r="I3922" s="10"/>
      <c r="J3922" s="5"/>
      <c r="K3922" s="12"/>
      <c r="L3922" s="15"/>
    </row>
    <row r="3923" spans="1:12">
      <c r="A3923" s="8"/>
      <c r="B3923" s="9"/>
      <c r="C3923" s="10"/>
      <c r="D3923" s="10"/>
      <c r="E3923" s="11"/>
      <c r="F3923" s="11"/>
      <c r="G3923" s="12"/>
      <c r="H3923" s="12"/>
      <c r="I3923" s="10"/>
      <c r="J3923" s="5"/>
      <c r="K3923" s="12"/>
      <c r="L3923" s="15"/>
    </row>
    <row r="3924" spans="1:12">
      <c r="A3924" s="8"/>
      <c r="B3924" s="9"/>
      <c r="C3924" s="10"/>
      <c r="D3924" s="10"/>
      <c r="E3924" s="11"/>
      <c r="F3924" s="11"/>
      <c r="G3924" s="12"/>
      <c r="H3924" s="12"/>
      <c r="I3924" s="10"/>
      <c r="J3924" s="5"/>
      <c r="K3924" s="12"/>
      <c r="L3924" s="15"/>
    </row>
    <row r="3925" spans="1:12">
      <c r="A3925" s="8"/>
      <c r="B3925" s="9"/>
      <c r="C3925" s="10"/>
      <c r="D3925" s="10"/>
      <c r="E3925" s="11"/>
      <c r="F3925" s="11"/>
      <c r="G3925" s="12"/>
      <c r="H3925" s="12"/>
      <c r="I3925" s="10"/>
      <c r="J3925" s="5"/>
      <c r="K3925" s="12"/>
      <c r="L3925" s="15"/>
    </row>
    <row r="3926" spans="1:12">
      <c r="A3926" s="8"/>
      <c r="B3926" s="9"/>
      <c r="C3926" s="10"/>
      <c r="D3926" s="10"/>
      <c r="E3926" s="11"/>
      <c r="F3926" s="11"/>
      <c r="G3926" s="12"/>
      <c r="H3926" s="12"/>
      <c r="I3926" s="10"/>
      <c r="J3926" s="5"/>
      <c r="K3926" s="12"/>
      <c r="L3926" s="15"/>
    </row>
    <row r="3927" spans="1:12">
      <c r="A3927" s="8"/>
      <c r="B3927" s="9"/>
      <c r="C3927" s="10"/>
      <c r="D3927" s="10"/>
      <c r="E3927" s="11"/>
      <c r="F3927" s="11"/>
      <c r="G3927" s="12"/>
      <c r="H3927" s="12"/>
      <c r="I3927" s="10"/>
      <c r="J3927" s="5"/>
      <c r="K3927" s="12"/>
      <c r="L3927" s="15"/>
    </row>
    <row r="3928" spans="1:12">
      <c r="A3928" s="8"/>
      <c r="B3928" s="9"/>
      <c r="C3928" s="10"/>
      <c r="D3928" s="10"/>
      <c r="E3928" s="11"/>
      <c r="F3928" s="11"/>
      <c r="G3928" s="12"/>
      <c r="H3928" s="12"/>
      <c r="I3928" s="10"/>
      <c r="J3928" s="5"/>
      <c r="K3928" s="12"/>
      <c r="L3928" s="15"/>
    </row>
    <row r="3929" spans="1:12">
      <c r="A3929" s="8"/>
      <c r="B3929" s="9"/>
      <c r="C3929" s="10"/>
      <c r="D3929" s="10"/>
      <c r="E3929" s="11"/>
      <c r="F3929" s="11"/>
      <c r="G3929" s="12"/>
      <c r="H3929" s="12"/>
      <c r="I3929" s="10"/>
      <c r="J3929" s="5"/>
      <c r="K3929" s="12"/>
      <c r="L3929" s="15"/>
    </row>
    <row r="3930" spans="1:12">
      <c r="A3930" s="8"/>
      <c r="B3930" s="9"/>
      <c r="C3930" s="10"/>
      <c r="D3930" s="10"/>
      <c r="E3930" s="11"/>
      <c r="F3930" s="11"/>
      <c r="G3930" s="12"/>
      <c r="H3930" s="12"/>
      <c r="I3930" s="10"/>
      <c r="J3930" s="5"/>
      <c r="K3930" s="12"/>
      <c r="L3930" s="15"/>
    </row>
    <row r="3931" spans="1:12">
      <c r="A3931" s="8"/>
      <c r="B3931" s="9"/>
      <c r="C3931" s="10"/>
      <c r="D3931" s="10"/>
      <c r="E3931" s="19"/>
      <c r="F3931" s="19"/>
      <c r="G3931" s="12"/>
      <c r="H3931" s="12"/>
      <c r="I3931" s="10"/>
      <c r="J3931" s="5"/>
      <c r="K3931" s="12"/>
      <c r="L3931" s="15"/>
    </row>
    <row r="3932" spans="1:12">
      <c r="A3932" s="8"/>
      <c r="B3932" s="9"/>
      <c r="C3932" s="10"/>
      <c r="D3932" s="10"/>
      <c r="E3932" s="11"/>
      <c r="F3932" s="11"/>
      <c r="G3932" s="12"/>
      <c r="H3932" s="12"/>
      <c r="I3932" s="10"/>
      <c r="J3932" s="5"/>
      <c r="K3932" s="12"/>
      <c r="L3932" s="15"/>
    </row>
    <row r="3933" spans="1:12">
      <c r="A3933" s="8"/>
      <c r="B3933" s="9"/>
      <c r="C3933" s="10"/>
      <c r="D3933" s="10"/>
      <c r="E3933" s="11"/>
      <c r="F3933" s="11"/>
      <c r="G3933" s="12"/>
      <c r="H3933" s="12"/>
      <c r="I3933" s="10"/>
      <c r="J3933" s="5"/>
      <c r="K3933" s="12"/>
      <c r="L3933" s="15"/>
    </row>
    <row r="3934" spans="1:12">
      <c r="A3934" s="8"/>
      <c r="B3934" s="9"/>
      <c r="C3934" s="10"/>
      <c r="D3934" s="10"/>
      <c r="E3934" s="11"/>
      <c r="F3934" s="11"/>
      <c r="G3934" s="12"/>
      <c r="H3934" s="12"/>
      <c r="I3934" s="10"/>
      <c r="J3934" s="5"/>
      <c r="K3934" s="12"/>
      <c r="L3934" s="15"/>
    </row>
    <row r="3935" spans="1:12">
      <c r="A3935" s="8"/>
      <c r="B3935" s="9"/>
      <c r="C3935" s="10"/>
      <c r="D3935" s="10"/>
      <c r="E3935" s="11"/>
      <c r="F3935" s="11"/>
      <c r="G3935" s="12"/>
      <c r="H3935" s="12"/>
      <c r="I3935" s="10"/>
      <c r="J3935" s="5"/>
      <c r="K3935" s="12"/>
      <c r="L3935" s="15"/>
    </row>
    <row r="3936" spans="1:12">
      <c r="A3936" s="8"/>
      <c r="B3936" s="9"/>
      <c r="C3936" s="10"/>
      <c r="D3936" s="10"/>
      <c r="E3936" s="11"/>
      <c r="F3936" s="11"/>
      <c r="G3936" s="12"/>
      <c r="H3936" s="12"/>
      <c r="I3936" s="10"/>
      <c r="J3936" s="5"/>
      <c r="K3936" s="12"/>
      <c r="L3936" s="15"/>
    </row>
    <row r="3937" spans="1:12">
      <c r="A3937" s="8"/>
      <c r="B3937" s="9"/>
      <c r="C3937" s="10"/>
      <c r="D3937" s="10"/>
      <c r="E3937" s="11"/>
      <c r="F3937" s="11"/>
      <c r="G3937" s="12"/>
      <c r="H3937" s="12"/>
      <c r="I3937" s="10"/>
      <c r="J3937" s="5"/>
      <c r="K3937" s="12"/>
      <c r="L3937" s="16"/>
    </row>
    <row r="3938" spans="1:12">
      <c r="A3938" s="8"/>
      <c r="B3938" s="9"/>
      <c r="C3938" s="10"/>
      <c r="D3938" s="10"/>
      <c r="E3938" s="11"/>
      <c r="F3938" s="11"/>
      <c r="G3938" s="12"/>
      <c r="H3938" s="12"/>
      <c r="I3938" s="10"/>
      <c r="J3938" s="5"/>
      <c r="K3938" s="9"/>
      <c r="L3938" s="15"/>
    </row>
    <row r="3939" spans="1:12">
      <c r="A3939" s="8"/>
      <c r="B3939" s="9"/>
      <c r="C3939" s="10"/>
      <c r="D3939" s="10"/>
      <c r="E3939" s="11"/>
      <c r="F3939" s="11"/>
      <c r="G3939" s="12"/>
      <c r="H3939" s="12"/>
      <c r="I3939" s="10"/>
      <c r="J3939" s="5"/>
      <c r="K3939" s="9"/>
      <c r="L3939" s="15"/>
    </row>
    <row r="3940" spans="1:12">
      <c r="A3940" s="8"/>
      <c r="B3940" s="9"/>
      <c r="C3940" s="10"/>
      <c r="D3940" s="10"/>
      <c r="E3940" s="11"/>
      <c r="F3940" s="11"/>
      <c r="G3940" s="12"/>
      <c r="H3940" s="12"/>
      <c r="I3940" s="10"/>
      <c r="J3940" s="5"/>
      <c r="K3940" s="12"/>
      <c r="L3940" s="15"/>
    </row>
    <row r="3941" spans="1:12">
      <c r="A3941" s="8"/>
      <c r="B3941" s="9"/>
      <c r="C3941" s="10"/>
      <c r="D3941" s="10"/>
      <c r="E3941" s="11"/>
      <c r="F3941" s="11"/>
      <c r="G3941" s="12"/>
      <c r="H3941" s="12"/>
      <c r="I3941" s="10"/>
      <c r="J3941" s="5"/>
      <c r="K3941" s="12"/>
      <c r="L3941" s="15"/>
    </row>
    <row r="3942" spans="1:12">
      <c r="A3942" s="8"/>
      <c r="B3942" s="9"/>
      <c r="C3942" s="10"/>
      <c r="D3942" s="10"/>
      <c r="E3942" s="22"/>
      <c r="F3942" s="22"/>
      <c r="G3942" s="12"/>
      <c r="H3942" s="10"/>
      <c r="I3942" s="10"/>
      <c r="J3942" s="5"/>
      <c r="K3942" s="10"/>
      <c r="L3942" s="23"/>
    </row>
    <row r="3943" spans="1:12">
      <c r="A3943" s="8"/>
      <c r="B3943" s="9"/>
      <c r="C3943" s="10"/>
      <c r="D3943" s="10"/>
      <c r="E3943" s="11"/>
      <c r="F3943" s="11"/>
      <c r="G3943" s="12"/>
      <c r="H3943" s="12"/>
      <c r="I3943" s="10"/>
      <c r="J3943" s="5"/>
      <c r="K3943" s="12"/>
      <c r="L3943" s="15"/>
    </row>
    <row r="3944" spans="1:12">
      <c r="A3944" s="8"/>
      <c r="B3944" s="9"/>
      <c r="C3944" s="10"/>
      <c r="D3944" s="10"/>
      <c r="E3944" s="11"/>
      <c r="F3944" s="11"/>
      <c r="G3944" s="12"/>
      <c r="H3944" s="12"/>
      <c r="I3944" s="10"/>
      <c r="J3944" s="5"/>
      <c r="K3944" s="12"/>
      <c r="L3944" s="15"/>
    </row>
    <row r="3945" spans="1:12">
      <c r="A3945" s="8"/>
      <c r="B3945" s="9"/>
      <c r="C3945" s="10"/>
      <c r="D3945" s="10"/>
      <c r="E3945" s="11"/>
      <c r="F3945" s="11"/>
      <c r="G3945" s="12"/>
      <c r="H3945" s="12"/>
      <c r="I3945" s="10"/>
      <c r="J3945" s="5"/>
      <c r="K3945" s="12"/>
      <c r="L3945" s="15"/>
    </row>
    <row r="3946" spans="1:12">
      <c r="A3946" s="8"/>
      <c r="B3946" s="9"/>
      <c r="C3946" s="10"/>
      <c r="D3946" s="10"/>
      <c r="E3946" s="11"/>
      <c r="F3946" s="11"/>
      <c r="G3946" s="12"/>
      <c r="H3946" s="12"/>
      <c r="I3946" s="10"/>
      <c r="J3946" s="5"/>
      <c r="K3946" s="12"/>
      <c r="L3946" s="15"/>
    </row>
    <row r="3947" spans="1:12">
      <c r="A3947" s="8"/>
      <c r="B3947" s="9"/>
      <c r="C3947" s="10"/>
      <c r="D3947" s="10"/>
      <c r="E3947" s="11"/>
      <c r="F3947" s="11"/>
      <c r="G3947" s="12"/>
      <c r="H3947" s="12"/>
      <c r="I3947" s="10"/>
      <c r="J3947" s="5"/>
      <c r="K3947" s="12"/>
      <c r="L3947" s="15"/>
    </row>
    <row r="3948" spans="1:12">
      <c r="A3948" s="8"/>
      <c r="B3948" s="9"/>
      <c r="C3948" s="10"/>
      <c r="D3948" s="10"/>
      <c r="E3948" s="11"/>
      <c r="F3948" s="11"/>
      <c r="G3948" s="12"/>
      <c r="H3948" s="12"/>
      <c r="I3948" s="10"/>
      <c r="J3948" s="5"/>
      <c r="K3948" s="12"/>
      <c r="L3948" s="15"/>
    </row>
    <row r="3949" spans="1:12">
      <c r="A3949" s="8"/>
      <c r="B3949" s="9"/>
      <c r="C3949" s="10"/>
      <c r="D3949" s="10"/>
      <c r="E3949" s="11"/>
      <c r="F3949" s="11"/>
      <c r="G3949" s="12"/>
      <c r="H3949" s="12"/>
      <c r="I3949" s="10"/>
      <c r="J3949" s="5"/>
      <c r="K3949" s="12"/>
      <c r="L3949" s="15"/>
    </row>
    <row r="3950" spans="1:12">
      <c r="A3950" s="8"/>
      <c r="B3950" s="9"/>
      <c r="C3950" s="10"/>
      <c r="D3950" s="10"/>
      <c r="E3950" s="11"/>
      <c r="F3950" s="11"/>
      <c r="G3950" s="12"/>
      <c r="H3950" s="12"/>
      <c r="I3950" s="10"/>
      <c r="J3950" s="5"/>
      <c r="K3950" s="12"/>
      <c r="L3950" s="15"/>
    </row>
    <row r="3951" spans="1:12">
      <c r="A3951" s="8"/>
      <c r="B3951" s="9"/>
      <c r="C3951" s="10"/>
      <c r="D3951" s="10"/>
      <c r="E3951" s="11"/>
      <c r="F3951" s="11"/>
      <c r="G3951" s="12"/>
      <c r="H3951" s="12"/>
      <c r="I3951" s="10"/>
      <c r="J3951" s="5"/>
      <c r="K3951" s="12"/>
      <c r="L3951" s="15"/>
    </row>
    <row r="3952" spans="1:12">
      <c r="A3952" s="8"/>
      <c r="B3952" s="9"/>
      <c r="C3952" s="10"/>
      <c r="D3952" s="10"/>
      <c r="E3952" s="11"/>
      <c r="F3952" s="11"/>
      <c r="G3952" s="12"/>
      <c r="H3952" s="12"/>
      <c r="I3952" s="10"/>
      <c r="J3952" s="5"/>
      <c r="K3952" s="12"/>
      <c r="L3952" s="15"/>
    </row>
    <row r="3953" spans="1:12">
      <c r="A3953" s="8"/>
      <c r="B3953" s="9"/>
      <c r="C3953" s="10"/>
      <c r="D3953" s="10"/>
      <c r="E3953" s="11"/>
      <c r="F3953" s="11"/>
      <c r="G3953" s="12"/>
      <c r="H3953" s="12"/>
      <c r="I3953" s="10"/>
      <c r="J3953" s="5"/>
      <c r="K3953" s="12"/>
      <c r="L3953" s="15"/>
    </row>
    <row r="3954" spans="1:12">
      <c r="A3954" s="8"/>
      <c r="B3954" s="9"/>
      <c r="C3954" s="10"/>
      <c r="D3954" s="10"/>
      <c r="E3954" s="11"/>
      <c r="F3954" s="11"/>
      <c r="G3954" s="12"/>
      <c r="H3954" s="12"/>
      <c r="I3954" s="10"/>
      <c r="J3954" s="5"/>
      <c r="K3954" s="12"/>
      <c r="L3954" s="15"/>
    </row>
    <row r="3955" spans="1:12">
      <c r="A3955" s="8"/>
      <c r="B3955" s="9"/>
      <c r="C3955" s="10"/>
      <c r="D3955" s="10"/>
      <c r="E3955" s="11"/>
      <c r="F3955" s="11"/>
      <c r="G3955" s="12"/>
      <c r="H3955" s="12"/>
      <c r="I3955" s="10"/>
      <c r="J3955" s="5"/>
      <c r="K3955" s="12"/>
      <c r="L3955" s="15"/>
    </row>
    <row r="3956" spans="1:12">
      <c r="A3956" s="8"/>
      <c r="B3956" s="9"/>
      <c r="C3956" s="10"/>
      <c r="D3956" s="10"/>
      <c r="E3956" s="11"/>
      <c r="F3956" s="11"/>
      <c r="G3956" s="12"/>
      <c r="H3956" s="12"/>
      <c r="I3956" s="10"/>
      <c r="J3956" s="5"/>
      <c r="K3956" s="12"/>
      <c r="L3956" s="15"/>
    </row>
    <row r="3957" spans="1:12">
      <c r="A3957" s="8"/>
      <c r="B3957" s="9"/>
      <c r="C3957" s="10"/>
      <c r="D3957" s="10"/>
      <c r="E3957" s="11"/>
      <c r="F3957" s="11"/>
      <c r="G3957" s="12"/>
      <c r="H3957" s="12"/>
      <c r="I3957" s="10"/>
      <c r="J3957" s="5"/>
      <c r="K3957" s="12"/>
      <c r="L3957" s="15"/>
    </row>
    <row r="3958" spans="1:12">
      <c r="A3958" s="8"/>
      <c r="B3958" s="9"/>
      <c r="C3958" s="13"/>
      <c r="D3958" s="10"/>
      <c r="E3958" s="11"/>
      <c r="F3958" s="22"/>
      <c r="G3958" s="12"/>
      <c r="H3958" s="12"/>
      <c r="I3958" s="10"/>
      <c r="J3958" s="5"/>
      <c r="K3958" s="12"/>
      <c r="L3958" s="31"/>
    </row>
    <row r="3959" spans="1:12">
      <c r="A3959" s="8"/>
      <c r="B3959" s="9"/>
      <c r="C3959" s="10"/>
      <c r="D3959" s="10"/>
      <c r="E3959" s="22"/>
      <c r="F3959" s="22"/>
      <c r="G3959" s="12"/>
      <c r="H3959" s="10"/>
      <c r="I3959" s="10"/>
      <c r="J3959" s="5"/>
      <c r="K3959" s="9"/>
      <c r="L3959" s="23"/>
    </row>
    <row r="3960" spans="1:12">
      <c r="A3960" s="8"/>
      <c r="B3960" s="9"/>
      <c r="C3960" s="10"/>
      <c r="D3960" s="10"/>
      <c r="E3960" s="11"/>
      <c r="F3960" s="11"/>
      <c r="G3960" s="12"/>
      <c r="H3960" s="12"/>
      <c r="I3960" s="10"/>
      <c r="J3960" s="5"/>
      <c r="K3960" s="12"/>
      <c r="L3960" s="15"/>
    </row>
    <row r="3961" spans="1:12">
      <c r="A3961" s="8"/>
      <c r="B3961" s="9"/>
      <c r="C3961" s="10"/>
      <c r="D3961" s="10"/>
      <c r="E3961" s="11"/>
      <c r="F3961" s="11"/>
      <c r="G3961" s="12"/>
      <c r="H3961" s="12"/>
      <c r="I3961" s="10"/>
      <c r="J3961" s="5"/>
      <c r="K3961" s="12"/>
      <c r="L3961" s="15"/>
    </row>
    <row r="3962" spans="1:12">
      <c r="A3962" s="8"/>
      <c r="B3962" s="9"/>
      <c r="C3962" s="10"/>
      <c r="D3962" s="10"/>
      <c r="E3962" s="11"/>
      <c r="F3962" s="11"/>
      <c r="G3962" s="12"/>
      <c r="H3962" s="12"/>
      <c r="I3962" s="10"/>
      <c r="J3962" s="5"/>
      <c r="K3962" s="12"/>
      <c r="L3962" s="15"/>
    </row>
    <row r="3963" spans="1:12">
      <c r="A3963" s="8"/>
      <c r="B3963" s="9"/>
      <c r="C3963" s="10"/>
      <c r="D3963" s="10"/>
      <c r="E3963" s="11"/>
      <c r="F3963" s="11"/>
      <c r="G3963" s="12"/>
      <c r="H3963" s="12"/>
      <c r="I3963" s="10"/>
      <c r="J3963" s="5"/>
      <c r="K3963" s="12"/>
      <c r="L3963" s="15"/>
    </row>
    <row r="3964" spans="1:12">
      <c r="A3964" s="8"/>
      <c r="B3964" s="9"/>
      <c r="C3964" s="10"/>
      <c r="D3964" s="10"/>
      <c r="E3964" s="11"/>
      <c r="F3964" s="11"/>
      <c r="G3964" s="12"/>
      <c r="H3964" s="12"/>
      <c r="I3964" s="10"/>
      <c r="J3964" s="5"/>
      <c r="K3964" s="12"/>
      <c r="L3964" s="15"/>
    </row>
    <row r="3965" spans="1:12">
      <c r="A3965" s="8"/>
      <c r="B3965" s="9"/>
      <c r="C3965" s="10"/>
      <c r="D3965" s="10"/>
      <c r="E3965" s="11"/>
      <c r="F3965" s="11"/>
      <c r="G3965" s="12"/>
      <c r="H3965" s="12"/>
      <c r="I3965" s="10"/>
      <c r="J3965" s="5"/>
      <c r="K3965" s="12"/>
      <c r="L3965" s="15"/>
    </row>
    <row r="3966" spans="1:12">
      <c r="A3966" s="8"/>
      <c r="B3966" s="9"/>
      <c r="C3966" s="10"/>
      <c r="D3966" s="10"/>
      <c r="E3966" s="11"/>
      <c r="F3966" s="11"/>
      <c r="G3966" s="12"/>
      <c r="H3966" s="12"/>
      <c r="I3966" s="10"/>
      <c r="J3966" s="5"/>
      <c r="K3966" s="12"/>
      <c r="L3966" s="15"/>
    </row>
    <row r="3967" spans="1:12">
      <c r="A3967" s="8"/>
      <c r="B3967" s="9"/>
      <c r="C3967" s="10"/>
      <c r="D3967" s="10"/>
      <c r="E3967" s="11"/>
      <c r="F3967" s="11"/>
      <c r="G3967" s="12"/>
      <c r="H3967" s="12"/>
      <c r="I3967" s="10"/>
      <c r="J3967" s="5"/>
      <c r="K3967" s="12"/>
      <c r="L3967" s="15"/>
    </row>
    <row r="3968" spans="1:12">
      <c r="A3968" s="8"/>
      <c r="B3968" s="9"/>
      <c r="C3968" s="10"/>
      <c r="D3968" s="10"/>
      <c r="E3968" s="11"/>
      <c r="F3968" s="11"/>
      <c r="G3968" s="12"/>
      <c r="H3968" s="12"/>
      <c r="I3968" s="10"/>
      <c r="J3968" s="5"/>
      <c r="K3968" s="12"/>
      <c r="L3968" s="15"/>
    </row>
    <row r="3969" spans="1:12">
      <c r="A3969" s="8"/>
      <c r="B3969" s="9"/>
      <c r="C3969" s="10"/>
      <c r="D3969" s="10"/>
      <c r="E3969" s="11"/>
      <c r="F3969" s="11"/>
      <c r="G3969" s="12"/>
      <c r="H3969" s="12"/>
      <c r="I3969" s="10"/>
      <c r="J3969" s="5"/>
      <c r="K3969" s="12"/>
      <c r="L3969" s="15"/>
    </row>
    <row r="3970" spans="1:12">
      <c r="A3970" s="8"/>
      <c r="B3970" s="9"/>
      <c r="C3970" s="10"/>
      <c r="D3970" s="10"/>
      <c r="E3970" s="11"/>
      <c r="F3970" s="11"/>
      <c r="G3970" s="12"/>
      <c r="H3970" s="12"/>
      <c r="I3970" s="10"/>
      <c r="J3970" s="5"/>
      <c r="K3970" s="12"/>
      <c r="L3970" s="15"/>
    </row>
    <row r="3971" spans="1:12">
      <c r="A3971" s="8"/>
      <c r="B3971" s="9"/>
      <c r="C3971" s="10"/>
      <c r="D3971" s="10"/>
      <c r="E3971" s="11"/>
      <c r="F3971" s="11"/>
      <c r="G3971" s="12"/>
      <c r="H3971" s="12"/>
      <c r="I3971" s="10"/>
      <c r="J3971" s="5"/>
      <c r="K3971" s="12"/>
      <c r="L3971" s="15"/>
    </row>
    <row r="3972" spans="1:12">
      <c r="A3972" s="8"/>
      <c r="B3972" s="9"/>
      <c r="C3972" s="10"/>
      <c r="D3972" s="10"/>
      <c r="E3972" s="11"/>
      <c r="F3972" s="11"/>
      <c r="G3972" s="12"/>
      <c r="H3972" s="12"/>
      <c r="I3972" s="10"/>
      <c r="J3972" s="5"/>
      <c r="K3972" s="9"/>
      <c r="L3972" s="15"/>
    </row>
    <row r="3973" spans="1:12">
      <c r="A3973" s="8"/>
      <c r="B3973" s="9"/>
      <c r="C3973" s="10"/>
      <c r="D3973" s="10"/>
      <c r="E3973" s="11"/>
      <c r="F3973" s="11"/>
      <c r="G3973" s="12"/>
      <c r="H3973" s="12"/>
      <c r="I3973" s="10"/>
      <c r="J3973" s="5"/>
      <c r="K3973" s="12"/>
      <c r="L3973" s="15"/>
    </row>
    <row r="3974" spans="1:12">
      <c r="A3974" s="8"/>
      <c r="B3974" s="9"/>
      <c r="C3974" s="10"/>
      <c r="D3974" s="10"/>
      <c r="E3974" s="11"/>
      <c r="F3974" s="11"/>
      <c r="G3974" s="12"/>
      <c r="H3974" s="12"/>
      <c r="I3974" s="10"/>
      <c r="J3974" s="5"/>
      <c r="K3974" s="12"/>
      <c r="L3974" s="15"/>
    </row>
    <row r="3975" spans="1:12">
      <c r="A3975" s="8"/>
      <c r="B3975" s="9"/>
      <c r="C3975" s="10"/>
      <c r="D3975" s="10"/>
      <c r="E3975" s="11"/>
      <c r="F3975" s="11"/>
      <c r="G3975" s="12"/>
      <c r="H3975" s="12"/>
      <c r="I3975" s="10"/>
      <c r="J3975" s="5"/>
      <c r="K3975" s="12"/>
      <c r="L3975" s="15"/>
    </row>
    <row r="3976" spans="1:12">
      <c r="A3976" s="8"/>
      <c r="B3976" s="9"/>
      <c r="C3976" s="10"/>
      <c r="D3976" s="10"/>
      <c r="E3976" s="11"/>
      <c r="F3976" s="11"/>
      <c r="G3976" s="12"/>
      <c r="H3976" s="12"/>
      <c r="I3976" s="10"/>
      <c r="J3976" s="5"/>
      <c r="K3976" s="9"/>
      <c r="L3976" s="15"/>
    </row>
    <row r="3977" spans="1:12">
      <c r="A3977" s="8"/>
      <c r="B3977" s="9"/>
      <c r="C3977" s="10"/>
      <c r="D3977" s="10"/>
      <c r="E3977" s="11"/>
      <c r="F3977" s="11"/>
      <c r="G3977" s="12"/>
      <c r="H3977" s="12"/>
      <c r="I3977" s="10"/>
      <c r="J3977" s="5"/>
      <c r="K3977" s="9"/>
      <c r="L3977" s="15"/>
    </row>
    <row r="3978" spans="1:12">
      <c r="A3978" s="8"/>
      <c r="B3978" s="9"/>
      <c r="C3978" s="10"/>
      <c r="D3978" s="10"/>
      <c r="E3978" s="11"/>
      <c r="F3978" s="11"/>
      <c r="G3978" s="12"/>
      <c r="H3978" s="12"/>
      <c r="I3978" s="10"/>
      <c r="J3978" s="5"/>
      <c r="K3978" s="12"/>
      <c r="L3978" s="15"/>
    </row>
    <row r="3979" spans="1:12">
      <c r="A3979" s="8"/>
      <c r="B3979" s="9"/>
      <c r="C3979" s="10"/>
      <c r="D3979" s="10"/>
      <c r="E3979" s="11"/>
      <c r="F3979" s="11"/>
      <c r="G3979" s="12"/>
      <c r="H3979" s="12"/>
      <c r="I3979" s="10"/>
      <c r="J3979" s="5"/>
      <c r="K3979" s="12"/>
      <c r="L3979" s="15"/>
    </row>
    <row r="3980" spans="1:12">
      <c r="A3980" s="8"/>
      <c r="B3980" s="9"/>
      <c r="C3980" s="10"/>
      <c r="D3980" s="10"/>
      <c r="E3980" s="11"/>
      <c r="F3980" s="11"/>
      <c r="G3980" s="12"/>
      <c r="H3980" s="12"/>
      <c r="I3980" s="10"/>
      <c r="J3980" s="5"/>
      <c r="K3980" s="9"/>
      <c r="L3980" s="15"/>
    </row>
    <row r="3981" spans="1:12">
      <c r="A3981" s="8"/>
      <c r="B3981" s="9"/>
      <c r="C3981" s="10"/>
      <c r="D3981" s="10"/>
      <c r="E3981" s="11"/>
      <c r="F3981" s="11"/>
      <c r="G3981" s="12"/>
      <c r="H3981" s="12"/>
      <c r="I3981" s="10"/>
      <c r="J3981" s="5"/>
      <c r="K3981" s="12"/>
      <c r="L3981" s="15"/>
    </row>
    <row r="3982" spans="1:12">
      <c r="A3982" s="8"/>
      <c r="B3982" s="9"/>
      <c r="C3982" s="10"/>
      <c r="D3982" s="10"/>
      <c r="E3982" s="11"/>
      <c r="F3982" s="11"/>
      <c r="G3982" s="12"/>
      <c r="H3982" s="12"/>
      <c r="I3982" s="10"/>
      <c r="J3982" s="5"/>
      <c r="K3982" s="12"/>
      <c r="L3982" s="15"/>
    </row>
    <row r="3983" spans="1:12">
      <c r="A3983" s="8"/>
      <c r="B3983" s="9"/>
      <c r="C3983" s="10"/>
      <c r="D3983" s="10"/>
      <c r="E3983" s="11"/>
      <c r="F3983" s="11"/>
      <c r="G3983" s="12"/>
      <c r="H3983" s="12"/>
      <c r="I3983" s="10"/>
      <c r="J3983" s="5"/>
      <c r="K3983" s="12"/>
      <c r="L3983" s="15"/>
    </row>
    <row r="3984" spans="1:12">
      <c r="A3984" s="8"/>
      <c r="B3984" s="9"/>
      <c r="C3984" s="10"/>
      <c r="D3984" s="10"/>
      <c r="E3984" s="11"/>
      <c r="F3984" s="11"/>
      <c r="G3984" s="12"/>
      <c r="H3984" s="12"/>
      <c r="I3984" s="10"/>
      <c r="J3984" s="5"/>
      <c r="K3984" s="12"/>
      <c r="L3984" s="15"/>
    </row>
    <row r="3985" spans="1:12">
      <c r="A3985" s="8"/>
      <c r="B3985" s="9"/>
      <c r="C3985" s="10"/>
      <c r="D3985" s="10"/>
      <c r="E3985" s="11"/>
      <c r="F3985" s="11"/>
      <c r="G3985" s="12"/>
      <c r="H3985" s="12"/>
      <c r="I3985" s="10"/>
      <c r="J3985" s="5"/>
      <c r="K3985" s="12"/>
      <c r="L3985" s="15"/>
    </row>
    <row r="3986" spans="1:12">
      <c r="A3986" s="8"/>
      <c r="B3986" s="9"/>
      <c r="C3986" s="10"/>
      <c r="D3986" s="10"/>
      <c r="E3986" s="11"/>
      <c r="F3986" s="11"/>
      <c r="G3986" s="12"/>
      <c r="H3986" s="12"/>
      <c r="I3986" s="10"/>
      <c r="J3986" s="5"/>
      <c r="K3986" s="12"/>
      <c r="L3986" s="15"/>
    </row>
    <row r="3987" spans="1:12">
      <c r="A3987" s="8"/>
      <c r="B3987" s="9"/>
      <c r="C3987" s="10"/>
      <c r="D3987" s="10"/>
      <c r="E3987" s="11"/>
      <c r="F3987" s="11"/>
      <c r="G3987" s="12"/>
      <c r="H3987" s="12"/>
      <c r="I3987" s="10"/>
      <c r="J3987" s="5"/>
      <c r="K3987" s="12"/>
      <c r="L3987" s="15"/>
    </row>
    <row r="3988" spans="1:12">
      <c r="A3988" s="8"/>
      <c r="B3988" s="9"/>
      <c r="C3988" s="10"/>
      <c r="D3988" s="10"/>
      <c r="E3988" s="11"/>
      <c r="F3988" s="11"/>
      <c r="G3988" s="12"/>
      <c r="H3988" s="12"/>
      <c r="I3988" s="10"/>
      <c r="J3988" s="5"/>
      <c r="K3988" s="12"/>
      <c r="L3988" s="15"/>
    </row>
    <row r="3989" spans="1:12">
      <c r="A3989" s="8"/>
      <c r="B3989" s="9"/>
      <c r="C3989" s="10"/>
      <c r="D3989" s="10"/>
      <c r="E3989" s="19"/>
      <c r="F3989" s="19"/>
      <c r="G3989" s="12"/>
      <c r="H3989" s="12"/>
      <c r="I3989" s="10"/>
      <c r="J3989" s="5"/>
      <c r="K3989" s="12"/>
      <c r="L3989" s="15"/>
    </row>
    <row r="3990" spans="1:12">
      <c r="A3990" s="8"/>
      <c r="B3990" s="9"/>
      <c r="C3990" s="10"/>
      <c r="D3990" s="10"/>
      <c r="E3990" s="11"/>
      <c r="F3990" s="11"/>
      <c r="G3990" s="12"/>
      <c r="H3990" s="12"/>
      <c r="I3990" s="10"/>
      <c r="J3990" s="5"/>
      <c r="K3990" s="12"/>
      <c r="L3990" s="15"/>
    </row>
    <row r="3991" spans="1:12">
      <c r="A3991" s="8"/>
      <c r="B3991" s="9"/>
      <c r="C3991" s="10"/>
      <c r="D3991" s="10"/>
      <c r="E3991" s="11"/>
      <c r="F3991" s="11"/>
      <c r="G3991" s="12"/>
      <c r="H3991" s="12"/>
      <c r="I3991" s="10"/>
      <c r="J3991" s="5"/>
      <c r="K3991" s="12"/>
      <c r="L3991" s="15"/>
    </row>
    <row r="3992" spans="1:12">
      <c r="A3992" s="8"/>
      <c r="B3992" s="9"/>
      <c r="C3992" s="10"/>
      <c r="D3992" s="10"/>
      <c r="E3992" s="11"/>
      <c r="F3992" s="11"/>
      <c r="G3992" s="12"/>
      <c r="H3992" s="12"/>
      <c r="I3992" s="10"/>
      <c r="J3992" s="5"/>
      <c r="K3992" s="12"/>
      <c r="L3992" s="15"/>
    </row>
    <row r="3993" spans="1:12">
      <c r="A3993" s="8"/>
      <c r="B3993" s="9"/>
      <c r="C3993" s="10"/>
      <c r="D3993" s="10"/>
      <c r="E3993" s="11"/>
      <c r="F3993" s="11"/>
      <c r="G3993" s="12"/>
      <c r="H3993" s="12"/>
      <c r="I3993" s="10"/>
      <c r="J3993" s="5"/>
      <c r="K3993" s="12"/>
      <c r="L3993" s="15"/>
    </row>
    <row r="3994" spans="1:12">
      <c r="A3994" s="8"/>
      <c r="B3994" s="9"/>
      <c r="C3994" s="13"/>
      <c r="D3994" s="10"/>
      <c r="E3994" s="19"/>
      <c r="F3994" s="19"/>
      <c r="G3994" s="12"/>
      <c r="H3994" s="12"/>
      <c r="I3994" s="10"/>
      <c r="J3994" s="5"/>
      <c r="K3994" s="9"/>
      <c r="L3994" s="21"/>
    </row>
    <row r="3995" spans="1:12">
      <c r="A3995" s="8"/>
      <c r="B3995" s="9"/>
      <c r="C3995" s="13"/>
      <c r="D3995" s="10"/>
      <c r="E3995" s="19"/>
      <c r="F3995" s="19"/>
      <c r="G3995" s="12"/>
      <c r="H3995" s="12"/>
      <c r="I3995" s="10"/>
      <c r="J3995" s="5"/>
      <c r="K3995" s="12"/>
      <c r="L3995" s="21"/>
    </row>
    <row r="3996" spans="1:12">
      <c r="A3996" s="8"/>
      <c r="B3996" s="9"/>
      <c r="C3996" s="10"/>
      <c r="D3996" s="10"/>
      <c r="E3996" s="11"/>
      <c r="F3996" s="11"/>
      <c r="G3996" s="12"/>
      <c r="H3996" s="12"/>
      <c r="I3996" s="10"/>
      <c r="J3996" s="5"/>
      <c r="K3996" s="12"/>
      <c r="L3996" s="15"/>
    </row>
    <row r="3997" spans="1:12">
      <c r="A3997" s="8"/>
      <c r="B3997" s="9"/>
      <c r="C3997" s="10"/>
      <c r="D3997" s="10"/>
      <c r="E3997" s="11"/>
      <c r="F3997" s="11"/>
      <c r="G3997" s="12"/>
      <c r="H3997" s="12"/>
      <c r="I3997" s="10"/>
      <c r="J3997" s="5"/>
      <c r="K3997" s="12"/>
      <c r="L3997" s="15"/>
    </row>
    <row r="3998" spans="1:12">
      <c r="A3998" s="8"/>
      <c r="B3998" s="9"/>
      <c r="C3998" s="10"/>
      <c r="D3998" s="10"/>
      <c r="E3998" s="11"/>
      <c r="F3998" s="11"/>
      <c r="G3998" s="12"/>
      <c r="H3998" s="12"/>
      <c r="I3998" s="10"/>
      <c r="J3998" s="5"/>
      <c r="K3998" s="12"/>
      <c r="L3998" s="15"/>
    </row>
    <row r="3999" spans="1:12">
      <c r="A3999" s="8"/>
      <c r="B3999" s="9"/>
      <c r="C3999" s="10"/>
      <c r="D3999" s="10"/>
      <c r="E3999" s="11"/>
      <c r="F3999" s="11"/>
      <c r="G3999" s="12"/>
      <c r="H3999" s="12"/>
      <c r="I3999" s="10"/>
      <c r="J3999" s="5"/>
      <c r="K3999" s="9"/>
      <c r="L3999" s="15"/>
    </row>
    <row r="4000" spans="1:12">
      <c r="A4000" s="8"/>
      <c r="B4000" s="9"/>
      <c r="C4000" s="10"/>
      <c r="D4000" s="10"/>
      <c r="E4000" s="11"/>
      <c r="F4000" s="11"/>
      <c r="G4000" s="12"/>
      <c r="H4000" s="12"/>
      <c r="I4000" s="10"/>
      <c r="J4000" s="5"/>
      <c r="K4000" s="12"/>
      <c r="L4000" s="15"/>
    </row>
    <row r="4001" spans="1:12">
      <c r="A4001" s="8"/>
      <c r="B4001" s="9"/>
      <c r="C4001" s="10"/>
      <c r="D4001" s="10"/>
      <c r="E4001" s="11"/>
      <c r="F4001" s="11"/>
      <c r="G4001" s="12"/>
      <c r="H4001" s="12"/>
      <c r="I4001" s="10"/>
      <c r="J4001" s="5"/>
      <c r="K4001" s="9"/>
      <c r="L4001" s="15"/>
    </row>
    <row r="4002" spans="1:12">
      <c r="A4002" s="8"/>
      <c r="B4002" s="9"/>
      <c r="C4002" s="10"/>
      <c r="D4002" s="10"/>
      <c r="E4002" s="11"/>
      <c r="F4002" s="11"/>
      <c r="G4002" s="12"/>
      <c r="H4002" s="12"/>
      <c r="I4002" s="10"/>
      <c r="J4002" s="5"/>
      <c r="K4002" s="9"/>
      <c r="L4002" s="15"/>
    </row>
    <row r="4003" spans="1:12">
      <c r="A4003" s="8"/>
      <c r="B4003" s="9"/>
      <c r="C4003" s="10"/>
      <c r="D4003" s="10"/>
      <c r="E4003" s="11"/>
      <c r="F4003" s="11"/>
      <c r="G4003" s="12"/>
      <c r="H4003" s="12"/>
      <c r="I4003" s="10"/>
      <c r="J4003" s="5"/>
      <c r="K4003" s="12"/>
      <c r="L4003" s="15"/>
    </row>
    <row r="4004" spans="1:12">
      <c r="A4004" s="8"/>
      <c r="B4004" s="9"/>
      <c r="C4004" s="10"/>
      <c r="D4004" s="10"/>
      <c r="E4004" s="11"/>
      <c r="F4004" s="11"/>
      <c r="G4004" s="12"/>
      <c r="H4004" s="12"/>
      <c r="I4004" s="10"/>
      <c r="J4004" s="5"/>
      <c r="K4004" s="12"/>
      <c r="L4004" s="15"/>
    </row>
    <row r="4005" spans="1:12">
      <c r="A4005" s="8"/>
      <c r="B4005" s="9"/>
      <c r="C4005" s="10"/>
      <c r="D4005" s="10"/>
      <c r="E4005" s="11"/>
      <c r="F4005" s="11"/>
      <c r="G4005" s="12"/>
      <c r="H4005" s="12"/>
      <c r="I4005" s="10"/>
      <c r="J4005" s="5"/>
      <c r="K4005" s="12"/>
      <c r="L4005" s="15"/>
    </row>
    <row r="4006" spans="1:12">
      <c r="A4006" s="8"/>
      <c r="B4006" s="9"/>
      <c r="C4006" s="10"/>
      <c r="D4006" s="10"/>
      <c r="E4006" s="11"/>
      <c r="F4006" s="11"/>
      <c r="G4006" s="12"/>
      <c r="H4006" s="12"/>
      <c r="I4006" s="10"/>
      <c r="J4006" s="5"/>
      <c r="K4006" s="12"/>
      <c r="L4006" s="15"/>
    </row>
    <row r="4007" spans="1:12">
      <c r="A4007" s="8"/>
      <c r="B4007" s="9"/>
      <c r="C4007" s="10"/>
      <c r="D4007" s="10"/>
      <c r="E4007" s="25"/>
      <c r="F4007" s="25"/>
      <c r="G4007" s="12"/>
      <c r="H4007" s="26"/>
      <c r="I4007" s="10"/>
      <c r="J4007" s="5"/>
      <c r="K4007" s="12"/>
      <c r="L4007" s="15"/>
    </row>
    <row r="4008" spans="1:12">
      <c r="A4008" s="8"/>
      <c r="B4008" s="9"/>
      <c r="C4008" s="10"/>
      <c r="D4008" s="10"/>
      <c r="E4008" s="25"/>
      <c r="F4008" s="25"/>
      <c r="G4008" s="12"/>
      <c r="H4008" s="26"/>
      <c r="I4008" s="10"/>
      <c r="J4008" s="5"/>
      <c r="K4008" s="12"/>
      <c r="L4008" s="15"/>
    </row>
    <row r="4009" spans="1:12">
      <c r="A4009" s="8"/>
      <c r="B4009" s="9"/>
      <c r="C4009" s="10"/>
      <c r="D4009" s="10"/>
      <c r="E4009" s="25"/>
      <c r="F4009" s="25"/>
      <c r="G4009" s="12"/>
      <c r="H4009" s="26"/>
      <c r="I4009" s="10"/>
      <c r="J4009" s="5"/>
      <c r="K4009" s="12"/>
      <c r="L4009" s="15"/>
    </row>
    <row r="4010" spans="1:12">
      <c r="A4010" s="8"/>
      <c r="B4010" s="9"/>
      <c r="C4010" s="10"/>
      <c r="D4010" s="10"/>
      <c r="E4010" s="25"/>
      <c r="F4010" s="25"/>
      <c r="G4010" s="12"/>
      <c r="H4010" s="26"/>
      <c r="I4010" s="10"/>
      <c r="J4010" s="5"/>
      <c r="K4010" s="12"/>
      <c r="L4010" s="15"/>
    </row>
    <row r="4011" spans="1:12">
      <c r="A4011" s="8"/>
      <c r="B4011" s="9"/>
      <c r="C4011" s="10"/>
      <c r="D4011" s="10"/>
      <c r="E4011" s="25"/>
      <c r="F4011" s="25"/>
      <c r="G4011" s="12"/>
      <c r="H4011" s="26"/>
      <c r="I4011" s="10"/>
      <c r="J4011" s="5"/>
      <c r="K4011" s="12"/>
      <c r="L4011" s="15"/>
    </row>
    <row r="4012" spans="1:12">
      <c r="A4012" s="8"/>
      <c r="B4012" s="9"/>
      <c r="C4012" s="10"/>
      <c r="D4012" s="10"/>
      <c r="E4012" s="25"/>
      <c r="F4012" s="25"/>
      <c r="G4012" s="12"/>
      <c r="H4012" s="26"/>
      <c r="I4012" s="10"/>
      <c r="J4012" s="5"/>
      <c r="K4012" s="12"/>
      <c r="L4012" s="15"/>
    </row>
    <row r="4013" spans="1:12">
      <c r="A4013" s="8"/>
      <c r="B4013" s="9"/>
      <c r="C4013" s="10"/>
      <c r="D4013" s="10"/>
      <c r="E4013" s="11"/>
      <c r="F4013" s="11"/>
      <c r="G4013" s="12"/>
      <c r="H4013" s="12"/>
      <c r="I4013" s="10"/>
      <c r="J4013" s="5"/>
      <c r="K4013" s="12"/>
      <c r="L4013" s="15"/>
    </row>
    <row r="4014" spans="1:12">
      <c r="A4014" s="8"/>
      <c r="B4014" s="9"/>
      <c r="C4014" s="10"/>
      <c r="D4014" s="10"/>
      <c r="E4014" s="11"/>
      <c r="F4014" s="11"/>
      <c r="G4014" s="12"/>
      <c r="H4014" s="12"/>
      <c r="I4014" s="10"/>
      <c r="J4014" s="5"/>
      <c r="K4014" s="12"/>
      <c r="L4014" s="15"/>
    </row>
    <row r="4015" spans="1:12">
      <c r="A4015" s="8"/>
      <c r="B4015" s="9"/>
      <c r="C4015" s="10"/>
      <c r="D4015" s="10"/>
      <c r="E4015" s="11"/>
      <c r="F4015" s="11"/>
      <c r="G4015" s="12"/>
      <c r="H4015" s="12"/>
      <c r="I4015" s="10"/>
      <c r="J4015" s="5"/>
      <c r="K4015" s="9"/>
      <c r="L4015" s="15"/>
    </row>
    <row r="4016" spans="1:12">
      <c r="A4016" s="8"/>
      <c r="B4016" s="9"/>
      <c r="C4016" s="10"/>
      <c r="D4016" s="10"/>
      <c r="E4016" s="11"/>
      <c r="F4016" s="11"/>
      <c r="G4016" s="12"/>
      <c r="H4016" s="12"/>
      <c r="I4016" s="10"/>
      <c r="J4016" s="5"/>
      <c r="K4016" s="12"/>
      <c r="L4016" s="15"/>
    </row>
    <row r="4017" spans="1:12">
      <c r="A4017" s="8"/>
      <c r="B4017" s="9"/>
      <c r="C4017" s="10"/>
      <c r="D4017" s="10"/>
      <c r="E4017" s="11"/>
      <c r="F4017" s="11"/>
      <c r="G4017" s="12"/>
      <c r="H4017" s="12"/>
      <c r="I4017" s="10"/>
      <c r="J4017" s="5"/>
      <c r="K4017" s="12"/>
      <c r="L4017" s="15"/>
    </row>
    <row r="4018" spans="1:12">
      <c r="A4018" s="8"/>
      <c r="B4018" s="9"/>
      <c r="C4018" s="10"/>
      <c r="D4018" s="10"/>
      <c r="E4018" s="11"/>
      <c r="F4018" s="11"/>
      <c r="G4018" s="12"/>
      <c r="H4018" s="12"/>
      <c r="I4018" s="10"/>
      <c r="J4018" s="5"/>
      <c r="K4018" s="12"/>
      <c r="L4018" s="15"/>
    </row>
    <row r="4019" spans="1:12">
      <c r="A4019" s="8"/>
      <c r="B4019" s="9"/>
      <c r="C4019" s="10"/>
      <c r="D4019" s="10"/>
      <c r="E4019" s="11"/>
      <c r="F4019" s="11"/>
      <c r="G4019" s="12"/>
      <c r="H4019" s="12"/>
      <c r="I4019" s="10"/>
      <c r="J4019" s="5"/>
      <c r="K4019" s="12"/>
      <c r="L4019" s="15"/>
    </row>
    <row r="4020" spans="1:12">
      <c r="A4020" s="8"/>
      <c r="B4020" s="9"/>
      <c r="C4020" s="10"/>
      <c r="D4020" s="10"/>
      <c r="E4020" s="25"/>
      <c r="F4020" s="25"/>
      <c r="G4020" s="12"/>
      <c r="H4020" s="26"/>
      <c r="I4020" s="10"/>
      <c r="J4020" s="5"/>
      <c r="K4020" s="12"/>
      <c r="L4020" s="15"/>
    </row>
    <row r="4021" spans="1:12">
      <c r="A4021" s="8"/>
      <c r="B4021" s="9"/>
      <c r="C4021" s="10"/>
      <c r="D4021" s="10"/>
      <c r="E4021" s="11"/>
      <c r="F4021" s="11"/>
      <c r="G4021" s="12"/>
      <c r="H4021" s="12"/>
      <c r="I4021" s="10"/>
      <c r="J4021" s="5"/>
      <c r="K4021" s="12"/>
      <c r="L4021" s="15"/>
    </row>
    <row r="4022" spans="1:12">
      <c r="A4022" s="8"/>
      <c r="B4022" s="9"/>
      <c r="C4022" s="10"/>
      <c r="D4022" s="10"/>
      <c r="E4022" s="11"/>
      <c r="F4022" s="11"/>
      <c r="G4022" s="12"/>
      <c r="H4022" s="12"/>
      <c r="I4022" s="10"/>
      <c r="J4022" s="5"/>
      <c r="K4022" s="12"/>
      <c r="L4022" s="15"/>
    </row>
    <row r="4023" spans="1:12">
      <c r="A4023" s="8"/>
      <c r="B4023" s="9"/>
      <c r="C4023" s="10"/>
      <c r="D4023" s="10"/>
      <c r="E4023" s="11"/>
      <c r="F4023" s="11"/>
      <c r="G4023" s="12"/>
      <c r="H4023" s="12"/>
      <c r="I4023" s="10"/>
      <c r="J4023" s="5"/>
      <c r="K4023" s="9"/>
      <c r="L4023" s="15"/>
    </row>
    <row r="4024" spans="1:12">
      <c r="A4024" s="8"/>
      <c r="B4024" s="9"/>
      <c r="C4024" s="10"/>
      <c r="D4024" s="10"/>
      <c r="E4024" s="11"/>
      <c r="F4024" s="11"/>
      <c r="G4024" s="12"/>
      <c r="H4024" s="12"/>
      <c r="I4024" s="10"/>
      <c r="J4024" s="5"/>
      <c r="K4024" s="12"/>
      <c r="L4024" s="15"/>
    </row>
    <row r="4025" spans="1:12">
      <c r="A4025" s="8"/>
      <c r="B4025" s="9"/>
      <c r="C4025" s="10"/>
      <c r="D4025" s="10"/>
      <c r="E4025" s="11"/>
      <c r="F4025" s="11"/>
      <c r="G4025" s="12"/>
      <c r="H4025" s="12"/>
      <c r="I4025" s="10"/>
      <c r="J4025" s="5"/>
      <c r="K4025" s="9"/>
      <c r="L4025" s="15"/>
    </row>
    <row r="4026" spans="1:12">
      <c r="A4026" s="8"/>
      <c r="B4026" s="9"/>
      <c r="C4026" s="10"/>
      <c r="D4026" s="10"/>
      <c r="E4026" s="11"/>
      <c r="F4026" s="11"/>
      <c r="G4026" s="12"/>
      <c r="H4026" s="12"/>
      <c r="I4026" s="10"/>
      <c r="J4026" s="5"/>
      <c r="K4026" s="12"/>
      <c r="L4026" s="15"/>
    </row>
    <row r="4027" spans="1:12">
      <c r="A4027" s="8"/>
      <c r="B4027" s="9"/>
      <c r="C4027" s="10"/>
      <c r="D4027" s="10"/>
      <c r="E4027" s="11"/>
      <c r="F4027" s="11"/>
      <c r="G4027" s="12"/>
      <c r="H4027" s="12"/>
      <c r="I4027" s="10"/>
      <c r="J4027" s="5"/>
      <c r="K4027" s="12"/>
      <c r="L4027" s="16"/>
    </row>
    <row r="4028" spans="1:12">
      <c r="A4028" s="8"/>
      <c r="B4028" s="9"/>
      <c r="C4028" s="10"/>
      <c r="D4028" s="10"/>
      <c r="E4028" s="11"/>
      <c r="F4028" s="11"/>
      <c r="G4028" s="12"/>
      <c r="H4028" s="12"/>
      <c r="I4028" s="10"/>
      <c r="J4028" s="5"/>
      <c r="K4028" s="12"/>
      <c r="L4028" s="16"/>
    </row>
    <row r="4029" spans="1:12">
      <c r="A4029" s="8"/>
      <c r="B4029" s="9"/>
      <c r="C4029" s="10"/>
      <c r="D4029" s="10"/>
      <c r="E4029" s="11"/>
      <c r="F4029" s="11"/>
      <c r="G4029" s="12"/>
      <c r="H4029" s="12"/>
      <c r="I4029" s="10"/>
      <c r="J4029" s="5"/>
      <c r="K4029" s="12"/>
      <c r="L4029" s="15"/>
    </row>
    <row r="4030" spans="1:12">
      <c r="A4030" s="8"/>
      <c r="B4030" s="9"/>
      <c r="C4030" s="10"/>
      <c r="D4030" s="10"/>
      <c r="E4030" s="11"/>
      <c r="F4030" s="11"/>
      <c r="G4030" s="12"/>
      <c r="H4030" s="12"/>
      <c r="I4030" s="10"/>
      <c r="J4030" s="5"/>
      <c r="K4030" s="12"/>
      <c r="L4030" s="15"/>
    </row>
    <row r="4031" spans="1:12">
      <c r="A4031" s="8"/>
      <c r="B4031" s="9"/>
      <c r="C4031" s="10"/>
      <c r="D4031" s="10"/>
      <c r="E4031" s="11"/>
      <c r="F4031" s="11"/>
      <c r="G4031" s="12"/>
      <c r="H4031" s="12"/>
      <c r="I4031" s="10"/>
      <c r="J4031" s="5"/>
      <c r="K4031" s="9"/>
      <c r="L4031" s="15"/>
    </row>
    <row r="4032" spans="1:12">
      <c r="A4032" s="8"/>
      <c r="B4032" s="9"/>
      <c r="C4032" s="10"/>
      <c r="D4032" s="10"/>
      <c r="E4032" s="11"/>
      <c r="F4032" s="11"/>
      <c r="G4032" s="12"/>
      <c r="H4032" s="12"/>
      <c r="I4032" s="10"/>
      <c r="J4032" s="5"/>
      <c r="K4032" s="12"/>
      <c r="L4032" s="15"/>
    </row>
    <row r="4033" spans="1:12">
      <c r="A4033" s="8"/>
      <c r="B4033" s="9"/>
      <c r="C4033" s="10"/>
      <c r="D4033" s="10"/>
      <c r="E4033" s="11"/>
      <c r="F4033" s="11"/>
      <c r="G4033" s="12"/>
      <c r="H4033" s="12"/>
      <c r="I4033" s="10"/>
      <c r="J4033" s="5"/>
      <c r="K4033" s="12"/>
      <c r="L4033" s="15"/>
    </row>
    <row r="4034" spans="1:12">
      <c r="A4034" s="8"/>
      <c r="B4034" s="9"/>
      <c r="C4034" s="10"/>
      <c r="D4034" s="10"/>
      <c r="E4034" s="11"/>
      <c r="F4034" s="11"/>
      <c r="G4034" s="12"/>
      <c r="H4034" s="12"/>
      <c r="I4034" s="10"/>
      <c r="J4034" s="5"/>
      <c r="K4034" s="12"/>
      <c r="L4034" s="15"/>
    </row>
    <row r="4035" spans="1:12">
      <c r="A4035" s="8"/>
      <c r="B4035" s="9"/>
      <c r="C4035" s="10"/>
      <c r="D4035" s="10"/>
      <c r="E4035" s="11"/>
      <c r="F4035" s="11"/>
      <c r="G4035" s="12"/>
      <c r="H4035" s="12"/>
      <c r="I4035" s="10"/>
      <c r="J4035" s="5"/>
      <c r="K4035" s="9"/>
      <c r="L4035" s="15"/>
    </row>
    <row r="4036" spans="1:12">
      <c r="A4036" s="8"/>
      <c r="B4036" s="9"/>
      <c r="C4036" s="10"/>
      <c r="D4036" s="10"/>
      <c r="E4036" s="11"/>
      <c r="F4036" s="11"/>
      <c r="G4036" s="12"/>
      <c r="H4036" s="12"/>
      <c r="I4036" s="10"/>
      <c r="J4036" s="5"/>
      <c r="K4036" s="9"/>
      <c r="L4036" s="15"/>
    </row>
    <row r="4037" spans="1:12">
      <c r="A4037" s="8"/>
      <c r="B4037" s="9"/>
      <c r="C4037" s="10"/>
      <c r="D4037" s="10"/>
      <c r="E4037" s="11"/>
      <c r="F4037" s="11"/>
      <c r="G4037" s="12"/>
      <c r="H4037" s="12"/>
      <c r="I4037" s="10"/>
      <c r="J4037" s="5"/>
      <c r="K4037" s="9"/>
      <c r="L4037" s="15"/>
    </row>
    <row r="4038" spans="1:12">
      <c r="A4038" s="8"/>
      <c r="B4038" s="9"/>
      <c r="C4038" s="10"/>
      <c r="D4038" s="10"/>
      <c r="E4038" s="11"/>
      <c r="F4038" s="11"/>
      <c r="G4038" s="12"/>
      <c r="H4038" s="12"/>
      <c r="I4038" s="10"/>
      <c r="J4038" s="5"/>
      <c r="K4038" s="12"/>
      <c r="L4038" s="15"/>
    </row>
    <row r="4039" spans="1:12">
      <c r="A4039" s="8"/>
      <c r="B4039" s="9"/>
      <c r="C4039" s="10"/>
      <c r="D4039" s="10"/>
      <c r="E4039" s="11"/>
      <c r="F4039" s="11"/>
      <c r="G4039" s="12"/>
      <c r="H4039" s="12"/>
      <c r="I4039" s="10"/>
      <c r="J4039" s="5"/>
      <c r="K4039" s="9"/>
      <c r="L4039" s="15"/>
    </row>
    <row r="4040" spans="1:12">
      <c r="A4040" s="8"/>
      <c r="B4040" s="9"/>
      <c r="C4040" s="10"/>
      <c r="D4040" s="10"/>
      <c r="E4040" s="11"/>
      <c r="F4040" s="11"/>
      <c r="G4040" s="12"/>
      <c r="H4040" s="12"/>
      <c r="I4040" s="10"/>
      <c r="J4040" s="5"/>
      <c r="K4040" s="12"/>
      <c r="L4040" s="15"/>
    </row>
    <row r="4041" spans="1:12">
      <c r="A4041" s="8"/>
      <c r="B4041" s="9"/>
      <c r="C4041" s="10"/>
      <c r="D4041" s="10"/>
      <c r="E4041" s="11"/>
      <c r="F4041" s="11"/>
      <c r="G4041" s="12"/>
      <c r="H4041" s="12"/>
      <c r="I4041" s="10"/>
      <c r="J4041" s="5"/>
      <c r="K4041" s="12"/>
      <c r="L4041" s="15"/>
    </row>
    <row r="4042" spans="1:12">
      <c r="A4042" s="8"/>
      <c r="B4042" s="9"/>
      <c r="C4042" s="10"/>
      <c r="D4042" s="10"/>
      <c r="E4042" s="11"/>
      <c r="F4042" s="11"/>
      <c r="G4042" s="12"/>
      <c r="H4042" s="12"/>
      <c r="I4042" s="10"/>
      <c r="J4042" s="5"/>
      <c r="K4042" s="12"/>
      <c r="L4042" s="15"/>
    </row>
    <row r="4043" spans="1:12">
      <c r="A4043" s="8"/>
      <c r="B4043" s="9"/>
      <c r="C4043" s="10"/>
      <c r="D4043" s="10"/>
      <c r="E4043" s="11"/>
      <c r="F4043" s="11"/>
      <c r="G4043" s="12"/>
      <c r="H4043" s="12"/>
      <c r="I4043" s="10"/>
      <c r="J4043" s="5"/>
      <c r="K4043" s="12"/>
      <c r="L4043" s="15"/>
    </row>
    <row r="4044" spans="1:12">
      <c r="A4044" s="8"/>
      <c r="B4044" s="9"/>
      <c r="C4044" s="10"/>
      <c r="D4044" s="10"/>
      <c r="E4044" s="11"/>
      <c r="F4044" s="11"/>
      <c r="G4044" s="12"/>
      <c r="H4044" s="12"/>
      <c r="I4044" s="10"/>
      <c r="J4044" s="5"/>
      <c r="K4044" s="12"/>
      <c r="L4044" s="15"/>
    </row>
    <row r="4045" spans="1:12">
      <c r="A4045" s="8"/>
      <c r="B4045" s="9"/>
      <c r="C4045" s="10"/>
      <c r="D4045" s="10"/>
      <c r="E4045" s="11"/>
      <c r="F4045" s="11"/>
      <c r="G4045" s="12"/>
      <c r="H4045" s="12"/>
      <c r="I4045" s="10"/>
      <c r="J4045" s="5"/>
      <c r="K4045" s="12"/>
      <c r="L4045" s="15"/>
    </row>
    <row r="4046" spans="1:12">
      <c r="A4046" s="8"/>
      <c r="B4046" s="9"/>
      <c r="C4046" s="10"/>
      <c r="D4046" s="10"/>
      <c r="E4046" s="11"/>
      <c r="F4046" s="11"/>
      <c r="G4046" s="12"/>
      <c r="H4046" s="12"/>
      <c r="I4046" s="10"/>
      <c r="J4046" s="5"/>
      <c r="K4046" s="12"/>
      <c r="L4046" s="15"/>
    </row>
    <row r="4047" spans="1:12">
      <c r="A4047" s="8"/>
      <c r="B4047" s="9"/>
      <c r="C4047" s="10"/>
      <c r="D4047" s="10"/>
      <c r="E4047" s="25"/>
      <c r="F4047" s="25"/>
      <c r="G4047" s="12"/>
      <c r="H4047" s="26"/>
      <c r="I4047" s="10"/>
      <c r="J4047" s="5"/>
      <c r="K4047" s="12"/>
      <c r="L4047" s="15"/>
    </row>
    <row r="4048" spans="1:12">
      <c r="A4048" s="8"/>
      <c r="B4048" s="9"/>
      <c r="C4048" s="10"/>
      <c r="D4048" s="10"/>
      <c r="E4048" s="11"/>
      <c r="F4048" s="11"/>
      <c r="G4048" s="12"/>
      <c r="H4048" s="12"/>
      <c r="I4048" s="10"/>
      <c r="J4048" s="5"/>
      <c r="K4048" s="12"/>
      <c r="L4048" s="15"/>
    </row>
    <row r="4049" spans="1:12">
      <c r="A4049" s="8"/>
      <c r="B4049" s="9"/>
      <c r="C4049" s="10"/>
      <c r="D4049" s="10"/>
      <c r="E4049" s="11"/>
      <c r="F4049" s="11"/>
      <c r="G4049" s="12"/>
      <c r="H4049" s="12"/>
      <c r="I4049" s="10"/>
      <c r="J4049" s="5"/>
      <c r="K4049" s="12"/>
      <c r="L4049" s="15"/>
    </row>
    <row r="4050" spans="1:12">
      <c r="A4050" s="8"/>
      <c r="B4050" s="9"/>
      <c r="C4050" s="10"/>
      <c r="D4050" s="10"/>
      <c r="E4050" s="11"/>
      <c r="F4050" s="11"/>
      <c r="G4050" s="12"/>
      <c r="H4050" s="12"/>
      <c r="I4050" s="10"/>
      <c r="J4050" s="5"/>
      <c r="K4050" s="12"/>
      <c r="L4050" s="15"/>
    </row>
    <row r="4051" spans="1:12">
      <c r="A4051" s="8"/>
      <c r="B4051" s="9"/>
      <c r="C4051" s="10"/>
      <c r="D4051" s="10"/>
      <c r="E4051" s="11"/>
      <c r="F4051" s="11"/>
      <c r="G4051" s="12"/>
      <c r="H4051" s="12"/>
      <c r="I4051" s="10"/>
      <c r="J4051" s="5"/>
      <c r="K4051" s="12"/>
      <c r="L4051" s="15"/>
    </row>
    <row r="4052" spans="1:12">
      <c r="A4052" s="8"/>
      <c r="B4052" s="9"/>
      <c r="C4052" s="10"/>
      <c r="D4052" s="10"/>
      <c r="E4052" s="11"/>
      <c r="F4052" s="11"/>
      <c r="G4052" s="12"/>
      <c r="H4052" s="12"/>
      <c r="I4052" s="10"/>
      <c r="J4052" s="5"/>
      <c r="K4052" s="12"/>
      <c r="L4052" s="15"/>
    </row>
    <row r="4053" spans="1:12">
      <c r="A4053" s="8"/>
      <c r="B4053" s="9"/>
      <c r="C4053" s="10"/>
      <c r="D4053" s="10"/>
      <c r="E4053" s="11"/>
      <c r="F4053" s="11"/>
      <c r="G4053" s="12"/>
      <c r="H4053" s="12"/>
      <c r="I4053" s="10"/>
      <c r="J4053" s="5"/>
      <c r="K4053" s="12"/>
      <c r="L4053" s="15"/>
    </row>
    <row r="4054" spans="1:12">
      <c r="A4054" s="8"/>
      <c r="B4054" s="9"/>
      <c r="C4054" s="10"/>
      <c r="D4054" s="10"/>
      <c r="E4054" s="11"/>
      <c r="F4054" s="11"/>
      <c r="G4054" s="12"/>
      <c r="H4054" s="12"/>
      <c r="I4054" s="10"/>
      <c r="J4054" s="5"/>
      <c r="K4054" s="12"/>
      <c r="L4054" s="15"/>
    </row>
    <row r="4055" spans="1:12">
      <c r="A4055" s="8"/>
      <c r="B4055" s="9"/>
      <c r="C4055" s="10"/>
      <c r="D4055" s="10"/>
      <c r="E4055" s="11"/>
      <c r="F4055" s="11"/>
      <c r="G4055" s="12"/>
      <c r="H4055" s="12"/>
      <c r="I4055" s="10"/>
      <c r="J4055" s="5"/>
      <c r="K4055" s="12"/>
      <c r="L4055" s="15"/>
    </row>
    <row r="4056" spans="1:12">
      <c r="A4056" s="8"/>
      <c r="B4056" s="9"/>
      <c r="C4056" s="10"/>
      <c r="D4056" s="10"/>
      <c r="E4056" s="11"/>
      <c r="F4056" s="11"/>
      <c r="G4056" s="12"/>
      <c r="H4056" s="12"/>
      <c r="I4056" s="10"/>
      <c r="J4056" s="5"/>
      <c r="K4056" s="12"/>
      <c r="L4056" s="15"/>
    </row>
    <row r="4057" spans="1:12">
      <c r="A4057" s="8"/>
      <c r="B4057" s="9"/>
      <c r="C4057" s="10"/>
      <c r="D4057" s="10"/>
      <c r="E4057" s="11"/>
      <c r="F4057" s="11"/>
      <c r="G4057" s="12"/>
      <c r="H4057" s="12"/>
      <c r="I4057" s="10"/>
      <c r="J4057" s="5"/>
      <c r="K4057" s="12"/>
      <c r="L4057" s="15"/>
    </row>
    <row r="4058" spans="1:12">
      <c r="A4058" s="8"/>
      <c r="B4058" s="9"/>
      <c r="C4058" s="10"/>
      <c r="D4058" s="10"/>
      <c r="E4058" s="11"/>
      <c r="F4058" s="11"/>
      <c r="G4058" s="12"/>
      <c r="H4058" s="12"/>
      <c r="I4058" s="10"/>
      <c r="J4058" s="5"/>
      <c r="K4058" s="12"/>
      <c r="L4058" s="15"/>
    </row>
    <row r="4059" spans="1:12">
      <c r="A4059" s="8"/>
      <c r="B4059" s="9"/>
      <c r="C4059" s="10"/>
      <c r="D4059" s="10"/>
      <c r="E4059" s="11"/>
      <c r="F4059" s="11"/>
      <c r="G4059" s="12"/>
      <c r="H4059" s="12"/>
      <c r="I4059" s="10"/>
      <c r="J4059" s="5"/>
      <c r="K4059" s="12"/>
      <c r="L4059" s="15"/>
    </row>
    <row r="4060" spans="1:12">
      <c r="A4060" s="8"/>
      <c r="B4060" s="9"/>
      <c r="C4060" s="10"/>
      <c r="D4060" s="10"/>
      <c r="E4060" s="11"/>
      <c r="F4060" s="11"/>
      <c r="G4060" s="12"/>
      <c r="H4060" s="12"/>
      <c r="I4060" s="10"/>
      <c r="J4060" s="5"/>
      <c r="K4060" s="12"/>
      <c r="L4060" s="15"/>
    </row>
    <row r="4061" spans="1:12">
      <c r="A4061" s="8"/>
      <c r="B4061" s="9"/>
      <c r="C4061" s="10"/>
      <c r="D4061" s="10"/>
      <c r="E4061" s="11"/>
      <c r="F4061" s="11"/>
      <c r="G4061" s="12"/>
      <c r="H4061" s="12"/>
      <c r="I4061" s="10"/>
      <c r="J4061" s="5"/>
      <c r="K4061" s="12"/>
      <c r="L4061" s="15"/>
    </row>
    <row r="4062" spans="1:12">
      <c r="A4062" s="8"/>
      <c r="B4062" s="9"/>
      <c r="C4062" s="10"/>
      <c r="D4062" s="10"/>
      <c r="E4062" s="11"/>
      <c r="F4062" s="11"/>
      <c r="G4062" s="12"/>
      <c r="H4062" s="12"/>
      <c r="I4062" s="10"/>
      <c r="J4062" s="5"/>
      <c r="K4062" s="12"/>
      <c r="L4062" s="15"/>
    </row>
    <row r="4063" spans="1:12">
      <c r="A4063" s="8"/>
      <c r="B4063" s="9"/>
      <c r="C4063" s="10"/>
      <c r="D4063" s="10"/>
      <c r="E4063" s="11"/>
      <c r="F4063" s="11"/>
      <c r="G4063" s="12"/>
      <c r="H4063" s="12"/>
      <c r="I4063" s="10"/>
      <c r="J4063" s="5"/>
      <c r="K4063" s="12"/>
      <c r="L4063" s="15"/>
    </row>
    <row r="4064" spans="1:12">
      <c r="A4064" s="8"/>
      <c r="B4064" s="9"/>
      <c r="C4064" s="10"/>
      <c r="D4064" s="10"/>
      <c r="E4064" s="11"/>
      <c r="F4064" s="11"/>
      <c r="G4064" s="12"/>
      <c r="H4064" s="12"/>
      <c r="I4064" s="10"/>
      <c r="J4064" s="5"/>
      <c r="K4064" s="12"/>
      <c r="L4064" s="15"/>
    </row>
    <row r="4065" spans="1:12">
      <c r="A4065" s="8"/>
      <c r="B4065" s="9"/>
      <c r="C4065" s="10"/>
      <c r="D4065" s="10"/>
      <c r="E4065" s="11"/>
      <c r="F4065" s="11"/>
      <c r="G4065" s="12"/>
      <c r="H4065" s="12"/>
      <c r="I4065" s="10"/>
      <c r="J4065" s="5"/>
      <c r="K4065" s="12"/>
      <c r="L4065" s="15"/>
    </row>
    <row r="4066" spans="1:12">
      <c r="A4066" s="8"/>
      <c r="B4066" s="9"/>
      <c r="C4066" s="10"/>
      <c r="D4066" s="10"/>
      <c r="E4066" s="11"/>
      <c r="F4066" s="11"/>
      <c r="G4066" s="12"/>
      <c r="H4066" s="12"/>
      <c r="I4066" s="10"/>
      <c r="J4066" s="5"/>
      <c r="K4066" s="9"/>
      <c r="L4066" s="15"/>
    </row>
    <row r="4067" spans="1:12">
      <c r="A4067" s="8"/>
      <c r="B4067" s="9"/>
      <c r="C4067" s="10"/>
      <c r="D4067" s="10"/>
      <c r="E4067" s="11"/>
      <c r="F4067" s="11"/>
      <c r="G4067" s="12"/>
      <c r="H4067" s="12"/>
      <c r="I4067" s="10"/>
      <c r="J4067" s="5"/>
      <c r="K4067" s="9"/>
      <c r="L4067" s="15"/>
    </row>
    <row r="4068" spans="1:12">
      <c r="A4068" s="8"/>
      <c r="B4068" s="9"/>
      <c r="C4068" s="10"/>
      <c r="D4068" s="10"/>
      <c r="E4068" s="11"/>
      <c r="F4068" s="11"/>
      <c r="G4068" s="12"/>
      <c r="H4068" s="12"/>
      <c r="I4068" s="10"/>
      <c r="J4068" s="5"/>
      <c r="K4068" s="9"/>
      <c r="L4068" s="15"/>
    </row>
    <row r="4069" spans="1:12">
      <c r="A4069" s="8"/>
      <c r="B4069" s="9"/>
      <c r="C4069" s="10"/>
      <c r="D4069" s="10"/>
      <c r="E4069" s="11"/>
      <c r="F4069" s="11"/>
      <c r="G4069" s="12"/>
      <c r="H4069" s="12"/>
      <c r="I4069" s="10"/>
      <c r="J4069" s="5"/>
      <c r="K4069" s="9"/>
      <c r="L4069" s="15"/>
    </row>
    <row r="4070" spans="1:12">
      <c r="A4070" s="8"/>
      <c r="B4070" s="9"/>
      <c r="C4070" s="10"/>
      <c r="D4070" s="10"/>
      <c r="E4070" s="11"/>
      <c r="F4070" s="11"/>
      <c r="G4070" s="12"/>
      <c r="H4070" s="12"/>
      <c r="I4070" s="10"/>
      <c r="J4070" s="5"/>
      <c r="K4070" s="9"/>
      <c r="L4070" s="15"/>
    </row>
    <row r="4071" spans="1:12">
      <c r="A4071" s="8"/>
      <c r="B4071" s="9"/>
      <c r="C4071" s="10"/>
      <c r="D4071" s="10"/>
      <c r="E4071" s="11"/>
      <c r="F4071" s="11"/>
      <c r="G4071" s="12"/>
      <c r="H4071" s="12"/>
      <c r="I4071" s="10"/>
      <c r="J4071" s="5"/>
      <c r="K4071" s="12"/>
      <c r="L4071" s="15"/>
    </row>
    <row r="4072" spans="1:12">
      <c r="A4072" s="8"/>
      <c r="B4072" s="9"/>
      <c r="C4072" s="10"/>
      <c r="D4072" s="10"/>
      <c r="E4072" s="11"/>
      <c r="F4072" s="11"/>
      <c r="G4072" s="12"/>
      <c r="H4072" s="12"/>
      <c r="I4072" s="10"/>
      <c r="J4072" s="5"/>
      <c r="K4072" s="12"/>
      <c r="L4072" s="15"/>
    </row>
    <row r="4073" spans="1:12">
      <c r="A4073" s="8"/>
      <c r="B4073" s="9"/>
      <c r="C4073" s="10"/>
      <c r="D4073" s="10"/>
      <c r="E4073" s="11"/>
      <c r="F4073" s="11"/>
      <c r="G4073" s="12"/>
      <c r="H4073" s="12"/>
      <c r="I4073" s="10"/>
      <c r="J4073" s="5"/>
      <c r="K4073" s="12"/>
      <c r="L4073" s="15"/>
    </row>
    <row r="4074" spans="1:12">
      <c r="A4074" s="8"/>
      <c r="B4074" s="9"/>
      <c r="C4074" s="10"/>
      <c r="D4074" s="10"/>
      <c r="E4074" s="11"/>
      <c r="F4074" s="11"/>
      <c r="G4074" s="12"/>
      <c r="H4074" s="12"/>
      <c r="I4074" s="10"/>
      <c r="J4074" s="5"/>
      <c r="K4074" s="12"/>
      <c r="L4074" s="15"/>
    </row>
    <row r="4075" spans="1:12">
      <c r="A4075" s="8"/>
      <c r="B4075" s="9"/>
      <c r="C4075" s="10"/>
      <c r="D4075" s="10"/>
      <c r="E4075" s="11"/>
      <c r="F4075" s="11"/>
      <c r="G4075" s="12"/>
      <c r="H4075" s="12"/>
      <c r="I4075" s="10"/>
      <c r="J4075" s="5"/>
      <c r="K4075" s="12"/>
      <c r="L4075" s="15"/>
    </row>
    <row r="4076" spans="1:12">
      <c r="A4076" s="8"/>
      <c r="B4076" s="9"/>
      <c r="C4076" s="10"/>
      <c r="D4076" s="10"/>
      <c r="E4076" s="11"/>
      <c r="F4076" s="11"/>
      <c r="G4076" s="12"/>
      <c r="H4076" s="12"/>
      <c r="I4076" s="10"/>
      <c r="J4076" s="5"/>
      <c r="K4076" s="12"/>
      <c r="L4076" s="15"/>
    </row>
    <row r="4077" spans="1:12">
      <c r="A4077" s="8"/>
      <c r="B4077" s="9"/>
      <c r="C4077" s="10"/>
      <c r="D4077" s="10"/>
      <c r="E4077" s="11"/>
      <c r="F4077" s="11"/>
      <c r="G4077" s="12"/>
      <c r="H4077" s="12"/>
      <c r="I4077" s="10"/>
      <c r="J4077" s="5"/>
      <c r="K4077" s="12"/>
      <c r="L4077" s="15"/>
    </row>
    <row r="4078" spans="1:12">
      <c r="A4078" s="8"/>
      <c r="B4078" s="9"/>
      <c r="C4078" s="10"/>
      <c r="D4078" s="10"/>
      <c r="E4078" s="11"/>
      <c r="F4078" s="11"/>
      <c r="G4078" s="12"/>
      <c r="H4078" s="12"/>
      <c r="I4078" s="10"/>
      <c r="J4078" s="5"/>
      <c r="K4078" s="12"/>
      <c r="L4078" s="15"/>
    </row>
    <row r="4079" spans="1:12">
      <c r="A4079" s="8"/>
      <c r="B4079" s="9"/>
      <c r="C4079" s="10"/>
      <c r="D4079" s="10"/>
      <c r="E4079" s="11"/>
      <c r="F4079" s="11"/>
      <c r="G4079" s="12"/>
      <c r="H4079" s="12"/>
      <c r="I4079" s="10"/>
      <c r="J4079" s="5"/>
      <c r="K4079" s="12"/>
      <c r="L4079" s="15"/>
    </row>
    <row r="4080" spans="1:12">
      <c r="A4080" s="8"/>
      <c r="B4080" s="9"/>
      <c r="C4080" s="10"/>
      <c r="D4080" s="10"/>
      <c r="E4080" s="11"/>
      <c r="F4080" s="11"/>
      <c r="G4080" s="12"/>
      <c r="H4080" s="12"/>
      <c r="I4080" s="10"/>
      <c r="J4080" s="5"/>
      <c r="K4080" s="12"/>
      <c r="L4080" s="15"/>
    </row>
    <row r="4081" spans="1:12">
      <c r="A4081" s="8"/>
      <c r="B4081" s="9"/>
      <c r="C4081" s="10"/>
      <c r="D4081" s="10"/>
      <c r="E4081" s="11"/>
      <c r="F4081" s="11"/>
      <c r="G4081" s="12"/>
      <c r="H4081" s="12"/>
      <c r="I4081" s="10"/>
      <c r="J4081" s="5"/>
      <c r="K4081" s="9"/>
      <c r="L4081" s="15"/>
    </row>
    <row r="4082" spans="1:12">
      <c r="A4082" s="8"/>
      <c r="B4082" s="9"/>
      <c r="C4082" s="10"/>
      <c r="D4082" s="10"/>
      <c r="E4082" s="11"/>
      <c r="F4082" s="11"/>
      <c r="G4082" s="12"/>
      <c r="H4082" s="12"/>
      <c r="I4082" s="10"/>
      <c r="J4082" s="5"/>
      <c r="K4082" s="12"/>
      <c r="L4082" s="15"/>
    </row>
    <row r="4083" spans="1:12">
      <c r="A4083" s="8"/>
      <c r="B4083" s="9"/>
      <c r="C4083" s="10"/>
      <c r="D4083" s="10"/>
      <c r="E4083" s="11"/>
      <c r="F4083" s="11"/>
      <c r="G4083" s="12"/>
      <c r="H4083" s="12"/>
      <c r="I4083" s="10"/>
      <c r="J4083" s="5"/>
      <c r="K4083" s="9"/>
      <c r="L4083" s="15"/>
    </row>
    <row r="4084" spans="1:12">
      <c r="A4084" s="8"/>
      <c r="B4084" s="9"/>
      <c r="C4084" s="10"/>
      <c r="D4084" s="10"/>
      <c r="E4084" s="11"/>
      <c r="F4084" s="11"/>
      <c r="G4084" s="12"/>
      <c r="H4084" s="12"/>
      <c r="I4084" s="10"/>
      <c r="J4084" s="5"/>
      <c r="K4084" s="9"/>
      <c r="L4084" s="15"/>
    </row>
    <row r="4085" spans="1:12">
      <c r="A4085" s="8"/>
      <c r="B4085" s="9"/>
      <c r="C4085" s="10"/>
      <c r="D4085" s="10"/>
      <c r="E4085" s="11"/>
      <c r="F4085" s="11"/>
      <c r="G4085" s="12"/>
      <c r="H4085" s="12"/>
      <c r="I4085" s="10"/>
      <c r="J4085" s="5"/>
      <c r="K4085" s="9"/>
      <c r="L4085" s="15"/>
    </row>
    <row r="4086" spans="1:12">
      <c r="A4086" s="8"/>
      <c r="B4086" s="9"/>
      <c r="C4086" s="10"/>
      <c r="D4086" s="10"/>
      <c r="E4086" s="11"/>
      <c r="F4086" s="11"/>
      <c r="G4086" s="12"/>
      <c r="H4086" s="12"/>
      <c r="I4086" s="10"/>
      <c r="J4086" s="5"/>
      <c r="K4086" s="12"/>
      <c r="L4086" s="15"/>
    </row>
    <row r="4087" spans="1:12">
      <c r="A4087" s="8"/>
      <c r="B4087" s="9"/>
      <c r="C4087" s="10"/>
      <c r="D4087" s="10"/>
      <c r="E4087" s="11"/>
      <c r="F4087" s="11"/>
      <c r="G4087" s="12"/>
      <c r="H4087" s="12"/>
      <c r="I4087" s="10"/>
      <c r="J4087" s="5"/>
      <c r="K4087" s="12"/>
      <c r="L4087" s="16"/>
    </row>
    <row r="4088" spans="1:12">
      <c r="A4088" s="8"/>
      <c r="B4088" s="9"/>
      <c r="C4088" s="10"/>
      <c r="D4088" s="10"/>
      <c r="E4088" s="11"/>
      <c r="F4088" s="11"/>
      <c r="G4088" s="12"/>
      <c r="H4088" s="12"/>
      <c r="I4088" s="10"/>
      <c r="J4088" s="5"/>
      <c r="K4088" s="12"/>
      <c r="L4088" s="15"/>
    </row>
    <row r="4089" spans="1:12">
      <c r="A4089" s="8"/>
      <c r="B4089" s="9"/>
      <c r="C4089" s="10"/>
      <c r="D4089" s="10"/>
      <c r="E4089" s="19"/>
      <c r="F4089" s="11"/>
      <c r="G4089" s="12"/>
      <c r="H4089" s="12"/>
      <c r="I4089" s="10"/>
      <c r="J4089" s="5"/>
      <c r="K4089" s="12"/>
      <c r="L4089" s="15"/>
    </row>
    <row r="4090" spans="1:12">
      <c r="A4090" s="8"/>
      <c r="B4090" s="9"/>
      <c r="C4090" s="10"/>
      <c r="D4090" s="10"/>
      <c r="E4090" s="11"/>
      <c r="F4090" s="11"/>
      <c r="G4090" s="12"/>
      <c r="H4090" s="12"/>
      <c r="I4090" s="10"/>
      <c r="J4090" s="5"/>
      <c r="K4090" s="12"/>
      <c r="L4090" s="15"/>
    </row>
    <row r="4091" spans="1:12">
      <c r="A4091" s="8"/>
      <c r="B4091" s="9"/>
      <c r="C4091" s="13"/>
      <c r="D4091" s="10"/>
      <c r="E4091" s="32"/>
      <c r="F4091" s="32"/>
      <c r="G4091" s="12"/>
      <c r="H4091" s="13"/>
      <c r="I4091" s="10"/>
      <c r="J4091" s="5"/>
      <c r="K4091" s="13"/>
      <c r="L4091" s="31"/>
    </row>
    <row r="4092" spans="1:12">
      <c r="A4092" s="8"/>
      <c r="B4092" s="9"/>
      <c r="C4092" s="10"/>
      <c r="D4092" s="10"/>
      <c r="E4092" s="11"/>
      <c r="F4092" s="11"/>
      <c r="G4092" s="12"/>
      <c r="H4092" s="12"/>
      <c r="I4092" s="10"/>
      <c r="J4092" s="5"/>
      <c r="K4092" s="12"/>
      <c r="L4092" s="15"/>
    </row>
    <row r="4093" spans="1:12">
      <c r="A4093" s="8"/>
      <c r="B4093" s="9"/>
      <c r="C4093" s="10"/>
      <c r="D4093" s="10"/>
      <c r="E4093" s="11"/>
      <c r="F4093" s="11"/>
      <c r="G4093" s="12"/>
      <c r="H4093" s="12"/>
      <c r="I4093" s="10"/>
      <c r="J4093" s="5"/>
      <c r="K4093" s="12"/>
      <c r="L4093" s="15"/>
    </row>
    <row r="4094" spans="1:12">
      <c r="A4094" s="8"/>
      <c r="B4094" s="9"/>
      <c r="C4094" s="10"/>
      <c r="D4094" s="10"/>
      <c r="E4094" s="11"/>
      <c r="F4094" s="11"/>
      <c r="G4094" s="12"/>
      <c r="H4094" s="12"/>
      <c r="I4094" s="10"/>
      <c r="J4094" s="5"/>
      <c r="K4094" s="12"/>
      <c r="L4094" s="15"/>
    </row>
    <row r="4095" spans="1:12">
      <c r="A4095" s="8"/>
      <c r="B4095" s="9"/>
      <c r="C4095" s="10"/>
      <c r="D4095" s="10"/>
      <c r="E4095" s="11"/>
      <c r="F4095" s="11"/>
      <c r="G4095" s="12"/>
      <c r="H4095" s="12"/>
      <c r="I4095" s="10"/>
      <c r="J4095" s="5"/>
      <c r="K4095" s="12"/>
      <c r="L4095" s="15"/>
    </row>
    <row r="4096" spans="1:12">
      <c r="A4096" s="8"/>
      <c r="B4096" s="9"/>
      <c r="C4096" s="10"/>
      <c r="D4096" s="10"/>
      <c r="E4096" s="11"/>
      <c r="F4096" s="11"/>
      <c r="G4096" s="12"/>
      <c r="H4096" s="12"/>
      <c r="I4096" s="10"/>
      <c r="J4096" s="5"/>
      <c r="K4096" s="9"/>
      <c r="L4096" s="15"/>
    </row>
    <row r="4097" spans="1:12">
      <c r="A4097" s="8"/>
      <c r="B4097" s="9"/>
      <c r="C4097" s="10"/>
      <c r="D4097" s="10"/>
      <c r="E4097" s="11"/>
      <c r="F4097" s="11"/>
      <c r="G4097" s="12"/>
      <c r="H4097" s="12"/>
      <c r="I4097" s="10"/>
      <c r="J4097" s="5"/>
      <c r="K4097" s="12"/>
      <c r="L4097" s="15"/>
    </row>
    <row r="4098" spans="1:12">
      <c r="A4098" s="8"/>
      <c r="B4098" s="9"/>
      <c r="C4098" s="10"/>
      <c r="D4098" s="10"/>
      <c r="E4098" s="11"/>
      <c r="F4098" s="11"/>
      <c r="G4098" s="12"/>
      <c r="H4098" s="12"/>
      <c r="I4098" s="10"/>
      <c r="J4098" s="5"/>
      <c r="K4098" s="9"/>
      <c r="L4098" s="15"/>
    </row>
    <row r="4099" spans="1:12">
      <c r="A4099" s="8"/>
      <c r="B4099" s="9"/>
      <c r="C4099" s="10"/>
      <c r="D4099" s="10"/>
      <c r="E4099" s="11"/>
      <c r="F4099" s="11"/>
      <c r="G4099" s="12"/>
      <c r="H4099" s="12"/>
      <c r="I4099" s="10"/>
      <c r="J4099" s="5"/>
      <c r="K4099" s="12"/>
      <c r="L4099" s="15"/>
    </row>
    <row r="4100" spans="1:12">
      <c r="A4100" s="8"/>
      <c r="B4100" s="9"/>
      <c r="C4100" s="10"/>
      <c r="D4100" s="10"/>
      <c r="E4100" s="11"/>
      <c r="F4100" s="11"/>
      <c r="G4100" s="12"/>
      <c r="H4100" s="12"/>
      <c r="I4100" s="10"/>
      <c r="J4100" s="5"/>
      <c r="K4100" s="12"/>
      <c r="L4100" s="15"/>
    </row>
    <row r="4101" spans="1:12">
      <c r="A4101" s="8"/>
      <c r="B4101" s="9"/>
      <c r="C4101" s="10"/>
      <c r="D4101" s="10"/>
      <c r="E4101" s="11"/>
      <c r="F4101" s="11"/>
      <c r="G4101" s="12"/>
      <c r="H4101" s="12"/>
      <c r="I4101" s="10"/>
      <c r="J4101" s="5"/>
      <c r="K4101" s="12"/>
      <c r="L4101" s="15"/>
    </row>
    <row r="4102" spans="1:12">
      <c r="A4102" s="8"/>
      <c r="B4102" s="9"/>
      <c r="C4102" s="10"/>
      <c r="D4102" s="10"/>
      <c r="E4102" s="11"/>
      <c r="F4102" s="11"/>
      <c r="G4102" s="12"/>
      <c r="H4102" s="12"/>
      <c r="I4102" s="10"/>
      <c r="J4102" s="5"/>
      <c r="K4102" s="9"/>
      <c r="L4102" s="15"/>
    </row>
    <row r="4103" spans="1:12">
      <c r="A4103" s="8"/>
      <c r="B4103" s="9"/>
      <c r="C4103" s="10"/>
      <c r="D4103" s="10"/>
      <c r="E4103" s="11"/>
      <c r="F4103" s="11"/>
      <c r="G4103" s="12"/>
      <c r="H4103" s="12"/>
      <c r="I4103" s="10"/>
      <c r="J4103" s="5"/>
      <c r="K4103" s="9"/>
      <c r="L4103" s="15"/>
    </row>
    <row r="4104" spans="1:12">
      <c r="A4104" s="8"/>
      <c r="B4104" s="9"/>
      <c r="C4104" s="10"/>
      <c r="D4104" s="10"/>
      <c r="E4104" s="11"/>
      <c r="F4104" s="11"/>
      <c r="G4104" s="12"/>
      <c r="H4104" s="12"/>
      <c r="I4104" s="10"/>
      <c r="J4104" s="5"/>
      <c r="K4104" s="12"/>
      <c r="L4104" s="15"/>
    </row>
    <row r="4105" spans="1:12">
      <c r="A4105" s="8"/>
      <c r="B4105" s="9"/>
      <c r="C4105" s="10"/>
      <c r="D4105" s="10"/>
      <c r="E4105" s="11"/>
      <c r="F4105" s="11"/>
      <c r="G4105" s="12"/>
      <c r="H4105" s="12"/>
      <c r="I4105" s="10"/>
      <c r="J4105" s="5"/>
      <c r="K4105" s="12"/>
      <c r="L4105" s="15"/>
    </row>
    <row r="4106" spans="1:12">
      <c r="A4106" s="8"/>
      <c r="B4106" s="9"/>
      <c r="C4106" s="13"/>
      <c r="D4106" s="10"/>
      <c r="E4106" s="19"/>
      <c r="F4106" s="19"/>
      <c r="G4106" s="12"/>
      <c r="H4106" s="9"/>
      <c r="I4106" s="10"/>
      <c r="J4106" s="5"/>
      <c r="K4106" s="12"/>
      <c r="L4106" s="21"/>
    </row>
    <row r="4107" spans="1:12">
      <c r="A4107" s="8"/>
      <c r="B4107" s="9"/>
      <c r="C4107" s="13"/>
      <c r="D4107" s="10"/>
      <c r="E4107" s="19"/>
      <c r="F4107" s="19"/>
      <c r="G4107" s="12"/>
      <c r="H4107" s="9"/>
      <c r="I4107" s="10"/>
      <c r="J4107" s="5"/>
      <c r="K4107" s="12"/>
      <c r="L4107" s="21"/>
    </row>
    <row r="4108" spans="1:12">
      <c r="A4108" s="8"/>
      <c r="B4108" s="9"/>
      <c r="C4108" s="13"/>
      <c r="D4108" s="10"/>
      <c r="E4108" s="19"/>
      <c r="F4108" s="19"/>
      <c r="G4108" s="12"/>
      <c r="H4108" s="9"/>
      <c r="I4108" s="10"/>
      <c r="J4108" s="5"/>
      <c r="K4108" s="12"/>
      <c r="L4108" s="21"/>
    </row>
    <row r="4109" spans="1:12">
      <c r="A4109" s="8"/>
      <c r="B4109" s="9"/>
      <c r="C4109" s="13"/>
      <c r="D4109" s="10"/>
      <c r="E4109" s="19"/>
      <c r="F4109" s="19"/>
      <c r="G4109" s="12"/>
      <c r="H4109" s="9"/>
      <c r="I4109" s="10"/>
      <c r="J4109" s="5"/>
      <c r="K4109" s="12"/>
      <c r="L4109" s="21"/>
    </row>
    <row r="4110" spans="1:12">
      <c r="A4110" s="8"/>
      <c r="B4110" s="9"/>
      <c r="C4110" s="13"/>
      <c r="D4110" s="10"/>
      <c r="E4110" s="19"/>
      <c r="F4110" s="19"/>
      <c r="G4110" s="12"/>
      <c r="H4110" s="9"/>
      <c r="I4110" s="10"/>
      <c r="J4110" s="5"/>
      <c r="K4110" s="12"/>
      <c r="L4110" s="21"/>
    </row>
    <row r="4111" spans="1:12">
      <c r="A4111" s="8"/>
      <c r="B4111" s="9"/>
      <c r="C4111" s="13"/>
      <c r="D4111" s="10"/>
      <c r="E4111" s="19"/>
      <c r="F4111" s="19"/>
      <c r="G4111" s="12"/>
      <c r="H4111" s="9"/>
      <c r="I4111" s="10"/>
      <c r="J4111" s="5"/>
      <c r="K4111" s="12"/>
      <c r="L4111" s="21"/>
    </row>
    <row r="4112" spans="1:12">
      <c r="A4112" s="8"/>
      <c r="B4112" s="9"/>
      <c r="C4112" s="13"/>
      <c r="D4112" s="10"/>
      <c r="E4112" s="19"/>
      <c r="F4112" s="19"/>
      <c r="G4112" s="12"/>
      <c r="H4112" s="9"/>
      <c r="I4112" s="10"/>
      <c r="J4112" s="5"/>
      <c r="K4112" s="12"/>
      <c r="L4112" s="21"/>
    </row>
    <row r="4113" spans="1:12">
      <c r="A4113" s="8"/>
      <c r="B4113" s="9"/>
      <c r="C4113" s="10"/>
      <c r="D4113" s="10"/>
      <c r="E4113" s="11"/>
      <c r="F4113" s="11"/>
      <c r="G4113" s="12"/>
      <c r="H4113" s="12"/>
      <c r="I4113" s="10"/>
      <c r="J4113" s="5"/>
      <c r="K4113" s="12"/>
      <c r="L4113" s="15"/>
    </row>
    <row r="4114" spans="1:12">
      <c r="A4114" s="8"/>
      <c r="B4114" s="9"/>
      <c r="C4114" s="10"/>
      <c r="D4114" s="10"/>
      <c r="E4114" s="11"/>
      <c r="F4114" s="11"/>
      <c r="G4114" s="12"/>
      <c r="H4114" s="12"/>
      <c r="I4114" s="10"/>
      <c r="J4114" s="5"/>
      <c r="K4114" s="12"/>
      <c r="L4114" s="15"/>
    </row>
    <row r="4115" spans="1:12">
      <c r="A4115" s="8"/>
      <c r="B4115" s="9"/>
      <c r="C4115" s="10"/>
      <c r="D4115" s="10"/>
      <c r="E4115" s="11"/>
      <c r="F4115" s="11"/>
      <c r="G4115" s="12"/>
      <c r="H4115" s="12"/>
      <c r="I4115" s="10"/>
      <c r="J4115" s="5"/>
      <c r="K4115" s="12"/>
      <c r="L4115" s="15"/>
    </row>
    <row r="4116" spans="1:12">
      <c r="A4116" s="8"/>
      <c r="B4116" s="9"/>
      <c r="C4116" s="10"/>
      <c r="D4116" s="10"/>
      <c r="E4116" s="19"/>
      <c r="F4116" s="19"/>
      <c r="G4116" s="12"/>
      <c r="H4116" s="9"/>
      <c r="I4116" s="10"/>
      <c r="J4116" s="5"/>
      <c r="K4116" s="12"/>
      <c r="L4116" s="15"/>
    </row>
    <row r="4117" spans="1:12">
      <c r="A4117" s="8"/>
      <c r="B4117" s="9"/>
      <c r="C4117" s="10"/>
      <c r="D4117" s="10"/>
      <c r="E4117" s="19"/>
      <c r="F4117" s="19"/>
      <c r="G4117" s="12"/>
      <c r="H4117" s="12"/>
      <c r="I4117" s="10"/>
      <c r="J4117" s="5"/>
      <c r="K4117" s="9"/>
      <c r="L4117" s="15"/>
    </row>
    <row r="4118" spans="1:12">
      <c r="A4118" s="8"/>
      <c r="B4118" s="9"/>
      <c r="C4118" s="10"/>
      <c r="D4118" s="10"/>
      <c r="E4118" s="11"/>
      <c r="F4118" s="11"/>
      <c r="G4118" s="12"/>
      <c r="H4118" s="12"/>
      <c r="I4118" s="10"/>
      <c r="J4118" s="5"/>
      <c r="K4118" s="10"/>
      <c r="L4118" s="15"/>
    </row>
    <row r="4119" spans="1:12">
      <c r="A4119" s="8"/>
      <c r="B4119" s="9"/>
      <c r="C4119" s="10"/>
      <c r="D4119" s="10"/>
      <c r="E4119" s="11"/>
      <c r="F4119" s="11"/>
      <c r="G4119" s="12"/>
      <c r="H4119" s="12"/>
      <c r="I4119" s="10"/>
      <c r="J4119" s="5"/>
      <c r="K4119" s="10"/>
      <c r="L4119" s="15"/>
    </row>
    <row r="4120" spans="1:12">
      <c r="A4120" s="8"/>
      <c r="B4120" s="9"/>
      <c r="C4120" s="10"/>
      <c r="D4120" s="10"/>
      <c r="E4120" s="11"/>
      <c r="F4120" s="11"/>
      <c r="G4120" s="12"/>
      <c r="H4120" s="12"/>
      <c r="I4120" s="10"/>
      <c r="J4120" s="5"/>
      <c r="K4120" s="12"/>
      <c r="L4120" s="15"/>
    </row>
    <row r="4121" spans="1:12">
      <c r="A4121" s="8"/>
      <c r="B4121" s="9"/>
      <c r="C4121" s="10"/>
      <c r="D4121" s="10"/>
      <c r="E4121" s="19"/>
      <c r="F4121" s="11"/>
      <c r="G4121" s="12"/>
      <c r="H4121" s="12"/>
      <c r="I4121" s="10"/>
      <c r="J4121" s="5"/>
      <c r="K4121" s="12"/>
      <c r="L4121" s="15"/>
    </row>
    <row r="4122" spans="1:12">
      <c r="A4122" s="8"/>
      <c r="B4122" s="9"/>
      <c r="C4122" s="10"/>
      <c r="D4122" s="10"/>
      <c r="E4122" s="11"/>
      <c r="F4122" s="11"/>
      <c r="G4122" s="12"/>
      <c r="H4122" s="12"/>
      <c r="I4122" s="10"/>
      <c r="J4122" s="5"/>
      <c r="K4122" s="12"/>
      <c r="L4122" s="15"/>
    </row>
    <row r="4123" spans="1:12">
      <c r="A4123" s="8"/>
      <c r="B4123" s="9"/>
      <c r="C4123" s="10"/>
      <c r="D4123" s="10"/>
      <c r="E4123" s="11"/>
      <c r="F4123" s="11"/>
      <c r="G4123" s="12"/>
      <c r="H4123" s="12"/>
      <c r="I4123" s="10"/>
      <c r="J4123" s="5"/>
      <c r="K4123" s="12"/>
      <c r="L4123" s="15"/>
    </row>
    <row r="4124" spans="1:12">
      <c r="A4124" s="8"/>
      <c r="B4124" s="9"/>
      <c r="C4124" s="10"/>
      <c r="D4124" s="10"/>
      <c r="E4124" s="11"/>
      <c r="F4124" s="11"/>
      <c r="G4124" s="12"/>
      <c r="H4124" s="12"/>
      <c r="I4124" s="10"/>
      <c r="J4124" s="5"/>
      <c r="K4124" s="12"/>
      <c r="L4124" s="15"/>
    </row>
    <row r="4125" spans="1:12">
      <c r="A4125" s="8"/>
      <c r="B4125" s="9"/>
      <c r="C4125" s="10"/>
      <c r="D4125" s="10"/>
      <c r="E4125" s="19"/>
      <c r="F4125" s="19"/>
      <c r="G4125" s="12"/>
      <c r="H4125" s="12"/>
      <c r="I4125" s="10"/>
      <c r="J4125" s="5"/>
      <c r="K4125" s="12"/>
      <c r="L4125" s="15"/>
    </row>
    <row r="4126" spans="1:12">
      <c r="A4126" s="8"/>
      <c r="B4126" s="9"/>
      <c r="C4126" s="10"/>
      <c r="D4126" s="10"/>
      <c r="E4126" s="19"/>
      <c r="F4126" s="19"/>
      <c r="G4126" s="12"/>
      <c r="H4126" s="12"/>
      <c r="I4126" s="10"/>
      <c r="J4126" s="5"/>
      <c r="K4126" s="12"/>
      <c r="L4126" s="15"/>
    </row>
    <row r="4127" spans="1:12">
      <c r="A4127" s="8"/>
      <c r="B4127" s="9"/>
      <c r="C4127" s="10"/>
      <c r="D4127" s="10"/>
      <c r="E4127" s="32"/>
      <c r="F4127" s="32"/>
      <c r="G4127" s="12"/>
      <c r="H4127" s="10"/>
      <c r="I4127" s="10"/>
      <c r="J4127" s="5"/>
      <c r="K4127" s="12"/>
      <c r="L4127" s="15"/>
    </row>
    <row r="4128" spans="1:12">
      <c r="A4128" s="8"/>
      <c r="B4128" s="9"/>
      <c r="C4128" s="10"/>
      <c r="D4128" s="10"/>
      <c r="E4128" s="11"/>
      <c r="F4128" s="11"/>
      <c r="G4128" s="12"/>
      <c r="H4128" s="12"/>
      <c r="I4128" s="10"/>
      <c r="J4128" s="5"/>
      <c r="K4128" s="12"/>
      <c r="L4128" s="15"/>
    </row>
    <row r="4129" spans="1:12">
      <c r="A4129" s="8"/>
      <c r="B4129" s="9"/>
      <c r="C4129" s="10"/>
      <c r="D4129" s="10"/>
      <c r="E4129" s="11"/>
      <c r="F4129" s="11"/>
      <c r="G4129" s="12"/>
      <c r="H4129" s="12"/>
      <c r="I4129" s="10"/>
      <c r="J4129" s="5"/>
      <c r="K4129" s="12"/>
      <c r="L4129" s="15"/>
    </row>
    <row r="4130" spans="1:12">
      <c r="A4130" s="8"/>
      <c r="B4130" s="9"/>
      <c r="C4130" s="10"/>
      <c r="D4130" s="10"/>
      <c r="E4130" s="19"/>
      <c r="F4130" s="19"/>
      <c r="G4130" s="12"/>
      <c r="H4130" s="9"/>
      <c r="I4130" s="10"/>
      <c r="J4130" s="5"/>
      <c r="K4130" s="12"/>
      <c r="L4130" s="15"/>
    </row>
    <row r="4131" spans="1:12">
      <c r="A4131" s="8"/>
      <c r="B4131" s="9"/>
      <c r="C4131" s="10"/>
      <c r="D4131" s="10"/>
      <c r="E4131" s="11"/>
      <c r="F4131" s="11"/>
      <c r="G4131" s="12"/>
      <c r="H4131" s="12"/>
      <c r="I4131" s="10"/>
      <c r="J4131" s="5"/>
      <c r="K4131" s="12"/>
      <c r="L4131" s="15"/>
    </row>
    <row r="4132" spans="1:12">
      <c r="A4132" s="8"/>
      <c r="B4132" s="9"/>
      <c r="C4132" s="10"/>
      <c r="D4132" s="10"/>
      <c r="E4132" s="11"/>
      <c r="F4132" s="11"/>
      <c r="G4132" s="12"/>
      <c r="H4132" s="12"/>
      <c r="I4132" s="10"/>
      <c r="J4132" s="5"/>
      <c r="K4132" s="12"/>
      <c r="L4132" s="15"/>
    </row>
    <row r="4133" spans="1:12">
      <c r="A4133" s="8"/>
      <c r="B4133" s="9"/>
      <c r="C4133" s="10"/>
      <c r="D4133" s="10"/>
      <c r="E4133" s="11"/>
      <c r="F4133" s="11"/>
      <c r="G4133" s="12"/>
      <c r="H4133" s="12"/>
      <c r="I4133" s="10"/>
      <c r="J4133" s="5"/>
      <c r="K4133" s="12"/>
      <c r="L4133" s="15"/>
    </row>
    <row r="4134" spans="1:12">
      <c r="A4134" s="8"/>
      <c r="B4134" s="9"/>
      <c r="C4134" s="10"/>
      <c r="D4134" s="10"/>
      <c r="E4134" s="11"/>
      <c r="F4134" s="11"/>
      <c r="G4134" s="12"/>
      <c r="H4134" s="12"/>
      <c r="I4134" s="10"/>
      <c r="J4134" s="5"/>
      <c r="K4134" s="12"/>
      <c r="L4134" s="15"/>
    </row>
    <row r="4135" spans="1:12">
      <c r="A4135" s="8"/>
      <c r="B4135" s="9"/>
      <c r="C4135" s="10"/>
      <c r="D4135" s="10"/>
      <c r="E4135" s="11"/>
      <c r="F4135" s="11"/>
      <c r="G4135" s="12"/>
      <c r="H4135" s="12"/>
      <c r="I4135" s="10"/>
      <c r="J4135" s="5"/>
      <c r="K4135" s="12"/>
      <c r="L4135" s="15"/>
    </row>
    <row r="4136" spans="1:12">
      <c r="A4136" s="8"/>
      <c r="B4136" s="9"/>
      <c r="C4136" s="10"/>
      <c r="D4136" s="10"/>
      <c r="E4136" s="11"/>
      <c r="F4136" s="11"/>
      <c r="G4136" s="12"/>
      <c r="H4136" s="12"/>
      <c r="I4136" s="10"/>
      <c r="J4136" s="5"/>
      <c r="K4136" s="12"/>
      <c r="L4136" s="15"/>
    </row>
    <row r="4137" spans="1:12">
      <c r="A4137" s="8"/>
      <c r="B4137" s="9"/>
      <c r="C4137" s="10"/>
      <c r="D4137" s="10"/>
      <c r="E4137" s="11"/>
      <c r="F4137" s="11"/>
      <c r="G4137" s="12"/>
      <c r="H4137" s="12"/>
      <c r="I4137" s="10"/>
      <c r="J4137" s="5"/>
      <c r="K4137" s="12"/>
      <c r="L4137" s="15"/>
    </row>
    <row r="4138" spans="1:12">
      <c r="A4138" s="8"/>
      <c r="B4138" s="9"/>
      <c r="C4138" s="10"/>
      <c r="D4138" s="10"/>
      <c r="E4138" s="11"/>
      <c r="F4138" s="11"/>
      <c r="G4138" s="12"/>
      <c r="H4138" s="12"/>
      <c r="I4138" s="10"/>
      <c r="J4138" s="5"/>
      <c r="K4138" s="9"/>
      <c r="L4138" s="15"/>
    </row>
    <row r="4139" spans="1:12">
      <c r="A4139" s="8"/>
      <c r="B4139" s="9"/>
      <c r="C4139" s="10"/>
      <c r="D4139" s="10"/>
      <c r="E4139" s="11"/>
      <c r="F4139" s="11"/>
      <c r="G4139" s="12"/>
      <c r="H4139" s="12"/>
      <c r="I4139" s="10"/>
      <c r="J4139" s="5"/>
      <c r="K4139" s="9"/>
      <c r="L4139" s="15"/>
    </row>
    <row r="4140" spans="1:12">
      <c r="A4140" s="8"/>
      <c r="B4140" s="9"/>
      <c r="C4140" s="10"/>
      <c r="D4140" s="10"/>
      <c r="E4140" s="11"/>
      <c r="F4140" s="11"/>
      <c r="G4140" s="12"/>
      <c r="H4140" s="12"/>
      <c r="I4140" s="10"/>
      <c r="J4140" s="5"/>
      <c r="K4140" s="12"/>
      <c r="L4140" s="15"/>
    </row>
    <row r="4141" spans="1:12">
      <c r="A4141" s="8"/>
      <c r="B4141" s="9"/>
      <c r="C4141" s="10"/>
      <c r="D4141" s="10"/>
      <c r="E4141" s="11"/>
      <c r="F4141" s="11"/>
      <c r="G4141" s="12"/>
      <c r="H4141" s="12"/>
      <c r="I4141" s="10"/>
      <c r="J4141" s="5"/>
      <c r="K4141" s="12"/>
      <c r="L4141" s="15"/>
    </row>
    <row r="4142" spans="1:12">
      <c r="A4142" s="8"/>
      <c r="B4142" s="9"/>
      <c r="C4142" s="10"/>
      <c r="D4142" s="10"/>
      <c r="E4142" s="11"/>
      <c r="F4142" s="11"/>
      <c r="G4142" s="12"/>
      <c r="H4142" s="12"/>
      <c r="I4142" s="10"/>
      <c r="J4142" s="5"/>
      <c r="K4142" s="12"/>
      <c r="L4142" s="15"/>
    </row>
    <row r="4143" spans="1:12">
      <c r="A4143" s="8"/>
      <c r="B4143" s="9"/>
      <c r="C4143" s="10"/>
      <c r="D4143" s="10"/>
      <c r="E4143" s="11"/>
      <c r="F4143" s="11"/>
      <c r="G4143" s="12"/>
      <c r="H4143" s="12"/>
      <c r="I4143" s="10"/>
      <c r="J4143" s="5"/>
      <c r="K4143" s="9"/>
      <c r="L4143" s="15"/>
    </row>
    <row r="4144" spans="1:12">
      <c r="A4144" s="8"/>
      <c r="B4144" s="9"/>
      <c r="C4144" s="10"/>
      <c r="D4144" s="10"/>
      <c r="E4144" s="11"/>
      <c r="F4144" s="11"/>
      <c r="G4144" s="12"/>
      <c r="H4144" s="12"/>
      <c r="I4144" s="10"/>
      <c r="J4144" s="5"/>
      <c r="K4144" s="9"/>
      <c r="L4144" s="15"/>
    </row>
    <row r="4145" spans="1:12">
      <c r="A4145" s="8"/>
      <c r="B4145" s="9"/>
      <c r="C4145" s="10"/>
      <c r="D4145" s="10"/>
      <c r="E4145" s="11"/>
      <c r="F4145" s="11"/>
      <c r="G4145" s="12"/>
      <c r="H4145" s="12"/>
      <c r="I4145" s="10"/>
      <c r="J4145" s="5"/>
      <c r="K4145" s="9"/>
      <c r="L4145" s="15"/>
    </row>
    <row r="4146" spans="1:12">
      <c r="A4146" s="8"/>
      <c r="B4146" s="9"/>
      <c r="C4146" s="10"/>
      <c r="D4146" s="10"/>
      <c r="E4146" s="11"/>
      <c r="F4146" s="11"/>
      <c r="G4146" s="12"/>
      <c r="H4146" s="12"/>
      <c r="I4146" s="10"/>
      <c r="J4146" s="5"/>
      <c r="K4146" s="9"/>
      <c r="L4146" s="15"/>
    </row>
    <row r="4147" spans="1:12">
      <c r="A4147" s="8"/>
      <c r="B4147" s="9"/>
      <c r="C4147" s="10"/>
      <c r="D4147" s="10"/>
      <c r="E4147" s="11"/>
      <c r="F4147" s="11"/>
      <c r="G4147" s="12"/>
      <c r="H4147" s="12"/>
      <c r="I4147" s="10"/>
      <c r="J4147" s="5"/>
      <c r="K4147" s="9"/>
      <c r="L4147" s="15"/>
    </row>
    <row r="4148" spans="1:12">
      <c r="A4148" s="8"/>
      <c r="B4148" s="9"/>
      <c r="C4148" s="10"/>
      <c r="D4148" s="10"/>
      <c r="E4148" s="22"/>
      <c r="F4148" s="22"/>
      <c r="G4148" s="12"/>
      <c r="H4148" s="10"/>
      <c r="I4148" s="10"/>
      <c r="J4148" s="5"/>
      <c r="K4148" s="9"/>
      <c r="L4148" s="23"/>
    </row>
    <row r="4149" spans="1:12">
      <c r="A4149" s="8"/>
      <c r="B4149" s="9"/>
      <c r="C4149" s="10"/>
      <c r="D4149" s="10"/>
      <c r="E4149" s="11"/>
      <c r="F4149" s="11"/>
      <c r="G4149" s="12"/>
      <c r="H4149" s="12"/>
      <c r="I4149" s="10"/>
      <c r="J4149" s="5"/>
      <c r="K4149" s="9"/>
      <c r="L4149" s="15"/>
    </row>
    <row r="4150" spans="1:12">
      <c r="A4150" s="8"/>
      <c r="B4150" s="9"/>
      <c r="C4150" s="10"/>
      <c r="D4150" s="10"/>
      <c r="E4150" s="11"/>
      <c r="F4150" s="11"/>
      <c r="G4150" s="12"/>
      <c r="H4150" s="12"/>
      <c r="I4150" s="10"/>
      <c r="J4150" s="5"/>
      <c r="K4150" s="9"/>
      <c r="L4150" s="15"/>
    </row>
    <row r="4151" spans="1:12">
      <c r="A4151" s="8"/>
      <c r="B4151" s="9"/>
      <c r="C4151" s="10"/>
      <c r="D4151" s="10"/>
      <c r="E4151" s="11"/>
      <c r="F4151" s="11"/>
      <c r="G4151" s="12"/>
      <c r="H4151" s="12"/>
      <c r="I4151" s="10"/>
      <c r="J4151" s="5"/>
      <c r="K4151" s="12"/>
      <c r="L4151" s="15"/>
    </row>
    <row r="4152" spans="1:12">
      <c r="A4152" s="8"/>
      <c r="B4152" s="9"/>
      <c r="C4152" s="10"/>
      <c r="D4152" s="10"/>
      <c r="E4152" s="11"/>
      <c r="F4152" s="11"/>
      <c r="G4152" s="12"/>
      <c r="H4152" s="12"/>
      <c r="I4152" s="10"/>
      <c r="J4152" s="5"/>
      <c r="K4152" s="9"/>
      <c r="L4152" s="15"/>
    </row>
    <row r="4153" spans="1:12">
      <c r="A4153" s="8"/>
      <c r="B4153" s="9"/>
      <c r="C4153" s="10"/>
      <c r="D4153" s="10"/>
      <c r="E4153" s="11"/>
      <c r="F4153" s="11"/>
      <c r="G4153" s="12"/>
      <c r="H4153" s="12"/>
      <c r="I4153" s="10"/>
      <c r="J4153" s="5"/>
      <c r="K4153" s="9"/>
      <c r="L4153" s="15"/>
    </row>
    <row r="4154" spans="1:12">
      <c r="A4154" s="8"/>
      <c r="B4154" s="9"/>
      <c r="C4154" s="10"/>
      <c r="D4154" s="10"/>
      <c r="E4154" s="11"/>
      <c r="F4154" s="11"/>
      <c r="G4154" s="12"/>
      <c r="H4154" s="12"/>
      <c r="I4154" s="10"/>
      <c r="J4154" s="5"/>
      <c r="K4154" s="9"/>
      <c r="L4154" s="15"/>
    </row>
    <row r="4155" spans="1:12">
      <c r="A4155" s="8"/>
      <c r="B4155" s="9"/>
      <c r="C4155" s="10"/>
      <c r="D4155" s="10"/>
      <c r="E4155" s="11"/>
      <c r="F4155" s="11"/>
      <c r="G4155" s="12"/>
      <c r="H4155" s="12"/>
      <c r="I4155" s="10"/>
      <c r="J4155" s="5"/>
      <c r="K4155" s="12"/>
      <c r="L4155" s="15"/>
    </row>
    <row r="4156" spans="1:12">
      <c r="A4156" s="8"/>
      <c r="B4156" s="9"/>
      <c r="C4156" s="10"/>
      <c r="D4156" s="10"/>
      <c r="E4156" s="11"/>
      <c r="F4156" s="11"/>
      <c r="G4156" s="12"/>
      <c r="H4156" s="12"/>
      <c r="I4156" s="10"/>
      <c r="J4156" s="5"/>
      <c r="K4156" s="12"/>
      <c r="L4156" s="15"/>
    </row>
    <row r="4157" spans="1:12">
      <c r="A4157" s="8"/>
      <c r="B4157" s="9"/>
      <c r="C4157" s="10"/>
      <c r="D4157" s="10"/>
      <c r="E4157" s="11"/>
      <c r="F4157" s="11"/>
      <c r="G4157" s="12"/>
      <c r="H4157" s="10"/>
      <c r="I4157" s="10"/>
      <c r="J4157" s="5"/>
      <c r="K4157" s="12"/>
      <c r="L4157" s="15"/>
    </row>
    <row r="4158" spans="1:12">
      <c r="A4158" s="8"/>
      <c r="B4158" s="9"/>
      <c r="C4158" s="10"/>
      <c r="D4158" s="10"/>
      <c r="E4158" s="11"/>
      <c r="F4158" s="11"/>
      <c r="G4158" s="12"/>
      <c r="H4158" s="10"/>
      <c r="I4158" s="10"/>
      <c r="J4158" s="5"/>
      <c r="K4158" s="12"/>
      <c r="L4158" s="15"/>
    </row>
    <row r="4159" spans="1:12">
      <c r="A4159" s="8"/>
      <c r="B4159" s="9"/>
      <c r="C4159" s="10"/>
      <c r="D4159" s="10"/>
      <c r="E4159" s="11"/>
      <c r="F4159" s="11"/>
      <c r="G4159" s="12"/>
      <c r="H4159" s="12"/>
      <c r="I4159" s="10"/>
      <c r="J4159" s="5"/>
      <c r="K4159" s="9"/>
      <c r="L4159" s="15"/>
    </row>
    <row r="4160" spans="1:12">
      <c r="A4160" s="8"/>
      <c r="B4160" s="9"/>
      <c r="C4160" s="10"/>
      <c r="D4160" s="10"/>
      <c r="E4160" s="11"/>
      <c r="F4160" s="11"/>
      <c r="G4160" s="12"/>
      <c r="H4160" s="12"/>
      <c r="I4160" s="10"/>
      <c r="J4160" s="5"/>
      <c r="K4160" s="12"/>
      <c r="L4160" s="15"/>
    </row>
    <row r="4161" spans="1:12">
      <c r="A4161" s="8"/>
      <c r="B4161" s="9"/>
      <c r="C4161" s="10"/>
      <c r="D4161" s="10"/>
      <c r="E4161" s="11"/>
      <c r="F4161" s="11"/>
      <c r="G4161" s="12"/>
      <c r="H4161" s="12"/>
      <c r="I4161" s="10"/>
      <c r="J4161" s="5"/>
      <c r="K4161" s="12"/>
      <c r="L4161" s="15"/>
    </row>
    <row r="4162" spans="1:12">
      <c r="A4162" s="8"/>
      <c r="B4162" s="9"/>
      <c r="C4162" s="10"/>
      <c r="D4162" s="10"/>
      <c r="E4162" s="11"/>
      <c r="F4162" s="11"/>
      <c r="G4162" s="12"/>
      <c r="H4162" s="12"/>
      <c r="I4162" s="10"/>
      <c r="J4162" s="5"/>
      <c r="K4162" s="12"/>
      <c r="L4162" s="15"/>
    </row>
    <row r="4163" spans="1:12">
      <c r="A4163" s="8"/>
      <c r="B4163" s="9"/>
      <c r="C4163" s="10"/>
      <c r="D4163" s="10"/>
      <c r="E4163" s="11"/>
      <c r="F4163" s="11"/>
      <c r="G4163" s="12"/>
      <c r="H4163" s="12"/>
      <c r="I4163" s="10"/>
      <c r="J4163" s="5"/>
      <c r="K4163" s="9"/>
      <c r="L4163" s="15"/>
    </row>
    <row r="4164" spans="1:12">
      <c r="A4164" s="8"/>
      <c r="B4164" s="9"/>
      <c r="C4164" s="10"/>
      <c r="D4164" s="10"/>
      <c r="E4164" s="11"/>
      <c r="F4164" s="11"/>
      <c r="G4164" s="12"/>
      <c r="H4164" s="12"/>
      <c r="I4164" s="10"/>
      <c r="J4164" s="5"/>
      <c r="K4164" s="12"/>
      <c r="L4164" s="15"/>
    </row>
    <row r="4165" spans="1:12">
      <c r="A4165" s="8"/>
      <c r="B4165" s="9"/>
      <c r="C4165" s="10"/>
      <c r="D4165" s="10"/>
      <c r="E4165" s="11"/>
      <c r="F4165" s="11"/>
      <c r="G4165" s="12"/>
      <c r="H4165" s="12"/>
      <c r="I4165" s="10"/>
      <c r="J4165" s="5"/>
      <c r="K4165" s="12"/>
      <c r="L4165" s="15"/>
    </row>
    <row r="4166" spans="1:12">
      <c r="A4166" s="8"/>
      <c r="B4166" s="9"/>
      <c r="C4166" s="10"/>
      <c r="D4166" s="10"/>
      <c r="E4166" s="11"/>
      <c r="F4166" s="11"/>
      <c r="G4166" s="12"/>
      <c r="H4166" s="12"/>
      <c r="I4166" s="10"/>
      <c r="J4166" s="5"/>
      <c r="K4166" s="12"/>
      <c r="L4166" s="15"/>
    </row>
    <row r="4167" spans="1:12">
      <c r="A4167" s="8"/>
      <c r="B4167" s="9"/>
      <c r="C4167" s="10"/>
      <c r="D4167" s="10"/>
      <c r="E4167" s="11"/>
      <c r="F4167" s="11"/>
      <c r="G4167" s="12"/>
      <c r="H4167" s="12"/>
      <c r="I4167" s="10"/>
      <c r="J4167" s="5"/>
      <c r="K4167" s="12"/>
      <c r="L4167" s="15"/>
    </row>
    <row r="4168" spans="1:12">
      <c r="A4168" s="8"/>
      <c r="B4168" s="9"/>
      <c r="C4168" s="10"/>
      <c r="D4168" s="10"/>
      <c r="E4168" s="11"/>
      <c r="F4168" s="11"/>
      <c r="G4168" s="12"/>
      <c r="H4168" s="12"/>
      <c r="I4168" s="10"/>
      <c r="J4168" s="5"/>
      <c r="K4168" s="12"/>
      <c r="L4168" s="15"/>
    </row>
    <row r="4169" spans="1:12">
      <c r="A4169" s="8"/>
      <c r="B4169" s="9"/>
      <c r="C4169" s="10"/>
      <c r="D4169" s="10"/>
      <c r="E4169" s="11"/>
      <c r="F4169" s="11"/>
      <c r="G4169" s="12"/>
      <c r="H4169" s="12"/>
      <c r="I4169" s="10"/>
      <c r="J4169" s="5"/>
      <c r="K4169" s="12"/>
      <c r="L4169" s="15"/>
    </row>
    <row r="4170" spans="1:12">
      <c r="A4170" s="8"/>
      <c r="B4170" s="9"/>
      <c r="C4170" s="10"/>
      <c r="D4170" s="10"/>
      <c r="E4170" s="19"/>
      <c r="F4170" s="19"/>
      <c r="G4170" s="12"/>
      <c r="H4170" s="12"/>
      <c r="I4170" s="10"/>
      <c r="J4170" s="5"/>
      <c r="K4170" s="12"/>
      <c r="L4170" s="15"/>
    </row>
    <row r="4171" spans="1:12">
      <c r="A4171" s="8"/>
      <c r="B4171" s="9"/>
      <c r="C4171" s="10"/>
      <c r="D4171" s="10"/>
      <c r="E4171" s="19"/>
      <c r="F4171" s="19"/>
      <c r="G4171" s="12"/>
      <c r="H4171" s="33"/>
      <c r="I4171" s="10"/>
      <c r="J4171" s="5"/>
      <c r="K4171" s="12"/>
      <c r="L4171" s="15"/>
    </row>
    <row r="4172" spans="1:12">
      <c r="A4172" s="8"/>
      <c r="B4172" s="9"/>
      <c r="C4172" s="10"/>
      <c r="D4172" s="10"/>
      <c r="E4172" s="19"/>
      <c r="F4172" s="19"/>
      <c r="G4172" s="12"/>
      <c r="H4172" s="12"/>
      <c r="I4172" s="10"/>
      <c r="J4172" s="5"/>
      <c r="K4172" s="12"/>
      <c r="L4172" s="15"/>
    </row>
    <row r="4173" spans="1:12">
      <c r="A4173" s="8"/>
      <c r="B4173" s="9"/>
      <c r="C4173" s="10"/>
      <c r="D4173" s="10"/>
      <c r="E4173" s="19"/>
      <c r="F4173" s="19"/>
      <c r="G4173" s="12"/>
      <c r="H4173" s="12"/>
      <c r="I4173" s="10"/>
      <c r="J4173" s="5"/>
      <c r="K4173" s="12"/>
      <c r="L4173" s="15"/>
    </row>
    <row r="4174" spans="1:12">
      <c r="A4174" s="8"/>
      <c r="B4174" s="9"/>
      <c r="C4174" s="10"/>
      <c r="D4174" s="10"/>
      <c r="E4174" s="11"/>
      <c r="F4174" s="11"/>
      <c r="G4174" s="12"/>
      <c r="H4174" s="12"/>
      <c r="I4174" s="10"/>
      <c r="J4174" s="5"/>
      <c r="K4174" s="12"/>
      <c r="L4174" s="15"/>
    </row>
    <row r="4175" spans="1:12">
      <c r="A4175" s="8"/>
      <c r="B4175" s="9"/>
      <c r="C4175" s="10"/>
      <c r="D4175" s="10"/>
      <c r="E4175" s="19"/>
      <c r="F4175" s="19"/>
      <c r="G4175" s="12"/>
      <c r="H4175" s="12"/>
      <c r="I4175" s="10"/>
      <c r="J4175" s="5"/>
      <c r="K4175" s="12"/>
      <c r="L4175" s="15"/>
    </row>
    <row r="4176" spans="1:12">
      <c r="A4176" s="8"/>
      <c r="B4176" s="9"/>
      <c r="C4176" s="10"/>
      <c r="D4176" s="10"/>
      <c r="E4176" s="11"/>
      <c r="F4176" s="11"/>
      <c r="G4176" s="12"/>
      <c r="H4176" s="12"/>
      <c r="I4176" s="10"/>
      <c r="J4176" s="5"/>
      <c r="K4176" s="12"/>
      <c r="L4176" s="15"/>
    </row>
    <row r="4177" spans="1:12">
      <c r="A4177" s="8"/>
      <c r="B4177" s="9"/>
      <c r="C4177" s="10"/>
      <c r="D4177" s="10"/>
      <c r="E4177" s="11"/>
      <c r="F4177" s="11"/>
      <c r="G4177" s="12"/>
      <c r="H4177" s="12"/>
      <c r="I4177" s="10"/>
      <c r="J4177" s="5"/>
      <c r="K4177" s="12"/>
      <c r="L4177" s="15"/>
    </row>
    <row r="4178" spans="1:12">
      <c r="A4178" s="8"/>
      <c r="B4178" s="9"/>
      <c r="C4178" s="10"/>
      <c r="D4178" s="10"/>
      <c r="E4178" s="11"/>
      <c r="F4178" s="11"/>
      <c r="G4178" s="12"/>
      <c r="H4178" s="12"/>
      <c r="I4178" s="10"/>
      <c r="J4178" s="5"/>
      <c r="K4178" s="12"/>
      <c r="L4178" s="15"/>
    </row>
    <row r="4179" spans="1:12">
      <c r="A4179" s="8"/>
      <c r="B4179" s="9"/>
      <c r="C4179" s="10"/>
      <c r="D4179" s="10"/>
      <c r="E4179" s="11"/>
      <c r="F4179" s="11"/>
      <c r="G4179" s="12"/>
      <c r="H4179" s="12"/>
      <c r="I4179" s="10"/>
      <c r="J4179" s="5"/>
      <c r="K4179" s="12"/>
      <c r="L4179" s="15"/>
    </row>
    <row r="4180" spans="1:12">
      <c r="A4180" s="8"/>
      <c r="B4180" s="9"/>
      <c r="C4180" s="10"/>
      <c r="D4180" s="10"/>
      <c r="E4180" s="11"/>
      <c r="F4180" s="11"/>
      <c r="G4180" s="12"/>
      <c r="H4180" s="12"/>
      <c r="I4180" s="10"/>
      <c r="J4180" s="5"/>
      <c r="K4180" s="12"/>
      <c r="L4180" s="15"/>
    </row>
    <row r="4181" spans="1:12">
      <c r="A4181" s="8"/>
      <c r="B4181" s="9"/>
      <c r="C4181" s="10"/>
      <c r="D4181" s="10"/>
      <c r="E4181" s="11"/>
      <c r="F4181" s="11"/>
      <c r="G4181" s="12"/>
      <c r="H4181" s="12"/>
      <c r="I4181" s="10"/>
      <c r="J4181" s="5"/>
      <c r="K4181" s="12"/>
      <c r="L4181" s="15"/>
    </row>
    <row r="4182" spans="1:12">
      <c r="A4182" s="8"/>
      <c r="B4182" s="9"/>
      <c r="C4182" s="10"/>
      <c r="D4182" s="10"/>
      <c r="E4182" s="19"/>
      <c r="F4182" s="19"/>
      <c r="G4182" s="12"/>
      <c r="H4182" s="12"/>
      <c r="I4182" s="10"/>
      <c r="J4182" s="5"/>
      <c r="K4182" s="12"/>
      <c r="L4182" s="15"/>
    </row>
    <row r="4183" spans="1:12">
      <c r="A4183" s="8"/>
      <c r="B4183" s="9"/>
      <c r="C4183" s="10"/>
      <c r="D4183" s="10"/>
      <c r="E4183" s="11"/>
      <c r="F4183" s="11"/>
      <c r="G4183" s="12"/>
      <c r="H4183" s="12"/>
      <c r="I4183" s="10"/>
      <c r="J4183" s="5"/>
      <c r="K4183" s="12"/>
      <c r="L4183" s="15"/>
    </row>
    <row r="4184" spans="1:12">
      <c r="A4184" s="8"/>
      <c r="B4184" s="9"/>
      <c r="C4184" s="10"/>
      <c r="D4184" s="10"/>
      <c r="E4184" s="11"/>
      <c r="F4184" s="11"/>
      <c r="G4184" s="12"/>
      <c r="H4184" s="12"/>
      <c r="I4184" s="10"/>
      <c r="J4184" s="5"/>
      <c r="K4184" s="12"/>
      <c r="L4184" s="15"/>
    </row>
    <row r="4185" spans="1:12">
      <c r="A4185" s="8"/>
      <c r="B4185" s="9"/>
      <c r="C4185" s="10"/>
      <c r="D4185" s="10"/>
      <c r="E4185" s="11"/>
      <c r="F4185" s="11"/>
      <c r="G4185" s="12"/>
      <c r="H4185" s="12"/>
      <c r="I4185" s="10"/>
      <c r="J4185" s="5"/>
      <c r="K4185" s="12"/>
      <c r="L4185" s="15"/>
    </row>
    <row r="4186" spans="1:12">
      <c r="A4186" s="8"/>
      <c r="B4186" s="9"/>
      <c r="C4186" s="10"/>
      <c r="D4186" s="10"/>
      <c r="E4186" s="11"/>
      <c r="F4186" s="11"/>
      <c r="G4186" s="12"/>
      <c r="H4186" s="12"/>
      <c r="I4186" s="10"/>
      <c r="J4186" s="5"/>
      <c r="K4186" s="12"/>
      <c r="L4186" s="15"/>
    </row>
    <row r="4187" spans="1:12">
      <c r="A4187" s="8"/>
      <c r="B4187" s="9"/>
      <c r="C4187" s="10"/>
      <c r="D4187" s="10"/>
      <c r="E4187" s="11"/>
      <c r="F4187" s="11"/>
      <c r="G4187" s="12"/>
      <c r="H4187" s="12"/>
      <c r="I4187" s="10"/>
      <c r="J4187" s="5"/>
      <c r="K4187" s="12"/>
      <c r="L4187" s="15"/>
    </row>
    <row r="4188" spans="1:12">
      <c r="A4188" s="8"/>
      <c r="B4188" s="9"/>
      <c r="C4188" s="10"/>
      <c r="D4188" s="10"/>
      <c r="E4188" s="11"/>
      <c r="F4188" s="11"/>
      <c r="G4188" s="12"/>
      <c r="H4188" s="12"/>
      <c r="I4188" s="10"/>
      <c r="J4188" s="5"/>
      <c r="K4188" s="12"/>
      <c r="L4188" s="15"/>
    </row>
    <row r="4189" spans="1:12">
      <c r="A4189" s="8"/>
      <c r="B4189" s="9"/>
      <c r="C4189" s="10"/>
      <c r="D4189" s="10"/>
      <c r="E4189" s="11"/>
      <c r="F4189" s="11"/>
      <c r="G4189" s="12"/>
      <c r="H4189" s="12"/>
      <c r="I4189" s="10"/>
      <c r="J4189" s="5"/>
      <c r="K4189" s="12"/>
      <c r="L4189" s="15"/>
    </row>
    <row r="4190" spans="1:12">
      <c r="A4190" s="8"/>
      <c r="B4190" s="9"/>
      <c r="C4190" s="10"/>
      <c r="D4190" s="10"/>
      <c r="E4190" s="11"/>
      <c r="F4190" s="11"/>
      <c r="G4190" s="12"/>
      <c r="H4190" s="12"/>
      <c r="I4190" s="10"/>
      <c r="J4190" s="5"/>
      <c r="K4190" s="12"/>
      <c r="L4190" s="15"/>
    </row>
    <row r="4191" spans="1:12">
      <c r="A4191" s="8"/>
      <c r="B4191" s="9"/>
      <c r="C4191" s="10"/>
      <c r="D4191" s="10"/>
      <c r="E4191" s="22"/>
      <c r="F4191" s="22"/>
      <c r="G4191" s="12"/>
      <c r="H4191" s="10"/>
      <c r="I4191" s="10"/>
      <c r="J4191" s="5"/>
      <c r="K4191" s="12"/>
      <c r="L4191" s="23"/>
    </row>
    <row r="4192" spans="1:12">
      <c r="A4192" s="8"/>
      <c r="B4192" s="9"/>
      <c r="C4192" s="10"/>
      <c r="D4192" s="10"/>
      <c r="E4192" s="11"/>
      <c r="F4192" s="11"/>
      <c r="G4192" s="12"/>
      <c r="H4192" s="12"/>
      <c r="I4192" s="10"/>
      <c r="J4192" s="5"/>
      <c r="K4192" s="12"/>
      <c r="L4192" s="15"/>
    </row>
    <row r="4193" spans="1:12">
      <c r="A4193" s="8"/>
      <c r="B4193" s="9"/>
      <c r="C4193" s="10"/>
      <c r="D4193" s="10"/>
      <c r="E4193" s="11"/>
      <c r="F4193" s="11"/>
      <c r="G4193" s="12"/>
      <c r="H4193" s="12"/>
      <c r="I4193" s="10"/>
      <c r="J4193" s="5"/>
      <c r="K4193" s="12"/>
      <c r="L4193" s="15"/>
    </row>
    <row r="4194" spans="1:12">
      <c r="A4194" s="8"/>
      <c r="B4194" s="9"/>
      <c r="C4194" s="10"/>
      <c r="D4194" s="10"/>
      <c r="E4194" s="11"/>
      <c r="F4194" s="11"/>
      <c r="G4194" s="12"/>
      <c r="H4194" s="12"/>
      <c r="I4194" s="10"/>
      <c r="J4194" s="5"/>
      <c r="K4194" s="12"/>
      <c r="L4194" s="15"/>
    </row>
    <row r="4195" spans="1:12">
      <c r="A4195" s="8"/>
      <c r="B4195" s="9"/>
      <c r="C4195" s="10"/>
      <c r="D4195" s="10"/>
      <c r="E4195" s="11"/>
      <c r="F4195" s="11"/>
      <c r="G4195" s="12"/>
      <c r="H4195" s="12"/>
      <c r="I4195" s="10"/>
      <c r="J4195" s="5"/>
      <c r="K4195" s="12"/>
      <c r="L4195" s="15"/>
    </row>
    <row r="4196" spans="1:12">
      <c r="A4196" s="8"/>
      <c r="B4196" s="9"/>
      <c r="C4196" s="10"/>
      <c r="D4196" s="10"/>
      <c r="E4196" s="11"/>
      <c r="F4196" s="11"/>
      <c r="G4196" s="12"/>
      <c r="H4196" s="12"/>
      <c r="I4196" s="10"/>
      <c r="J4196" s="5"/>
      <c r="K4196" s="12"/>
      <c r="L4196" s="15"/>
    </row>
    <row r="4197" spans="1:12">
      <c r="A4197" s="8"/>
      <c r="B4197" s="9"/>
      <c r="C4197" s="10"/>
      <c r="D4197" s="10"/>
      <c r="E4197" s="11"/>
      <c r="F4197" s="11"/>
      <c r="G4197" s="12"/>
      <c r="H4197" s="12"/>
      <c r="I4197" s="10"/>
      <c r="J4197" s="5"/>
      <c r="K4197" s="12"/>
      <c r="L4197" s="15"/>
    </row>
    <row r="4198" spans="1:12">
      <c r="A4198" s="8"/>
      <c r="B4198" s="9"/>
      <c r="C4198" s="10"/>
      <c r="D4198" s="10"/>
      <c r="E4198" s="11"/>
      <c r="F4198" s="11"/>
      <c r="G4198" s="12"/>
      <c r="H4198" s="12"/>
      <c r="I4198" s="10"/>
      <c r="J4198" s="5"/>
      <c r="K4198" s="12"/>
      <c r="L4198" s="15"/>
    </row>
    <row r="4199" spans="1:12">
      <c r="A4199" s="8"/>
      <c r="B4199" s="9"/>
      <c r="C4199" s="10"/>
      <c r="D4199" s="10"/>
      <c r="E4199" s="11"/>
      <c r="F4199" s="11"/>
      <c r="G4199" s="12"/>
      <c r="H4199" s="12"/>
      <c r="I4199" s="10"/>
      <c r="J4199" s="5"/>
      <c r="K4199" s="12"/>
      <c r="L4199" s="15"/>
    </row>
    <row r="4200" spans="1:12">
      <c r="A4200" s="8"/>
      <c r="B4200" s="9"/>
      <c r="C4200" s="10"/>
      <c r="D4200" s="10"/>
      <c r="E4200" s="11"/>
      <c r="F4200" s="11"/>
      <c r="G4200" s="12"/>
      <c r="H4200" s="12"/>
      <c r="I4200" s="10"/>
      <c r="J4200" s="5"/>
      <c r="K4200" s="12"/>
      <c r="L4200" s="15"/>
    </row>
    <row r="4201" spans="1:12">
      <c r="A4201" s="8"/>
      <c r="B4201" s="9"/>
      <c r="C4201" s="10"/>
      <c r="D4201" s="10"/>
      <c r="E4201" s="11"/>
      <c r="F4201" s="11"/>
      <c r="G4201" s="12"/>
      <c r="H4201" s="12"/>
      <c r="I4201" s="10"/>
      <c r="J4201" s="5"/>
      <c r="K4201" s="12"/>
      <c r="L4201" s="15"/>
    </row>
    <row r="4202" spans="1:12">
      <c r="A4202" s="8"/>
      <c r="B4202" s="9"/>
      <c r="C4202" s="10"/>
      <c r="D4202" s="10"/>
      <c r="E4202" s="11"/>
      <c r="F4202" s="11"/>
      <c r="G4202" s="12"/>
      <c r="H4202" s="12"/>
      <c r="I4202" s="10"/>
      <c r="J4202" s="5"/>
      <c r="K4202" s="12"/>
      <c r="L4202" s="15"/>
    </row>
    <row r="4203" spans="1:12">
      <c r="A4203" s="8"/>
      <c r="B4203" s="9"/>
      <c r="C4203" s="10"/>
      <c r="D4203" s="10"/>
      <c r="E4203" s="11"/>
      <c r="F4203" s="11"/>
      <c r="G4203" s="12"/>
      <c r="H4203" s="12"/>
      <c r="I4203" s="10"/>
      <c r="J4203" s="5"/>
      <c r="K4203" s="12"/>
      <c r="L4203" s="15"/>
    </row>
    <row r="4204" spans="1:12">
      <c r="A4204" s="8"/>
      <c r="B4204" s="9"/>
      <c r="C4204" s="10"/>
      <c r="D4204" s="10"/>
      <c r="E4204" s="11"/>
      <c r="F4204" s="11"/>
      <c r="G4204" s="12"/>
      <c r="H4204" s="12"/>
      <c r="I4204" s="10"/>
      <c r="J4204" s="5"/>
      <c r="K4204" s="12"/>
      <c r="L4204" s="15"/>
    </row>
    <row r="4205" spans="1:12">
      <c r="A4205" s="8"/>
      <c r="B4205" s="9"/>
      <c r="C4205" s="10"/>
      <c r="D4205" s="10"/>
      <c r="E4205" s="11"/>
      <c r="F4205" s="11"/>
      <c r="G4205" s="12"/>
      <c r="H4205" s="12"/>
      <c r="I4205" s="10"/>
      <c r="J4205" s="5"/>
      <c r="K4205" s="12"/>
      <c r="L4205" s="15"/>
    </row>
    <row r="4206" spans="1:12">
      <c r="A4206" s="8"/>
      <c r="B4206" s="9"/>
      <c r="C4206" s="10"/>
      <c r="D4206" s="10"/>
      <c r="E4206" s="11"/>
      <c r="F4206" s="11"/>
      <c r="G4206" s="12"/>
      <c r="H4206" s="13"/>
      <c r="I4206" s="10"/>
      <c r="J4206" s="5"/>
      <c r="K4206" s="12"/>
      <c r="L4206" s="15"/>
    </row>
    <row r="4207" spans="1:12">
      <c r="A4207" s="8"/>
      <c r="B4207" s="9"/>
      <c r="C4207" s="10"/>
      <c r="D4207" s="10"/>
      <c r="E4207" s="11"/>
      <c r="F4207" s="11"/>
      <c r="G4207" s="12"/>
      <c r="H4207" s="12"/>
      <c r="I4207" s="10"/>
      <c r="J4207" s="5"/>
      <c r="K4207" s="12"/>
      <c r="L4207" s="15"/>
    </row>
    <row r="4208" spans="1:12">
      <c r="A4208" s="8"/>
      <c r="B4208" s="9"/>
      <c r="C4208" s="10"/>
      <c r="D4208" s="10"/>
      <c r="E4208" s="11"/>
      <c r="F4208" s="11"/>
      <c r="G4208" s="12"/>
      <c r="H4208" s="12"/>
      <c r="I4208" s="10"/>
      <c r="J4208" s="5"/>
      <c r="K4208" s="12"/>
      <c r="L4208" s="15"/>
    </row>
    <row r="4209" spans="1:12">
      <c r="A4209" s="8"/>
      <c r="B4209" s="9"/>
      <c r="C4209" s="10"/>
      <c r="D4209" s="10"/>
      <c r="E4209" s="11"/>
      <c r="F4209" s="11"/>
      <c r="G4209" s="12"/>
      <c r="H4209" s="12"/>
      <c r="I4209" s="10"/>
      <c r="J4209" s="5"/>
      <c r="K4209" s="12"/>
      <c r="L4209" s="15"/>
    </row>
    <row r="4210" spans="1:12">
      <c r="A4210" s="8"/>
      <c r="B4210" s="9"/>
      <c r="C4210" s="10"/>
      <c r="D4210" s="10"/>
      <c r="E4210" s="11"/>
      <c r="F4210" s="11"/>
      <c r="G4210" s="12"/>
      <c r="H4210" s="12"/>
      <c r="I4210" s="10"/>
      <c r="J4210" s="5"/>
      <c r="K4210" s="12"/>
      <c r="L4210" s="15"/>
    </row>
    <row r="4211" spans="1:12">
      <c r="A4211" s="8"/>
      <c r="B4211" s="9"/>
      <c r="C4211" s="10"/>
      <c r="D4211" s="10"/>
      <c r="E4211" s="11"/>
      <c r="F4211" s="11"/>
      <c r="G4211" s="12"/>
      <c r="H4211" s="12"/>
      <c r="I4211" s="10"/>
      <c r="J4211" s="5"/>
      <c r="K4211" s="12"/>
      <c r="L4211" s="15"/>
    </row>
    <row r="4212" spans="1:12">
      <c r="A4212" s="8"/>
      <c r="B4212" s="9"/>
      <c r="C4212" s="10"/>
      <c r="D4212" s="10"/>
      <c r="E4212" s="11"/>
      <c r="F4212" s="11"/>
      <c r="G4212" s="12"/>
      <c r="H4212" s="12"/>
      <c r="I4212" s="10"/>
      <c r="J4212" s="5"/>
      <c r="K4212" s="12"/>
      <c r="L4212" s="15"/>
    </row>
    <row r="4213" spans="1:12">
      <c r="A4213" s="8"/>
      <c r="B4213" s="9"/>
      <c r="C4213" s="10"/>
      <c r="D4213" s="10"/>
      <c r="E4213" s="19"/>
      <c r="F4213" s="19"/>
      <c r="G4213" s="12"/>
      <c r="H4213" s="12"/>
      <c r="I4213" s="10"/>
      <c r="J4213" s="5"/>
      <c r="K4213" s="12"/>
      <c r="L4213" s="15"/>
    </row>
    <row r="4214" spans="1:12">
      <c r="A4214" s="8"/>
      <c r="B4214" s="9"/>
      <c r="C4214" s="10"/>
      <c r="D4214" s="10"/>
      <c r="E4214" s="19"/>
      <c r="F4214" s="19"/>
      <c r="G4214" s="12"/>
      <c r="H4214" s="12"/>
      <c r="I4214" s="10"/>
      <c r="J4214" s="5"/>
      <c r="K4214" s="12"/>
      <c r="L4214" s="15"/>
    </row>
    <row r="4215" spans="1:12">
      <c r="A4215" s="8"/>
      <c r="B4215" s="9"/>
      <c r="C4215" s="10"/>
      <c r="D4215" s="10"/>
      <c r="E4215" s="19"/>
      <c r="F4215" s="19"/>
      <c r="G4215" s="12"/>
      <c r="H4215" s="12"/>
      <c r="I4215" s="10"/>
      <c r="J4215" s="5"/>
      <c r="K4215" s="12"/>
      <c r="L4215" s="15"/>
    </row>
    <row r="4216" spans="1:12">
      <c r="A4216" s="8"/>
      <c r="B4216" s="9"/>
      <c r="C4216" s="10"/>
      <c r="D4216" s="10"/>
      <c r="E4216" s="19"/>
      <c r="F4216" s="19"/>
      <c r="G4216" s="12"/>
      <c r="H4216" s="12"/>
      <c r="I4216" s="10"/>
      <c r="J4216" s="5"/>
      <c r="K4216" s="12"/>
      <c r="L4216" s="15"/>
    </row>
    <row r="4217" spans="1:12">
      <c r="A4217" s="8"/>
      <c r="B4217" s="9"/>
      <c r="C4217" s="10"/>
      <c r="D4217" s="10"/>
      <c r="E4217" s="11"/>
      <c r="F4217" s="11"/>
      <c r="G4217" s="12"/>
      <c r="H4217" s="12"/>
      <c r="I4217" s="10"/>
      <c r="J4217" s="5"/>
      <c r="K4217" s="9"/>
      <c r="L4217" s="15"/>
    </row>
    <row r="4218" spans="1:12">
      <c r="A4218" s="8"/>
      <c r="B4218" s="9"/>
      <c r="C4218" s="10"/>
      <c r="D4218" s="10"/>
      <c r="E4218" s="11"/>
      <c r="F4218" s="11"/>
      <c r="G4218" s="12"/>
      <c r="H4218" s="12"/>
      <c r="I4218" s="10"/>
      <c r="J4218" s="5"/>
      <c r="K4218" s="9"/>
      <c r="L4218" s="15"/>
    </row>
    <row r="4219" spans="1:12">
      <c r="A4219" s="8"/>
      <c r="B4219" s="9"/>
      <c r="C4219" s="10"/>
      <c r="D4219" s="10"/>
      <c r="E4219" s="11"/>
      <c r="F4219" s="11"/>
      <c r="G4219" s="12"/>
      <c r="H4219" s="12"/>
      <c r="I4219" s="10"/>
      <c r="J4219" s="5"/>
      <c r="K4219" s="12"/>
      <c r="L4219" s="15"/>
    </row>
    <row r="4220" spans="1:12">
      <c r="A4220" s="8"/>
      <c r="B4220" s="9"/>
      <c r="C4220" s="10"/>
      <c r="D4220" s="10"/>
      <c r="E4220" s="11"/>
      <c r="F4220" s="11"/>
      <c r="G4220" s="12"/>
      <c r="H4220" s="12"/>
      <c r="I4220" s="10"/>
      <c r="J4220" s="5"/>
      <c r="K4220" s="12"/>
      <c r="L4220" s="15"/>
    </row>
    <row r="4221" spans="1:12">
      <c r="A4221" s="8"/>
      <c r="B4221" s="9"/>
      <c r="C4221" s="10"/>
      <c r="D4221" s="10"/>
      <c r="E4221" s="11"/>
      <c r="F4221" s="11"/>
      <c r="G4221" s="12"/>
      <c r="H4221" s="12"/>
      <c r="I4221" s="10"/>
      <c r="J4221" s="5"/>
      <c r="K4221" s="12"/>
      <c r="L4221" s="15"/>
    </row>
    <row r="4222" spans="1:12">
      <c r="A4222" s="8"/>
      <c r="B4222" s="9"/>
      <c r="C4222" s="13"/>
      <c r="D4222" s="10"/>
      <c r="E4222" s="19"/>
      <c r="F4222" s="19"/>
      <c r="G4222" s="12"/>
      <c r="H4222" s="12"/>
      <c r="I4222" s="10"/>
      <c r="J4222" s="5"/>
      <c r="K4222" s="12"/>
      <c r="L4222" s="21"/>
    </row>
    <row r="4223" spans="1:12">
      <c r="A4223" s="8"/>
      <c r="B4223" s="9"/>
      <c r="C4223" s="10"/>
      <c r="D4223" s="10"/>
      <c r="E4223" s="19"/>
      <c r="F4223" s="19"/>
      <c r="G4223" s="12"/>
      <c r="H4223" s="12"/>
      <c r="I4223" s="10"/>
      <c r="J4223" s="5"/>
      <c r="K4223" s="12"/>
      <c r="L4223" s="15"/>
    </row>
    <row r="4224" spans="1:12">
      <c r="A4224" s="8"/>
      <c r="B4224" s="9"/>
      <c r="C4224" s="10"/>
      <c r="D4224" s="10"/>
      <c r="E4224" s="19"/>
      <c r="F4224" s="19"/>
      <c r="G4224" s="12"/>
      <c r="H4224" s="12"/>
      <c r="I4224" s="10"/>
      <c r="J4224" s="5"/>
      <c r="K4224" s="12"/>
      <c r="L4224" s="15"/>
    </row>
    <row r="4225" spans="1:12">
      <c r="A4225" s="8"/>
      <c r="B4225" s="9"/>
      <c r="C4225" s="10"/>
      <c r="D4225" s="10"/>
      <c r="E4225" s="19"/>
      <c r="F4225" s="19"/>
      <c r="G4225" s="12"/>
      <c r="H4225" s="12"/>
      <c r="I4225" s="10"/>
      <c r="J4225" s="5"/>
      <c r="K4225" s="9"/>
      <c r="L4225" s="15"/>
    </row>
    <row r="4226" spans="1:12">
      <c r="A4226" s="8"/>
      <c r="B4226" s="9"/>
      <c r="C4226" s="10"/>
      <c r="D4226" s="10"/>
      <c r="E4226" s="19"/>
      <c r="F4226" s="19"/>
      <c r="G4226" s="12"/>
      <c r="H4226" s="12"/>
      <c r="I4226" s="10"/>
      <c r="J4226" s="5"/>
      <c r="K4226" s="12"/>
      <c r="L4226" s="15"/>
    </row>
    <row r="4227" spans="1:12">
      <c r="A4227" s="8"/>
      <c r="B4227" s="9"/>
      <c r="C4227" s="10"/>
      <c r="D4227" s="10"/>
      <c r="E4227" s="19"/>
      <c r="F4227" s="19"/>
      <c r="G4227" s="12"/>
      <c r="H4227" s="12"/>
      <c r="I4227" s="10"/>
      <c r="J4227" s="5"/>
      <c r="K4227" s="12"/>
      <c r="L4227" s="15"/>
    </row>
    <row r="4228" spans="1:12">
      <c r="A4228" s="8"/>
      <c r="B4228" s="9"/>
      <c r="C4228" s="10"/>
      <c r="D4228" s="10"/>
      <c r="E4228" s="11"/>
      <c r="F4228" s="11"/>
      <c r="G4228" s="12"/>
      <c r="H4228" s="12"/>
      <c r="I4228" s="10"/>
      <c r="J4228" s="5"/>
      <c r="K4228" s="12"/>
      <c r="L4228" s="15"/>
    </row>
    <row r="4229" spans="1:12">
      <c r="A4229" s="8"/>
      <c r="B4229" s="9"/>
      <c r="C4229" s="10"/>
      <c r="D4229" s="10"/>
      <c r="E4229" s="11"/>
      <c r="F4229" s="11"/>
      <c r="G4229" s="12"/>
      <c r="H4229" s="12"/>
      <c r="I4229" s="10"/>
      <c r="J4229" s="5"/>
      <c r="K4229" s="9"/>
      <c r="L4229" s="15"/>
    </row>
    <row r="4230" spans="1:12">
      <c r="A4230" s="8"/>
      <c r="B4230" s="9"/>
      <c r="C4230" s="10"/>
      <c r="D4230" s="10"/>
      <c r="E4230" s="11"/>
      <c r="F4230" s="11"/>
      <c r="G4230" s="12"/>
      <c r="H4230" s="12"/>
      <c r="I4230" s="10"/>
      <c r="J4230" s="5"/>
      <c r="K4230" s="12"/>
      <c r="L4230" s="15"/>
    </row>
    <row r="4231" spans="1:12">
      <c r="A4231" s="8"/>
      <c r="B4231" s="9"/>
      <c r="C4231" s="10"/>
      <c r="D4231" s="10"/>
      <c r="E4231" s="11"/>
      <c r="F4231" s="11"/>
      <c r="G4231" s="12"/>
      <c r="H4231" s="12"/>
      <c r="I4231" s="10"/>
      <c r="J4231" s="5"/>
      <c r="K4231" s="12"/>
      <c r="L4231" s="15"/>
    </row>
    <row r="4232" spans="1:12">
      <c r="A4232" s="8"/>
      <c r="B4232" s="9"/>
      <c r="C4232" s="10"/>
      <c r="D4232" s="10"/>
      <c r="E4232" s="11"/>
      <c r="F4232" s="11"/>
      <c r="G4232" s="12"/>
      <c r="H4232" s="12"/>
      <c r="I4232" s="10"/>
      <c r="J4232" s="5"/>
      <c r="K4232" s="12"/>
      <c r="L4232" s="15"/>
    </row>
    <row r="4233" spans="1:12">
      <c r="A4233" s="8"/>
      <c r="B4233" s="9"/>
      <c r="C4233" s="10"/>
      <c r="D4233" s="10"/>
      <c r="E4233" s="11"/>
      <c r="F4233" s="11"/>
      <c r="G4233" s="12"/>
      <c r="H4233" s="12"/>
      <c r="I4233" s="10"/>
      <c r="J4233" s="5"/>
      <c r="K4233" s="12"/>
      <c r="L4233" s="15"/>
    </row>
    <row r="4234" spans="1:12">
      <c r="A4234" s="8"/>
      <c r="B4234" s="9"/>
      <c r="C4234" s="10"/>
      <c r="D4234" s="10"/>
      <c r="E4234" s="11"/>
      <c r="F4234" s="11"/>
      <c r="G4234" s="12"/>
      <c r="H4234" s="12"/>
      <c r="I4234" s="10"/>
      <c r="J4234" s="5"/>
      <c r="K4234" s="12"/>
      <c r="L4234" s="15"/>
    </row>
    <row r="4235" spans="1:12">
      <c r="A4235" s="8"/>
      <c r="B4235" s="9"/>
      <c r="C4235" s="10"/>
      <c r="D4235" s="10"/>
      <c r="E4235" s="11"/>
      <c r="F4235" s="11"/>
      <c r="G4235" s="12"/>
      <c r="H4235" s="12"/>
      <c r="I4235" s="10"/>
      <c r="J4235" s="5"/>
      <c r="K4235" s="12"/>
      <c r="L4235" s="15"/>
    </row>
    <row r="4236" spans="1:12">
      <c r="A4236" s="8"/>
      <c r="B4236" s="9"/>
      <c r="C4236" s="10"/>
      <c r="D4236" s="10"/>
      <c r="E4236" s="11"/>
      <c r="F4236" s="11"/>
      <c r="G4236" s="12"/>
      <c r="H4236" s="12"/>
      <c r="I4236" s="10"/>
      <c r="J4236" s="5"/>
      <c r="K4236" s="12"/>
      <c r="L4236" s="15"/>
    </row>
    <row r="4237" spans="1:12">
      <c r="A4237" s="8"/>
      <c r="B4237" s="9"/>
      <c r="C4237" s="10"/>
      <c r="D4237" s="10"/>
      <c r="E4237" s="11"/>
      <c r="F4237" s="11"/>
      <c r="G4237" s="12"/>
      <c r="H4237" s="12"/>
      <c r="I4237" s="10"/>
      <c r="J4237" s="5"/>
      <c r="K4237" s="12"/>
      <c r="L4237" s="15"/>
    </row>
    <row r="4238" spans="1:12">
      <c r="A4238" s="8"/>
      <c r="B4238" s="9"/>
      <c r="C4238" s="10"/>
      <c r="D4238" s="10"/>
      <c r="E4238" s="19"/>
      <c r="F4238" s="32"/>
      <c r="G4238" s="12"/>
      <c r="H4238" s="12"/>
      <c r="I4238" s="10"/>
      <c r="J4238" s="5"/>
      <c r="K4238" s="12"/>
      <c r="L4238" s="21"/>
    </row>
    <row r="4239" spans="1:12">
      <c r="A4239" s="8"/>
      <c r="B4239" s="9"/>
      <c r="C4239" s="10"/>
      <c r="D4239" s="10"/>
      <c r="E4239" s="11"/>
      <c r="F4239" s="11"/>
      <c r="G4239" s="12"/>
      <c r="H4239" s="12"/>
      <c r="I4239" s="10"/>
      <c r="J4239" s="5"/>
      <c r="K4239" s="12"/>
      <c r="L4239" s="15"/>
    </row>
    <row r="4240" spans="1:12">
      <c r="A4240" s="8"/>
      <c r="B4240" s="9"/>
      <c r="C4240" s="10"/>
      <c r="D4240" s="10"/>
      <c r="E4240" s="11"/>
      <c r="F4240" s="11"/>
      <c r="G4240" s="12"/>
      <c r="H4240" s="12"/>
      <c r="I4240" s="10"/>
      <c r="J4240" s="5"/>
      <c r="K4240" s="12"/>
      <c r="L4240" s="15"/>
    </row>
    <row r="4241" spans="1:12">
      <c r="A4241" s="8"/>
      <c r="B4241" s="9"/>
      <c r="C4241" s="10"/>
      <c r="D4241" s="10"/>
      <c r="E4241" s="11"/>
      <c r="F4241" s="11"/>
      <c r="G4241" s="12"/>
      <c r="H4241" s="12"/>
      <c r="I4241" s="10"/>
      <c r="J4241" s="5"/>
      <c r="K4241" s="12"/>
      <c r="L4241" s="15"/>
    </row>
    <row r="4242" spans="1:12">
      <c r="A4242" s="8"/>
      <c r="B4242" s="9"/>
      <c r="C4242" s="10"/>
      <c r="D4242" s="10"/>
      <c r="E4242" s="11"/>
      <c r="F4242" s="11"/>
      <c r="G4242" s="12"/>
      <c r="H4242" s="12"/>
      <c r="I4242" s="10"/>
      <c r="J4242" s="5"/>
      <c r="K4242" s="12"/>
      <c r="L4242" s="15"/>
    </row>
    <row r="4243" spans="1:12">
      <c r="A4243" s="8"/>
      <c r="B4243" s="9"/>
      <c r="C4243" s="10"/>
      <c r="D4243" s="10"/>
      <c r="E4243" s="11"/>
      <c r="F4243" s="11"/>
      <c r="G4243" s="12"/>
      <c r="H4243" s="12"/>
      <c r="I4243" s="10"/>
      <c r="J4243" s="5"/>
      <c r="K4243" s="12"/>
      <c r="L4243" s="15"/>
    </row>
    <row r="4244" spans="1:12">
      <c r="A4244" s="8"/>
      <c r="B4244" s="9"/>
      <c r="C4244" s="10"/>
      <c r="D4244" s="10"/>
      <c r="E4244" s="11"/>
      <c r="F4244" s="11"/>
      <c r="G4244" s="12"/>
      <c r="H4244" s="12"/>
      <c r="I4244" s="10"/>
      <c r="J4244" s="5"/>
      <c r="K4244" s="12"/>
      <c r="L4244" s="15"/>
    </row>
    <row r="4245" spans="1:12">
      <c r="A4245" s="8"/>
      <c r="B4245" s="9"/>
      <c r="C4245" s="10"/>
      <c r="D4245" s="10"/>
      <c r="E4245" s="11"/>
      <c r="F4245" s="11"/>
      <c r="G4245" s="12"/>
      <c r="H4245" s="12"/>
      <c r="I4245" s="10"/>
      <c r="J4245" s="5"/>
      <c r="K4245" s="12"/>
      <c r="L4245" s="15"/>
    </row>
    <row r="4246" spans="1:12">
      <c r="A4246" s="8"/>
      <c r="B4246" s="9"/>
      <c r="C4246" s="10"/>
      <c r="D4246" s="10"/>
      <c r="E4246" s="11"/>
      <c r="F4246" s="11"/>
      <c r="G4246" s="12"/>
      <c r="H4246" s="12"/>
      <c r="I4246" s="10"/>
      <c r="J4246" s="5"/>
      <c r="K4246" s="12"/>
      <c r="L4246" s="16"/>
    </row>
    <row r="4247" spans="1:12">
      <c r="A4247" s="8"/>
      <c r="B4247" s="9"/>
      <c r="C4247" s="10"/>
      <c r="D4247" s="10"/>
      <c r="E4247" s="19"/>
      <c r="F4247" s="19"/>
      <c r="G4247" s="12"/>
      <c r="H4247" s="12"/>
      <c r="I4247" s="10"/>
      <c r="J4247" s="5"/>
      <c r="K4247" s="9"/>
      <c r="L4247" s="15"/>
    </row>
    <row r="4248" spans="1:12">
      <c r="A4248" s="8"/>
      <c r="B4248" s="9"/>
      <c r="C4248" s="10"/>
      <c r="D4248" s="10"/>
      <c r="E4248" s="22"/>
      <c r="F4248" s="22"/>
      <c r="G4248" s="12"/>
      <c r="H4248" s="10"/>
      <c r="I4248" s="10"/>
      <c r="J4248" s="5"/>
      <c r="K4248" s="10"/>
      <c r="L4248" s="23"/>
    </row>
    <row r="4249" spans="1:12">
      <c r="A4249" s="8"/>
      <c r="B4249" s="9"/>
      <c r="C4249" s="10"/>
      <c r="D4249" s="10"/>
      <c r="E4249" s="11"/>
      <c r="F4249" s="11"/>
      <c r="G4249" s="12"/>
      <c r="H4249" s="12"/>
      <c r="I4249" s="10"/>
      <c r="J4249" s="5"/>
      <c r="K4249" s="12"/>
      <c r="L4249" s="15"/>
    </row>
    <row r="4250" spans="1:12">
      <c r="A4250" s="8"/>
      <c r="B4250" s="9"/>
      <c r="C4250" s="10"/>
      <c r="D4250" s="10"/>
      <c r="E4250" s="11"/>
      <c r="F4250" s="11"/>
      <c r="G4250" s="12"/>
      <c r="H4250" s="12"/>
      <c r="I4250" s="10"/>
      <c r="J4250" s="5"/>
      <c r="K4250" s="12"/>
      <c r="L4250" s="15"/>
    </row>
    <row r="4251" spans="1:12">
      <c r="A4251" s="8"/>
      <c r="B4251" s="9"/>
      <c r="C4251" s="10"/>
      <c r="D4251" s="10"/>
      <c r="E4251" s="19"/>
      <c r="F4251" s="19"/>
      <c r="G4251" s="12"/>
      <c r="H4251" s="12"/>
      <c r="I4251" s="10"/>
      <c r="J4251" s="5"/>
      <c r="K4251" s="12"/>
      <c r="L4251" s="15"/>
    </row>
    <row r="4252" spans="1:12">
      <c r="A4252" s="8"/>
      <c r="B4252" s="9"/>
      <c r="C4252" s="10"/>
      <c r="D4252" s="10"/>
      <c r="E4252" s="19"/>
      <c r="F4252" s="19"/>
      <c r="G4252" s="12"/>
      <c r="H4252" s="12"/>
      <c r="I4252" s="10"/>
      <c r="J4252" s="5"/>
      <c r="K4252" s="12"/>
      <c r="L4252" s="15"/>
    </row>
    <row r="4253" spans="1:12">
      <c r="A4253" s="8"/>
      <c r="B4253" s="9"/>
      <c r="C4253" s="10"/>
      <c r="D4253" s="10"/>
      <c r="E4253" s="11"/>
      <c r="F4253" s="11"/>
      <c r="G4253" s="12"/>
      <c r="H4253" s="12"/>
      <c r="I4253" s="10"/>
      <c r="J4253" s="5"/>
      <c r="K4253" s="12"/>
      <c r="L4253" s="15"/>
    </row>
    <row r="4254" spans="1:12">
      <c r="A4254" s="8"/>
      <c r="B4254" s="9"/>
      <c r="C4254" s="10"/>
      <c r="D4254" s="10"/>
      <c r="E4254" s="11"/>
      <c r="F4254" s="11"/>
      <c r="G4254" s="12"/>
      <c r="H4254" s="12"/>
      <c r="I4254" s="10"/>
      <c r="J4254" s="5"/>
      <c r="K4254" s="12"/>
      <c r="L4254" s="15"/>
    </row>
    <row r="4255" spans="1:12">
      <c r="A4255" s="8"/>
      <c r="B4255" s="9"/>
      <c r="C4255" s="10"/>
      <c r="D4255" s="10"/>
      <c r="E4255" s="22"/>
      <c r="F4255" s="22"/>
      <c r="G4255" s="12"/>
      <c r="H4255" s="10"/>
      <c r="I4255" s="10"/>
      <c r="J4255" s="5"/>
      <c r="K4255" s="12"/>
      <c r="L4255" s="23"/>
    </row>
    <row r="4256" spans="1:12">
      <c r="A4256" s="8"/>
      <c r="B4256" s="9"/>
      <c r="C4256" s="10"/>
      <c r="D4256" s="10"/>
      <c r="E4256" s="11"/>
      <c r="F4256" s="11"/>
      <c r="G4256" s="12"/>
      <c r="H4256" s="12"/>
      <c r="I4256" s="10"/>
      <c r="J4256" s="5"/>
      <c r="K4256" s="12"/>
      <c r="L4256" s="15"/>
    </row>
    <row r="4257" spans="1:12">
      <c r="A4257" s="8"/>
      <c r="B4257" s="9"/>
      <c r="C4257" s="10"/>
      <c r="D4257" s="10"/>
      <c r="E4257" s="11"/>
      <c r="F4257" s="11"/>
      <c r="G4257" s="12"/>
      <c r="H4257" s="12"/>
      <c r="I4257" s="10"/>
      <c r="J4257" s="5"/>
      <c r="K4257" s="12"/>
      <c r="L4257" s="15"/>
    </row>
    <row r="4258" spans="1:12">
      <c r="A4258" s="8"/>
      <c r="B4258" s="9"/>
      <c r="C4258" s="10"/>
      <c r="D4258" s="10"/>
      <c r="E4258" s="11"/>
      <c r="F4258" s="11"/>
      <c r="G4258" s="12"/>
      <c r="H4258" s="13"/>
      <c r="I4258" s="10"/>
      <c r="J4258" s="5"/>
      <c r="K4258" s="12"/>
      <c r="L4258" s="15"/>
    </row>
    <row r="4259" spans="1:12">
      <c r="A4259" s="8"/>
      <c r="B4259" s="9"/>
      <c r="C4259" s="10"/>
      <c r="D4259" s="10"/>
      <c r="E4259" s="11"/>
      <c r="F4259" s="11"/>
      <c r="G4259" s="12"/>
      <c r="H4259" s="13"/>
      <c r="I4259" s="10"/>
      <c r="J4259" s="5"/>
      <c r="K4259" s="12"/>
      <c r="L4259" s="15"/>
    </row>
    <row r="4260" spans="1:12">
      <c r="A4260" s="8"/>
      <c r="B4260" s="9"/>
      <c r="C4260" s="10"/>
      <c r="D4260" s="10"/>
      <c r="E4260" s="11"/>
      <c r="F4260" s="11"/>
      <c r="G4260" s="12"/>
      <c r="H4260" s="13"/>
      <c r="I4260" s="10"/>
      <c r="J4260" s="5"/>
      <c r="K4260" s="12"/>
      <c r="L4260" s="15"/>
    </row>
    <row r="4261" spans="1:12">
      <c r="A4261" s="8"/>
      <c r="B4261" s="9"/>
      <c r="C4261" s="10"/>
      <c r="D4261" s="10"/>
      <c r="E4261" s="11"/>
      <c r="F4261" s="11"/>
      <c r="G4261" s="12"/>
      <c r="H4261" s="12"/>
      <c r="I4261" s="10"/>
      <c r="J4261" s="5"/>
      <c r="K4261" s="12"/>
      <c r="L4261" s="15"/>
    </row>
    <row r="4262" spans="1:12">
      <c r="A4262" s="8"/>
      <c r="B4262" s="9"/>
      <c r="C4262" s="10"/>
      <c r="D4262" s="10"/>
      <c r="E4262" s="11"/>
      <c r="F4262" s="11"/>
      <c r="G4262" s="12"/>
      <c r="H4262" s="12"/>
      <c r="I4262" s="10"/>
      <c r="J4262" s="5"/>
      <c r="K4262" s="12"/>
      <c r="L4262" s="15"/>
    </row>
    <row r="4263" spans="1:12">
      <c r="A4263" s="8"/>
      <c r="B4263" s="9"/>
      <c r="C4263" s="10"/>
      <c r="D4263" s="10"/>
      <c r="E4263" s="11"/>
      <c r="F4263" s="11"/>
      <c r="G4263" s="12"/>
      <c r="H4263" s="33"/>
      <c r="I4263" s="10"/>
      <c r="J4263" s="5"/>
      <c r="K4263" s="9"/>
      <c r="L4263" s="15"/>
    </row>
    <row r="4264" spans="1:12">
      <c r="A4264" s="8"/>
      <c r="B4264" s="9"/>
      <c r="C4264" s="10"/>
      <c r="D4264" s="10"/>
      <c r="E4264" s="11"/>
      <c r="F4264" s="11"/>
      <c r="G4264" s="12"/>
      <c r="H4264" s="12"/>
      <c r="I4264" s="10"/>
      <c r="J4264" s="5"/>
      <c r="K4264" s="12"/>
      <c r="L4264" s="15"/>
    </row>
    <row r="4265" spans="1:12">
      <c r="A4265" s="8"/>
      <c r="B4265" s="9"/>
      <c r="C4265" s="10"/>
      <c r="D4265" s="10"/>
      <c r="E4265" s="11"/>
      <c r="F4265" s="11"/>
      <c r="G4265" s="12"/>
      <c r="H4265" s="12"/>
      <c r="I4265" s="10"/>
      <c r="J4265" s="5"/>
      <c r="K4265" s="12"/>
      <c r="L4265" s="15"/>
    </row>
    <row r="4266" spans="1:12">
      <c r="A4266" s="8"/>
      <c r="B4266" s="9"/>
      <c r="C4266" s="10"/>
      <c r="D4266" s="10"/>
      <c r="E4266" s="11"/>
      <c r="F4266" s="11"/>
      <c r="G4266" s="12"/>
      <c r="H4266" s="12"/>
      <c r="I4266" s="10"/>
      <c r="J4266" s="5"/>
      <c r="K4266" s="12"/>
      <c r="L4266" s="15"/>
    </row>
    <row r="4267" spans="1:12">
      <c r="A4267" s="8"/>
      <c r="B4267" s="9"/>
      <c r="C4267" s="10"/>
      <c r="D4267" s="10"/>
      <c r="E4267" s="11"/>
      <c r="F4267" s="11"/>
      <c r="G4267" s="12"/>
      <c r="H4267" s="12"/>
      <c r="I4267" s="10"/>
      <c r="J4267" s="5"/>
      <c r="K4267" s="12"/>
      <c r="L4267" s="15"/>
    </row>
    <row r="4268" spans="1:12">
      <c r="A4268" s="8"/>
      <c r="B4268" s="9"/>
      <c r="C4268" s="10"/>
      <c r="D4268" s="10"/>
      <c r="E4268" s="11"/>
      <c r="F4268" s="11"/>
      <c r="G4268" s="12"/>
      <c r="H4268" s="12"/>
      <c r="I4268" s="10"/>
      <c r="J4268" s="5"/>
      <c r="K4268" s="12"/>
      <c r="L4268" s="15"/>
    </row>
    <row r="4269" spans="1:12">
      <c r="A4269" s="8"/>
      <c r="B4269" s="9"/>
      <c r="C4269" s="10"/>
      <c r="D4269" s="10"/>
      <c r="E4269" s="11"/>
      <c r="F4269" s="11"/>
      <c r="G4269" s="12"/>
      <c r="H4269" s="12"/>
      <c r="I4269" s="10"/>
      <c r="J4269" s="5"/>
      <c r="K4269" s="12"/>
      <c r="L4269" s="15"/>
    </row>
    <row r="4270" spans="1:12">
      <c r="A4270" s="8"/>
      <c r="B4270" s="9"/>
      <c r="C4270" s="10"/>
      <c r="D4270" s="10"/>
      <c r="E4270" s="11"/>
      <c r="F4270" s="11"/>
      <c r="G4270" s="12"/>
      <c r="H4270" s="12"/>
      <c r="I4270" s="10"/>
      <c r="J4270" s="5"/>
      <c r="K4270" s="12"/>
      <c r="L4270" s="15"/>
    </row>
    <row r="4271" spans="1:12">
      <c r="A4271" s="8"/>
      <c r="B4271" s="9"/>
      <c r="C4271" s="10"/>
      <c r="D4271" s="10"/>
      <c r="E4271" s="11"/>
      <c r="F4271" s="19"/>
      <c r="G4271" s="12"/>
      <c r="H4271" s="12"/>
      <c r="I4271" s="10"/>
      <c r="J4271" s="5"/>
      <c r="K4271" s="12"/>
      <c r="L4271" s="21"/>
    </row>
    <row r="4272" spans="1:12">
      <c r="A4272" s="8"/>
      <c r="B4272" s="9"/>
      <c r="C4272" s="10"/>
      <c r="D4272" s="10"/>
      <c r="E4272" s="11"/>
      <c r="F4272" s="11"/>
      <c r="G4272" s="12"/>
      <c r="H4272" s="12"/>
      <c r="I4272" s="10"/>
      <c r="J4272" s="5"/>
      <c r="K4272" s="12"/>
      <c r="L4272" s="15"/>
    </row>
    <row r="4273" spans="1:12">
      <c r="A4273" s="8"/>
      <c r="B4273" s="9"/>
      <c r="C4273" s="10"/>
      <c r="D4273" s="10"/>
      <c r="E4273" s="11"/>
      <c r="F4273" s="11"/>
      <c r="G4273" s="12"/>
      <c r="H4273" s="12"/>
      <c r="I4273" s="10"/>
      <c r="J4273" s="5"/>
      <c r="K4273" s="12"/>
      <c r="L4273" s="15"/>
    </row>
    <row r="4274" spans="1:12">
      <c r="A4274" s="8"/>
      <c r="B4274" s="9"/>
      <c r="C4274" s="10"/>
      <c r="D4274" s="10"/>
      <c r="E4274" s="11"/>
      <c r="F4274" s="11"/>
      <c r="G4274" s="12"/>
      <c r="H4274" s="12"/>
      <c r="I4274" s="10"/>
      <c r="J4274" s="5"/>
      <c r="K4274" s="12"/>
      <c r="L4274" s="15"/>
    </row>
    <row r="4275" spans="1:12">
      <c r="A4275" s="8"/>
      <c r="B4275" s="9"/>
      <c r="C4275" s="10"/>
      <c r="D4275" s="10"/>
      <c r="E4275" s="11"/>
      <c r="F4275" s="11"/>
      <c r="G4275" s="12"/>
      <c r="H4275" s="12"/>
      <c r="I4275" s="10"/>
      <c r="J4275" s="5"/>
      <c r="K4275" s="12"/>
      <c r="L4275" s="15"/>
    </row>
    <row r="4276" spans="1:12">
      <c r="A4276" s="8"/>
      <c r="B4276" s="9"/>
      <c r="C4276" s="10"/>
      <c r="D4276" s="10"/>
      <c r="E4276" s="11"/>
      <c r="F4276" s="11"/>
      <c r="G4276" s="12"/>
      <c r="H4276" s="12"/>
      <c r="I4276" s="10"/>
      <c r="J4276" s="5"/>
      <c r="K4276" s="12"/>
      <c r="L4276" s="15"/>
    </row>
    <row r="4277" spans="1:12">
      <c r="A4277" s="8"/>
      <c r="B4277" s="9"/>
      <c r="C4277" s="10"/>
      <c r="D4277" s="10"/>
      <c r="E4277" s="11"/>
      <c r="F4277" s="11"/>
      <c r="G4277" s="12"/>
      <c r="H4277" s="12"/>
      <c r="I4277" s="10"/>
      <c r="J4277" s="5"/>
      <c r="K4277" s="12"/>
      <c r="L4277" s="15"/>
    </row>
    <row r="4278" spans="1:12">
      <c r="A4278" s="8"/>
      <c r="B4278" s="9"/>
      <c r="C4278" s="10"/>
      <c r="D4278" s="10"/>
      <c r="E4278" s="11"/>
      <c r="F4278" s="11"/>
      <c r="G4278" s="12"/>
      <c r="H4278" s="12"/>
      <c r="I4278" s="10"/>
      <c r="J4278" s="5"/>
      <c r="K4278" s="12"/>
      <c r="L4278" s="15"/>
    </row>
    <row r="4279" spans="1:12">
      <c r="A4279" s="8"/>
      <c r="B4279" s="9"/>
      <c r="C4279" s="10"/>
      <c r="D4279" s="10"/>
      <c r="E4279" s="11"/>
      <c r="F4279" s="11"/>
      <c r="G4279" s="12"/>
      <c r="H4279" s="12"/>
      <c r="I4279" s="10"/>
      <c r="J4279" s="5"/>
      <c r="K4279" s="12"/>
      <c r="L4279" s="15"/>
    </row>
    <row r="4280" spans="1:12">
      <c r="A4280" s="8"/>
      <c r="B4280" s="9"/>
      <c r="C4280" s="10"/>
      <c r="D4280" s="10"/>
      <c r="E4280" s="11"/>
      <c r="F4280" s="11"/>
      <c r="G4280" s="12"/>
      <c r="H4280" s="12"/>
      <c r="I4280" s="10"/>
      <c r="J4280" s="5"/>
      <c r="K4280" s="9"/>
      <c r="L4280" s="15"/>
    </row>
    <row r="4281" spans="1:12">
      <c r="A4281" s="8"/>
      <c r="B4281" s="9"/>
      <c r="C4281" s="10"/>
      <c r="D4281" s="10"/>
      <c r="E4281" s="11"/>
      <c r="F4281" s="11"/>
      <c r="G4281" s="12"/>
      <c r="H4281" s="12"/>
      <c r="I4281" s="10"/>
      <c r="J4281" s="5"/>
      <c r="K4281" s="12"/>
      <c r="L4281" s="15"/>
    </row>
    <row r="4282" spans="1:12">
      <c r="A4282" s="8"/>
      <c r="B4282" s="9"/>
      <c r="C4282" s="10"/>
      <c r="D4282" s="10"/>
      <c r="E4282" s="11"/>
      <c r="F4282" s="11"/>
      <c r="G4282" s="12"/>
      <c r="H4282" s="12"/>
      <c r="I4282" s="10"/>
      <c r="J4282" s="5"/>
      <c r="K4282" s="12"/>
      <c r="L4282" s="15"/>
    </row>
    <row r="4283" spans="1:12">
      <c r="A4283" s="8"/>
      <c r="B4283" s="9"/>
      <c r="C4283" s="10"/>
      <c r="D4283" s="10"/>
      <c r="E4283" s="11"/>
      <c r="F4283" s="11"/>
      <c r="G4283" s="12"/>
      <c r="H4283" s="12"/>
      <c r="I4283" s="10"/>
      <c r="J4283" s="5"/>
      <c r="K4283" s="12"/>
      <c r="L4283" s="15"/>
    </row>
    <row r="4284" spans="1:12">
      <c r="A4284" s="8"/>
      <c r="B4284" s="9"/>
      <c r="C4284" s="10"/>
      <c r="D4284" s="10"/>
      <c r="E4284" s="11"/>
      <c r="F4284" s="11"/>
      <c r="G4284" s="12"/>
      <c r="H4284" s="12"/>
      <c r="I4284" s="10"/>
      <c r="J4284" s="5"/>
      <c r="K4284" s="12"/>
      <c r="L4284" s="15"/>
    </row>
    <row r="4285" spans="1:12">
      <c r="A4285" s="8"/>
      <c r="B4285" s="9"/>
      <c r="C4285" s="10"/>
      <c r="D4285" s="10"/>
      <c r="E4285" s="11"/>
      <c r="F4285" s="11"/>
      <c r="G4285" s="12"/>
      <c r="H4285" s="12"/>
      <c r="I4285" s="10"/>
      <c r="J4285" s="5"/>
      <c r="K4285" s="12"/>
      <c r="L4285" s="15"/>
    </row>
    <row r="4286" spans="1:12">
      <c r="A4286" s="8"/>
      <c r="B4286" s="9"/>
      <c r="C4286" s="10"/>
      <c r="D4286" s="10"/>
      <c r="E4286" s="11"/>
      <c r="F4286" s="11"/>
      <c r="G4286" s="12"/>
      <c r="H4286" s="12"/>
      <c r="I4286" s="10"/>
      <c r="J4286" s="5"/>
      <c r="K4286" s="12"/>
      <c r="L4286" s="15"/>
    </row>
    <row r="4287" spans="1:12">
      <c r="A4287" s="8"/>
      <c r="B4287" s="9"/>
      <c r="C4287" s="10"/>
      <c r="D4287" s="10"/>
      <c r="E4287" s="11"/>
      <c r="F4287" s="11"/>
      <c r="G4287" s="12"/>
      <c r="H4287" s="12"/>
      <c r="I4287" s="10"/>
      <c r="J4287" s="5"/>
      <c r="K4287" s="12"/>
      <c r="L4287" s="15"/>
    </row>
    <row r="4288" spans="1:12">
      <c r="A4288" s="8"/>
      <c r="B4288" s="9"/>
      <c r="C4288" s="10"/>
      <c r="D4288" s="10"/>
      <c r="E4288" s="11"/>
      <c r="F4288" s="11"/>
      <c r="G4288" s="12"/>
      <c r="H4288" s="12"/>
      <c r="I4288" s="10"/>
      <c r="J4288" s="5"/>
      <c r="K4288" s="12"/>
      <c r="L4288" s="15"/>
    </row>
    <row r="4289" spans="1:12">
      <c r="A4289" s="8"/>
      <c r="B4289" s="9"/>
      <c r="C4289" s="10"/>
      <c r="D4289" s="10"/>
      <c r="E4289" s="11"/>
      <c r="F4289" s="11"/>
      <c r="G4289" s="12"/>
      <c r="H4289" s="12"/>
      <c r="I4289" s="10"/>
      <c r="J4289" s="5"/>
      <c r="K4289" s="12"/>
      <c r="L4289" s="16"/>
    </row>
    <row r="4290" spans="1:12">
      <c r="A4290" s="8"/>
      <c r="B4290" s="9"/>
      <c r="C4290" s="10"/>
      <c r="D4290" s="10"/>
      <c r="E4290" s="11"/>
      <c r="F4290" s="11"/>
      <c r="G4290" s="12"/>
      <c r="H4290" s="12"/>
      <c r="I4290" s="10"/>
      <c r="J4290" s="5"/>
      <c r="K4290" s="12"/>
      <c r="L4290" s="15"/>
    </row>
    <row r="4291" spans="1:12">
      <c r="A4291" s="8"/>
      <c r="B4291" s="9"/>
      <c r="C4291" s="10"/>
      <c r="D4291" s="10"/>
      <c r="E4291" s="11"/>
      <c r="F4291" s="11"/>
      <c r="G4291" s="12"/>
      <c r="H4291" s="12"/>
      <c r="I4291" s="10"/>
      <c r="J4291" s="5"/>
      <c r="K4291" s="9"/>
      <c r="L4291" s="15"/>
    </row>
    <row r="4292" spans="1:12">
      <c r="A4292" s="8"/>
      <c r="B4292" s="9"/>
      <c r="C4292" s="10"/>
      <c r="D4292" s="10"/>
      <c r="E4292" s="11"/>
      <c r="F4292" s="11"/>
      <c r="G4292" s="12"/>
      <c r="H4292" s="12"/>
      <c r="I4292" s="10"/>
      <c r="J4292" s="5"/>
      <c r="K4292" s="12"/>
      <c r="L4292" s="15"/>
    </row>
    <row r="4293" spans="1:12">
      <c r="A4293" s="8"/>
      <c r="B4293" s="9"/>
      <c r="C4293" s="10"/>
      <c r="D4293" s="10"/>
      <c r="E4293" s="11"/>
      <c r="F4293" s="11"/>
      <c r="G4293" s="12"/>
      <c r="H4293" s="12"/>
      <c r="I4293" s="10"/>
      <c r="J4293" s="5"/>
      <c r="K4293" s="12"/>
      <c r="L4293" s="15"/>
    </row>
    <row r="4294" spans="1:12">
      <c r="A4294" s="8"/>
      <c r="B4294" s="9"/>
      <c r="C4294" s="10"/>
      <c r="D4294" s="10"/>
      <c r="E4294" s="11"/>
      <c r="F4294" s="11"/>
      <c r="G4294" s="12"/>
      <c r="H4294" s="12"/>
      <c r="I4294" s="10"/>
      <c r="J4294" s="5"/>
      <c r="K4294" s="12"/>
      <c r="L4294" s="15"/>
    </row>
    <row r="4295" spans="1:12">
      <c r="A4295" s="8"/>
      <c r="B4295" s="9"/>
      <c r="C4295" s="10"/>
      <c r="D4295" s="10"/>
      <c r="E4295" s="11"/>
      <c r="F4295" s="11"/>
      <c r="G4295" s="12"/>
      <c r="H4295" s="12"/>
      <c r="I4295" s="10"/>
      <c r="J4295" s="5"/>
      <c r="K4295" s="12"/>
      <c r="L4295" s="15"/>
    </row>
    <row r="4296" spans="1:12">
      <c r="A4296" s="8"/>
      <c r="B4296" s="9"/>
      <c r="C4296" s="10"/>
      <c r="D4296" s="10"/>
      <c r="E4296" s="11"/>
      <c r="F4296" s="11"/>
      <c r="G4296" s="12"/>
      <c r="H4296" s="12"/>
      <c r="I4296" s="10"/>
      <c r="J4296" s="5"/>
      <c r="K4296" s="12"/>
      <c r="L4296" s="15"/>
    </row>
    <row r="4297" spans="1:12">
      <c r="A4297" s="8"/>
      <c r="B4297" s="9"/>
      <c r="C4297" s="10"/>
      <c r="D4297" s="10"/>
      <c r="E4297" s="11"/>
      <c r="F4297" s="11"/>
      <c r="G4297" s="12"/>
      <c r="H4297" s="12"/>
      <c r="I4297" s="10"/>
      <c r="J4297" s="5"/>
      <c r="K4297" s="12"/>
      <c r="L4297" s="15"/>
    </row>
    <row r="4298" spans="1:12">
      <c r="A4298" s="8"/>
      <c r="B4298" s="9"/>
      <c r="C4298" s="10"/>
      <c r="D4298" s="10"/>
      <c r="E4298" s="11"/>
      <c r="F4298" s="11"/>
      <c r="G4298" s="12"/>
      <c r="H4298" s="12"/>
      <c r="I4298" s="10"/>
      <c r="J4298" s="5"/>
      <c r="K4298" s="12"/>
      <c r="L4298" s="15"/>
    </row>
    <row r="4299" spans="1:12">
      <c r="A4299" s="8"/>
      <c r="B4299" s="9"/>
      <c r="C4299" s="10"/>
      <c r="D4299" s="10"/>
      <c r="E4299" s="11"/>
      <c r="F4299" s="11"/>
      <c r="G4299" s="12"/>
      <c r="H4299" s="12"/>
      <c r="I4299" s="10"/>
      <c r="J4299" s="5"/>
      <c r="K4299" s="12"/>
      <c r="L4299" s="15"/>
    </row>
    <row r="4300" spans="1:12">
      <c r="A4300" s="8"/>
      <c r="B4300" s="9"/>
      <c r="C4300" s="10"/>
      <c r="D4300" s="10"/>
      <c r="E4300" s="11"/>
      <c r="F4300" s="11"/>
      <c r="G4300" s="12"/>
      <c r="H4300" s="12"/>
      <c r="I4300" s="10"/>
      <c r="J4300" s="5"/>
      <c r="K4300" s="9"/>
      <c r="L4300" s="15"/>
    </row>
    <row r="4301" spans="1:12">
      <c r="A4301" s="8"/>
      <c r="B4301" s="9"/>
      <c r="C4301" s="10"/>
      <c r="D4301" s="10"/>
      <c r="E4301" s="11"/>
      <c r="F4301" s="11"/>
      <c r="G4301" s="12"/>
      <c r="H4301" s="12"/>
      <c r="I4301" s="10"/>
      <c r="J4301" s="5"/>
      <c r="K4301" s="12"/>
      <c r="L4301" s="15"/>
    </row>
    <row r="4302" spans="1:12">
      <c r="A4302" s="8"/>
      <c r="B4302" s="9"/>
      <c r="C4302" s="10"/>
      <c r="D4302" s="10"/>
      <c r="E4302" s="11"/>
      <c r="F4302" s="11"/>
      <c r="G4302" s="12"/>
      <c r="H4302" s="12"/>
      <c r="I4302" s="10"/>
      <c r="J4302" s="5"/>
      <c r="K4302" s="9"/>
      <c r="L4302" s="15"/>
    </row>
    <row r="4303" spans="1:12">
      <c r="A4303" s="8"/>
      <c r="B4303" s="9"/>
      <c r="C4303" s="10"/>
      <c r="D4303" s="10"/>
      <c r="E4303" s="11"/>
      <c r="F4303" s="11"/>
      <c r="G4303" s="12"/>
      <c r="H4303" s="12"/>
      <c r="I4303" s="10"/>
      <c r="J4303" s="5"/>
      <c r="K4303" s="12"/>
      <c r="L4303" s="15"/>
    </row>
    <row r="4304" spans="1:12">
      <c r="A4304" s="8"/>
      <c r="B4304" s="9"/>
      <c r="C4304" s="10"/>
      <c r="D4304" s="10"/>
      <c r="E4304" s="11"/>
      <c r="F4304" s="11"/>
      <c r="G4304" s="12"/>
      <c r="H4304" s="12"/>
      <c r="I4304" s="10"/>
      <c r="J4304" s="5"/>
      <c r="K4304" s="12"/>
      <c r="L4304" s="15"/>
    </row>
    <row r="4305" spans="1:12">
      <c r="A4305" s="8"/>
      <c r="B4305" s="9"/>
      <c r="C4305" s="10"/>
      <c r="D4305" s="10"/>
      <c r="E4305" s="11"/>
      <c r="F4305" s="11"/>
      <c r="G4305" s="12"/>
      <c r="H4305" s="12"/>
      <c r="I4305" s="10"/>
      <c r="J4305" s="5"/>
      <c r="K4305" s="12"/>
      <c r="L4305" s="15"/>
    </row>
    <row r="4306" spans="1:12">
      <c r="A4306" s="8"/>
      <c r="B4306" s="9"/>
      <c r="C4306" s="10"/>
      <c r="D4306" s="10"/>
      <c r="E4306" s="11"/>
      <c r="F4306" s="11"/>
      <c r="G4306" s="12"/>
      <c r="H4306" s="12"/>
      <c r="I4306" s="10"/>
      <c r="J4306" s="5"/>
      <c r="K4306" s="12"/>
      <c r="L4306" s="15"/>
    </row>
    <row r="4307" spans="1:12">
      <c r="A4307" s="8"/>
      <c r="B4307" s="9"/>
      <c r="C4307" s="10"/>
      <c r="D4307" s="10"/>
      <c r="E4307" s="11"/>
      <c r="F4307" s="11"/>
      <c r="G4307" s="12"/>
      <c r="H4307" s="12"/>
      <c r="I4307" s="10"/>
      <c r="J4307" s="5"/>
      <c r="K4307" s="12"/>
      <c r="L4307" s="15"/>
    </row>
    <row r="4308" spans="1:12">
      <c r="A4308" s="8"/>
      <c r="B4308" s="9"/>
      <c r="C4308" s="10"/>
      <c r="D4308" s="10"/>
      <c r="E4308" s="11"/>
      <c r="F4308" s="11"/>
      <c r="G4308" s="12"/>
      <c r="H4308" s="12"/>
      <c r="I4308" s="10"/>
      <c r="J4308" s="5"/>
      <c r="K4308" s="12"/>
      <c r="L4308" s="15"/>
    </row>
    <row r="4309" spans="1:12">
      <c r="A4309" s="8"/>
      <c r="B4309" s="9"/>
      <c r="C4309" s="10"/>
      <c r="D4309" s="10"/>
      <c r="E4309" s="11"/>
      <c r="F4309" s="11"/>
      <c r="G4309" s="12"/>
      <c r="H4309" s="12"/>
      <c r="I4309" s="10"/>
      <c r="J4309" s="5"/>
      <c r="K4309" s="12"/>
      <c r="L4309" s="15"/>
    </row>
    <row r="4310" spans="1:12">
      <c r="A4310" s="8"/>
      <c r="B4310" s="9"/>
      <c r="C4310" s="10"/>
      <c r="D4310" s="10"/>
      <c r="E4310" s="11"/>
      <c r="F4310" s="11"/>
      <c r="G4310" s="12"/>
      <c r="H4310" s="12"/>
      <c r="I4310" s="10"/>
      <c r="J4310" s="5"/>
      <c r="K4310" s="12"/>
      <c r="L4310" s="15"/>
    </row>
    <row r="4311" spans="1:12">
      <c r="A4311" s="8"/>
      <c r="B4311" s="9"/>
      <c r="C4311" s="10"/>
      <c r="D4311" s="10"/>
      <c r="E4311" s="11"/>
      <c r="F4311" s="11"/>
      <c r="G4311" s="12"/>
      <c r="H4311" s="12"/>
      <c r="I4311" s="10"/>
      <c r="J4311" s="5"/>
      <c r="K4311" s="12"/>
      <c r="L4311" s="15"/>
    </row>
    <row r="4312" spans="1:12">
      <c r="A4312" s="8"/>
      <c r="B4312" s="9"/>
      <c r="C4312" s="10"/>
      <c r="D4312" s="10"/>
      <c r="E4312" s="11"/>
      <c r="F4312" s="11"/>
      <c r="G4312" s="12"/>
      <c r="H4312" s="12"/>
      <c r="I4312" s="10"/>
      <c r="J4312" s="5"/>
      <c r="K4312" s="12"/>
      <c r="L4312" s="15"/>
    </row>
    <row r="4313" spans="1:12">
      <c r="A4313" s="72"/>
      <c r="B4313" s="12"/>
      <c r="C4313" s="12"/>
      <c r="D4313" s="12"/>
      <c r="E4313" s="11"/>
      <c r="F4313" s="11"/>
      <c r="G4313" s="12"/>
      <c r="H4313" s="12"/>
      <c r="I4313" s="12"/>
      <c r="J4313" s="33"/>
      <c r="K4313" s="12"/>
      <c r="L4313" s="15"/>
    </row>
    <row r="4314" spans="1:12">
      <c r="A4314" s="72"/>
      <c r="B4314" s="12"/>
      <c r="C4314" s="12"/>
      <c r="D4314" s="12"/>
      <c r="E4314" s="11"/>
      <c r="F4314" s="11"/>
      <c r="G4314" s="12"/>
      <c r="H4314" s="12"/>
      <c r="I4314" s="12"/>
      <c r="J4314" s="33"/>
      <c r="K4314" s="12"/>
      <c r="L4314" s="15"/>
    </row>
    <row r="4315" spans="1:12">
      <c r="A4315" s="8"/>
      <c r="B4315" s="9"/>
      <c r="C4315" s="10"/>
      <c r="D4315" s="10"/>
      <c r="E4315" s="11"/>
      <c r="F4315" s="11"/>
      <c r="G4315" s="12"/>
      <c r="H4315" s="12"/>
      <c r="I4315" s="10"/>
      <c r="J4315" s="5"/>
      <c r="K4315" s="12"/>
      <c r="L4315" s="15"/>
    </row>
    <row r="4316" spans="1:12">
      <c r="A4316" s="8"/>
      <c r="B4316" s="9"/>
      <c r="C4316" s="10"/>
      <c r="D4316" s="10"/>
      <c r="E4316" s="11"/>
      <c r="F4316" s="11"/>
      <c r="G4316" s="12"/>
      <c r="H4316" s="12"/>
      <c r="I4316" s="10"/>
      <c r="J4316" s="5"/>
      <c r="K4316" s="9"/>
      <c r="L4316" s="16"/>
    </row>
    <row r="4317" spans="1:12">
      <c r="A4317" s="8"/>
      <c r="B4317" s="9"/>
      <c r="C4317" s="10"/>
      <c r="D4317" s="10"/>
      <c r="E4317" s="11"/>
      <c r="F4317" s="11"/>
      <c r="G4317" s="12"/>
      <c r="H4317" s="12"/>
      <c r="I4317" s="10"/>
      <c r="J4317" s="5"/>
      <c r="K4317" s="9"/>
      <c r="L4317" s="16"/>
    </row>
    <row r="4318" spans="1:12">
      <c r="A4318" s="8"/>
      <c r="B4318" s="9"/>
      <c r="C4318" s="10"/>
      <c r="D4318" s="10"/>
      <c r="E4318" s="11"/>
      <c r="F4318" s="11"/>
      <c r="G4318" s="12"/>
      <c r="H4318" s="12"/>
      <c r="I4318" s="10"/>
      <c r="J4318" s="5"/>
      <c r="K4318" s="9"/>
      <c r="L4318" s="16"/>
    </row>
    <row r="4319" spans="1:12">
      <c r="A4319" s="8"/>
      <c r="B4319" s="9"/>
      <c r="C4319" s="10"/>
      <c r="D4319" s="10"/>
      <c r="E4319" s="11"/>
      <c r="F4319" s="11"/>
      <c r="G4319" s="12"/>
      <c r="H4319" s="12"/>
      <c r="I4319" s="10"/>
      <c r="J4319" s="5"/>
      <c r="K4319" s="9"/>
      <c r="L4319" s="16"/>
    </row>
    <row r="4320" spans="1:12">
      <c r="A4320" s="8"/>
      <c r="B4320" s="9"/>
      <c r="C4320" s="10"/>
      <c r="D4320" s="10"/>
      <c r="E4320" s="19"/>
      <c r="F4320" s="19"/>
      <c r="G4320" s="12"/>
      <c r="H4320" s="9"/>
      <c r="I4320" s="10"/>
      <c r="J4320" s="5"/>
      <c r="K4320" s="9"/>
      <c r="L4320" s="15"/>
    </row>
    <row r="4321" spans="1:12">
      <c r="A4321" s="8"/>
      <c r="B4321" s="9"/>
      <c r="C4321" s="10"/>
      <c r="D4321" s="10"/>
      <c r="E4321" s="11"/>
      <c r="F4321" s="11"/>
      <c r="G4321" s="12"/>
      <c r="H4321" s="12"/>
      <c r="I4321" s="10"/>
      <c r="J4321" s="5"/>
      <c r="K4321" s="12"/>
      <c r="L4321" s="15"/>
    </row>
    <row r="4322" spans="1:12">
      <c r="A4322" s="8"/>
      <c r="B4322" s="9"/>
      <c r="C4322" s="10"/>
      <c r="D4322" s="10"/>
      <c r="E4322" s="19"/>
      <c r="F4322" s="19"/>
      <c r="G4322" s="12"/>
      <c r="H4322" s="12"/>
      <c r="I4322" s="10"/>
      <c r="J4322" s="5"/>
      <c r="K4322" s="12"/>
      <c r="L4322" s="15"/>
    </row>
    <row r="4323" spans="1:12">
      <c r="A4323" s="8"/>
      <c r="B4323" s="9"/>
      <c r="C4323" s="13"/>
      <c r="D4323" s="10"/>
      <c r="E4323" s="19"/>
      <c r="F4323" s="19"/>
      <c r="G4323" s="12"/>
      <c r="H4323" s="12"/>
      <c r="I4323" s="10"/>
      <c r="J4323" s="5"/>
      <c r="K4323" s="12"/>
      <c r="L4323" s="21"/>
    </row>
    <row r="4324" spans="1:12">
      <c r="A4324" s="8"/>
      <c r="B4324" s="9"/>
      <c r="C4324" s="10"/>
      <c r="D4324" s="10"/>
      <c r="E4324" s="11"/>
      <c r="F4324" s="11"/>
      <c r="G4324" s="12"/>
      <c r="H4324" s="12"/>
      <c r="I4324" s="10"/>
      <c r="J4324" s="5"/>
      <c r="K4324" s="12"/>
      <c r="L4324" s="15"/>
    </row>
    <row r="4325" spans="1:12">
      <c r="A4325" s="8"/>
      <c r="B4325" s="9"/>
      <c r="C4325" s="10"/>
      <c r="D4325" s="10"/>
      <c r="E4325" s="11"/>
      <c r="F4325" s="11"/>
      <c r="G4325" s="12"/>
      <c r="H4325" s="12"/>
      <c r="I4325" s="10"/>
      <c r="J4325" s="5"/>
      <c r="K4325" s="9"/>
      <c r="L4325" s="15"/>
    </row>
    <row r="4326" spans="1:12">
      <c r="A4326" s="8"/>
      <c r="B4326" s="9"/>
      <c r="C4326" s="10"/>
      <c r="D4326" s="10"/>
      <c r="E4326" s="11"/>
      <c r="F4326" s="11"/>
      <c r="G4326" s="12"/>
      <c r="H4326" s="12"/>
      <c r="I4326" s="10"/>
      <c r="J4326" s="5"/>
      <c r="K4326" s="9"/>
      <c r="L4326" s="15"/>
    </row>
    <row r="4327" spans="1:12">
      <c r="A4327" s="8"/>
      <c r="B4327" s="9"/>
      <c r="C4327" s="10"/>
      <c r="D4327" s="10"/>
      <c r="E4327" s="11"/>
      <c r="F4327" s="11"/>
      <c r="G4327" s="12"/>
      <c r="H4327" s="12"/>
      <c r="I4327" s="10"/>
      <c r="J4327" s="5"/>
      <c r="K4327" s="9"/>
      <c r="L4327" s="15"/>
    </row>
    <row r="4328" spans="1:12">
      <c r="A4328" s="8"/>
      <c r="B4328" s="9"/>
      <c r="C4328" s="10"/>
      <c r="D4328" s="10"/>
      <c r="E4328" s="11"/>
      <c r="F4328" s="11"/>
      <c r="G4328" s="12"/>
      <c r="H4328" s="12"/>
      <c r="I4328" s="10"/>
      <c r="J4328" s="5"/>
      <c r="K4328" s="9"/>
      <c r="L4328" s="15"/>
    </row>
    <row r="4329" spans="1:12">
      <c r="A4329" s="8"/>
      <c r="B4329" s="9"/>
      <c r="C4329" s="10"/>
      <c r="D4329" s="10"/>
      <c r="E4329" s="11"/>
      <c r="F4329" s="11"/>
      <c r="G4329" s="12"/>
      <c r="H4329" s="12"/>
      <c r="I4329" s="10"/>
      <c r="J4329" s="5"/>
      <c r="K4329" s="9"/>
      <c r="L4329" s="15"/>
    </row>
    <row r="4330" spans="1:12">
      <c r="A4330" s="8"/>
      <c r="B4330" s="9"/>
      <c r="C4330" s="10"/>
      <c r="D4330" s="10"/>
      <c r="E4330" s="11"/>
      <c r="F4330" s="11"/>
      <c r="G4330" s="12"/>
      <c r="H4330" s="12"/>
      <c r="I4330" s="10"/>
      <c r="J4330" s="5"/>
      <c r="K4330" s="9"/>
      <c r="L4330" s="15"/>
    </row>
    <row r="4331" spans="1:12">
      <c r="A4331" s="8"/>
      <c r="B4331" s="9"/>
      <c r="C4331" s="10"/>
      <c r="D4331" s="10"/>
      <c r="E4331" s="11"/>
      <c r="F4331" s="11"/>
      <c r="G4331" s="12"/>
      <c r="H4331" s="12"/>
      <c r="I4331" s="10"/>
      <c r="J4331" s="5"/>
      <c r="K4331" s="12"/>
      <c r="L4331" s="15"/>
    </row>
    <row r="4332" spans="1:12">
      <c r="A4332" s="8"/>
      <c r="B4332" s="9"/>
      <c r="C4332" s="10"/>
      <c r="D4332" s="10"/>
      <c r="E4332" s="11"/>
      <c r="F4332" s="11"/>
      <c r="G4332" s="12"/>
      <c r="H4332" s="12"/>
      <c r="I4332" s="10"/>
      <c r="J4332" s="5"/>
      <c r="K4332" s="12"/>
      <c r="L4332" s="15"/>
    </row>
    <row r="4333" spans="1:12">
      <c r="A4333" s="8"/>
      <c r="B4333" s="9"/>
      <c r="C4333" s="10"/>
      <c r="D4333" s="10"/>
      <c r="E4333" s="11"/>
      <c r="F4333" s="11"/>
      <c r="G4333" s="12"/>
      <c r="H4333" s="12"/>
      <c r="I4333" s="10"/>
      <c r="J4333" s="5"/>
      <c r="K4333" s="12"/>
      <c r="L4333" s="15"/>
    </row>
    <row r="4334" spans="1:12">
      <c r="A4334" s="8"/>
      <c r="B4334" s="9"/>
      <c r="C4334" s="10"/>
      <c r="D4334" s="10"/>
      <c r="E4334" s="11"/>
      <c r="F4334" s="11"/>
      <c r="G4334" s="12"/>
      <c r="H4334" s="12"/>
      <c r="I4334" s="10"/>
      <c r="J4334" s="5"/>
      <c r="K4334" s="12"/>
      <c r="L4334" s="15"/>
    </row>
    <row r="4335" spans="1:12">
      <c r="A4335" s="8"/>
      <c r="B4335" s="9"/>
      <c r="C4335" s="10"/>
      <c r="D4335" s="10"/>
      <c r="E4335" s="11"/>
      <c r="F4335" s="11"/>
      <c r="G4335" s="12"/>
      <c r="H4335" s="12"/>
      <c r="I4335" s="10"/>
      <c r="J4335" s="5"/>
      <c r="K4335" s="9"/>
      <c r="L4335" s="15"/>
    </row>
    <row r="4336" spans="1:12">
      <c r="A4336" s="8"/>
      <c r="B4336" s="9"/>
      <c r="C4336" s="10"/>
      <c r="D4336" s="10"/>
      <c r="E4336" s="11"/>
      <c r="F4336" s="11"/>
      <c r="G4336" s="12"/>
      <c r="H4336" s="12"/>
      <c r="I4336" s="10"/>
      <c r="J4336" s="5"/>
      <c r="K4336" s="9"/>
      <c r="L4336" s="15"/>
    </row>
    <row r="4337" spans="1:12">
      <c r="A4337" s="8"/>
      <c r="B4337" s="9"/>
      <c r="C4337" s="10"/>
      <c r="D4337" s="10"/>
      <c r="E4337" s="11"/>
      <c r="F4337" s="11"/>
      <c r="G4337" s="12"/>
      <c r="H4337" s="12"/>
      <c r="I4337" s="10"/>
      <c r="J4337" s="5"/>
      <c r="K4337" s="12"/>
      <c r="L4337" s="15"/>
    </row>
    <row r="4338" spans="1:12">
      <c r="A4338" s="8"/>
      <c r="B4338" s="9"/>
      <c r="C4338" s="10"/>
      <c r="D4338" s="10"/>
      <c r="E4338" s="11"/>
      <c r="F4338" s="11"/>
      <c r="G4338" s="12"/>
      <c r="H4338" s="12"/>
      <c r="I4338" s="10"/>
      <c r="J4338" s="5"/>
      <c r="K4338" s="12"/>
      <c r="L4338" s="15"/>
    </row>
    <row r="4339" spans="1:12">
      <c r="A4339" s="8"/>
      <c r="B4339" s="9"/>
      <c r="C4339" s="10"/>
      <c r="D4339" s="10"/>
      <c r="E4339" s="11"/>
      <c r="F4339" s="11"/>
      <c r="G4339" s="12"/>
      <c r="H4339" s="12"/>
      <c r="I4339" s="10"/>
      <c r="J4339" s="5"/>
      <c r="K4339" s="12"/>
      <c r="L4339" s="15"/>
    </row>
    <row r="4340" spans="1:12">
      <c r="A4340" s="8"/>
      <c r="B4340" s="9"/>
      <c r="C4340" s="10"/>
      <c r="D4340" s="10"/>
      <c r="E4340" s="11"/>
      <c r="F4340" s="11"/>
      <c r="G4340" s="12"/>
      <c r="H4340" s="12"/>
      <c r="I4340" s="10"/>
      <c r="J4340" s="5"/>
      <c r="K4340" s="12"/>
      <c r="L4340" s="15"/>
    </row>
    <row r="4341" spans="1:12">
      <c r="A4341" s="8"/>
      <c r="B4341" s="9"/>
      <c r="C4341" s="10"/>
      <c r="D4341" s="10"/>
      <c r="E4341" s="11"/>
      <c r="F4341" s="11"/>
      <c r="G4341" s="12"/>
      <c r="H4341" s="12"/>
      <c r="I4341" s="10"/>
      <c r="J4341" s="5"/>
      <c r="K4341" s="12"/>
      <c r="L4341" s="15"/>
    </row>
    <row r="4342" spans="1:12">
      <c r="A4342" s="8"/>
      <c r="B4342" s="9"/>
      <c r="C4342" s="10"/>
      <c r="D4342" s="10"/>
      <c r="E4342" s="11"/>
      <c r="F4342" s="11"/>
      <c r="G4342" s="12"/>
      <c r="H4342" s="12"/>
      <c r="I4342" s="10"/>
      <c r="J4342" s="5"/>
      <c r="K4342" s="12"/>
      <c r="L4342" s="15"/>
    </row>
    <row r="4343" spans="1:12">
      <c r="A4343" s="8"/>
      <c r="B4343" s="9"/>
      <c r="C4343" s="10"/>
      <c r="D4343" s="10"/>
      <c r="E4343" s="11"/>
      <c r="F4343" s="11"/>
      <c r="G4343" s="12"/>
      <c r="H4343" s="12"/>
      <c r="I4343" s="10"/>
      <c r="J4343" s="5"/>
      <c r="K4343" s="12"/>
      <c r="L4343" s="15"/>
    </row>
    <row r="4344" spans="1:12">
      <c r="A4344" s="8"/>
      <c r="B4344" s="9"/>
      <c r="C4344" s="10"/>
      <c r="D4344" s="10"/>
      <c r="E4344" s="11"/>
      <c r="F4344" s="11"/>
      <c r="G4344" s="12"/>
      <c r="H4344" s="12"/>
      <c r="I4344" s="10"/>
      <c r="J4344" s="5"/>
      <c r="K4344" s="9"/>
      <c r="L4344" s="15"/>
    </row>
    <row r="4345" spans="1:12">
      <c r="A4345" s="8"/>
      <c r="B4345" s="9"/>
      <c r="C4345" s="10"/>
      <c r="D4345" s="10"/>
      <c r="E4345" s="11"/>
      <c r="F4345" s="11"/>
      <c r="G4345" s="12"/>
      <c r="H4345" s="12"/>
      <c r="I4345" s="10"/>
      <c r="J4345" s="5"/>
      <c r="K4345" s="12"/>
      <c r="L4345" s="15"/>
    </row>
    <row r="4346" spans="1:12">
      <c r="A4346" s="8"/>
      <c r="B4346" s="9"/>
      <c r="C4346" s="10"/>
      <c r="D4346" s="10"/>
      <c r="E4346" s="11"/>
      <c r="F4346" s="11"/>
      <c r="G4346" s="12"/>
      <c r="H4346" s="12"/>
      <c r="I4346" s="10"/>
      <c r="J4346" s="5"/>
      <c r="K4346" s="12"/>
      <c r="L4346" s="15"/>
    </row>
    <row r="4347" spans="1:12">
      <c r="A4347" s="8"/>
      <c r="B4347" s="9"/>
      <c r="C4347" s="10"/>
      <c r="D4347" s="10"/>
      <c r="E4347" s="11"/>
      <c r="F4347" s="11"/>
      <c r="G4347" s="12"/>
      <c r="H4347" s="12"/>
      <c r="I4347" s="10"/>
      <c r="J4347" s="5"/>
      <c r="K4347" s="9"/>
      <c r="L4347" s="15"/>
    </row>
    <row r="4348" spans="1:12">
      <c r="A4348" s="8"/>
      <c r="B4348" s="9"/>
      <c r="C4348" s="10"/>
      <c r="D4348" s="10"/>
      <c r="E4348" s="11"/>
      <c r="F4348" s="11"/>
      <c r="G4348" s="12"/>
      <c r="H4348" s="12"/>
      <c r="I4348" s="10"/>
      <c r="J4348" s="5"/>
      <c r="K4348" s="12"/>
      <c r="L4348" s="15"/>
    </row>
    <row r="4349" spans="1:12">
      <c r="A4349" s="8"/>
      <c r="B4349" s="9"/>
      <c r="C4349" s="10"/>
      <c r="D4349" s="10"/>
      <c r="E4349" s="11"/>
      <c r="F4349" s="11"/>
      <c r="G4349" s="12"/>
      <c r="H4349" s="12"/>
      <c r="I4349" s="10"/>
      <c r="J4349" s="5"/>
      <c r="K4349" s="12"/>
      <c r="L4349" s="15"/>
    </row>
    <row r="4350" spans="1:12">
      <c r="A4350" s="8"/>
      <c r="B4350" s="9"/>
      <c r="C4350" s="13"/>
      <c r="D4350" s="10"/>
      <c r="E4350" s="19"/>
      <c r="F4350" s="19"/>
      <c r="G4350" s="12"/>
      <c r="H4350" s="9"/>
      <c r="I4350" s="10"/>
      <c r="J4350" s="5"/>
      <c r="K4350" s="12"/>
      <c r="L4350" s="21"/>
    </row>
    <row r="4351" spans="1:12">
      <c r="A4351" s="8"/>
      <c r="B4351" s="9"/>
      <c r="C4351" s="10"/>
      <c r="D4351" s="10"/>
      <c r="E4351" s="11"/>
      <c r="F4351" s="11"/>
      <c r="G4351" s="12"/>
      <c r="H4351" s="12"/>
      <c r="I4351" s="10"/>
      <c r="J4351" s="5"/>
      <c r="K4351" s="12"/>
      <c r="L4351" s="15"/>
    </row>
    <row r="4352" spans="1:12">
      <c r="A4352" s="8"/>
      <c r="B4352" s="9"/>
      <c r="C4352" s="10"/>
      <c r="D4352" s="10"/>
      <c r="E4352" s="11"/>
      <c r="F4352" s="11"/>
      <c r="G4352" s="12"/>
      <c r="H4352" s="12"/>
      <c r="I4352" s="10"/>
      <c r="J4352" s="5"/>
      <c r="K4352" s="12"/>
      <c r="L4352" s="15"/>
    </row>
    <row r="4353" spans="1:12">
      <c r="A4353" s="8"/>
      <c r="B4353" s="9"/>
      <c r="C4353" s="10"/>
      <c r="D4353" s="10"/>
      <c r="E4353" s="11"/>
      <c r="F4353" s="11"/>
      <c r="G4353" s="12"/>
      <c r="H4353" s="12"/>
      <c r="I4353" s="10"/>
      <c r="J4353" s="5"/>
      <c r="K4353" s="12"/>
      <c r="L4353" s="15"/>
    </row>
    <row r="4354" spans="1:12">
      <c r="A4354" s="8"/>
      <c r="B4354" s="9"/>
      <c r="C4354" s="10"/>
      <c r="D4354" s="10"/>
      <c r="E4354" s="11"/>
      <c r="F4354" s="11"/>
      <c r="G4354" s="12"/>
      <c r="H4354" s="12"/>
      <c r="I4354" s="10"/>
      <c r="J4354" s="5"/>
      <c r="K4354" s="12"/>
      <c r="L4354" s="15"/>
    </row>
    <row r="4355" spans="1:12">
      <c r="A4355" s="8"/>
      <c r="B4355" s="9"/>
      <c r="C4355" s="10"/>
      <c r="D4355" s="10"/>
      <c r="E4355" s="11"/>
      <c r="F4355" s="11"/>
      <c r="G4355" s="12"/>
      <c r="H4355" s="12"/>
      <c r="I4355" s="10"/>
      <c r="J4355" s="5"/>
      <c r="K4355" s="12"/>
      <c r="L4355" s="15"/>
    </row>
    <row r="4356" spans="1:12">
      <c r="A4356" s="8"/>
      <c r="B4356" s="9"/>
      <c r="C4356" s="10"/>
      <c r="D4356" s="10"/>
      <c r="E4356" s="11"/>
      <c r="F4356" s="11"/>
      <c r="G4356" s="12"/>
      <c r="H4356" s="12"/>
      <c r="I4356" s="10"/>
      <c r="J4356" s="5"/>
      <c r="K4356" s="12"/>
      <c r="L4356" s="15"/>
    </row>
    <row r="4357" spans="1:12">
      <c r="A4357" s="8"/>
      <c r="B4357" s="9"/>
      <c r="C4357" s="10"/>
      <c r="D4357" s="10"/>
      <c r="E4357" s="22"/>
      <c r="F4357" s="22"/>
      <c r="G4357" s="12"/>
      <c r="H4357" s="10"/>
      <c r="I4357" s="10"/>
      <c r="J4357" s="5"/>
      <c r="K4357" s="12"/>
      <c r="L4357" s="15"/>
    </row>
    <row r="4358" spans="1:12">
      <c r="A4358" s="8"/>
      <c r="B4358" s="9"/>
      <c r="C4358" s="10"/>
      <c r="D4358" s="10"/>
      <c r="E4358" s="11"/>
      <c r="F4358" s="11"/>
      <c r="G4358" s="12"/>
      <c r="H4358" s="12"/>
      <c r="I4358" s="10"/>
      <c r="J4358" s="5"/>
      <c r="K4358" s="12"/>
      <c r="L4358" s="15"/>
    </row>
    <row r="4359" spans="1:12">
      <c r="A4359" s="8"/>
      <c r="B4359" s="9"/>
      <c r="C4359" s="10"/>
      <c r="D4359" s="10"/>
      <c r="E4359" s="11"/>
      <c r="F4359" s="11"/>
      <c r="G4359" s="12"/>
      <c r="H4359" s="12"/>
      <c r="I4359" s="10"/>
      <c r="J4359" s="5"/>
      <c r="K4359" s="12"/>
      <c r="L4359" s="15"/>
    </row>
    <row r="4360" spans="1:12">
      <c r="A4360" s="8"/>
      <c r="B4360" s="9"/>
      <c r="C4360" s="10"/>
      <c r="D4360" s="10"/>
      <c r="E4360" s="25"/>
      <c r="F4360" s="25"/>
      <c r="G4360" s="12"/>
      <c r="H4360" s="26"/>
      <c r="I4360" s="10"/>
      <c r="J4360" s="5"/>
      <c r="K4360" s="12"/>
      <c r="L4360" s="15"/>
    </row>
    <row r="4361" spans="1:12">
      <c r="A4361" s="8"/>
      <c r="B4361" s="9"/>
      <c r="C4361" s="10"/>
      <c r="D4361" s="10"/>
      <c r="E4361" s="11"/>
      <c r="F4361" s="11"/>
      <c r="G4361" s="12"/>
      <c r="H4361" s="12"/>
      <c r="I4361" s="10"/>
      <c r="J4361" s="5"/>
      <c r="K4361" s="12"/>
      <c r="L4361" s="15"/>
    </row>
    <row r="4362" spans="1:12">
      <c r="A4362" s="8"/>
      <c r="B4362" s="9"/>
      <c r="C4362" s="10"/>
      <c r="D4362" s="10"/>
      <c r="E4362" s="11"/>
      <c r="F4362" s="11"/>
      <c r="G4362" s="12"/>
      <c r="H4362" s="12"/>
      <c r="I4362" s="10"/>
      <c r="J4362" s="5"/>
      <c r="K4362" s="12"/>
      <c r="L4362" s="15"/>
    </row>
    <row r="4363" spans="1:12">
      <c r="A4363" s="8"/>
      <c r="B4363" s="9"/>
      <c r="C4363" s="10"/>
      <c r="D4363" s="10"/>
      <c r="E4363" s="11"/>
      <c r="F4363" s="11"/>
      <c r="G4363" s="12"/>
      <c r="H4363" s="12"/>
      <c r="I4363" s="10"/>
      <c r="J4363" s="5"/>
      <c r="K4363" s="12"/>
      <c r="L4363" s="15"/>
    </row>
    <row r="4364" spans="1:12">
      <c r="A4364" s="8"/>
      <c r="B4364" s="9"/>
      <c r="C4364" s="10"/>
      <c r="D4364" s="10"/>
      <c r="E4364" s="11"/>
      <c r="F4364" s="11"/>
      <c r="G4364" s="12"/>
      <c r="H4364" s="12"/>
      <c r="I4364" s="10"/>
      <c r="J4364" s="5"/>
      <c r="K4364" s="12"/>
      <c r="L4364" s="15"/>
    </row>
    <row r="4365" spans="1:12">
      <c r="A4365" s="8"/>
      <c r="B4365" s="9"/>
      <c r="C4365" s="10"/>
      <c r="D4365" s="10"/>
      <c r="E4365" s="11"/>
      <c r="F4365" s="11"/>
      <c r="G4365" s="12"/>
      <c r="H4365" s="12"/>
      <c r="I4365" s="10"/>
      <c r="J4365" s="5"/>
      <c r="K4365" s="12"/>
      <c r="L4365" s="15"/>
    </row>
    <row r="4366" spans="1:12">
      <c r="A4366" s="8"/>
      <c r="B4366" s="9"/>
      <c r="C4366" s="10"/>
      <c r="D4366" s="10"/>
      <c r="E4366" s="11"/>
      <c r="F4366" s="11"/>
      <c r="G4366" s="12"/>
      <c r="H4366" s="12"/>
      <c r="I4366" s="10"/>
      <c r="J4366" s="5"/>
      <c r="K4366" s="12"/>
      <c r="L4366" s="15"/>
    </row>
    <row r="4367" spans="1:12">
      <c r="A4367" s="8"/>
      <c r="B4367" s="9"/>
      <c r="C4367" s="10"/>
      <c r="D4367" s="10"/>
      <c r="E4367" s="11"/>
      <c r="F4367" s="11"/>
      <c r="G4367" s="12"/>
      <c r="H4367" s="12"/>
      <c r="I4367" s="10"/>
      <c r="J4367" s="5"/>
      <c r="K4367" s="12"/>
      <c r="L4367" s="15"/>
    </row>
    <row r="4368" spans="1:12">
      <c r="A4368" s="8"/>
      <c r="B4368" s="9"/>
      <c r="C4368" s="10"/>
      <c r="D4368" s="10"/>
      <c r="E4368" s="11"/>
      <c r="F4368" s="11"/>
      <c r="G4368" s="12"/>
      <c r="H4368" s="12"/>
      <c r="I4368" s="10"/>
      <c r="J4368" s="5"/>
      <c r="K4368" s="12"/>
      <c r="L4368" s="15"/>
    </row>
    <row r="4369" spans="1:12">
      <c r="A4369" s="8"/>
      <c r="B4369" s="9"/>
      <c r="C4369" s="10"/>
      <c r="D4369" s="10"/>
      <c r="E4369" s="11"/>
      <c r="F4369" s="11"/>
      <c r="G4369" s="12"/>
      <c r="H4369" s="12"/>
      <c r="I4369" s="10"/>
      <c r="J4369" s="5"/>
      <c r="K4369" s="12"/>
      <c r="L4369" s="15"/>
    </row>
    <row r="4370" spans="1:12">
      <c r="A4370" s="8"/>
      <c r="B4370" s="9"/>
      <c r="C4370" s="10"/>
      <c r="D4370" s="10"/>
      <c r="E4370" s="11"/>
      <c r="F4370" s="11"/>
      <c r="G4370" s="12"/>
      <c r="H4370" s="12"/>
      <c r="I4370" s="10"/>
      <c r="J4370" s="5"/>
      <c r="K4370" s="12"/>
      <c r="L4370" s="15"/>
    </row>
    <row r="4371" spans="1:12">
      <c r="A4371" s="8"/>
      <c r="B4371" s="9"/>
      <c r="C4371" s="10"/>
      <c r="D4371" s="10"/>
      <c r="E4371" s="11"/>
      <c r="F4371" s="11"/>
      <c r="G4371" s="12"/>
      <c r="H4371" s="12"/>
      <c r="I4371" s="10"/>
      <c r="J4371" s="5"/>
      <c r="K4371" s="12"/>
      <c r="L4371" s="15"/>
    </row>
    <row r="4372" spans="1:12">
      <c r="A4372" s="8"/>
      <c r="B4372" s="9"/>
      <c r="C4372" s="10"/>
      <c r="D4372" s="10"/>
      <c r="E4372" s="11"/>
      <c r="F4372" s="11"/>
      <c r="G4372" s="12"/>
      <c r="H4372" s="12"/>
      <c r="I4372" s="10"/>
      <c r="J4372" s="5"/>
      <c r="K4372" s="12"/>
      <c r="L4372" s="15"/>
    </row>
    <row r="4373" spans="1:12">
      <c r="A4373" s="8"/>
      <c r="B4373" s="9"/>
      <c r="C4373" s="10"/>
      <c r="D4373" s="10"/>
      <c r="E4373" s="11"/>
      <c r="F4373" s="11"/>
      <c r="G4373" s="12"/>
      <c r="H4373" s="12"/>
      <c r="I4373" s="10"/>
      <c r="J4373" s="5"/>
      <c r="K4373" s="12"/>
      <c r="L4373" s="15"/>
    </row>
    <row r="4374" spans="1:12">
      <c r="A4374" s="8"/>
      <c r="B4374" s="9"/>
      <c r="C4374" s="10"/>
      <c r="D4374" s="10"/>
      <c r="E4374" s="11"/>
      <c r="F4374" s="11"/>
      <c r="G4374" s="12"/>
      <c r="H4374" s="12"/>
      <c r="I4374" s="10"/>
      <c r="J4374" s="5"/>
      <c r="K4374" s="12"/>
      <c r="L4374" s="15"/>
    </row>
    <row r="4375" spans="1:12">
      <c r="A4375" s="8"/>
      <c r="B4375" s="9"/>
      <c r="C4375" s="10"/>
      <c r="D4375" s="10"/>
      <c r="E4375" s="11"/>
      <c r="F4375" s="11"/>
      <c r="G4375" s="12"/>
      <c r="H4375" s="12"/>
      <c r="I4375" s="10"/>
      <c r="J4375" s="5"/>
      <c r="K4375" s="12"/>
      <c r="L4375" s="15"/>
    </row>
    <row r="4376" spans="1:12">
      <c r="A4376" s="8"/>
      <c r="B4376" s="9"/>
      <c r="C4376" s="10"/>
      <c r="D4376" s="10"/>
      <c r="E4376" s="11"/>
      <c r="F4376" s="11"/>
      <c r="G4376" s="12"/>
      <c r="H4376" s="12"/>
      <c r="I4376" s="10"/>
      <c r="J4376" s="5"/>
      <c r="K4376" s="12"/>
      <c r="L4376" s="15"/>
    </row>
    <row r="4377" spans="1:12">
      <c r="A4377" s="8"/>
      <c r="B4377" s="9"/>
      <c r="C4377" s="10"/>
      <c r="D4377" s="10"/>
      <c r="E4377" s="11"/>
      <c r="F4377" s="11"/>
      <c r="G4377" s="12"/>
      <c r="H4377" s="12"/>
      <c r="I4377" s="10"/>
      <c r="J4377" s="5"/>
      <c r="K4377" s="12"/>
      <c r="L4377" s="15"/>
    </row>
    <row r="4378" spans="1:12">
      <c r="A4378" s="8"/>
      <c r="B4378" s="9"/>
      <c r="C4378" s="10"/>
      <c r="D4378" s="10"/>
      <c r="E4378" s="11"/>
      <c r="F4378" s="11"/>
      <c r="G4378" s="12"/>
      <c r="H4378" s="12"/>
      <c r="I4378" s="10"/>
      <c r="J4378" s="5"/>
      <c r="K4378" s="12"/>
      <c r="L4378" s="15"/>
    </row>
    <row r="4379" spans="1:12">
      <c r="A4379" s="8"/>
      <c r="B4379" s="9"/>
      <c r="C4379" s="10"/>
      <c r="D4379" s="10"/>
      <c r="E4379" s="11"/>
      <c r="F4379" s="11"/>
      <c r="G4379" s="12"/>
      <c r="H4379" s="12"/>
      <c r="I4379" s="10"/>
      <c r="J4379" s="5"/>
      <c r="K4379" s="9"/>
      <c r="L4379" s="15"/>
    </row>
    <row r="4380" spans="1:12">
      <c r="A4380" s="8"/>
      <c r="B4380" s="9"/>
      <c r="C4380" s="10"/>
      <c r="D4380" s="10"/>
      <c r="E4380" s="11"/>
      <c r="F4380" s="11"/>
      <c r="G4380" s="12"/>
      <c r="H4380" s="12"/>
      <c r="I4380" s="10"/>
      <c r="J4380" s="5"/>
      <c r="K4380" s="9"/>
      <c r="L4380" s="15"/>
    </row>
    <row r="4381" spans="1:12">
      <c r="A4381" s="8"/>
      <c r="B4381" s="9"/>
      <c r="C4381" s="10"/>
      <c r="D4381" s="10"/>
      <c r="E4381" s="11"/>
      <c r="F4381" s="11"/>
      <c r="G4381" s="12"/>
      <c r="H4381" s="12"/>
      <c r="I4381" s="10"/>
      <c r="J4381" s="5"/>
      <c r="K4381" s="9"/>
      <c r="L4381" s="15"/>
    </row>
    <row r="4382" spans="1:12">
      <c r="A4382" s="8"/>
      <c r="B4382" s="9"/>
      <c r="C4382" s="10"/>
      <c r="D4382" s="10"/>
      <c r="E4382" s="11"/>
      <c r="F4382" s="11"/>
      <c r="G4382" s="12"/>
      <c r="H4382" s="12"/>
      <c r="I4382" s="10"/>
      <c r="J4382" s="5"/>
      <c r="K4382" s="9"/>
      <c r="L4382" s="15"/>
    </row>
    <row r="4383" spans="1:12">
      <c r="A4383" s="8"/>
      <c r="B4383" s="9"/>
      <c r="C4383" s="10"/>
      <c r="D4383" s="10"/>
      <c r="E4383" s="11"/>
      <c r="F4383" s="11"/>
      <c r="G4383" s="12"/>
      <c r="H4383" s="12"/>
      <c r="I4383" s="10"/>
      <c r="J4383" s="5"/>
      <c r="K4383" s="12"/>
      <c r="L4383" s="15"/>
    </row>
    <row r="4384" spans="1:12">
      <c r="A4384" s="8"/>
      <c r="B4384" s="9"/>
      <c r="C4384" s="10"/>
      <c r="D4384" s="10"/>
      <c r="E4384" s="11"/>
      <c r="F4384" s="11"/>
      <c r="G4384" s="12"/>
      <c r="H4384" s="12"/>
      <c r="I4384" s="10"/>
      <c r="J4384" s="5"/>
      <c r="K4384" s="9"/>
      <c r="L4384" s="15"/>
    </row>
    <row r="4385" spans="1:12">
      <c r="A4385" s="8"/>
      <c r="B4385" s="9"/>
      <c r="C4385" s="10"/>
      <c r="D4385" s="10"/>
      <c r="E4385" s="11"/>
      <c r="F4385" s="11"/>
      <c r="G4385" s="12"/>
      <c r="H4385" s="12"/>
      <c r="I4385" s="10"/>
      <c r="J4385" s="5"/>
      <c r="K4385" s="9"/>
      <c r="L4385" s="15"/>
    </row>
    <row r="4386" spans="1:12">
      <c r="A4386" s="8"/>
      <c r="B4386" s="9"/>
      <c r="C4386" s="10"/>
      <c r="D4386" s="10"/>
      <c r="E4386" s="11"/>
      <c r="F4386" s="11"/>
      <c r="G4386" s="12"/>
      <c r="H4386" s="12"/>
      <c r="I4386" s="10"/>
      <c r="J4386" s="5"/>
      <c r="K4386" s="12"/>
      <c r="L4386" s="15"/>
    </row>
    <row r="4387" spans="1:12">
      <c r="A4387" s="8"/>
      <c r="B4387" s="9"/>
      <c r="C4387" s="10"/>
      <c r="D4387" s="10"/>
      <c r="E4387" s="11"/>
      <c r="F4387" s="11"/>
      <c r="G4387" s="12"/>
      <c r="H4387" s="12"/>
      <c r="I4387" s="10"/>
      <c r="J4387" s="5"/>
      <c r="K4387" s="12"/>
      <c r="L4387" s="15"/>
    </row>
    <row r="4388" spans="1:12">
      <c r="A4388" s="8"/>
      <c r="B4388" s="9"/>
      <c r="C4388" s="10"/>
      <c r="D4388" s="10"/>
      <c r="E4388" s="11"/>
      <c r="F4388" s="11"/>
      <c r="G4388" s="12"/>
      <c r="H4388" s="12"/>
      <c r="I4388" s="10"/>
      <c r="J4388" s="5"/>
      <c r="K4388" s="12"/>
      <c r="L4388" s="15"/>
    </row>
    <row r="4389" spans="1:12">
      <c r="A4389" s="8"/>
      <c r="B4389" s="9"/>
      <c r="C4389" s="10"/>
      <c r="D4389" s="10"/>
      <c r="E4389" s="11"/>
      <c r="F4389" s="11"/>
      <c r="G4389" s="12"/>
      <c r="H4389" s="12"/>
      <c r="I4389" s="10"/>
      <c r="J4389" s="5"/>
      <c r="K4389" s="12"/>
      <c r="L4389" s="15"/>
    </row>
    <row r="4390" spans="1:12">
      <c r="A4390" s="8"/>
      <c r="B4390" s="9"/>
      <c r="C4390" s="10"/>
      <c r="D4390" s="10"/>
      <c r="E4390" s="11"/>
      <c r="F4390" s="11"/>
      <c r="G4390" s="12"/>
      <c r="H4390" s="12"/>
      <c r="I4390" s="10"/>
      <c r="J4390" s="5"/>
      <c r="K4390" s="12"/>
      <c r="L4390" s="15"/>
    </row>
    <row r="4391" spans="1:12">
      <c r="A4391" s="8"/>
      <c r="B4391" s="9"/>
      <c r="C4391" s="10"/>
      <c r="D4391" s="10"/>
      <c r="E4391" s="11"/>
      <c r="F4391" s="11"/>
      <c r="G4391" s="12"/>
      <c r="H4391" s="12"/>
      <c r="I4391" s="10"/>
      <c r="J4391" s="5"/>
      <c r="K4391" s="12"/>
      <c r="L4391" s="15"/>
    </row>
    <row r="4392" spans="1:12">
      <c r="A4392" s="8"/>
      <c r="B4392" s="9"/>
      <c r="C4392" s="10"/>
      <c r="D4392" s="10"/>
      <c r="E4392" s="11"/>
      <c r="F4392" s="11"/>
      <c r="G4392" s="12"/>
      <c r="H4392" s="12"/>
      <c r="I4392" s="10"/>
      <c r="J4392" s="5"/>
      <c r="K4392" s="9"/>
      <c r="L4392" s="15"/>
    </row>
    <row r="4393" spans="1:12">
      <c r="A4393" s="8"/>
      <c r="B4393" s="9"/>
      <c r="C4393" s="10"/>
      <c r="D4393" s="10"/>
      <c r="E4393" s="11"/>
      <c r="F4393" s="11"/>
      <c r="G4393" s="12"/>
      <c r="H4393" s="12"/>
      <c r="I4393" s="10"/>
      <c r="J4393" s="5"/>
      <c r="K4393" s="12"/>
      <c r="L4393" s="15"/>
    </row>
    <row r="4394" spans="1:12">
      <c r="A4394" s="8"/>
      <c r="B4394" s="9"/>
      <c r="C4394" s="10"/>
      <c r="D4394" s="10"/>
      <c r="E4394" s="11"/>
      <c r="F4394" s="11"/>
      <c r="G4394" s="12"/>
      <c r="H4394" s="12"/>
      <c r="I4394" s="10"/>
      <c r="J4394" s="5"/>
      <c r="K4394" s="12"/>
      <c r="L4394" s="15"/>
    </row>
    <row r="4395" spans="1:12">
      <c r="A4395" s="8"/>
      <c r="B4395" s="9"/>
      <c r="C4395" s="10"/>
      <c r="D4395" s="10"/>
      <c r="E4395" s="11"/>
      <c r="F4395" s="11"/>
      <c r="G4395" s="12"/>
      <c r="H4395" s="12"/>
      <c r="I4395" s="10"/>
      <c r="J4395" s="5"/>
      <c r="K4395" s="12"/>
      <c r="L4395" s="15"/>
    </row>
    <row r="4396" spans="1:12">
      <c r="A4396" s="8"/>
      <c r="B4396" s="9"/>
      <c r="C4396" s="10"/>
      <c r="D4396" s="10"/>
      <c r="E4396" s="11"/>
      <c r="F4396" s="11"/>
      <c r="G4396" s="12"/>
      <c r="H4396" s="12"/>
      <c r="I4396" s="10"/>
      <c r="J4396" s="5"/>
      <c r="K4396" s="12"/>
      <c r="L4396" s="15"/>
    </row>
    <row r="4397" spans="1:12">
      <c r="A4397" s="8"/>
      <c r="B4397" s="9"/>
      <c r="C4397" s="10"/>
      <c r="D4397" s="10"/>
      <c r="E4397" s="11"/>
      <c r="F4397" s="11"/>
      <c r="G4397" s="12"/>
      <c r="H4397" s="12"/>
      <c r="I4397" s="10"/>
      <c r="J4397" s="5"/>
      <c r="K4397" s="12"/>
      <c r="L4397" s="15"/>
    </row>
    <row r="4398" spans="1:12">
      <c r="A4398" s="8"/>
      <c r="B4398" s="9"/>
      <c r="C4398" s="10"/>
      <c r="D4398" s="10"/>
      <c r="E4398" s="11"/>
      <c r="F4398" s="11"/>
      <c r="G4398" s="12"/>
      <c r="H4398" s="12"/>
      <c r="I4398" s="10"/>
      <c r="J4398" s="5"/>
      <c r="K4398" s="12"/>
      <c r="L4398" s="15"/>
    </row>
    <row r="4399" spans="1:12">
      <c r="A4399" s="8"/>
      <c r="B4399" s="9"/>
      <c r="C4399" s="10"/>
      <c r="D4399" s="10"/>
      <c r="E4399" s="11"/>
      <c r="F4399" s="11"/>
      <c r="G4399" s="12"/>
      <c r="H4399" s="12"/>
      <c r="I4399" s="10"/>
      <c r="J4399" s="5"/>
      <c r="K4399" s="12"/>
      <c r="L4399" s="15"/>
    </row>
    <row r="4400" spans="1:12">
      <c r="A4400" s="8"/>
      <c r="B4400" s="9"/>
      <c r="C4400" s="10"/>
      <c r="D4400" s="10"/>
      <c r="E4400" s="25"/>
      <c r="F4400" s="25"/>
      <c r="G4400" s="12"/>
      <c r="H4400" s="26"/>
      <c r="I4400" s="10"/>
      <c r="J4400" s="5"/>
      <c r="K4400" s="12"/>
      <c r="L4400" s="15"/>
    </row>
    <row r="4401" spans="1:12">
      <c r="A4401" s="8"/>
      <c r="B4401" s="9"/>
      <c r="C4401" s="10"/>
      <c r="D4401" s="10"/>
      <c r="E4401" s="25"/>
      <c r="F4401" s="25"/>
      <c r="G4401" s="12"/>
      <c r="H4401" s="26"/>
      <c r="I4401" s="10"/>
      <c r="J4401" s="5"/>
      <c r="K4401" s="12"/>
      <c r="L4401" s="15"/>
    </row>
    <row r="4402" spans="1:12">
      <c r="A4402" s="8"/>
      <c r="B4402" s="9"/>
      <c r="C4402" s="10"/>
      <c r="D4402" s="10"/>
      <c r="E4402" s="25"/>
      <c r="F4402" s="25"/>
      <c r="G4402" s="12"/>
      <c r="H4402" s="26"/>
      <c r="I4402" s="10"/>
      <c r="J4402" s="5"/>
      <c r="K4402" s="12"/>
      <c r="L4402" s="15"/>
    </row>
    <row r="4403" spans="1:12">
      <c r="A4403" s="8"/>
      <c r="B4403" s="9"/>
      <c r="C4403" s="10"/>
      <c r="D4403" s="10"/>
      <c r="E4403" s="19"/>
      <c r="F4403" s="19"/>
      <c r="G4403" s="12"/>
      <c r="H4403" s="12"/>
      <c r="I4403" s="10"/>
      <c r="J4403" s="5"/>
      <c r="K4403" s="12"/>
      <c r="L4403" s="15"/>
    </row>
    <row r="4404" spans="1:12">
      <c r="A4404" s="8"/>
      <c r="B4404" s="9"/>
      <c r="C4404" s="10"/>
      <c r="D4404" s="10"/>
      <c r="E4404" s="11"/>
      <c r="F4404" s="11"/>
      <c r="G4404" s="12"/>
      <c r="H4404" s="12"/>
      <c r="I4404" s="10"/>
      <c r="J4404" s="5"/>
      <c r="K4404" s="9"/>
      <c r="L4404" s="15"/>
    </row>
    <row r="4405" spans="1:12">
      <c r="A4405" s="8"/>
      <c r="B4405" s="9"/>
      <c r="C4405" s="10"/>
      <c r="D4405" s="10"/>
      <c r="E4405" s="11"/>
      <c r="F4405" s="11"/>
      <c r="G4405" s="12"/>
      <c r="H4405" s="12"/>
      <c r="I4405" s="10"/>
      <c r="J4405" s="5"/>
      <c r="K4405" s="12"/>
      <c r="L4405" s="15"/>
    </row>
    <row r="4406" spans="1:12">
      <c r="A4406" s="8"/>
      <c r="B4406" s="9"/>
      <c r="C4406" s="10"/>
      <c r="D4406" s="10"/>
      <c r="E4406" s="11"/>
      <c r="F4406" s="11"/>
      <c r="G4406" s="12"/>
      <c r="H4406" s="12"/>
      <c r="I4406" s="10"/>
      <c r="J4406" s="5"/>
      <c r="K4406" s="12"/>
      <c r="L4406" s="15"/>
    </row>
    <row r="4407" spans="1:12">
      <c r="A4407" s="8"/>
      <c r="B4407" s="9"/>
      <c r="C4407" s="10"/>
      <c r="D4407" s="10"/>
      <c r="E4407" s="11"/>
      <c r="F4407" s="11"/>
      <c r="G4407" s="12"/>
      <c r="H4407" s="12"/>
      <c r="I4407" s="10"/>
      <c r="J4407" s="5"/>
      <c r="K4407" s="12"/>
      <c r="L4407" s="15"/>
    </row>
    <row r="4408" spans="1:12">
      <c r="A4408" s="8"/>
      <c r="B4408" s="9"/>
      <c r="C4408" s="10"/>
      <c r="D4408" s="10"/>
      <c r="E4408" s="11"/>
      <c r="F4408" s="11"/>
      <c r="G4408" s="12"/>
      <c r="H4408" s="12"/>
      <c r="I4408" s="10"/>
      <c r="J4408" s="5"/>
      <c r="K4408" s="12"/>
      <c r="L4408" s="15"/>
    </row>
    <row r="4409" spans="1:12">
      <c r="A4409" s="8"/>
      <c r="B4409" s="9"/>
      <c r="C4409" s="10"/>
      <c r="D4409" s="10"/>
      <c r="E4409" s="11"/>
      <c r="F4409" s="11"/>
      <c r="G4409" s="12"/>
      <c r="H4409" s="12"/>
      <c r="I4409" s="10"/>
      <c r="J4409" s="5"/>
      <c r="K4409" s="12"/>
      <c r="L4409" s="15"/>
    </row>
    <row r="4410" spans="1:12">
      <c r="A4410" s="8"/>
      <c r="B4410" s="9"/>
      <c r="C4410" s="10"/>
      <c r="D4410" s="10"/>
      <c r="E4410" s="11"/>
      <c r="F4410" s="11"/>
      <c r="G4410" s="12"/>
      <c r="H4410" s="12"/>
      <c r="I4410" s="10"/>
      <c r="J4410" s="5"/>
      <c r="K4410" s="12"/>
      <c r="L4410" s="15"/>
    </row>
    <row r="4411" spans="1:12">
      <c r="A4411" s="8"/>
      <c r="B4411" s="9"/>
      <c r="C4411" s="10"/>
      <c r="D4411" s="10"/>
      <c r="E4411" s="11"/>
      <c r="F4411" s="11"/>
      <c r="G4411" s="12"/>
      <c r="H4411" s="12"/>
      <c r="I4411" s="10"/>
      <c r="J4411" s="5"/>
      <c r="K4411" s="12"/>
      <c r="L4411" s="15"/>
    </row>
    <row r="4412" spans="1:12">
      <c r="A4412" s="8"/>
      <c r="B4412" s="9"/>
      <c r="C4412" s="10"/>
      <c r="D4412" s="10"/>
      <c r="E4412" s="11"/>
      <c r="F4412" s="11"/>
      <c r="G4412" s="12"/>
      <c r="H4412" s="12"/>
      <c r="I4412" s="10"/>
      <c r="J4412" s="5"/>
      <c r="K4412" s="12"/>
      <c r="L4412" s="15"/>
    </row>
    <row r="4413" spans="1:12">
      <c r="A4413" s="8"/>
      <c r="B4413" s="9"/>
      <c r="C4413" s="10"/>
      <c r="D4413" s="10"/>
      <c r="E4413" s="11"/>
      <c r="F4413" s="11"/>
      <c r="G4413" s="12"/>
      <c r="H4413" s="12"/>
      <c r="I4413" s="10"/>
      <c r="J4413" s="5"/>
      <c r="K4413" s="12"/>
      <c r="L4413" s="15"/>
    </row>
    <row r="4414" spans="1:12">
      <c r="A4414" s="8"/>
      <c r="B4414" s="9"/>
      <c r="C4414" s="10"/>
      <c r="D4414" s="10"/>
      <c r="E4414" s="11"/>
      <c r="F4414" s="11"/>
      <c r="G4414" s="12"/>
      <c r="H4414" s="10"/>
      <c r="I4414" s="10"/>
      <c r="J4414" s="5"/>
      <c r="K4414" s="12"/>
      <c r="L4414" s="15"/>
    </row>
    <row r="4415" spans="1:12">
      <c r="A4415" s="8"/>
      <c r="B4415" s="9"/>
      <c r="C4415" s="10"/>
      <c r="D4415" s="10"/>
      <c r="E4415" s="11"/>
      <c r="F4415" s="11"/>
      <c r="G4415" s="12"/>
      <c r="H4415" s="12"/>
      <c r="I4415" s="10"/>
      <c r="J4415" s="5"/>
      <c r="K4415" s="9"/>
      <c r="L4415" s="15"/>
    </row>
    <row r="4416" spans="1:12">
      <c r="A4416" s="8"/>
      <c r="B4416" s="9"/>
      <c r="C4416" s="10"/>
      <c r="D4416" s="10"/>
      <c r="E4416" s="11"/>
      <c r="F4416" s="11"/>
      <c r="G4416" s="12"/>
      <c r="H4416" s="12"/>
      <c r="I4416" s="10"/>
      <c r="J4416" s="5"/>
      <c r="K4416" s="9"/>
      <c r="L4416" s="15"/>
    </row>
    <row r="4417" spans="1:12">
      <c r="A4417" s="8"/>
      <c r="B4417" s="9"/>
      <c r="C4417" s="10"/>
      <c r="D4417" s="10"/>
      <c r="E4417" s="11"/>
      <c r="F4417" s="11"/>
      <c r="G4417" s="12"/>
      <c r="H4417" s="12"/>
      <c r="I4417" s="10"/>
      <c r="J4417" s="5"/>
      <c r="K4417" s="9"/>
      <c r="L4417" s="15"/>
    </row>
    <row r="4418" spans="1:12">
      <c r="A4418" s="8"/>
      <c r="B4418" s="9"/>
      <c r="C4418" s="10"/>
      <c r="D4418" s="10"/>
      <c r="E4418" s="11"/>
      <c r="F4418" s="11"/>
      <c r="G4418" s="12"/>
      <c r="H4418" s="12"/>
      <c r="I4418" s="10"/>
      <c r="J4418" s="5"/>
      <c r="K4418" s="9"/>
      <c r="L4418" s="15"/>
    </row>
    <row r="4419" spans="1:12">
      <c r="A4419" s="8"/>
      <c r="B4419" s="9"/>
      <c r="C4419" s="10"/>
      <c r="D4419" s="10"/>
      <c r="E4419" s="22"/>
      <c r="F4419" s="22"/>
      <c r="G4419" s="12"/>
      <c r="H4419" s="10"/>
      <c r="I4419" s="10"/>
      <c r="J4419" s="5"/>
      <c r="K4419" s="13"/>
      <c r="L4419" s="23"/>
    </row>
    <row r="4420" spans="1:12">
      <c r="A4420" s="8"/>
      <c r="B4420" s="9"/>
      <c r="C4420" s="10"/>
      <c r="D4420" s="10"/>
      <c r="E4420" s="11"/>
      <c r="F4420" s="11"/>
      <c r="G4420" s="12"/>
      <c r="H4420" s="12"/>
      <c r="I4420" s="10"/>
      <c r="J4420" s="5"/>
      <c r="K4420" s="12"/>
      <c r="L4420" s="15"/>
    </row>
    <row r="4421" spans="1:12">
      <c r="A4421" s="8"/>
      <c r="B4421" s="9"/>
      <c r="C4421" s="10"/>
      <c r="D4421" s="10"/>
      <c r="E4421" s="11"/>
      <c r="F4421" s="11"/>
      <c r="G4421" s="12"/>
      <c r="H4421" s="12"/>
      <c r="I4421" s="10"/>
      <c r="J4421" s="5"/>
      <c r="K4421" s="12"/>
      <c r="L4421" s="15"/>
    </row>
    <row r="4422" spans="1:12">
      <c r="A4422" s="8"/>
      <c r="B4422" s="9"/>
      <c r="C4422" s="10"/>
      <c r="D4422" s="10"/>
      <c r="E4422" s="11"/>
      <c r="F4422" s="11"/>
      <c r="G4422" s="12"/>
      <c r="H4422" s="12"/>
      <c r="I4422" s="10"/>
      <c r="J4422" s="5"/>
      <c r="K4422" s="12"/>
      <c r="L4422" s="15"/>
    </row>
    <row r="4423" spans="1:12">
      <c r="A4423" s="8"/>
      <c r="B4423" s="9"/>
      <c r="C4423" s="10"/>
      <c r="D4423" s="10"/>
      <c r="E4423" s="11"/>
      <c r="F4423" s="11"/>
      <c r="G4423" s="12"/>
      <c r="H4423" s="12"/>
      <c r="I4423" s="10"/>
      <c r="J4423" s="5"/>
      <c r="K4423" s="12"/>
      <c r="L4423" s="15"/>
    </row>
    <row r="4424" spans="1:12">
      <c r="A4424" s="8"/>
      <c r="B4424" s="9"/>
      <c r="C4424" s="10"/>
      <c r="D4424" s="10"/>
      <c r="E4424" s="11"/>
      <c r="F4424" s="11"/>
      <c r="G4424" s="12"/>
      <c r="H4424" s="12"/>
      <c r="I4424" s="10"/>
      <c r="J4424" s="5"/>
      <c r="K4424" s="12"/>
      <c r="L4424" s="15"/>
    </row>
    <row r="4425" spans="1:12">
      <c r="A4425" s="8"/>
      <c r="B4425" s="9"/>
      <c r="C4425" s="10"/>
      <c r="D4425" s="10"/>
      <c r="E4425" s="11"/>
      <c r="F4425" s="11"/>
      <c r="G4425" s="12"/>
      <c r="H4425" s="12"/>
      <c r="I4425" s="10"/>
      <c r="J4425" s="5"/>
      <c r="K4425" s="12"/>
      <c r="L4425" s="15"/>
    </row>
    <row r="4426" spans="1:12">
      <c r="A4426" s="8"/>
      <c r="B4426" s="9"/>
      <c r="C4426" s="10"/>
      <c r="D4426" s="10"/>
      <c r="E4426" s="11"/>
      <c r="F4426" s="11"/>
      <c r="G4426" s="12"/>
      <c r="H4426" s="12"/>
      <c r="I4426" s="10"/>
      <c r="J4426" s="5"/>
      <c r="K4426" s="12"/>
      <c r="L4426" s="15"/>
    </row>
    <row r="4427" spans="1:12">
      <c r="A4427" s="8"/>
      <c r="B4427" s="9"/>
      <c r="C4427" s="10"/>
      <c r="D4427" s="10"/>
      <c r="E4427" s="11"/>
      <c r="F4427" s="11"/>
      <c r="G4427" s="12"/>
      <c r="H4427" s="12"/>
      <c r="I4427" s="10"/>
      <c r="J4427" s="5"/>
      <c r="K4427" s="12"/>
      <c r="L4427" s="15"/>
    </row>
    <row r="4428" spans="1:12">
      <c r="A4428" s="8"/>
      <c r="B4428" s="9"/>
      <c r="C4428" s="10"/>
      <c r="D4428" s="10"/>
      <c r="E4428" s="11"/>
      <c r="F4428" s="11"/>
      <c r="G4428" s="12"/>
      <c r="H4428" s="12"/>
      <c r="I4428" s="10"/>
      <c r="J4428" s="5"/>
      <c r="K4428" s="12"/>
      <c r="L4428" s="15"/>
    </row>
    <row r="4429" spans="1:12">
      <c r="A4429" s="8"/>
      <c r="B4429" s="9"/>
      <c r="C4429" s="10"/>
      <c r="D4429" s="10"/>
      <c r="E4429" s="11"/>
      <c r="F4429" s="11"/>
      <c r="G4429" s="12"/>
      <c r="H4429" s="12"/>
      <c r="I4429" s="10"/>
      <c r="J4429" s="5"/>
      <c r="K4429" s="12"/>
      <c r="L4429" s="15"/>
    </row>
    <row r="4430" spans="1:12">
      <c r="A4430" s="8"/>
      <c r="B4430" s="9"/>
      <c r="C4430" s="10"/>
      <c r="D4430" s="10"/>
      <c r="E4430" s="11"/>
      <c r="F4430" s="11"/>
      <c r="G4430" s="12"/>
      <c r="H4430" s="12"/>
      <c r="I4430" s="10"/>
      <c r="J4430" s="5"/>
      <c r="K4430" s="12"/>
      <c r="L4430" s="15"/>
    </row>
    <row r="4431" spans="1:12">
      <c r="A4431" s="8"/>
      <c r="B4431" s="9"/>
      <c r="C4431" s="10"/>
      <c r="D4431" s="10"/>
      <c r="E4431" s="11"/>
      <c r="F4431" s="11"/>
      <c r="G4431" s="12"/>
      <c r="H4431" s="12"/>
      <c r="I4431" s="10"/>
      <c r="J4431" s="5"/>
      <c r="K4431" s="9"/>
      <c r="L4431" s="15"/>
    </row>
    <row r="4432" spans="1:12">
      <c r="A4432" s="8"/>
      <c r="B4432" s="9"/>
      <c r="C4432" s="10"/>
      <c r="D4432" s="10"/>
      <c r="E4432" s="11"/>
      <c r="F4432" s="11"/>
      <c r="G4432" s="12"/>
      <c r="H4432" s="12"/>
      <c r="I4432" s="10"/>
      <c r="J4432" s="5"/>
      <c r="K4432" s="12"/>
      <c r="L4432" s="15"/>
    </row>
    <row r="4433" spans="1:12">
      <c r="A4433" s="8"/>
      <c r="B4433" s="9"/>
      <c r="C4433" s="10"/>
      <c r="D4433" s="10"/>
      <c r="E4433" s="11"/>
      <c r="F4433" s="11"/>
      <c r="G4433" s="12"/>
      <c r="H4433" s="12"/>
      <c r="I4433" s="10"/>
      <c r="J4433" s="5"/>
      <c r="K4433" s="12"/>
      <c r="L4433" s="15"/>
    </row>
    <row r="4434" spans="1:12">
      <c r="A4434" s="8"/>
      <c r="B4434" s="9"/>
      <c r="C4434" s="10"/>
      <c r="D4434" s="10"/>
      <c r="E4434" s="11"/>
      <c r="F4434" s="11"/>
      <c r="G4434" s="12"/>
      <c r="H4434" s="12"/>
      <c r="I4434" s="10"/>
      <c r="J4434" s="5"/>
      <c r="K4434" s="12"/>
      <c r="L4434" s="15"/>
    </row>
    <row r="4435" spans="1:12">
      <c r="A4435" s="8"/>
      <c r="B4435" s="9"/>
      <c r="C4435" s="10"/>
      <c r="D4435" s="10"/>
      <c r="E4435" s="11"/>
      <c r="F4435" s="11"/>
      <c r="G4435" s="12"/>
      <c r="H4435" s="12"/>
      <c r="I4435" s="10"/>
      <c r="J4435" s="5"/>
      <c r="K4435" s="12"/>
      <c r="L4435" s="15"/>
    </row>
    <row r="4436" spans="1:12">
      <c r="A4436" s="8"/>
      <c r="B4436" s="9"/>
      <c r="C4436" s="10"/>
      <c r="D4436" s="10"/>
      <c r="E4436" s="11"/>
      <c r="F4436" s="11"/>
      <c r="G4436" s="12"/>
      <c r="H4436" s="12"/>
      <c r="I4436" s="10"/>
      <c r="J4436" s="5"/>
      <c r="K4436" s="12"/>
      <c r="L4436" s="15"/>
    </row>
    <row r="4437" spans="1:12">
      <c r="A4437" s="8"/>
      <c r="B4437" s="9"/>
      <c r="C4437" s="10"/>
      <c r="D4437" s="10"/>
      <c r="E4437" s="11"/>
      <c r="F4437" s="11"/>
      <c r="G4437" s="12"/>
      <c r="H4437" s="12"/>
      <c r="I4437" s="10"/>
      <c r="J4437" s="5"/>
      <c r="K4437" s="12"/>
      <c r="L4437" s="15"/>
    </row>
    <row r="4438" spans="1:12">
      <c r="A4438" s="8"/>
      <c r="B4438" s="9"/>
      <c r="C4438" s="10"/>
      <c r="D4438" s="10"/>
      <c r="E4438" s="11"/>
      <c r="F4438" s="11"/>
      <c r="G4438" s="12"/>
      <c r="H4438" s="12"/>
      <c r="I4438" s="10"/>
      <c r="J4438" s="5"/>
      <c r="K4438" s="12"/>
      <c r="L4438" s="15"/>
    </row>
    <row r="4439" spans="1:12">
      <c r="A4439" s="8"/>
      <c r="B4439" s="9"/>
      <c r="C4439" s="10"/>
      <c r="D4439" s="10"/>
      <c r="E4439" s="11"/>
      <c r="F4439" s="11"/>
      <c r="G4439" s="12"/>
      <c r="H4439" s="12"/>
      <c r="I4439" s="10"/>
      <c r="J4439" s="5"/>
      <c r="K4439" s="12"/>
      <c r="L4439" s="15"/>
    </row>
    <row r="4440" spans="1:12">
      <c r="A4440" s="8"/>
      <c r="B4440" s="9"/>
      <c r="C4440" s="10"/>
      <c r="D4440" s="10"/>
      <c r="E4440" s="11"/>
      <c r="F4440" s="11"/>
      <c r="G4440" s="12"/>
      <c r="H4440" s="12"/>
      <c r="I4440" s="10"/>
      <c r="J4440" s="5"/>
      <c r="K4440" s="12"/>
      <c r="L4440" s="15"/>
    </row>
    <row r="4441" spans="1:12">
      <c r="A4441" s="8"/>
      <c r="B4441" s="9"/>
      <c r="C4441" s="10"/>
      <c r="D4441" s="10"/>
      <c r="E4441" s="11"/>
      <c r="F4441" s="11"/>
      <c r="G4441" s="12"/>
      <c r="H4441" s="12"/>
      <c r="I4441" s="10"/>
      <c r="J4441" s="5"/>
      <c r="K4441" s="12"/>
      <c r="L4441" s="15"/>
    </row>
    <row r="4442" spans="1:12">
      <c r="A4442" s="8"/>
      <c r="B4442" s="9"/>
      <c r="C4442" s="10"/>
      <c r="D4442" s="10"/>
      <c r="E4442" s="11"/>
      <c r="F4442" s="11"/>
      <c r="G4442" s="12"/>
      <c r="H4442" s="12"/>
      <c r="I4442" s="10"/>
      <c r="J4442" s="5"/>
      <c r="K4442" s="12"/>
      <c r="L4442" s="15"/>
    </row>
    <row r="4443" spans="1:12">
      <c r="A4443" s="8"/>
      <c r="B4443" s="9"/>
      <c r="C4443" s="10"/>
      <c r="D4443" s="10"/>
      <c r="E4443" s="11"/>
      <c r="F4443" s="11"/>
      <c r="G4443" s="12"/>
      <c r="H4443" s="12"/>
      <c r="I4443" s="10"/>
      <c r="J4443" s="5"/>
      <c r="K4443" s="12"/>
      <c r="L4443" s="15"/>
    </row>
    <row r="4444" spans="1:12">
      <c r="A4444" s="8"/>
      <c r="B4444" s="9"/>
      <c r="C4444" s="10"/>
      <c r="D4444" s="10"/>
      <c r="E4444" s="11"/>
      <c r="F4444" s="11"/>
      <c r="G4444" s="12"/>
      <c r="H4444" s="12"/>
      <c r="I4444" s="10"/>
      <c r="J4444" s="5"/>
      <c r="K4444" s="12"/>
      <c r="L4444" s="15"/>
    </row>
    <row r="4445" spans="1:12">
      <c r="A4445" s="8"/>
      <c r="B4445" s="9"/>
      <c r="C4445" s="10"/>
      <c r="D4445" s="10"/>
      <c r="E4445" s="11"/>
      <c r="F4445" s="11"/>
      <c r="G4445" s="12"/>
      <c r="H4445" s="12"/>
      <c r="I4445" s="10"/>
      <c r="J4445" s="5"/>
      <c r="K4445" s="12"/>
      <c r="L4445" s="15"/>
    </row>
    <row r="4446" spans="1:12">
      <c r="A4446" s="8"/>
      <c r="B4446" s="9"/>
      <c r="C4446" s="10"/>
      <c r="D4446" s="10"/>
      <c r="E4446" s="11"/>
      <c r="F4446" s="11"/>
      <c r="G4446" s="12"/>
      <c r="H4446" s="12"/>
      <c r="I4446" s="10"/>
      <c r="J4446" s="5"/>
      <c r="K4446" s="12"/>
      <c r="L4446" s="15"/>
    </row>
    <row r="4447" spans="1:12">
      <c r="A4447" s="8"/>
      <c r="B4447" s="9"/>
      <c r="C4447" s="10"/>
      <c r="D4447" s="10"/>
      <c r="E4447" s="11"/>
      <c r="F4447" s="11"/>
      <c r="G4447" s="12"/>
      <c r="H4447" s="12"/>
      <c r="I4447" s="10"/>
      <c r="J4447" s="5"/>
      <c r="K4447" s="12"/>
      <c r="L4447" s="15"/>
    </row>
    <row r="4448" spans="1:12">
      <c r="A4448" s="8"/>
      <c r="B4448" s="9"/>
      <c r="C4448" s="10"/>
      <c r="D4448" s="10"/>
      <c r="E4448" s="11"/>
      <c r="F4448" s="11"/>
      <c r="G4448" s="12"/>
      <c r="H4448" s="12"/>
      <c r="I4448" s="10"/>
      <c r="J4448" s="5"/>
      <c r="K4448" s="12"/>
      <c r="L4448" s="15"/>
    </row>
    <row r="4449" spans="1:12">
      <c r="A4449" s="8"/>
      <c r="B4449" s="9"/>
      <c r="C4449" s="10"/>
      <c r="D4449" s="10"/>
      <c r="E4449" s="11"/>
      <c r="F4449" s="11"/>
      <c r="G4449" s="12"/>
      <c r="H4449" s="12"/>
      <c r="I4449" s="10"/>
      <c r="J4449" s="5"/>
      <c r="K4449" s="12"/>
      <c r="L4449" s="15"/>
    </row>
    <row r="4450" spans="1:12">
      <c r="A4450" s="8"/>
      <c r="B4450" s="9"/>
      <c r="C4450" s="13"/>
      <c r="D4450" s="10"/>
      <c r="E4450" s="19"/>
      <c r="F4450" s="19"/>
      <c r="G4450" s="12"/>
      <c r="H4450" s="9"/>
      <c r="I4450" s="10"/>
      <c r="J4450" s="5"/>
      <c r="K4450" s="12"/>
      <c r="L4450" s="15"/>
    </row>
    <row r="4451" spans="1:12">
      <c r="A4451" s="8"/>
      <c r="B4451" s="9"/>
      <c r="C4451" s="10"/>
      <c r="D4451" s="10"/>
      <c r="E4451" s="11"/>
      <c r="F4451" s="11"/>
      <c r="G4451" s="12"/>
      <c r="H4451" s="12"/>
      <c r="I4451" s="10"/>
      <c r="J4451" s="5"/>
      <c r="K4451" s="12"/>
      <c r="L4451" s="15"/>
    </row>
    <row r="4452" spans="1:12">
      <c r="A4452" s="8"/>
      <c r="B4452" s="9"/>
      <c r="C4452" s="10"/>
      <c r="D4452" s="10"/>
      <c r="E4452" s="11"/>
      <c r="F4452" s="11"/>
      <c r="G4452" s="12"/>
      <c r="H4452" s="12"/>
      <c r="I4452" s="10"/>
      <c r="J4452" s="5"/>
      <c r="K4452" s="9"/>
      <c r="L4452" s="15"/>
    </row>
    <row r="4453" spans="1:12">
      <c r="A4453" s="8"/>
      <c r="B4453" s="9"/>
      <c r="C4453" s="10"/>
      <c r="D4453" s="10"/>
      <c r="E4453" s="11"/>
      <c r="F4453" s="11"/>
      <c r="G4453" s="12"/>
      <c r="H4453" s="12"/>
      <c r="I4453" s="10"/>
      <c r="J4453" s="5"/>
      <c r="K4453" s="12"/>
      <c r="L4453" s="15"/>
    </row>
    <row r="4454" spans="1:12">
      <c r="A4454" s="8"/>
      <c r="B4454" s="9"/>
      <c r="C4454" s="10"/>
      <c r="D4454" s="10"/>
      <c r="E4454" s="11"/>
      <c r="F4454" s="11"/>
      <c r="G4454" s="12"/>
      <c r="H4454" s="12"/>
      <c r="I4454" s="10"/>
      <c r="J4454" s="5"/>
      <c r="K4454" s="12"/>
      <c r="L4454" s="15"/>
    </row>
    <row r="4455" spans="1:12">
      <c r="A4455" s="8"/>
      <c r="B4455" s="9"/>
      <c r="C4455" s="10"/>
      <c r="D4455" s="10"/>
      <c r="E4455" s="22"/>
      <c r="F4455" s="22"/>
      <c r="G4455" s="12"/>
      <c r="H4455" s="12"/>
      <c r="I4455" s="10"/>
      <c r="J4455" s="5"/>
      <c r="K4455" s="12"/>
      <c r="L4455" s="15"/>
    </row>
    <row r="4456" spans="1:12">
      <c r="A4456" s="8"/>
      <c r="B4456" s="9"/>
      <c r="C4456" s="10"/>
      <c r="D4456" s="10"/>
      <c r="E4456" s="11"/>
      <c r="F4456" s="11"/>
      <c r="G4456" s="12"/>
      <c r="H4456" s="12"/>
      <c r="I4456" s="10"/>
      <c r="J4456" s="5"/>
      <c r="K4456" s="12"/>
      <c r="L4456" s="15"/>
    </row>
    <row r="4457" spans="1:12">
      <c r="A4457" s="8"/>
      <c r="B4457" s="9"/>
      <c r="C4457" s="10"/>
      <c r="D4457" s="10"/>
      <c r="E4457" s="11"/>
      <c r="F4457" s="11"/>
      <c r="G4457" s="12"/>
      <c r="H4457" s="12"/>
      <c r="I4457" s="10"/>
      <c r="J4457" s="5"/>
      <c r="K4457" s="12"/>
      <c r="L4457" s="15"/>
    </row>
    <row r="4458" spans="1:12">
      <c r="A4458" s="8"/>
      <c r="B4458" s="9"/>
      <c r="C4458" s="10"/>
      <c r="D4458" s="10"/>
      <c r="E4458" s="11"/>
      <c r="F4458" s="11"/>
      <c r="G4458" s="12"/>
      <c r="H4458" s="12"/>
      <c r="I4458" s="10"/>
      <c r="J4458" s="5"/>
      <c r="K4458" s="12"/>
      <c r="L4458" s="15"/>
    </row>
    <row r="4459" spans="1:12">
      <c r="A4459" s="8"/>
      <c r="B4459" s="9"/>
      <c r="C4459" s="10"/>
      <c r="D4459" s="10"/>
      <c r="E4459" s="11"/>
      <c r="F4459" s="11"/>
      <c r="G4459" s="12"/>
      <c r="H4459" s="12"/>
      <c r="I4459" s="10"/>
      <c r="J4459" s="5"/>
      <c r="K4459" s="12"/>
      <c r="L4459" s="15"/>
    </row>
    <row r="4460" spans="1:12">
      <c r="A4460" s="8"/>
      <c r="B4460" s="9"/>
      <c r="C4460" s="10"/>
      <c r="D4460" s="10"/>
      <c r="E4460" s="11"/>
      <c r="F4460" s="11"/>
      <c r="G4460" s="12"/>
      <c r="H4460" s="12"/>
      <c r="I4460" s="10"/>
      <c r="J4460" s="5"/>
      <c r="K4460" s="12"/>
      <c r="L4460" s="15"/>
    </row>
    <row r="4461" spans="1:12">
      <c r="A4461" s="8"/>
      <c r="B4461" s="9"/>
      <c r="C4461" s="10"/>
      <c r="D4461" s="10"/>
      <c r="E4461" s="11"/>
      <c r="F4461" s="11"/>
      <c r="G4461" s="12"/>
      <c r="H4461" s="12"/>
      <c r="I4461" s="10"/>
      <c r="J4461" s="5"/>
      <c r="K4461" s="12"/>
      <c r="L4461" s="15"/>
    </row>
    <row r="4462" spans="1:12">
      <c r="A4462" s="8"/>
      <c r="B4462" s="9"/>
      <c r="C4462" s="10"/>
      <c r="D4462" s="10"/>
      <c r="E4462" s="11"/>
      <c r="F4462" s="11"/>
      <c r="G4462" s="12"/>
      <c r="H4462" s="12"/>
      <c r="I4462" s="10"/>
      <c r="J4462" s="5"/>
      <c r="K4462" s="12"/>
      <c r="L4462" s="15"/>
    </row>
    <row r="4463" spans="1:12">
      <c r="A4463" s="8"/>
      <c r="B4463" s="9"/>
      <c r="C4463" s="10"/>
      <c r="D4463" s="10"/>
      <c r="E4463" s="11"/>
      <c r="F4463" s="11"/>
      <c r="G4463" s="12"/>
      <c r="H4463" s="12"/>
      <c r="I4463" s="10"/>
      <c r="J4463" s="5"/>
      <c r="K4463" s="12"/>
      <c r="L4463" s="15"/>
    </row>
    <row r="4464" spans="1:12">
      <c r="A4464" s="8"/>
      <c r="B4464" s="9"/>
      <c r="C4464" s="10"/>
      <c r="D4464" s="10"/>
      <c r="E4464" s="11"/>
      <c r="F4464" s="11"/>
      <c r="G4464" s="12"/>
      <c r="H4464" s="12"/>
      <c r="I4464" s="10"/>
      <c r="J4464" s="5"/>
      <c r="K4464" s="12"/>
      <c r="L4464" s="15"/>
    </row>
    <row r="4465" spans="1:12">
      <c r="A4465" s="8"/>
      <c r="B4465" s="9"/>
      <c r="C4465" s="10"/>
      <c r="D4465" s="10"/>
      <c r="E4465" s="11"/>
      <c r="F4465" s="11"/>
      <c r="G4465" s="12"/>
      <c r="H4465" s="12"/>
      <c r="I4465" s="10"/>
      <c r="J4465" s="5"/>
      <c r="K4465" s="12"/>
      <c r="L4465" s="15"/>
    </row>
    <row r="4466" spans="1:12">
      <c r="A4466" s="8"/>
      <c r="B4466" s="9"/>
      <c r="C4466" s="10"/>
      <c r="D4466" s="10"/>
      <c r="E4466" s="11"/>
      <c r="F4466" s="11"/>
      <c r="G4466" s="12"/>
      <c r="H4466" s="12"/>
      <c r="I4466" s="10"/>
      <c r="J4466" s="5"/>
      <c r="K4466" s="12"/>
      <c r="L4466" s="15"/>
    </row>
    <row r="4467" spans="1:12">
      <c r="A4467" s="8"/>
      <c r="B4467" s="9"/>
      <c r="C4467" s="10"/>
      <c r="D4467" s="10"/>
      <c r="E4467" s="11"/>
      <c r="F4467" s="11"/>
      <c r="G4467" s="12"/>
      <c r="H4467" s="12"/>
      <c r="I4467" s="10"/>
      <c r="J4467" s="5"/>
      <c r="K4467" s="12"/>
      <c r="L4467" s="15"/>
    </row>
    <row r="4468" spans="1:12">
      <c r="A4468" s="8"/>
      <c r="B4468" s="9"/>
      <c r="C4468" s="10"/>
      <c r="D4468" s="10"/>
      <c r="E4468" s="11"/>
      <c r="F4468" s="11"/>
      <c r="G4468" s="12"/>
      <c r="H4468" s="12"/>
      <c r="I4468" s="10"/>
      <c r="J4468" s="5"/>
      <c r="K4468" s="12"/>
      <c r="L4468" s="15"/>
    </row>
    <row r="4469" spans="1:12">
      <c r="A4469" s="8"/>
      <c r="B4469" s="9"/>
      <c r="C4469" s="10"/>
      <c r="D4469" s="10"/>
      <c r="E4469" s="11"/>
      <c r="F4469" s="11"/>
      <c r="G4469" s="12"/>
      <c r="H4469" s="12"/>
      <c r="I4469" s="10"/>
      <c r="J4469" s="5"/>
      <c r="K4469" s="12"/>
      <c r="L4469" s="15"/>
    </row>
    <row r="4470" spans="1:12">
      <c r="A4470" s="8"/>
      <c r="B4470" s="9"/>
      <c r="C4470" s="10"/>
      <c r="D4470" s="10"/>
      <c r="E4470" s="11"/>
      <c r="F4470" s="11"/>
      <c r="G4470" s="12"/>
      <c r="H4470" s="12"/>
      <c r="I4470" s="10"/>
      <c r="J4470" s="5"/>
      <c r="K4470" s="12"/>
      <c r="L4470" s="15"/>
    </row>
    <row r="4471" spans="1:12">
      <c r="A4471" s="8"/>
      <c r="B4471" s="9"/>
      <c r="C4471" s="10"/>
      <c r="D4471" s="10"/>
      <c r="E4471" s="11"/>
      <c r="F4471" s="11"/>
      <c r="G4471" s="12"/>
      <c r="H4471" s="12"/>
      <c r="I4471" s="10"/>
      <c r="J4471" s="5"/>
      <c r="K4471" s="12"/>
      <c r="L4471" s="15"/>
    </row>
    <row r="4472" spans="1:12">
      <c r="A4472" s="8"/>
      <c r="B4472" s="9"/>
      <c r="C4472" s="10"/>
      <c r="D4472" s="10"/>
      <c r="E4472" s="11"/>
      <c r="F4472" s="11"/>
      <c r="G4472" s="12"/>
      <c r="H4472" s="12"/>
      <c r="I4472" s="10"/>
      <c r="J4472" s="5"/>
      <c r="K4472" s="12"/>
      <c r="L4472" s="15"/>
    </row>
    <row r="4473" spans="1:12">
      <c r="A4473" s="8"/>
      <c r="B4473" s="9"/>
      <c r="C4473" s="10"/>
      <c r="D4473" s="10"/>
      <c r="E4473" s="11"/>
      <c r="F4473" s="11"/>
      <c r="G4473" s="12"/>
      <c r="H4473" s="12"/>
      <c r="I4473" s="10"/>
      <c r="J4473" s="5"/>
      <c r="K4473" s="12"/>
      <c r="L4473" s="15"/>
    </row>
    <row r="4474" spans="1:12">
      <c r="A4474" s="8"/>
      <c r="B4474" s="9"/>
      <c r="C4474" s="10"/>
      <c r="D4474" s="10"/>
      <c r="E4474" s="11"/>
      <c r="F4474" s="11"/>
      <c r="G4474" s="12"/>
      <c r="H4474" s="12"/>
      <c r="I4474" s="10"/>
      <c r="J4474" s="5"/>
      <c r="K4474" s="12"/>
      <c r="L4474" s="15"/>
    </row>
    <row r="4475" spans="1:12">
      <c r="A4475" s="8"/>
      <c r="B4475" s="9"/>
      <c r="C4475" s="13"/>
      <c r="D4475" s="10"/>
      <c r="E4475" s="19"/>
      <c r="F4475" s="19"/>
      <c r="G4475" s="12"/>
      <c r="H4475" s="9"/>
      <c r="I4475" s="10"/>
      <c r="J4475" s="5"/>
      <c r="K4475" s="9"/>
      <c r="L4475" s="21"/>
    </row>
    <row r="4476" spans="1:12">
      <c r="A4476" s="8"/>
      <c r="B4476" s="9"/>
      <c r="C4476" s="10"/>
      <c r="D4476" s="10"/>
      <c r="E4476" s="11"/>
      <c r="F4476" s="11"/>
      <c r="G4476" s="12"/>
      <c r="H4476" s="12"/>
      <c r="I4476" s="10"/>
      <c r="J4476" s="5"/>
      <c r="K4476" s="12"/>
      <c r="L4476" s="15"/>
    </row>
    <row r="4477" spans="1:12">
      <c r="A4477" s="8"/>
      <c r="B4477" s="9"/>
      <c r="C4477" s="13"/>
      <c r="D4477" s="10"/>
      <c r="E4477" s="19"/>
      <c r="F4477" s="19"/>
      <c r="G4477" s="12"/>
      <c r="H4477" s="9"/>
      <c r="I4477" s="10"/>
      <c r="J4477" s="5"/>
      <c r="K4477" s="9"/>
      <c r="L4477" s="21"/>
    </row>
    <row r="4478" spans="1:12">
      <c r="A4478" s="8"/>
      <c r="B4478" s="9"/>
      <c r="C4478" s="10"/>
      <c r="D4478" s="10"/>
      <c r="E4478" s="11"/>
      <c r="F4478" s="11"/>
      <c r="G4478" s="12"/>
      <c r="H4478" s="12"/>
      <c r="I4478" s="10"/>
      <c r="J4478" s="5"/>
      <c r="K4478" s="12"/>
      <c r="L4478" s="15"/>
    </row>
    <row r="4479" spans="1:12">
      <c r="A4479" s="8"/>
      <c r="B4479" s="9"/>
      <c r="C4479" s="10"/>
      <c r="D4479" s="10"/>
      <c r="E4479" s="11"/>
      <c r="F4479" s="11"/>
      <c r="G4479" s="12"/>
      <c r="H4479" s="12"/>
      <c r="I4479" s="10"/>
      <c r="J4479" s="5"/>
      <c r="K4479" s="12"/>
      <c r="L4479" s="15"/>
    </row>
    <row r="4480" spans="1:12">
      <c r="A4480" s="8"/>
      <c r="B4480" s="9"/>
      <c r="C4480" s="10"/>
      <c r="D4480" s="10"/>
      <c r="E4480" s="11"/>
      <c r="F4480" s="11"/>
      <c r="G4480" s="12"/>
      <c r="H4480" s="12"/>
      <c r="I4480" s="10"/>
      <c r="J4480" s="5"/>
      <c r="K4480" s="12"/>
      <c r="L4480" s="15"/>
    </row>
    <row r="4481" spans="1:12">
      <c r="A4481" s="8"/>
      <c r="B4481" s="9"/>
      <c r="C4481" s="10"/>
      <c r="D4481" s="10"/>
      <c r="E4481" s="11"/>
      <c r="F4481" s="11"/>
      <c r="G4481" s="12"/>
      <c r="H4481" s="12"/>
      <c r="I4481" s="10"/>
      <c r="J4481" s="5"/>
      <c r="K4481" s="12"/>
      <c r="L4481" s="15"/>
    </row>
    <row r="4482" spans="1:12">
      <c r="A4482" s="8"/>
      <c r="B4482" s="9"/>
      <c r="C4482" s="10"/>
      <c r="D4482" s="10"/>
      <c r="E4482" s="11"/>
      <c r="F4482" s="11"/>
      <c r="G4482" s="12"/>
      <c r="H4482" s="12"/>
      <c r="I4482" s="10"/>
      <c r="J4482" s="5"/>
      <c r="K4482" s="12"/>
      <c r="L4482" s="15"/>
    </row>
    <row r="4483" spans="1:12">
      <c r="A4483" s="8"/>
      <c r="B4483" s="9"/>
      <c r="C4483" s="10"/>
      <c r="D4483" s="10"/>
      <c r="E4483" s="11"/>
      <c r="F4483" s="11"/>
      <c r="G4483" s="12"/>
      <c r="H4483" s="12"/>
      <c r="I4483" s="10"/>
      <c r="J4483" s="5"/>
      <c r="K4483" s="12"/>
      <c r="L4483" s="15"/>
    </row>
    <row r="4484" spans="1:12">
      <c r="A4484" s="8"/>
      <c r="B4484" s="9"/>
      <c r="C4484" s="10"/>
      <c r="D4484" s="10"/>
      <c r="E4484" s="11"/>
      <c r="F4484" s="11"/>
      <c r="G4484" s="12"/>
      <c r="H4484" s="12"/>
      <c r="I4484" s="10"/>
      <c r="J4484" s="5"/>
      <c r="K4484" s="12"/>
      <c r="L4484" s="15"/>
    </row>
    <row r="4485" spans="1:12">
      <c r="A4485" s="8"/>
      <c r="B4485" s="9"/>
      <c r="C4485" s="10"/>
      <c r="D4485" s="10"/>
      <c r="E4485" s="11"/>
      <c r="F4485" s="11"/>
      <c r="G4485" s="12"/>
      <c r="H4485" s="12"/>
      <c r="I4485" s="10"/>
      <c r="J4485" s="5"/>
      <c r="K4485" s="12"/>
      <c r="L4485" s="15"/>
    </row>
    <row r="4486" spans="1:12">
      <c r="A4486" s="8"/>
      <c r="B4486" s="9"/>
      <c r="C4486" s="10"/>
      <c r="D4486" s="10"/>
      <c r="E4486" s="11"/>
      <c r="F4486" s="11"/>
      <c r="G4486" s="12"/>
      <c r="H4486" s="12"/>
      <c r="I4486" s="10"/>
      <c r="J4486" s="5"/>
      <c r="K4486" s="12"/>
      <c r="L4486" s="15"/>
    </row>
    <row r="4487" spans="1:12">
      <c r="A4487" s="8"/>
      <c r="B4487" s="9"/>
      <c r="C4487" s="10"/>
      <c r="D4487" s="10"/>
      <c r="E4487" s="11"/>
      <c r="F4487" s="11"/>
      <c r="G4487" s="12"/>
      <c r="H4487" s="12"/>
      <c r="I4487" s="10"/>
      <c r="J4487" s="5"/>
      <c r="K4487" s="12"/>
      <c r="L4487" s="15"/>
    </row>
    <row r="4488" spans="1:12">
      <c r="A4488" s="8"/>
      <c r="B4488" s="9"/>
      <c r="C4488" s="10"/>
      <c r="D4488" s="10"/>
      <c r="E4488" s="11"/>
      <c r="F4488" s="11"/>
      <c r="G4488" s="12"/>
      <c r="H4488" s="12"/>
      <c r="I4488" s="10"/>
      <c r="J4488" s="5"/>
      <c r="K4488" s="12"/>
      <c r="L4488" s="15"/>
    </row>
    <row r="4489" spans="1:12">
      <c r="A4489" s="8"/>
      <c r="B4489" s="9"/>
      <c r="C4489" s="10"/>
      <c r="D4489" s="10"/>
      <c r="E4489" s="11"/>
      <c r="F4489" s="11"/>
      <c r="G4489" s="12"/>
      <c r="H4489" s="12"/>
      <c r="I4489" s="10"/>
      <c r="J4489" s="5"/>
      <c r="K4489" s="12"/>
      <c r="L4489" s="15"/>
    </row>
    <row r="4490" spans="1:12">
      <c r="A4490" s="8"/>
      <c r="B4490" s="9"/>
      <c r="C4490" s="10"/>
      <c r="D4490" s="10"/>
      <c r="E4490" s="11"/>
      <c r="F4490" s="11"/>
      <c r="G4490" s="12"/>
      <c r="H4490" s="12"/>
      <c r="I4490" s="10"/>
      <c r="J4490" s="5"/>
      <c r="K4490" s="12"/>
      <c r="L4490" s="15"/>
    </row>
    <row r="4491" spans="1:12">
      <c r="A4491" s="8"/>
      <c r="B4491" s="9"/>
      <c r="C4491" s="10"/>
      <c r="D4491" s="10"/>
      <c r="E4491" s="11"/>
      <c r="F4491" s="11"/>
      <c r="G4491" s="12"/>
      <c r="H4491" s="12"/>
      <c r="I4491" s="10"/>
      <c r="J4491" s="5"/>
      <c r="K4491" s="12"/>
      <c r="L4491" s="15"/>
    </row>
    <row r="4492" spans="1:12">
      <c r="A4492" s="8"/>
      <c r="B4492" s="9"/>
      <c r="C4492" s="10"/>
      <c r="D4492" s="10"/>
      <c r="E4492" s="11"/>
      <c r="F4492" s="11"/>
      <c r="G4492" s="12"/>
      <c r="H4492" s="12"/>
      <c r="I4492" s="10"/>
      <c r="J4492" s="5"/>
      <c r="K4492" s="12"/>
      <c r="L4492" s="15"/>
    </row>
    <row r="4493" spans="1:12">
      <c r="A4493" s="8"/>
      <c r="B4493" s="9"/>
      <c r="C4493" s="10"/>
      <c r="D4493" s="10"/>
      <c r="E4493" s="11"/>
      <c r="F4493" s="11"/>
      <c r="G4493" s="12"/>
      <c r="H4493" s="12"/>
      <c r="I4493" s="10"/>
      <c r="J4493" s="5"/>
      <c r="K4493" s="12"/>
      <c r="L4493" s="15"/>
    </row>
    <row r="4494" spans="1:12">
      <c r="A4494" s="8"/>
      <c r="B4494" s="9"/>
      <c r="C4494" s="10"/>
      <c r="D4494" s="10"/>
      <c r="E4494" s="11"/>
      <c r="F4494" s="11"/>
      <c r="G4494" s="12"/>
      <c r="H4494" s="12"/>
      <c r="I4494" s="10"/>
      <c r="J4494" s="5"/>
      <c r="K4494" s="12"/>
      <c r="L4494" s="15"/>
    </row>
    <row r="4495" spans="1:12">
      <c r="A4495" s="8"/>
      <c r="B4495" s="9"/>
      <c r="C4495" s="10"/>
      <c r="D4495" s="10"/>
      <c r="E4495" s="22"/>
      <c r="F4495" s="22"/>
      <c r="G4495" s="12"/>
      <c r="H4495" s="10"/>
      <c r="I4495" s="10"/>
      <c r="J4495" s="5"/>
      <c r="K4495" s="12"/>
      <c r="L4495" s="23"/>
    </row>
    <row r="4496" spans="1:12">
      <c r="A4496" s="8"/>
      <c r="B4496" s="9"/>
      <c r="C4496" s="10"/>
      <c r="D4496" s="10"/>
      <c r="E4496" s="11"/>
      <c r="F4496" s="11"/>
      <c r="G4496" s="12"/>
      <c r="H4496" s="12"/>
      <c r="I4496" s="10"/>
      <c r="J4496" s="5"/>
      <c r="K4496" s="12"/>
      <c r="L4496" s="15"/>
    </row>
    <row r="4497" spans="1:12">
      <c r="A4497" s="8"/>
      <c r="B4497" s="9"/>
      <c r="C4497" s="10"/>
      <c r="D4497" s="10"/>
      <c r="E4497" s="11"/>
      <c r="F4497" s="11"/>
      <c r="G4497" s="12"/>
      <c r="H4497" s="12"/>
      <c r="I4497" s="10"/>
      <c r="J4497" s="5"/>
      <c r="K4497" s="12"/>
      <c r="L4497" s="15"/>
    </row>
    <row r="4498" spans="1:12">
      <c r="A4498" s="8"/>
      <c r="B4498" s="9"/>
      <c r="C4498" s="10"/>
      <c r="D4498" s="10"/>
      <c r="E4498" s="11"/>
      <c r="F4498" s="11"/>
      <c r="G4498" s="12"/>
      <c r="H4498" s="12"/>
      <c r="I4498" s="10"/>
      <c r="J4498" s="5"/>
      <c r="K4498" s="12"/>
      <c r="L4498" s="15"/>
    </row>
    <row r="4499" spans="1:12">
      <c r="A4499" s="8"/>
      <c r="B4499" s="9"/>
      <c r="C4499" s="10"/>
      <c r="D4499" s="10"/>
      <c r="E4499" s="11"/>
      <c r="F4499" s="11"/>
      <c r="G4499" s="12"/>
      <c r="H4499" s="12"/>
      <c r="I4499" s="10"/>
      <c r="J4499" s="5"/>
      <c r="K4499" s="12"/>
      <c r="L4499" s="15"/>
    </row>
    <row r="4500" spans="1:12">
      <c r="A4500" s="8"/>
      <c r="B4500" s="9"/>
      <c r="C4500" s="10"/>
      <c r="D4500" s="10"/>
      <c r="E4500" s="11"/>
      <c r="F4500" s="11"/>
      <c r="G4500" s="12"/>
      <c r="H4500" s="12"/>
      <c r="I4500" s="10"/>
      <c r="J4500" s="5"/>
      <c r="K4500" s="12"/>
      <c r="L4500" s="15"/>
    </row>
    <row r="4501" spans="1:12">
      <c r="A4501" s="8"/>
      <c r="B4501" s="9"/>
      <c r="C4501" s="10"/>
      <c r="D4501" s="10"/>
      <c r="E4501" s="11"/>
      <c r="F4501" s="11"/>
      <c r="G4501" s="12"/>
      <c r="H4501" s="12"/>
      <c r="I4501" s="10"/>
      <c r="J4501" s="5"/>
      <c r="K4501" s="12"/>
      <c r="L4501" s="15"/>
    </row>
    <row r="4502" spans="1:12">
      <c r="A4502" s="8"/>
      <c r="B4502" s="9"/>
      <c r="C4502" s="10"/>
      <c r="D4502" s="10"/>
      <c r="E4502" s="11"/>
      <c r="F4502" s="11"/>
      <c r="G4502" s="12"/>
      <c r="H4502" s="12"/>
      <c r="I4502" s="10"/>
      <c r="J4502" s="5"/>
      <c r="K4502" s="12"/>
      <c r="L4502" s="15"/>
    </row>
    <row r="4503" spans="1:12">
      <c r="A4503" s="8"/>
      <c r="B4503" s="9"/>
      <c r="C4503" s="10"/>
      <c r="D4503" s="10"/>
      <c r="E4503" s="11"/>
      <c r="F4503" s="11"/>
      <c r="G4503" s="12"/>
      <c r="H4503" s="12"/>
      <c r="I4503" s="10"/>
      <c r="J4503" s="5"/>
      <c r="K4503" s="12"/>
      <c r="L4503" s="15"/>
    </row>
    <row r="4504" spans="1:12">
      <c r="A4504" s="8"/>
      <c r="B4504" s="9"/>
      <c r="C4504" s="10"/>
      <c r="D4504" s="10"/>
      <c r="E4504" s="11"/>
      <c r="F4504" s="11"/>
      <c r="G4504" s="12"/>
      <c r="H4504" s="12"/>
      <c r="I4504" s="10"/>
      <c r="J4504" s="5"/>
      <c r="K4504" s="12"/>
      <c r="L4504" s="15"/>
    </row>
    <row r="4505" spans="1:12">
      <c r="A4505" s="8"/>
      <c r="B4505" s="9"/>
      <c r="C4505" s="10"/>
      <c r="D4505" s="10"/>
      <c r="E4505" s="11"/>
      <c r="F4505" s="11"/>
      <c r="G4505" s="12"/>
      <c r="H4505" s="12"/>
      <c r="I4505" s="10"/>
      <c r="J4505" s="5"/>
      <c r="K4505" s="12"/>
      <c r="L4505" s="15"/>
    </row>
    <row r="4506" spans="1:12">
      <c r="A4506" s="8"/>
      <c r="B4506" s="9"/>
      <c r="C4506" s="10"/>
      <c r="D4506" s="10"/>
      <c r="E4506" s="11"/>
      <c r="F4506" s="11"/>
      <c r="G4506" s="12"/>
      <c r="H4506" s="12"/>
      <c r="I4506" s="10"/>
      <c r="J4506" s="5"/>
      <c r="K4506" s="12"/>
      <c r="L4506" s="15"/>
    </row>
    <row r="4507" spans="1:12">
      <c r="A4507" s="8"/>
      <c r="B4507" s="9"/>
      <c r="C4507" s="10"/>
      <c r="D4507" s="10"/>
      <c r="E4507" s="11"/>
      <c r="F4507" s="11"/>
      <c r="G4507" s="12"/>
      <c r="H4507" s="12"/>
      <c r="I4507" s="10"/>
      <c r="J4507" s="5"/>
      <c r="K4507" s="12"/>
      <c r="L4507" s="15"/>
    </row>
    <row r="4508" spans="1:12">
      <c r="A4508" s="8"/>
      <c r="B4508" s="9"/>
      <c r="C4508" s="10"/>
      <c r="D4508" s="10"/>
      <c r="E4508" s="11"/>
      <c r="F4508" s="11"/>
      <c r="G4508" s="12"/>
      <c r="H4508" s="12"/>
      <c r="I4508" s="10"/>
      <c r="J4508" s="5"/>
      <c r="K4508" s="12"/>
      <c r="L4508" s="15"/>
    </row>
    <row r="4509" spans="1:12">
      <c r="A4509" s="8"/>
      <c r="B4509" s="9"/>
      <c r="C4509" s="10"/>
      <c r="D4509" s="10"/>
      <c r="E4509" s="11"/>
      <c r="F4509" s="11"/>
      <c r="G4509" s="12"/>
      <c r="H4509" s="12"/>
      <c r="I4509" s="10"/>
      <c r="J4509" s="5"/>
      <c r="K4509" s="12"/>
      <c r="L4509" s="15"/>
    </row>
    <row r="4510" spans="1:12">
      <c r="A4510" s="8"/>
      <c r="B4510" s="9"/>
      <c r="C4510" s="10"/>
      <c r="D4510" s="10"/>
      <c r="E4510" s="11"/>
      <c r="F4510" s="11"/>
      <c r="G4510" s="12"/>
      <c r="H4510" s="12"/>
      <c r="I4510" s="10"/>
      <c r="J4510" s="5"/>
      <c r="K4510" s="12"/>
      <c r="L4510" s="15"/>
    </row>
    <row r="4511" spans="1:12">
      <c r="A4511" s="8"/>
      <c r="B4511" s="9"/>
      <c r="C4511" s="10"/>
      <c r="D4511" s="10"/>
      <c r="E4511" s="11"/>
      <c r="F4511" s="11"/>
      <c r="G4511" s="12"/>
      <c r="H4511" s="12"/>
      <c r="I4511" s="10"/>
      <c r="J4511" s="5"/>
      <c r="K4511" s="12"/>
      <c r="L4511" s="15"/>
    </row>
    <row r="4512" spans="1:12">
      <c r="A4512" s="8"/>
      <c r="B4512" s="9"/>
      <c r="C4512" s="10"/>
      <c r="D4512" s="10"/>
      <c r="E4512" s="11"/>
      <c r="F4512" s="11"/>
      <c r="G4512" s="12"/>
      <c r="H4512" s="12"/>
      <c r="I4512" s="10"/>
      <c r="J4512" s="5"/>
      <c r="K4512" s="12"/>
      <c r="L4512" s="15"/>
    </row>
    <row r="4513" spans="1:12">
      <c r="A4513" s="8"/>
      <c r="B4513" s="9"/>
      <c r="C4513" s="10"/>
      <c r="D4513" s="10"/>
      <c r="E4513" s="11"/>
      <c r="F4513" s="11"/>
      <c r="G4513" s="12"/>
      <c r="H4513" s="12"/>
      <c r="I4513" s="10"/>
      <c r="J4513" s="5"/>
      <c r="K4513" s="12"/>
      <c r="L4513" s="15"/>
    </row>
    <row r="4514" spans="1:12">
      <c r="A4514" s="8"/>
      <c r="B4514" s="9"/>
      <c r="C4514" s="10"/>
      <c r="D4514" s="10"/>
      <c r="E4514" s="11"/>
      <c r="F4514" s="11"/>
      <c r="G4514" s="12"/>
      <c r="H4514" s="12"/>
      <c r="I4514" s="10"/>
      <c r="J4514" s="5"/>
      <c r="K4514" s="12"/>
      <c r="L4514" s="15"/>
    </row>
    <row r="4515" spans="1:12">
      <c r="A4515" s="8"/>
      <c r="B4515" s="9"/>
      <c r="C4515" s="10"/>
      <c r="D4515" s="10"/>
      <c r="E4515" s="11"/>
      <c r="F4515" s="11"/>
      <c r="G4515" s="12"/>
      <c r="H4515" s="12"/>
      <c r="I4515" s="10"/>
      <c r="J4515" s="5"/>
      <c r="K4515" s="12"/>
      <c r="L4515" s="15"/>
    </row>
    <row r="4516" spans="1:12">
      <c r="A4516" s="8"/>
      <c r="B4516" s="9"/>
      <c r="C4516" s="10"/>
      <c r="D4516" s="10"/>
      <c r="E4516" s="11"/>
      <c r="F4516" s="11"/>
      <c r="G4516" s="12"/>
      <c r="H4516" s="12"/>
      <c r="I4516" s="10"/>
      <c r="J4516" s="5"/>
      <c r="K4516" s="12"/>
      <c r="L4516" s="15"/>
    </row>
    <row r="4517" spans="1:12">
      <c r="A4517" s="8"/>
      <c r="B4517" s="9"/>
      <c r="C4517" s="10"/>
      <c r="D4517" s="10"/>
      <c r="E4517" s="11"/>
      <c r="F4517" s="11"/>
      <c r="G4517" s="12"/>
      <c r="H4517" s="12"/>
      <c r="I4517" s="10"/>
      <c r="J4517" s="5"/>
      <c r="K4517" s="12"/>
      <c r="L4517" s="15"/>
    </row>
    <row r="4518" spans="1:12">
      <c r="A4518" s="8"/>
      <c r="B4518" s="9"/>
      <c r="C4518" s="10"/>
      <c r="D4518" s="10"/>
      <c r="E4518" s="11"/>
      <c r="F4518" s="11"/>
      <c r="G4518" s="12"/>
      <c r="H4518" s="12"/>
      <c r="I4518" s="10"/>
      <c r="J4518" s="5"/>
      <c r="K4518" s="12"/>
      <c r="L4518" s="15"/>
    </row>
    <row r="4519" spans="1:12">
      <c r="A4519" s="8"/>
      <c r="B4519" s="9"/>
      <c r="C4519" s="10"/>
      <c r="D4519" s="10"/>
      <c r="E4519" s="11"/>
      <c r="F4519" s="11"/>
      <c r="G4519" s="12"/>
      <c r="H4519" s="12"/>
      <c r="I4519" s="10"/>
      <c r="J4519" s="5"/>
      <c r="K4519" s="12"/>
      <c r="L4519" s="15"/>
    </row>
    <row r="4520" spans="1:12">
      <c r="A4520" s="8"/>
      <c r="B4520" s="9"/>
      <c r="C4520" s="10"/>
      <c r="D4520" s="10"/>
      <c r="E4520" s="11"/>
      <c r="F4520" s="11"/>
      <c r="G4520" s="12"/>
      <c r="H4520" s="12"/>
      <c r="I4520" s="10"/>
      <c r="J4520" s="5"/>
      <c r="K4520" s="12"/>
      <c r="L4520" s="15"/>
    </row>
    <row r="4521" spans="1:12">
      <c r="A4521" s="8"/>
      <c r="B4521" s="9"/>
      <c r="C4521" s="10"/>
      <c r="D4521" s="10"/>
      <c r="E4521" s="11"/>
      <c r="F4521" s="11"/>
      <c r="G4521" s="12"/>
      <c r="H4521" s="12"/>
      <c r="I4521" s="10"/>
      <c r="J4521" s="5"/>
      <c r="K4521" s="12"/>
      <c r="L4521" s="15"/>
    </row>
    <row r="4522" spans="1:12">
      <c r="A4522" s="8"/>
      <c r="B4522" s="9"/>
      <c r="C4522" s="10"/>
      <c r="D4522" s="10"/>
      <c r="E4522" s="11"/>
      <c r="F4522" s="11"/>
      <c r="G4522" s="12"/>
      <c r="H4522" s="12"/>
      <c r="I4522" s="10"/>
      <c r="J4522" s="5"/>
      <c r="K4522" s="12"/>
      <c r="L4522" s="15"/>
    </row>
    <row r="4523" spans="1:12">
      <c r="A4523" s="8"/>
      <c r="B4523" s="9"/>
      <c r="C4523" s="10"/>
      <c r="D4523" s="10"/>
      <c r="E4523" s="11"/>
      <c r="F4523" s="11"/>
      <c r="G4523" s="12"/>
      <c r="H4523" s="12"/>
      <c r="I4523" s="10"/>
      <c r="J4523" s="5"/>
      <c r="K4523" s="9"/>
      <c r="L4523" s="15"/>
    </row>
    <row r="4524" spans="1:12">
      <c r="A4524" s="8"/>
      <c r="B4524" s="9"/>
      <c r="C4524" s="10"/>
      <c r="D4524" s="10"/>
      <c r="E4524" s="11"/>
      <c r="F4524" s="11"/>
      <c r="G4524" s="12"/>
      <c r="H4524" s="12"/>
      <c r="I4524" s="10"/>
      <c r="J4524" s="5"/>
      <c r="K4524" s="12"/>
      <c r="L4524" s="15"/>
    </row>
    <row r="4525" spans="1:12">
      <c r="A4525" s="8"/>
      <c r="B4525" s="9"/>
      <c r="C4525" s="10"/>
      <c r="D4525" s="10"/>
      <c r="E4525" s="11"/>
      <c r="F4525" s="11"/>
      <c r="G4525" s="12"/>
      <c r="H4525" s="12"/>
      <c r="I4525" s="10"/>
      <c r="J4525" s="5"/>
      <c r="K4525" s="12"/>
      <c r="L4525" s="15"/>
    </row>
    <row r="4526" spans="1:12">
      <c r="A4526" s="8"/>
      <c r="B4526" s="9"/>
      <c r="C4526" s="10"/>
      <c r="D4526" s="10"/>
      <c r="E4526" s="11"/>
      <c r="F4526" s="11"/>
      <c r="G4526" s="12"/>
      <c r="H4526" s="12"/>
      <c r="I4526" s="10"/>
      <c r="J4526" s="5"/>
      <c r="K4526" s="12"/>
      <c r="L4526" s="15"/>
    </row>
    <row r="4527" spans="1:12">
      <c r="A4527" s="8"/>
      <c r="B4527" s="9"/>
      <c r="C4527" s="10"/>
      <c r="D4527" s="10"/>
      <c r="E4527" s="11"/>
      <c r="F4527" s="11"/>
      <c r="G4527" s="12"/>
      <c r="H4527" s="12"/>
      <c r="I4527" s="10"/>
      <c r="J4527" s="5"/>
      <c r="K4527" s="12"/>
      <c r="L4527" s="15"/>
    </row>
    <row r="4528" spans="1:12">
      <c r="A4528" s="8"/>
      <c r="B4528" s="9"/>
      <c r="C4528" s="10"/>
      <c r="D4528" s="10"/>
      <c r="E4528" s="11"/>
      <c r="F4528" s="11"/>
      <c r="G4528" s="12"/>
      <c r="H4528" s="12"/>
      <c r="I4528" s="10"/>
      <c r="J4528" s="5"/>
      <c r="K4528" s="12"/>
      <c r="L4528" s="15"/>
    </row>
    <row r="4529" spans="1:12">
      <c r="A4529" s="8"/>
      <c r="B4529" s="9"/>
      <c r="C4529" s="10"/>
      <c r="D4529" s="10"/>
      <c r="E4529" s="11"/>
      <c r="F4529" s="11"/>
      <c r="G4529" s="12"/>
      <c r="H4529" s="12"/>
      <c r="I4529" s="10"/>
      <c r="J4529" s="5"/>
      <c r="K4529" s="12"/>
      <c r="L4529" s="15"/>
    </row>
    <row r="4530" spans="1:12">
      <c r="A4530" s="8"/>
      <c r="B4530" s="9"/>
      <c r="C4530" s="10"/>
      <c r="D4530" s="10"/>
      <c r="E4530" s="11"/>
      <c r="F4530" s="11"/>
      <c r="G4530" s="12"/>
      <c r="H4530" s="12"/>
      <c r="I4530" s="10"/>
      <c r="J4530" s="5"/>
      <c r="K4530" s="12"/>
      <c r="L4530" s="15"/>
    </row>
    <row r="4531" spans="1:12">
      <c r="A4531" s="8"/>
      <c r="B4531" s="9"/>
      <c r="C4531" s="10"/>
      <c r="D4531" s="10"/>
      <c r="E4531" s="11"/>
      <c r="F4531" s="11"/>
      <c r="G4531" s="12"/>
      <c r="H4531" s="12"/>
      <c r="I4531" s="10"/>
      <c r="J4531" s="5"/>
      <c r="K4531" s="9"/>
      <c r="L4531" s="15"/>
    </row>
    <row r="4532" spans="1:12">
      <c r="A4532" s="8"/>
      <c r="B4532" s="9"/>
      <c r="C4532" s="10"/>
      <c r="D4532" s="10"/>
      <c r="E4532" s="11"/>
      <c r="F4532" s="11"/>
      <c r="G4532" s="12"/>
      <c r="H4532" s="12"/>
      <c r="I4532" s="10"/>
      <c r="J4532" s="5"/>
      <c r="K4532" s="12"/>
      <c r="L4532" s="15"/>
    </row>
    <row r="4533" spans="1:12">
      <c r="A4533" s="8"/>
      <c r="B4533" s="9"/>
      <c r="C4533" s="10"/>
      <c r="D4533" s="10"/>
      <c r="E4533" s="11"/>
      <c r="F4533" s="11"/>
      <c r="G4533" s="12"/>
      <c r="H4533" s="12"/>
      <c r="I4533" s="10"/>
      <c r="J4533" s="5"/>
      <c r="K4533" s="12"/>
      <c r="L4533" s="15"/>
    </row>
    <row r="4534" spans="1:12">
      <c r="A4534" s="8"/>
      <c r="B4534" s="9"/>
      <c r="C4534" s="10"/>
      <c r="D4534" s="10"/>
      <c r="E4534" s="11"/>
      <c r="F4534" s="11"/>
      <c r="G4534" s="12"/>
      <c r="H4534" s="12"/>
      <c r="I4534" s="10"/>
      <c r="J4534" s="5"/>
      <c r="K4534" s="12"/>
      <c r="L4534" s="15"/>
    </row>
    <row r="4535" spans="1:12">
      <c r="A4535" s="8"/>
      <c r="B4535" s="9"/>
      <c r="C4535" s="10"/>
      <c r="D4535" s="10"/>
      <c r="E4535" s="11"/>
      <c r="F4535" s="11"/>
      <c r="G4535" s="12"/>
      <c r="H4535" s="12"/>
      <c r="I4535" s="10"/>
      <c r="J4535" s="5"/>
      <c r="K4535" s="12"/>
      <c r="L4535" s="15"/>
    </row>
    <row r="4536" spans="1:12">
      <c r="A4536" s="8"/>
      <c r="B4536" s="9"/>
      <c r="C4536" s="10"/>
      <c r="D4536" s="10"/>
      <c r="E4536" s="11"/>
      <c r="F4536" s="11"/>
      <c r="G4536" s="12"/>
      <c r="H4536" s="12"/>
      <c r="I4536" s="10"/>
      <c r="J4536" s="5"/>
      <c r="K4536" s="12"/>
      <c r="L4536" s="15"/>
    </row>
    <row r="4537" spans="1:12">
      <c r="A4537" s="8"/>
      <c r="B4537" s="9"/>
      <c r="C4537" s="10"/>
      <c r="D4537" s="10"/>
      <c r="E4537" s="11"/>
      <c r="F4537" s="11"/>
      <c r="G4537" s="12"/>
      <c r="H4537" s="12"/>
      <c r="I4537" s="10"/>
      <c r="J4537" s="5"/>
      <c r="K4537" s="12"/>
      <c r="L4537" s="15"/>
    </row>
    <row r="4538" spans="1:12">
      <c r="A4538" s="8"/>
      <c r="B4538" s="9"/>
      <c r="C4538" s="10"/>
      <c r="D4538" s="10"/>
      <c r="E4538" s="11"/>
      <c r="F4538" s="11"/>
      <c r="G4538" s="12"/>
      <c r="H4538" s="12"/>
      <c r="I4538" s="10"/>
      <c r="J4538" s="5"/>
      <c r="K4538" s="12"/>
      <c r="L4538" s="15"/>
    </row>
    <row r="4539" spans="1:12">
      <c r="A4539" s="8"/>
      <c r="B4539" s="9"/>
      <c r="C4539" s="10"/>
      <c r="D4539" s="10"/>
      <c r="E4539" s="11"/>
      <c r="F4539" s="11"/>
      <c r="G4539" s="12"/>
      <c r="H4539" s="12"/>
      <c r="I4539" s="10"/>
      <c r="J4539" s="5"/>
      <c r="K4539" s="12"/>
      <c r="L4539" s="15"/>
    </row>
    <row r="4540" spans="1:12">
      <c r="A4540" s="8"/>
      <c r="B4540" s="9"/>
      <c r="C4540" s="10"/>
      <c r="D4540" s="10"/>
      <c r="E4540" s="11"/>
      <c r="F4540" s="11"/>
      <c r="G4540" s="12"/>
      <c r="H4540" s="12"/>
      <c r="I4540" s="10"/>
      <c r="J4540" s="5"/>
      <c r="K4540" s="9"/>
      <c r="L4540" s="15"/>
    </row>
    <row r="4541" spans="1:12">
      <c r="A4541" s="8"/>
      <c r="B4541" s="9"/>
      <c r="C4541" s="10"/>
      <c r="D4541" s="10"/>
      <c r="E4541" s="11"/>
      <c r="F4541" s="11"/>
      <c r="G4541" s="12"/>
      <c r="H4541" s="12"/>
      <c r="I4541" s="10"/>
      <c r="J4541" s="5"/>
      <c r="K4541" s="12"/>
      <c r="L4541" s="15"/>
    </row>
    <row r="4542" spans="1:12">
      <c r="A4542" s="8"/>
      <c r="B4542" s="9"/>
      <c r="C4542" s="10"/>
      <c r="D4542" s="10"/>
      <c r="E4542" s="11"/>
      <c r="F4542" s="11"/>
      <c r="G4542" s="12"/>
      <c r="H4542" s="12"/>
      <c r="I4542" s="10"/>
      <c r="J4542" s="5"/>
      <c r="K4542" s="9"/>
      <c r="L4542" s="15"/>
    </row>
    <row r="4543" spans="1:12">
      <c r="A4543" s="8"/>
      <c r="B4543" s="9"/>
      <c r="C4543" s="10"/>
      <c r="D4543" s="10"/>
      <c r="E4543" s="11"/>
      <c r="F4543" s="11"/>
      <c r="G4543" s="12"/>
      <c r="H4543" s="12"/>
      <c r="I4543" s="10"/>
      <c r="J4543" s="5"/>
      <c r="K4543" s="9"/>
      <c r="L4543" s="15"/>
    </row>
    <row r="4544" spans="1:12">
      <c r="A4544" s="8"/>
      <c r="B4544" s="9"/>
      <c r="C4544" s="10"/>
      <c r="D4544" s="10"/>
      <c r="E4544" s="11"/>
      <c r="F4544" s="11"/>
      <c r="G4544" s="12"/>
      <c r="H4544" s="12"/>
      <c r="I4544" s="10"/>
      <c r="J4544" s="5"/>
      <c r="K4544" s="12"/>
      <c r="L4544" s="15"/>
    </row>
    <row r="4545" spans="1:12">
      <c r="A4545" s="8"/>
      <c r="B4545" s="9"/>
      <c r="C4545" s="10"/>
      <c r="D4545" s="10"/>
      <c r="E4545" s="11"/>
      <c r="F4545" s="11"/>
      <c r="G4545" s="12"/>
      <c r="H4545" s="12"/>
      <c r="I4545" s="10"/>
      <c r="J4545" s="5"/>
      <c r="K4545" s="12"/>
      <c r="L4545" s="15"/>
    </row>
    <row r="4546" spans="1:12">
      <c r="A4546" s="8"/>
      <c r="B4546" s="9"/>
      <c r="C4546" s="10"/>
      <c r="D4546" s="10"/>
      <c r="E4546" s="11"/>
      <c r="F4546" s="11"/>
      <c r="G4546" s="12"/>
      <c r="H4546" s="12"/>
      <c r="I4546" s="10"/>
      <c r="J4546" s="5"/>
      <c r="K4546" s="12"/>
      <c r="L4546" s="15"/>
    </row>
    <row r="4547" spans="1:12">
      <c r="A4547" s="8"/>
      <c r="B4547" s="9"/>
      <c r="C4547" s="10"/>
      <c r="D4547" s="10"/>
      <c r="E4547" s="11"/>
      <c r="F4547" s="11"/>
      <c r="G4547" s="12"/>
      <c r="H4547" s="12"/>
      <c r="I4547" s="10"/>
      <c r="J4547" s="5"/>
      <c r="K4547" s="12"/>
      <c r="L4547" s="15"/>
    </row>
    <row r="4548" spans="1:12">
      <c r="A4548" s="8"/>
      <c r="B4548" s="9"/>
      <c r="C4548" s="10"/>
      <c r="D4548" s="10"/>
      <c r="E4548" s="11"/>
      <c r="F4548" s="11"/>
      <c r="G4548" s="12"/>
      <c r="H4548" s="12"/>
      <c r="I4548" s="10"/>
      <c r="J4548" s="5"/>
      <c r="K4548" s="12"/>
      <c r="L4548" s="15"/>
    </row>
    <row r="4549" spans="1:12">
      <c r="A4549" s="8"/>
      <c r="B4549" s="9"/>
      <c r="C4549" s="10"/>
      <c r="D4549" s="10"/>
      <c r="E4549" s="11"/>
      <c r="F4549" s="11"/>
      <c r="G4549" s="12"/>
      <c r="H4549" s="12"/>
      <c r="I4549" s="10"/>
      <c r="J4549" s="5"/>
      <c r="K4549" s="12"/>
      <c r="L4549" s="15"/>
    </row>
    <row r="4550" spans="1:12">
      <c r="A4550" s="8"/>
      <c r="B4550" s="9"/>
      <c r="C4550" s="10"/>
      <c r="D4550" s="10"/>
      <c r="E4550" s="11"/>
      <c r="F4550" s="11"/>
      <c r="G4550" s="12"/>
      <c r="H4550" s="12"/>
      <c r="I4550" s="10"/>
      <c r="J4550" s="5"/>
      <c r="K4550" s="12"/>
      <c r="L4550" s="15"/>
    </row>
    <row r="4551" spans="1:12">
      <c r="A4551" s="8"/>
      <c r="B4551" s="9"/>
      <c r="C4551" s="10"/>
      <c r="D4551" s="10"/>
      <c r="E4551" s="11"/>
      <c r="F4551" s="11"/>
      <c r="G4551" s="12"/>
      <c r="H4551" s="12"/>
      <c r="I4551" s="10"/>
      <c r="J4551" s="5"/>
      <c r="K4551" s="12"/>
      <c r="L4551" s="15"/>
    </row>
    <row r="4552" spans="1:12">
      <c r="A4552" s="8"/>
      <c r="B4552" s="9"/>
      <c r="C4552" s="10"/>
      <c r="D4552" s="10"/>
      <c r="E4552" s="11"/>
      <c r="F4552" s="11"/>
      <c r="G4552" s="12"/>
      <c r="H4552" s="12"/>
      <c r="I4552" s="10"/>
      <c r="J4552" s="5"/>
      <c r="K4552" s="12"/>
      <c r="L4552" s="15"/>
    </row>
    <row r="4553" spans="1:12">
      <c r="A4553" s="8"/>
      <c r="B4553" s="9"/>
      <c r="C4553" s="10"/>
      <c r="D4553" s="10"/>
      <c r="E4553" s="22"/>
      <c r="F4553" s="22"/>
      <c r="G4553" s="12"/>
      <c r="H4553" s="10"/>
      <c r="I4553" s="10"/>
      <c r="J4553" s="5"/>
      <c r="K4553" s="10"/>
      <c r="L4553" s="23"/>
    </row>
    <row r="4554" spans="1:12">
      <c r="A4554" s="8"/>
      <c r="B4554" s="9"/>
      <c r="C4554" s="10"/>
      <c r="D4554" s="10"/>
      <c r="E4554" s="22"/>
      <c r="F4554" s="22"/>
      <c r="G4554" s="12"/>
      <c r="H4554" s="10"/>
      <c r="I4554" s="10"/>
      <c r="J4554" s="5"/>
      <c r="K4554" s="10"/>
      <c r="L4554" s="23"/>
    </row>
    <row r="4555" spans="1:12">
      <c r="A4555" s="8"/>
      <c r="B4555" s="9"/>
      <c r="C4555" s="10"/>
      <c r="D4555" s="10"/>
      <c r="E4555" s="25"/>
      <c r="F4555" s="25"/>
      <c r="G4555" s="12"/>
      <c r="H4555" s="26"/>
      <c r="I4555" s="10"/>
      <c r="J4555" s="5"/>
      <c r="K4555" s="12"/>
      <c r="L4555" s="15"/>
    </row>
    <row r="4556" spans="1:12">
      <c r="A4556" s="8"/>
      <c r="B4556" s="9"/>
      <c r="C4556" s="10"/>
      <c r="D4556" s="10"/>
      <c r="E4556" s="11"/>
      <c r="F4556" s="11"/>
      <c r="G4556" s="12"/>
      <c r="H4556" s="12"/>
      <c r="I4556" s="10"/>
      <c r="J4556" s="5"/>
      <c r="K4556" s="12"/>
      <c r="L4556" s="15"/>
    </row>
    <row r="4557" spans="1:12">
      <c r="A4557" s="8"/>
      <c r="B4557" s="9"/>
      <c r="C4557" s="10"/>
      <c r="D4557" s="10"/>
      <c r="E4557" s="11"/>
      <c r="F4557" s="11"/>
      <c r="G4557" s="12"/>
      <c r="H4557" s="12"/>
      <c r="I4557" s="10"/>
      <c r="J4557" s="5"/>
      <c r="K4557" s="12"/>
      <c r="L4557" s="15"/>
    </row>
    <row r="4558" spans="1:12">
      <c r="A4558" s="8"/>
      <c r="B4558" s="9"/>
      <c r="C4558" s="10"/>
      <c r="D4558" s="10"/>
      <c r="E4558" s="11"/>
      <c r="F4558" s="11"/>
      <c r="G4558" s="12"/>
      <c r="H4558" s="12"/>
      <c r="I4558" s="10"/>
      <c r="J4558" s="5"/>
      <c r="K4558" s="12"/>
      <c r="L4558" s="15"/>
    </row>
    <row r="4559" spans="1:12">
      <c r="A4559" s="8"/>
      <c r="B4559" s="9"/>
      <c r="C4559" s="10"/>
      <c r="D4559" s="10"/>
      <c r="E4559" s="11"/>
      <c r="F4559" s="11"/>
      <c r="G4559" s="12"/>
      <c r="H4559" s="12"/>
      <c r="I4559" s="10"/>
      <c r="J4559" s="5"/>
      <c r="K4559" s="12"/>
      <c r="L4559" s="15"/>
    </row>
    <row r="4560" spans="1:12">
      <c r="A4560" s="8"/>
      <c r="B4560" s="9"/>
      <c r="C4560" s="10"/>
      <c r="D4560" s="10"/>
      <c r="E4560" s="11"/>
      <c r="F4560" s="11"/>
      <c r="G4560" s="12"/>
      <c r="H4560" s="12"/>
      <c r="I4560" s="10"/>
      <c r="J4560" s="5"/>
      <c r="K4560" s="12"/>
      <c r="L4560" s="15"/>
    </row>
    <row r="4561" spans="1:12">
      <c r="A4561" s="8"/>
      <c r="B4561" s="9"/>
      <c r="C4561" s="13"/>
      <c r="D4561" s="10"/>
      <c r="E4561" s="19"/>
      <c r="F4561" s="19"/>
      <c r="G4561" s="12"/>
      <c r="H4561" s="9"/>
      <c r="I4561" s="10"/>
      <c r="J4561" s="5"/>
      <c r="K4561" s="9"/>
      <c r="L4561" s="21"/>
    </row>
    <row r="4562" spans="1:12">
      <c r="A4562" s="8"/>
      <c r="B4562" s="9"/>
      <c r="C4562" s="13"/>
      <c r="D4562" s="10"/>
      <c r="E4562" s="19"/>
      <c r="F4562" s="19"/>
      <c r="G4562" s="12"/>
      <c r="H4562" s="9"/>
      <c r="I4562" s="10"/>
      <c r="J4562" s="5"/>
      <c r="K4562" s="12"/>
      <c r="L4562" s="21"/>
    </row>
    <row r="4563" spans="1:12">
      <c r="A4563" s="8"/>
      <c r="B4563" s="9"/>
      <c r="C4563" s="13"/>
      <c r="D4563" s="10"/>
      <c r="E4563" s="19"/>
      <c r="F4563" s="19"/>
      <c r="G4563" s="12"/>
      <c r="H4563" s="9"/>
      <c r="I4563" s="10"/>
      <c r="J4563" s="5"/>
      <c r="K4563" s="12"/>
      <c r="L4563" s="21"/>
    </row>
    <row r="4564" spans="1:12">
      <c r="A4564" s="8"/>
      <c r="B4564" s="9"/>
      <c r="C4564" s="10"/>
      <c r="D4564" s="10"/>
      <c r="E4564" s="11"/>
      <c r="F4564" s="11"/>
      <c r="G4564" s="12"/>
      <c r="H4564" s="12"/>
      <c r="I4564" s="10"/>
      <c r="J4564" s="5"/>
      <c r="K4564" s="12"/>
      <c r="L4564" s="15"/>
    </row>
    <row r="4565" spans="1:12">
      <c r="A4565" s="8"/>
      <c r="B4565" s="9"/>
      <c r="C4565" s="13"/>
      <c r="D4565" s="10"/>
      <c r="E4565" s="19"/>
      <c r="F4565" s="19"/>
      <c r="G4565" s="12"/>
      <c r="H4565" s="9"/>
      <c r="I4565" s="10"/>
      <c r="J4565" s="5"/>
      <c r="K4565" s="12"/>
      <c r="L4565" s="21"/>
    </row>
    <row r="4566" spans="1:12">
      <c r="A4566" s="8"/>
      <c r="B4566" s="9"/>
      <c r="C4566" s="13"/>
      <c r="D4566" s="10"/>
      <c r="E4566" s="19"/>
      <c r="F4566" s="19"/>
      <c r="G4566" s="12"/>
      <c r="H4566" s="9"/>
      <c r="I4566" s="10"/>
      <c r="J4566" s="5"/>
      <c r="K4566" s="12"/>
      <c r="L4566" s="21"/>
    </row>
    <row r="4567" spans="1:12">
      <c r="A4567" s="8"/>
      <c r="B4567" s="9"/>
      <c r="C4567" s="10"/>
      <c r="D4567" s="10"/>
      <c r="E4567" s="11"/>
      <c r="F4567" s="11"/>
      <c r="G4567" s="12"/>
      <c r="H4567" s="12"/>
      <c r="I4567" s="10"/>
      <c r="J4567" s="5"/>
      <c r="K4567" s="9"/>
      <c r="L4567" s="15"/>
    </row>
    <row r="4568" spans="1:12">
      <c r="A4568" s="8"/>
      <c r="B4568" s="9"/>
      <c r="C4568" s="10"/>
      <c r="D4568" s="10"/>
      <c r="E4568" s="11"/>
      <c r="F4568" s="11"/>
      <c r="G4568" s="12"/>
      <c r="H4568" s="12"/>
      <c r="I4568" s="10"/>
      <c r="J4568" s="5"/>
      <c r="K4568" s="12"/>
      <c r="L4568" s="15"/>
    </row>
    <row r="4569" spans="1:12">
      <c r="A4569" s="8"/>
      <c r="B4569" s="9"/>
      <c r="C4569" s="10"/>
      <c r="D4569" s="10"/>
      <c r="E4569" s="11"/>
      <c r="F4569" s="11"/>
      <c r="G4569" s="12"/>
      <c r="H4569" s="12"/>
      <c r="I4569" s="10"/>
      <c r="J4569" s="5"/>
      <c r="K4569" s="12"/>
      <c r="L4569" s="15"/>
    </row>
    <row r="4570" spans="1:12">
      <c r="A4570" s="8"/>
      <c r="B4570" s="9"/>
      <c r="C4570" s="10"/>
      <c r="D4570" s="10"/>
      <c r="E4570" s="11"/>
      <c r="F4570" s="11"/>
      <c r="G4570" s="12"/>
      <c r="H4570" s="12"/>
      <c r="I4570" s="10"/>
      <c r="J4570" s="5"/>
      <c r="K4570" s="12"/>
      <c r="L4570" s="15"/>
    </row>
    <row r="4571" spans="1:12">
      <c r="A4571" s="8"/>
      <c r="B4571" s="9"/>
      <c r="C4571" s="13"/>
      <c r="D4571" s="10"/>
      <c r="E4571" s="19"/>
      <c r="F4571" s="19"/>
      <c r="G4571" s="12"/>
      <c r="H4571" s="9"/>
      <c r="I4571" s="10"/>
      <c r="J4571" s="5"/>
      <c r="K4571" s="12"/>
      <c r="L4571" s="15"/>
    </row>
    <row r="4572" spans="1:12">
      <c r="A4572" s="8"/>
      <c r="B4572" s="9"/>
      <c r="C4572" s="10"/>
      <c r="D4572" s="10"/>
      <c r="E4572" s="22"/>
      <c r="F4572" s="22"/>
      <c r="G4572" s="12"/>
      <c r="H4572" s="10"/>
      <c r="I4572" s="10"/>
      <c r="J4572" s="5"/>
      <c r="K4572" s="10"/>
      <c r="L4572" s="23"/>
    </row>
    <row r="4573" spans="1:12">
      <c r="A4573" s="8"/>
      <c r="B4573" s="9"/>
      <c r="C4573" s="10"/>
      <c r="D4573" s="10"/>
      <c r="E4573" s="22"/>
      <c r="F4573" s="22"/>
      <c r="G4573" s="12"/>
      <c r="H4573" s="10"/>
      <c r="I4573" s="10"/>
      <c r="J4573" s="5"/>
      <c r="K4573" s="10"/>
      <c r="L4573" s="23"/>
    </row>
    <row r="4574" spans="1:12">
      <c r="A4574" s="8"/>
      <c r="B4574" s="9"/>
      <c r="C4574" s="10"/>
      <c r="D4574" s="10"/>
      <c r="E4574" s="11"/>
      <c r="F4574" s="11"/>
      <c r="G4574" s="12"/>
      <c r="H4574" s="12"/>
      <c r="I4574" s="10"/>
      <c r="J4574" s="5"/>
      <c r="K4574" s="12"/>
      <c r="L4574" s="15"/>
    </row>
    <row r="4575" spans="1:12">
      <c r="A4575" s="8"/>
      <c r="B4575" s="9"/>
      <c r="C4575" s="10"/>
      <c r="D4575" s="10"/>
      <c r="E4575" s="11"/>
      <c r="F4575" s="11"/>
      <c r="G4575" s="12"/>
      <c r="H4575" s="12"/>
      <c r="I4575" s="10"/>
      <c r="J4575" s="5"/>
      <c r="K4575" s="9"/>
      <c r="L4575" s="15"/>
    </row>
    <row r="4576" spans="1:12">
      <c r="A4576" s="8"/>
      <c r="B4576" s="9"/>
      <c r="C4576" s="10"/>
      <c r="D4576" s="10"/>
      <c r="E4576" s="11"/>
      <c r="F4576" s="11"/>
      <c r="G4576" s="12"/>
      <c r="H4576" s="12"/>
      <c r="I4576" s="10"/>
      <c r="J4576" s="5"/>
      <c r="K4576" s="9"/>
      <c r="L4576" s="15"/>
    </row>
    <row r="4577" spans="1:12">
      <c r="A4577" s="8"/>
      <c r="B4577" s="9"/>
      <c r="C4577" s="13"/>
      <c r="D4577" s="10"/>
      <c r="E4577" s="19"/>
      <c r="F4577" s="19"/>
      <c r="G4577" s="12"/>
      <c r="H4577" s="12"/>
      <c r="I4577" s="10"/>
      <c r="J4577" s="5"/>
      <c r="K4577" s="9"/>
      <c r="L4577" s="21"/>
    </row>
    <row r="4578" spans="1:12">
      <c r="A4578" s="8"/>
      <c r="B4578" s="9"/>
      <c r="C4578" s="13"/>
      <c r="D4578" s="10"/>
      <c r="E4578" s="19"/>
      <c r="F4578" s="19"/>
      <c r="G4578" s="12"/>
      <c r="H4578" s="12"/>
      <c r="I4578" s="10"/>
      <c r="J4578" s="5"/>
      <c r="K4578" s="9"/>
      <c r="L4578" s="21"/>
    </row>
    <row r="4579" spans="1:12">
      <c r="A4579" s="8"/>
      <c r="B4579" s="9"/>
      <c r="C4579" s="13"/>
      <c r="D4579" s="10"/>
      <c r="E4579" s="19"/>
      <c r="F4579" s="19"/>
      <c r="G4579" s="12"/>
      <c r="H4579" s="12"/>
      <c r="I4579" s="10"/>
      <c r="J4579" s="5"/>
      <c r="K4579" s="9"/>
      <c r="L4579" s="21"/>
    </row>
    <row r="4580" spans="1:12">
      <c r="A4580" s="8"/>
      <c r="B4580" s="9"/>
      <c r="C4580" s="10"/>
      <c r="D4580" s="10"/>
      <c r="E4580" s="11"/>
      <c r="F4580" s="11"/>
      <c r="G4580" s="12"/>
      <c r="H4580" s="12"/>
      <c r="I4580" s="10"/>
      <c r="J4580" s="5"/>
      <c r="K4580" s="12"/>
      <c r="L4580" s="15"/>
    </row>
    <row r="4581" spans="1:12">
      <c r="A4581" s="8"/>
      <c r="B4581" s="9"/>
      <c r="C4581" s="10"/>
      <c r="D4581" s="10"/>
      <c r="E4581" s="11"/>
      <c r="F4581" s="11"/>
      <c r="G4581" s="12"/>
      <c r="H4581" s="12"/>
      <c r="I4581" s="10"/>
      <c r="J4581" s="5"/>
      <c r="K4581" s="9"/>
      <c r="L4581" s="15"/>
    </row>
    <row r="4582" spans="1:12">
      <c r="A4582" s="8"/>
      <c r="B4582" s="9"/>
      <c r="C4582" s="10"/>
      <c r="D4582" s="10"/>
      <c r="E4582" s="22"/>
      <c r="F4582" s="22"/>
      <c r="G4582" s="12"/>
      <c r="H4582" s="10"/>
      <c r="I4582" s="10"/>
      <c r="J4582" s="5"/>
      <c r="K4582" s="12"/>
      <c r="L4582" s="23"/>
    </row>
    <row r="4583" spans="1:12">
      <c r="A4583" s="8"/>
      <c r="B4583" s="9"/>
      <c r="C4583" s="10"/>
      <c r="D4583" s="10"/>
      <c r="E4583" s="11"/>
      <c r="F4583" s="11"/>
      <c r="G4583" s="12"/>
      <c r="H4583" s="12"/>
      <c r="I4583" s="10"/>
      <c r="J4583" s="5"/>
      <c r="K4583" s="12"/>
      <c r="L4583" s="15"/>
    </row>
    <row r="4584" spans="1:12">
      <c r="A4584" s="8"/>
      <c r="B4584" s="9"/>
      <c r="C4584" s="10"/>
      <c r="D4584" s="10"/>
      <c r="E4584" s="11"/>
      <c r="F4584" s="11"/>
      <c r="G4584" s="12"/>
      <c r="H4584" s="12"/>
      <c r="I4584" s="10"/>
      <c r="J4584" s="5"/>
      <c r="K4584" s="12"/>
      <c r="L4584" s="15"/>
    </row>
    <row r="4585" spans="1:12">
      <c r="A4585" s="8"/>
      <c r="B4585" s="9"/>
      <c r="C4585" s="10"/>
      <c r="D4585" s="10"/>
      <c r="E4585" s="11"/>
      <c r="F4585" s="11"/>
      <c r="G4585" s="12"/>
      <c r="H4585" s="12"/>
      <c r="I4585" s="10"/>
      <c r="J4585" s="5"/>
      <c r="K4585" s="12"/>
      <c r="L4585" s="15"/>
    </row>
    <row r="4586" spans="1:12">
      <c r="A4586" s="8"/>
      <c r="B4586" s="9"/>
      <c r="C4586" s="10"/>
      <c r="D4586" s="10"/>
      <c r="E4586" s="11"/>
      <c r="F4586" s="11"/>
      <c r="G4586" s="12"/>
      <c r="H4586" s="12"/>
      <c r="I4586" s="10"/>
      <c r="J4586" s="5"/>
      <c r="K4586" s="12"/>
      <c r="L4586" s="15"/>
    </row>
    <row r="4587" spans="1:12">
      <c r="A4587" s="8"/>
      <c r="B4587" s="9"/>
      <c r="C4587" s="10"/>
      <c r="D4587" s="10"/>
      <c r="E4587" s="19"/>
      <c r="F4587" s="19"/>
      <c r="G4587" s="12"/>
      <c r="H4587" s="12"/>
      <c r="I4587" s="10"/>
      <c r="J4587" s="5"/>
      <c r="K4587" s="12"/>
      <c r="L4587" s="15"/>
    </row>
    <row r="4588" spans="1:12">
      <c r="A4588" s="8"/>
      <c r="B4588" s="9"/>
      <c r="C4588" s="10"/>
      <c r="D4588" s="10"/>
      <c r="E4588" s="11"/>
      <c r="F4588" s="11"/>
      <c r="G4588" s="12"/>
      <c r="H4588" s="12"/>
      <c r="I4588" s="10"/>
      <c r="J4588" s="5"/>
      <c r="K4588" s="12"/>
      <c r="L4588" s="15"/>
    </row>
    <row r="4589" spans="1:12">
      <c r="A4589" s="8"/>
      <c r="B4589" s="9"/>
      <c r="C4589" s="10"/>
      <c r="D4589" s="10"/>
      <c r="E4589" s="11"/>
      <c r="F4589" s="11"/>
      <c r="G4589" s="12"/>
      <c r="H4589" s="12"/>
      <c r="I4589" s="10"/>
      <c r="J4589" s="5"/>
      <c r="K4589" s="12"/>
      <c r="L4589" s="15"/>
    </row>
    <row r="4590" spans="1:12">
      <c r="A4590" s="8"/>
      <c r="B4590" s="9"/>
      <c r="C4590" s="10"/>
      <c r="D4590" s="10"/>
      <c r="E4590" s="11"/>
      <c r="F4590" s="11"/>
      <c r="G4590" s="12"/>
      <c r="H4590" s="12"/>
      <c r="I4590" s="10"/>
      <c r="J4590" s="5"/>
      <c r="K4590" s="12"/>
      <c r="L4590" s="15"/>
    </row>
    <row r="4591" spans="1:12">
      <c r="A4591" s="8"/>
      <c r="B4591" s="9"/>
      <c r="C4591" s="10"/>
      <c r="D4591" s="10"/>
      <c r="E4591" s="11"/>
      <c r="F4591" s="11"/>
      <c r="G4591" s="12"/>
      <c r="H4591" s="12"/>
      <c r="I4591" s="10"/>
      <c r="J4591" s="5"/>
      <c r="K4591" s="9"/>
      <c r="L4591" s="15"/>
    </row>
    <row r="4592" spans="1:12">
      <c r="A4592" s="8"/>
      <c r="B4592" s="9"/>
      <c r="C4592" s="10"/>
      <c r="D4592" s="10"/>
      <c r="E4592" s="11"/>
      <c r="F4592" s="11"/>
      <c r="G4592" s="12"/>
      <c r="H4592" s="12"/>
      <c r="I4592" s="10"/>
      <c r="J4592" s="5"/>
      <c r="K4592" s="12"/>
      <c r="L4592" s="15"/>
    </row>
    <row r="4593" spans="1:12">
      <c r="A4593" s="8"/>
      <c r="B4593" s="9"/>
      <c r="C4593" s="10"/>
      <c r="D4593" s="10"/>
      <c r="E4593" s="11"/>
      <c r="F4593" s="11"/>
      <c r="G4593" s="12"/>
      <c r="H4593" s="12"/>
      <c r="I4593" s="10"/>
      <c r="J4593" s="5"/>
      <c r="K4593" s="12"/>
      <c r="L4593" s="15"/>
    </row>
    <row r="4594" spans="1:12">
      <c r="A4594" s="8"/>
      <c r="B4594" s="9"/>
      <c r="C4594" s="10"/>
      <c r="D4594" s="10"/>
      <c r="E4594" s="11"/>
      <c r="F4594" s="11"/>
      <c r="G4594" s="12"/>
      <c r="H4594" s="12"/>
      <c r="I4594" s="10"/>
      <c r="J4594" s="5"/>
      <c r="K4594" s="12"/>
      <c r="L4594" s="16"/>
    </row>
    <row r="4595" spans="1:12">
      <c r="A4595" s="8"/>
      <c r="B4595" s="9"/>
      <c r="C4595" s="10"/>
      <c r="D4595" s="10"/>
      <c r="E4595" s="11"/>
      <c r="F4595" s="11"/>
      <c r="G4595" s="12"/>
      <c r="H4595" s="12"/>
      <c r="I4595" s="10"/>
      <c r="J4595" s="5"/>
      <c r="K4595" s="12"/>
      <c r="L4595" s="15"/>
    </row>
    <row r="4596" spans="1:12">
      <c r="A4596" s="8"/>
      <c r="B4596" s="9"/>
      <c r="C4596" s="10"/>
      <c r="D4596" s="10"/>
      <c r="E4596" s="11"/>
      <c r="F4596" s="11"/>
      <c r="G4596" s="12"/>
      <c r="H4596" s="12"/>
      <c r="I4596" s="10"/>
      <c r="J4596" s="5"/>
      <c r="K4596" s="12"/>
      <c r="L4596" s="15"/>
    </row>
    <row r="4597" spans="1:12">
      <c r="A4597" s="8"/>
      <c r="B4597" s="9"/>
      <c r="C4597" s="10"/>
      <c r="D4597" s="10"/>
      <c r="E4597" s="11"/>
      <c r="F4597" s="11"/>
      <c r="G4597" s="12"/>
      <c r="H4597" s="12"/>
      <c r="I4597" s="10"/>
      <c r="J4597" s="5"/>
      <c r="K4597" s="12"/>
      <c r="L4597" s="15"/>
    </row>
    <row r="4598" spans="1:12">
      <c r="A4598" s="8"/>
      <c r="B4598" s="9"/>
      <c r="C4598" s="10"/>
      <c r="D4598" s="10"/>
      <c r="E4598" s="11"/>
      <c r="F4598" s="19"/>
      <c r="G4598" s="12"/>
      <c r="H4598" s="12"/>
      <c r="I4598" s="10"/>
      <c r="J4598" s="5"/>
      <c r="K4598" s="9"/>
      <c r="L4598" s="15"/>
    </row>
    <row r="4599" spans="1:12">
      <c r="A4599" s="8"/>
      <c r="B4599" s="9"/>
      <c r="C4599" s="10"/>
      <c r="D4599" s="10"/>
      <c r="E4599" s="11"/>
      <c r="F4599" s="19"/>
      <c r="G4599" s="12"/>
      <c r="H4599" s="12"/>
      <c r="I4599" s="10"/>
      <c r="J4599" s="5"/>
      <c r="K4599" s="9"/>
      <c r="L4599" s="15"/>
    </row>
    <row r="4600" spans="1:12">
      <c r="A4600" s="8"/>
      <c r="B4600" s="9"/>
      <c r="C4600" s="10"/>
      <c r="D4600" s="10"/>
      <c r="E4600" s="11"/>
      <c r="F4600" s="11"/>
      <c r="G4600" s="12"/>
      <c r="H4600" s="12"/>
      <c r="I4600" s="10"/>
      <c r="J4600" s="5"/>
      <c r="K4600" s="12"/>
      <c r="L4600" s="15"/>
    </row>
    <row r="4601" spans="1:12">
      <c r="A4601" s="8"/>
      <c r="B4601" s="9"/>
      <c r="C4601" s="10"/>
      <c r="D4601" s="10"/>
      <c r="E4601" s="11"/>
      <c r="F4601" s="11"/>
      <c r="G4601" s="12"/>
      <c r="H4601" s="12"/>
      <c r="I4601" s="10"/>
      <c r="J4601" s="5"/>
      <c r="K4601" s="12"/>
      <c r="L4601" s="15"/>
    </row>
    <row r="4602" spans="1:12">
      <c r="A4602" s="8"/>
      <c r="B4602" s="9"/>
      <c r="C4602" s="10"/>
      <c r="D4602" s="10"/>
      <c r="E4602" s="11"/>
      <c r="F4602" s="11"/>
      <c r="G4602" s="12"/>
      <c r="H4602" s="12"/>
      <c r="I4602" s="10"/>
      <c r="J4602" s="5"/>
      <c r="K4602" s="12"/>
      <c r="L4602" s="15"/>
    </row>
    <row r="4603" spans="1:12">
      <c r="A4603" s="8"/>
      <c r="B4603" s="9"/>
      <c r="C4603" s="10"/>
      <c r="D4603" s="10"/>
      <c r="E4603" s="11"/>
      <c r="F4603" s="11"/>
      <c r="G4603" s="12"/>
      <c r="H4603" s="12"/>
      <c r="I4603" s="10"/>
      <c r="J4603" s="5"/>
      <c r="K4603" s="12"/>
      <c r="L4603" s="15"/>
    </row>
    <row r="4604" spans="1:12">
      <c r="A4604" s="8"/>
      <c r="B4604" s="9"/>
      <c r="C4604" s="10"/>
      <c r="D4604" s="10"/>
      <c r="E4604" s="11"/>
      <c r="F4604" s="11"/>
      <c r="G4604" s="12"/>
      <c r="H4604" s="12"/>
      <c r="I4604" s="10"/>
      <c r="J4604" s="5"/>
      <c r="K4604" s="12"/>
      <c r="L4604" s="15"/>
    </row>
    <row r="4605" spans="1:12">
      <c r="A4605" s="8"/>
      <c r="B4605" s="9"/>
      <c r="C4605" s="10"/>
      <c r="D4605" s="10"/>
      <c r="E4605" s="11"/>
      <c r="F4605" s="11"/>
      <c r="G4605" s="12"/>
      <c r="H4605" s="12"/>
      <c r="I4605" s="10"/>
      <c r="J4605" s="5"/>
      <c r="K4605" s="12"/>
      <c r="L4605" s="15"/>
    </row>
    <row r="4606" spans="1:12">
      <c r="A4606" s="8"/>
      <c r="B4606" s="9"/>
      <c r="C4606" s="10"/>
      <c r="D4606" s="10"/>
      <c r="E4606" s="11"/>
      <c r="F4606" s="11"/>
      <c r="G4606" s="12"/>
      <c r="H4606" s="12"/>
      <c r="I4606" s="10"/>
      <c r="J4606" s="5"/>
      <c r="K4606" s="9"/>
      <c r="L4606" s="15"/>
    </row>
    <row r="4607" spans="1:12">
      <c r="A4607" s="8"/>
      <c r="B4607" s="9"/>
      <c r="C4607" s="10"/>
      <c r="D4607" s="10"/>
      <c r="E4607" s="11"/>
      <c r="F4607" s="11"/>
      <c r="G4607" s="12"/>
      <c r="H4607" s="12"/>
      <c r="I4607" s="10"/>
      <c r="J4607" s="5"/>
      <c r="K4607" s="9"/>
      <c r="L4607" s="15"/>
    </row>
    <row r="4608" spans="1:12">
      <c r="A4608" s="8"/>
      <c r="B4608" s="9"/>
      <c r="C4608" s="10"/>
      <c r="D4608" s="10"/>
      <c r="E4608" s="11"/>
      <c r="F4608" s="11"/>
      <c r="G4608" s="12"/>
      <c r="H4608" s="12"/>
      <c r="I4608" s="10"/>
      <c r="J4608" s="5"/>
      <c r="K4608" s="12"/>
      <c r="L4608" s="15"/>
    </row>
    <row r="4609" spans="1:12">
      <c r="A4609" s="8"/>
      <c r="B4609" s="9"/>
      <c r="C4609" s="10"/>
      <c r="D4609" s="10"/>
      <c r="E4609" s="11"/>
      <c r="F4609" s="11"/>
      <c r="G4609" s="12"/>
      <c r="H4609" s="12"/>
      <c r="I4609" s="10"/>
      <c r="J4609" s="5"/>
      <c r="K4609" s="12"/>
      <c r="L4609" s="15"/>
    </row>
    <row r="4610" spans="1:12">
      <c r="A4610" s="8"/>
      <c r="B4610" s="9"/>
      <c r="C4610" s="10"/>
      <c r="D4610" s="10"/>
      <c r="E4610" s="11"/>
      <c r="F4610" s="11"/>
      <c r="G4610" s="12"/>
      <c r="H4610" s="12"/>
      <c r="I4610" s="10"/>
      <c r="J4610" s="5"/>
      <c r="K4610" s="12"/>
      <c r="L4610" s="15"/>
    </row>
    <row r="4611" spans="1:12">
      <c r="A4611" s="8"/>
      <c r="B4611" s="9"/>
      <c r="C4611" s="10"/>
      <c r="D4611" s="10"/>
      <c r="E4611" s="11"/>
      <c r="F4611" s="11"/>
      <c r="G4611" s="12"/>
      <c r="H4611" s="12"/>
      <c r="I4611" s="10"/>
      <c r="J4611" s="5"/>
      <c r="K4611" s="12"/>
      <c r="L4611" s="15"/>
    </row>
    <row r="4612" spans="1:12">
      <c r="A4612" s="8"/>
      <c r="B4612" s="9"/>
      <c r="C4612" s="10"/>
      <c r="D4612" s="10"/>
      <c r="E4612" s="11"/>
      <c r="F4612" s="11"/>
      <c r="G4612" s="12"/>
      <c r="H4612" s="12"/>
      <c r="I4612" s="10"/>
      <c r="J4612" s="5"/>
      <c r="K4612" s="12"/>
      <c r="L4612" s="15"/>
    </row>
    <row r="4613" spans="1:12">
      <c r="A4613" s="8"/>
      <c r="B4613" s="9"/>
      <c r="C4613" s="10"/>
      <c r="D4613" s="10"/>
      <c r="E4613" s="11"/>
      <c r="F4613" s="11"/>
      <c r="G4613" s="12"/>
      <c r="H4613" s="12"/>
      <c r="I4613" s="10"/>
      <c r="J4613" s="5"/>
      <c r="K4613" s="9"/>
      <c r="L4613" s="15"/>
    </row>
    <row r="4614" spans="1:12">
      <c r="A4614" s="8"/>
      <c r="B4614" s="9"/>
      <c r="C4614" s="10"/>
      <c r="D4614" s="10"/>
      <c r="E4614" s="11"/>
      <c r="F4614" s="11"/>
      <c r="G4614" s="12"/>
      <c r="H4614" s="12"/>
      <c r="I4614" s="10"/>
      <c r="J4614" s="5"/>
      <c r="K4614" s="9"/>
      <c r="L4614" s="15"/>
    </row>
    <row r="4615" spans="1:12">
      <c r="A4615" s="8"/>
      <c r="B4615" s="9"/>
      <c r="C4615" s="10"/>
      <c r="D4615" s="10"/>
      <c r="E4615" s="22"/>
      <c r="F4615" s="22"/>
      <c r="G4615" s="12"/>
      <c r="H4615" s="10"/>
      <c r="I4615" s="10"/>
      <c r="J4615" s="5"/>
      <c r="K4615" s="10"/>
      <c r="L4615" s="23"/>
    </row>
    <row r="4616" spans="1:12">
      <c r="A4616" s="8"/>
      <c r="B4616" s="9"/>
      <c r="C4616" s="10"/>
      <c r="D4616" s="10"/>
      <c r="E4616" s="22"/>
      <c r="F4616" s="22"/>
      <c r="G4616" s="12"/>
      <c r="H4616" s="10"/>
      <c r="I4616" s="10"/>
      <c r="J4616" s="5"/>
      <c r="K4616" s="10"/>
      <c r="L4616" s="23"/>
    </row>
    <row r="4617" spans="1:12">
      <c r="A4617" s="8"/>
      <c r="B4617" s="9"/>
      <c r="C4617" s="10"/>
      <c r="D4617" s="10"/>
      <c r="E4617" s="11"/>
      <c r="F4617" s="11"/>
      <c r="G4617" s="12"/>
      <c r="H4617" s="12"/>
      <c r="I4617" s="10"/>
      <c r="J4617" s="5"/>
      <c r="K4617" s="12"/>
      <c r="L4617" s="15"/>
    </row>
    <row r="4618" spans="1:12">
      <c r="A4618" s="8"/>
      <c r="B4618" s="9"/>
      <c r="C4618" s="10"/>
      <c r="D4618" s="10"/>
      <c r="E4618" s="11"/>
      <c r="F4618" s="11"/>
      <c r="G4618" s="12"/>
      <c r="H4618" s="12"/>
      <c r="I4618" s="10"/>
      <c r="J4618" s="5"/>
      <c r="K4618" s="12"/>
      <c r="L4618" s="15"/>
    </row>
    <row r="4619" spans="1:12">
      <c r="A4619" s="94"/>
      <c r="B4619" s="9"/>
      <c r="C4619" s="10"/>
      <c r="D4619" s="10"/>
      <c r="E4619" s="11"/>
      <c r="F4619" s="11"/>
      <c r="G4619" s="12"/>
      <c r="H4619" s="12"/>
      <c r="I4619" s="10"/>
      <c r="J4619" s="5"/>
      <c r="K4619" s="12"/>
      <c r="L4619" s="15"/>
    </row>
    <row r="4620" spans="1:12">
      <c r="A4620" s="8"/>
      <c r="B4620" s="9"/>
      <c r="C4620" s="10"/>
      <c r="D4620" s="10"/>
      <c r="E4620" s="11"/>
      <c r="F4620" s="11"/>
      <c r="G4620" s="12"/>
      <c r="H4620" s="12"/>
      <c r="I4620" s="10"/>
      <c r="J4620" s="5"/>
      <c r="K4620" s="12"/>
      <c r="L4620" s="15"/>
    </row>
    <row r="4621" spans="1:12">
      <c r="A4621" s="8"/>
      <c r="B4621" s="9"/>
      <c r="C4621" s="10"/>
      <c r="D4621" s="10"/>
      <c r="E4621" s="11"/>
      <c r="F4621" s="11"/>
      <c r="G4621" s="12"/>
      <c r="H4621" s="12"/>
      <c r="I4621" s="10"/>
      <c r="J4621" s="5"/>
      <c r="K4621" s="12"/>
      <c r="L4621" s="15"/>
    </row>
    <row r="4622" spans="1:12">
      <c r="A4622" s="8"/>
      <c r="B4622" s="9"/>
      <c r="C4622" s="10"/>
      <c r="D4622" s="10"/>
      <c r="E4622" s="11"/>
      <c r="F4622" s="11"/>
      <c r="G4622" s="12"/>
      <c r="H4622" s="12"/>
      <c r="I4622" s="10"/>
      <c r="J4622" s="5"/>
      <c r="K4622" s="12"/>
      <c r="L4622" s="15"/>
    </row>
    <row r="4623" spans="1:12">
      <c r="A4623" s="8"/>
      <c r="B4623" s="9"/>
      <c r="C4623" s="10"/>
      <c r="D4623" s="10"/>
      <c r="E4623" s="11"/>
      <c r="F4623" s="11"/>
      <c r="G4623" s="12"/>
      <c r="H4623" s="12"/>
      <c r="I4623" s="10"/>
      <c r="J4623" s="5"/>
      <c r="K4623" s="9"/>
      <c r="L4623" s="15"/>
    </row>
    <row r="4624" spans="1:12">
      <c r="A4624" s="8"/>
      <c r="B4624" s="9"/>
      <c r="C4624" s="10"/>
      <c r="D4624" s="10"/>
      <c r="E4624" s="11"/>
      <c r="F4624" s="11"/>
      <c r="G4624" s="12"/>
      <c r="H4624" s="12"/>
      <c r="I4624" s="10"/>
      <c r="J4624" s="5"/>
      <c r="K4624" s="12"/>
      <c r="L4624" s="15"/>
    </row>
    <row r="4625" spans="1:12">
      <c r="A4625" s="8"/>
      <c r="B4625" s="9"/>
      <c r="C4625" s="10"/>
      <c r="D4625" s="10"/>
      <c r="E4625" s="11"/>
      <c r="F4625" s="11"/>
      <c r="G4625" s="12"/>
      <c r="H4625" s="12"/>
      <c r="I4625" s="10"/>
      <c r="J4625" s="5"/>
      <c r="K4625" s="12"/>
      <c r="L4625" s="15"/>
    </row>
    <row r="4626" spans="1:12">
      <c r="A4626" s="8"/>
      <c r="B4626" s="9"/>
      <c r="C4626" s="10"/>
      <c r="D4626" s="10"/>
      <c r="E4626" s="11"/>
      <c r="F4626" s="11"/>
      <c r="G4626" s="12"/>
      <c r="H4626" s="12"/>
      <c r="I4626" s="10"/>
      <c r="J4626" s="5"/>
      <c r="K4626" s="12"/>
      <c r="L4626" s="15"/>
    </row>
    <row r="4627" spans="1:12">
      <c r="A4627" s="8"/>
      <c r="B4627" s="9"/>
      <c r="C4627" s="10"/>
      <c r="D4627" s="10"/>
      <c r="E4627" s="11"/>
      <c r="F4627" s="11"/>
      <c r="G4627" s="12"/>
      <c r="H4627" s="12"/>
      <c r="I4627" s="10"/>
      <c r="J4627" s="5"/>
      <c r="K4627" s="12"/>
      <c r="L4627" s="15"/>
    </row>
    <row r="4628" spans="1:12">
      <c r="A4628" s="8"/>
      <c r="B4628" s="9"/>
      <c r="C4628" s="13"/>
      <c r="D4628" s="10"/>
      <c r="E4628" s="19"/>
      <c r="F4628" s="19"/>
      <c r="G4628" s="12"/>
      <c r="H4628" s="9"/>
      <c r="I4628" s="10"/>
      <c r="J4628" s="5"/>
      <c r="K4628" s="12"/>
      <c r="L4628" s="15"/>
    </row>
    <row r="4629" spans="1:12">
      <c r="A4629" s="8"/>
      <c r="B4629" s="9"/>
      <c r="C4629" s="10"/>
      <c r="D4629" s="10"/>
      <c r="E4629" s="11"/>
      <c r="F4629" s="11"/>
      <c r="G4629" s="12"/>
      <c r="H4629" s="12"/>
      <c r="I4629" s="10"/>
      <c r="J4629" s="5"/>
      <c r="K4629" s="12"/>
      <c r="L4629" s="15"/>
    </row>
    <row r="4630" spans="1:12">
      <c r="A4630" s="8"/>
      <c r="B4630" s="9"/>
      <c r="C4630" s="10"/>
      <c r="D4630" s="10"/>
      <c r="E4630" s="11"/>
      <c r="F4630" s="11"/>
      <c r="G4630" s="12"/>
      <c r="H4630" s="12"/>
      <c r="I4630" s="10"/>
      <c r="J4630" s="5"/>
      <c r="K4630" s="12"/>
      <c r="L4630" s="15"/>
    </row>
    <row r="4631" spans="1:12">
      <c r="A4631" s="8"/>
      <c r="B4631" s="9"/>
      <c r="C4631" s="10"/>
      <c r="D4631" s="10"/>
      <c r="E4631" s="11"/>
      <c r="F4631" s="11"/>
      <c r="G4631" s="12"/>
      <c r="H4631" s="12"/>
      <c r="I4631" s="10"/>
      <c r="J4631" s="5"/>
      <c r="K4631" s="12"/>
      <c r="L4631" s="15"/>
    </row>
    <row r="4632" spans="1:12">
      <c r="A4632" s="8"/>
      <c r="B4632" s="9"/>
      <c r="C4632" s="10"/>
      <c r="D4632" s="10"/>
      <c r="E4632" s="11"/>
      <c r="F4632" s="11"/>
      <c r="G4632" s="12"/>
      <c r="H4632" s="12"/>
      <c r="I4632" s="10"/>
      <c r="J4632" s="5"/>
      <c r="K4632" s="12"/>
      <c r="L4632" s="15"/>
    </row>
    <row r="4633" spans="1:12">
      <c r="A4633" s="8"/>
      <c r="B4633" s="9"/>
      <c r="C4633" s="10"/>
      <c r="D4633" s="10"/>
      <c r="E4633" s="11"/>
      <c r="F4633" s="11"/>
      <c r="G4633" s="12"/>
      <c r="H4633" s="12"/>
      <c r="I4633" s="10"/>
      <c r="J4633" s="5"/>
      <c r="K4633" s="12"/>
      <c r="L4633" s="15"/>
    </row>
    <row r="4634" spans="1:12">
      <c r="A4634" s="8"/>
      <c r="B4634" s="9"/>
      <c r="C4634" s="10"/>
      <c r="D4634" s="10"/>
      <c r="E4634" s="11"/>
      <c r="F4634" s="11"/>
      <c r="G4634" s="12"/>
      <c r="H4634" s="12"/>
      <c r="I4634" s="10"/>
      <c r="J4634" s="5"/>
      <c r="K4634" s="12"/>
      <c r="L4634" s="15"/>
    </row>
    <row r="4635" spans="1:12">
      <c r="A4635" s="8"/>
      <c r="B4635" s="9"/>
      <c r="C4635" s="10"/>
      <c r="D4635" s="10"/>
      <c r="E4635" s="11"/>
      <c r="F4635" s="11"/>
      <c r="G4635" s="12"/>
      <c r="H4635" s="12"/>
      <c r="I4635" s="10"/>
      <c r="J4635" s="5"/>
      <c r="K4635" s="12"/>
      <c r="L4635" s="15"/>
    </row>
    <row r="4636" spans="1:12">
      <c r="A4636" s="8"/>
      <c r="B4636" s="9"/>
      <c r="C4636" s="10"/>
      <c r="D4636" s="10"/>
      <c r="E4636" s="11"/>
      <c r="F4636" s="11"/>
      <c r="G4636" s="12"/>
      <c r="H4636" s="12"/>
      <c r="I4636" s="10"/>
      <c r="J4636" s="5"/>
      <c r="K4636" s="12"/>
      <c r="L4636" s="15"/>
    </row>
    <row r="4637" spans="1:12">
      <c r="A4637" s="8"/>
      <c r="B4637" s="9"/>
      <c r="C4637" s="10"/>
      <c r="D4637" s="10"/>
      <c r="E4637" s="11"/>
      <c r="F4637" s="11"/>
      <c r="G4637" s="12"/>
      <c r="H4637" s="12"/>
      <c r="I4637" s="10"/>
      <c r="J4637" s="5"/>
      <c r="K4637" s="12"/>
      <c r="L4637" s="15"/>
    </row>
    <row r="4638" spans="1:12">
      <c r="A4638" s="8"/>
      <c r="B4638" s="9"/>
      <c r="C4638" s="10"/>
      <c r="D4638" s="10"/>
      <c r="E4638" s="11"/>
      <c r="F4638" s="11"/>
      <c r="G4638" s="12"/>
      <c r="H4638" s="12"/>
      <c r="I4638" s="10"/>
      <c r="J4638" s="5"/>
      <c r="K4638" s="12"/>
      <c r="L4638" s="15"/>
    </row>
    <row r="4639" spans="1:12">
      <c r="A4639" s="8"/>
      <c r="B4639" s="9"/>
      <c r="C4639" s="10"/>
      <c r="D4639" s="10"/>
      <c r="E4639" s="11"/>
      <c r="F4639" s="11"/>
      <c r="G4639" s="12"/>
      <c r="H4639" s="12"/>
      <c r="I4639" s="10"/>
      <c r="J4639" s="5"/>
      <c r="K4639" s="12"/>
      <c r="L4639" s="15"/>
    </row>
    <row r="4640" spans="1:12">
      <c r="A4640" s="8"/>
      <c r="B4640" s="9"/>
      <c r="C4640" s="10"/>
      <c r="D4640" s="10"/>
      <c r="E4640" s="11"/>
      <c r="F4640" s="11"/>
      <c r="G4640" s="12"/>
      <c r="H4640" s="12"/>
      <c r="I4640" s="10"/>
      <c r="J4640" s="5"/>
      <c r="K4640" s="12"/>
      <c r="L4640" s="15"/>
    </row>
    <row r="4641" spans="1:12">
      <c r="A4641" s="8"/>
      <c r="B4641" s="9"/>
      <c r="C4641" s="10"/>
      <c r="D4641" s="10"/>
      <c r="E4641" s="11"/>
      <c r="F4641" s="11"/>
      <c r="G4641" s="12"/>
      <c r="H4641" s="12"/>
      <c r="I4641" s="10"/>
      <c r="J4641" s="5"/>
      <c r="K4641" s="12"/>
      <c r="L4641" s="15"/>
    </row>
    <row r="4642" spans="1:12">
      <c r="A4642" s="8"/>
      <c r="B4642" s="9"/>
      <c r="C4642" s="10"/>
      <c r="D4642" s="10"/>
      <c r="E4642" s="11"/>
      <c r="F4642" s="11"/>
      <c r="G4642" s="12"/>
      <c r="H4642" s="12"/>
      <c r="I4642" s="10"/>
      <c r="J4642" s="5"/>
      <c r="K4642" s="12"/>
      <c r="L4642" s="15"/>
    </row>
    <row r="4643" spans="1:12">
      <c r="A4643" s="8"/>
      <c r="B4643" s="9"/>
      <c r="C4643" s="10"/>
      <c r="D4643" s="10"/>
      <c r="E4643" s="11"/>
      <c r="F4643" s="11"/>
      <c r="G4643" s="12"/>
      <c r="H4643" s="12"/>
      <c r="I4643" s="10"/>
      <c r="J4643" s="5"/>
      <c r="K4643" s="12"/>
      <c r="L4643" s="15"/>
    </row>
    <row r="4644" spans="1:12">
      <c r="A4644" s="8"/>
      <c r="B4644" s="9"/>
      <c r="C4644" s="10"/>
      <c r="D4644" s="10"/>
      <c r="E4644" s="11"/>
      <c r="F4644" s="11"/>
      <c r="G4644" s="12"/>
      <c r="H4644" s="12"/>
      <c r="I4644" s="10"/>
      <c r="J4644" s="5"/>
      <c r="K4644" s="12"/>
      <c r="L4644" s="15"/>
    </row>
    <row r="4645" spans="1:12">
      <c r="A4645" s="8"/>
      <c r="B4645" s="9"/>
      <c r="C4645" s="10"/>
      <c r="D4645" s="10"/>
      <c r="E4645" s="11"/>
      <c r="F4645" s="11"/>
      <c r="G4645" s="12"/>
      <c r="H4645" s="12"/>
      <c r="I4645" s="10"/>
      <c r="J4645" s="5"/>
      <c r="K4645" s="12"/>
      <c r="L4645" s="15"/>
    </row>
    <row r="4646" spans="1:12">
      <c r="A4646" s="8"/>
      <c r="B4646" s="9"/>
      <c r="C4646" s="10"/>
      <c r="D4646" s="10"/>
      <c r="E4646" s="11"/>
      <c r="F4646" s="11"/>
      <c r="G4646" s="12"/>
      <c r="H4646" s="12"/>
      <c r="I4646" s="10"/>
      <c r="J4646" s="5"/>
      <c r="K4646" s="12"/>
      <c r="L4646" s="15"/>
    </row>
    <row r="4647" spans="1:12">
      <c r="A4647" s="8"/>
      <c r="B4647" s="9"/>
      <c r="C4647" s="10"/>
      <c r="D4647" s="10"/>
      <c r="E4647" s="11"/>
      <c r="F4647" s="11"/>
      <c r="G4647" s="12"/>
      <c r="H4647" s="12"/>
      <c r="I4647" s="10"/>
      <c r="J4647" s="5"/>
      <c r="K4647" s="12"/>
      <c r="L4647" s="15"/>
    </row>
    <row r="4648" spans="1:12">
      <c r="A4648" s="8"/>
      <c r="B4648" s="9"/>
      <c r="C4648" s="10"/>
      <c r="D4648" s="10"/>
      <c r="E4648" s="11"/>
      <c r="F4648" s="11"/>
      <c r="G4648" s="12"/>
      <c r="H4648" s="12"/>
      <c r="I4648" s="10"/>
      <c r="J4648" s="5"/>
      <c r="K4648" s="12"/>
      <c r="L4648" s="15"/>
    </row>
    <row r="4649" spans="1:12">
      <c r="A4649" s="8"/>
      <c r="B4649" s="9"/>
      <c r="C4649" s="10"/>
      <c r="D4649" s="10"/>
      <c r="E4649" s="11"/>
      <c r="F4649" s="11"/>
      <c r="G4649" s="12"/>
      <c r="H4649" s="12"/>
      <c r="I4649" s="10"/>
      <c r="J4649" s="5"/>
      <c r="K4649" s="12"/>
      <c r="L4649" s="15"/>
    </row>
    <row r="4650" spans="1:12">
      <c r="A4650" s="8"/>
      <c r="B4650" s="9"/>
      <c r="C4650" s="10"/>
      <c r="D4650" s="10"/>
      <c r="E4650" s="11"/>
      <c r="F4650" s="11"/>
      <c r="G4650" s="12"/>
      <c r="H4650" s="12"/>
      <c r="I4650" s="10"/>
      <c r="J4650" s="5"/>
      <c r="K4650" s="12"/>
      <c r="L4650" s="15"/>
    </row>
    <row r="4651" spans="1:12">
      <c r="A4651" s="8"/>
      <c r="B4651" s="9"/>
      <c r="C4651" s="10"/>
      <c r="D4651" s="10"/>
      <c r="E4651" s="11"/>
      <c r="F4651" s="11"/>
      <c r="G4651" s="12"/>
      <c r="H4651" s="12"/>
      <c r="I4651" s="10"/>
      <c r="J4651" s="5"/>
      <c r="K4651" s="12"/>
      <c r="L4651" s="15"/>
    </row>
    <row r="4652" spans="1:12">
      <c r="A4652" s="8"/>
      <c r="B4652" s="9"/>
      <c r="C4652" s="10"/>
      <c r="D4652" s="10"/>
      <c r="E4652" s="11"/>
      <c r="F4652" s="11"/>
      <c r="G4652" s="12"/>
      <c r="H4652" s="12"/>
      <c r="I4652" s="10"/>
      <c r="J4652" s="5"/>
      <c r="K4652" s="9"/>
      <c r="L4652" s="15"/>
    </row>
    <row r="4653" spans="1:12">
      <c r="A4653" s="8"/>
      <c r="B4653" s="9"/>
      <c r="C4653" s="10"/>
      <c r="D4653" s="10"/>
      <c r="E4653" s="11"/>
      <c r="F4653" s="11"/>
      <c r="G4653" s="12"/>
      <c r="H4653" s="12"/>
      <c r="I4653" s="10"/>
      <c r="J4653" s="5"/>
      <c r="K4653" s="12"/>
      <c r="L4653" s="15"/>
    </row>
    <row r="4654" spans="1:12">
      <c r="A4654" s="8"/>
      <c r="B4654" s="9"/>
      <c r="C4654" s="10"/>
      <c r="D4654" s="10"/>
      <c r="E4654" s="11"/>
      <c r="F4654" s="11"/>
      <c r="G4654" s="12"/>
      <c r="H4654" s="12"/>
      <c r="I4654" s="10"/>
      <c r="J4654" s="5"/>
      <c r="K4654" s="12"/>
      <c r="L4654" s="15"/>
    </row>
    <row r="4655" spans="1:12">
      <c r="A4655" s="8"/>
      <c r="B4655" s="9"/>
      <c r="C4655" s="10"/>
      <c r="D4655" s="10"/>
      <c r="E4655" s="11"/>
      <c r="F4655" s="11"/>
      <c r="G4655" s="12"/>
      <c r="H4655" s="12"/>
      <c r="I4655" s="10"/>
      <c r="J4655" s="5"/>
      <c r="K4655" s="12"/>
      <c r="L4655" s="15"/>
    </row>
    <row r="4656" spans="1:12">
      <c r="A4656" s="8"/>
      <c r="B4656" s="9"/>
      <c r="C4656" s="10"/>
      <c r="D4656" s="10"/>
      <c r="E4656" s="11"/>
      <c r="F4656" s="11"/>
      <c r="G4656" s="12"/>
      <c r="H4656" s="12"/>
      <c r="I4656" s="10"/>
      <c r="J4656" s="5"/>
      <c r="K4656" s="12"/>
      <c r="L4656" s="15"/>
    </row>
    <row r="4657" spans="1:12">
      <c r="A4657" s="8"/>
      <c r="B4657" s="9"/>
      <c r="C4657" s="10"/>
      <c r="D4657" s="10"/>
      <c r="E4657" s="11"/>
      <c r="F4657" s="11"/>
      <c r="G4657" s="12"/>
      <c r="H4657" s="12"/>
      <c r="I4657" s="10"/>
      <c r="J4657" s="5"/>
      <c r="K4657" s="12"/>
      <c r="L4657" s="15"/>
    </row>
    <row r="4658" spans="1:12">
      <c r="A4658" s="8"/>
      <c r="B4658" s="9"/>
      <c r="C4658" s="10"/>
      <c r="D4658" s="10"/>
      <c r="E4658" s="11"/>
      <c r="F4658" s="11"/>
      <c r="G4658" s="12"/>
      <c r="H4658" s="12"/>
      <c r="I4658" s="10"/>
      <c r="J4658" s="5"/>
      <c r="K4658" s="12"/>
      <c r="L4658" s="15"/>
    </row>
    <row r="4659" spans="1:12">
      <c r="A4659" s="8"/>
      <c r="B4659" s="9"/>
      <c r="C4659" s="10"/>
      <c r="D4659" s="10"/>
      <c r="E4659" s="22"/>
      <c r="F4659" s="22"/>
      <c r="G4659" s="12"/>
      <c r="H4659" s="10"/>
      <c r="I4659" s="10"/>
      <c r="J4659" s="5"/>
      <c r="K4659" s="10"/>
      <c r="L4659" s="23"/>
    </row>
    <row r="4660" spans="1:12">
      <c r="A4660" s="8"/>
      <c r="B4660" s="9"/>
      <c r="C4660" s="10"/>
      <c r="D4660" s="10"/>
      <c r="E4660" s="22"/>
      <c r="F4660" s="22"/>
      <c r="G4660" s="12"/>
      <c r="H4660" s="10"/>
      <c r="I4660" s="10"/>
      <c r="J4660" s="5"/>
      <c r="K4660" s="10"/>
      <c r="L4660" s="23"/>
    </row>
    <row r="4661" spans="1:12">
      <c r="A4661" s="8"/>
      <c r="B4661" s="9"/>
      <c r="C4661" s="10"/>
      <c r="D4661" s="10"/>
      <c r="E4661" s="22"/>
      <c r="F4661" s="22"/>
      <c r="G4661" s="12"/>
      <c r="H4661" s="10"/>
      <c r="I4661" s="10"/>
      <c r="J4661" s="5"/>
      <c r="K4661" s="10"/>
      <c r="L4661" s="23"/>
    </row>
    <row r="4662" spans="1:12">
      <c r="A4662" s="8"/>
      <c r="B4662" s="9"/>
      <c r="C4662" s="10"/>
      <c r="D4662" s="10"/>
      <c r="E4662" s="11"/>
      <c r="F4662" s="11"/>
      <c r="G4662" s="12"/>
      <c r="H4662" s="12"/>
      <c r="I4662" s="10"/>
      <c r="J4662" s="5"/>
      <c r="K4662" s="12"/>
      <c r="L4662" s="15"/>
    </row>
    <row r="4663" spans="1:12">
      <c r="A4663" s="8"/>
      <c r="B4663" s="9"/>
      <c r="C4663" s="13"/>
      <c r="D4663" s="10"/>
      <c r="E4663" s="19"/>
      <c r="F4663" s="19"/>
      <c r="G4663" s="12"/>
      <c r="H4663" s="9"/>
      <c r="I4663" s="10"/>
      <c r="J4663" s="5"/>
      <c r="K4663" s="12"/>
      <c r="L4663" s="21"/>
    </row>
    <row r="4664" spans="1:12">
      <c r="A4664" s="8"/>
      <c r="B4664" s="9"/>
      <c r="C4664" s="10"/>
      <c r="D4664" s="10"/>
      <c r="E4664" s="11"/>
      <c r="F4664" s="11"/>
      <c r="G4664" s="12"/>
      <c r="H4664" s="12"/>
      <c r="I4664" s="10"/>
      <c r="J4664" s="5"/>
      <c r="K4664" s="12"/>
      <c r="L4664" s="15"/>
    </row>
    <row r="4665" spans="1:12">
      <c r="A4665" s="8"/>
      <c r="B4665" s="9"/>
      <c r="C4665" s="10"/>
      <c r="D4665" s="10"/>
      <c r="E4665" s="11"/>
      <c r="F4665" s="11"/>
      <c r="G4665" s="12"/>
      <c r="H4665" s="12"/>
      <c r="I4665" s="10"/>
      <c r="J4665" s="5"/>
      <c r="K4665" s="12"/>
      <c r="L4665" s="15"/>
    </row>
    <row r="4666" spans="1:12">
      <c r="A4666" s="8"/>
      <c r="B4666" s="9"/>
      <c r="C4666" s="10"/>
      <c r="D4666" s="10"/>
      <c r="E4666" s="11"/>
      <c r="F4666" s="11"/>
      <c r="G4666" s="12"/>
      <c r="H4666" s="12"/>
      <c r="I4666" s="10"/>
      <c r="J4666" s="5"/>
      <c r="K4666" s="12"/>
      <c r="L4666" s="15"/>
    </row>
    <row r="4667" spans="1:12">
      <c r="A4667" s="8"/>
      <c r="B4667" s="9"/>
      <c r="C4667" s="10"/>
      <c r="D4667" s="10"/>
      <c r="E4667" s="11"/>
      <c r="F4667" s="11"/>
      <c r="G4667" s="12"/>
      <c r="H4667" s="12"/>
      <c r="I4667" s="10"/>
      <c r="J4667" s="5"/>
      <c r="K4667" s="12"/>
      <c r="L4667" s="15"/>
    </row>
    <row r="4668" spans="1:12">
      <c r="A4668" s="8"/>
      <c r="B4668" s="9"/>
      <c r="C4668" s="10"/>
      <c r="D4668" s="10"/>
      <c r="E4668" s="11"/>
      <c r="F4668" s="11"/>
      <c r="G4668" s="12"/>
      <c r="H4668" s="12"/>
      <c r="I4668" s="10"/>
      <c r="J4668" s="5"/>
      <c r="K4668" s="12"/>
      <c r="L4668" s="23"/>
    </row>
    <row r="4669" spans="1:12">
      <c r="A4669" s="8"/>
      <c r="B4669" s="9"/>
      <c r="C4669" s="10"/>
      <c r="D4669" s="10"/>
      <c r="E4669" s="11"/>
      <c r="F4669" s="11"/>
      <c r="G4669" s="12"/>
      <c r="H4669" s="12"/>
      <c r="I4669" s="10"/>
      <c r="J4669" s="5"/>
      <c r="K4669" s="12"/>
      <c r="L4669" s="23"/>
    </row>
    <row r="4670" spans="1:12">
      <c r="A4670" s="8"/>
      <c r="B4670" s="9"/>
      <c r="C4670" s="10"/>
      <c r="D4670" s="10"/>
      <c r="E4670" s="11"/>
      <c r="F4670" s="11"/>
      <c r="G4670" s="12"/>
      <c r="H4670" s="12"/>
      <c r="I4670" s="10"/>
      <c r="J4670" s="5"/>
      <c r="K4670" s="12"/>
      <c r="L4670" s="15"/>
    </row>
    <row r="4671" spans="1:12">
      <c r="A4671" s="8"/>
      <c r="B4671" s="9"/>
      <c r="C4671" s="10"/>
      <c r="D4671" s="10"/>
      <c r="E4671" s="11"/>
      <c r="F4671" s="11"/>
      <c r="G4671" s="12"/>
      <c r="H4671" s="12"/>
      <c r="I4671" s="10"/>
      <c r="J4671" s="5"/>
      <c r="K4671" s="12"/>
      <c r="L4671" s="15"/>
    </row>
    <row r="4672" spans="1:12">
      <c r="A4672" s="8"/>
      <c r="B4672" s="9"/>
      <c r="C4672" s="10"/>
      <c r="D4672" s="10"/>
      <c r="E4672" s="11"/>
      <c r="F4672" s="11"/>
      <c r="G4672" s="12"/>
      <c r="H4672" s="12"/>
      <c r="I4672" s="10"/>
      <c r="J4672" s="5"/>
      <c r="K4672" s="12"/>
      <c r="L4672" s="15"/>
    </row>
    <row r="4673" spans="1:12">
      <c r="A4673" s="8"/>
      <c r="B4673" s="9"/>
      <c r="C4673" s="10"/>
      <c r="D4673" s="10"/>
      <c r="E4673" s="11"/>
      <c r="F4673" s="11"/>
      <c r="G4673" s="12"/>
      <c r="H4673" s="12"/>
      <c r="I4673" s="10"/>
      <c r="J4673" s="5"/>
      <c r="K4673" s="12"/>
      <c r="L4673" s="15"/>
    </row>
    <row r="4674" spans="1:12">
      <c r="A4674" s="8"/>
      <c r="B4674" s="9"/>
      <c r="C4674" s="10"/>
      <c r="D4674" s="10"/>
      <c r="E4674" s="11"/>
      <c r="F4674" s="11"/>
      <c r="G4674" s="12"/>
      <c r="H4674" s="12"/>
      <c r="I4674" s="10"/>
      <c r="J4674" s="5"/>
      <c r="K4674" s="12"/>
      <c r="L4674" s="15"/>
    </row>
    <row r="4675" spans="1:12">
      <c r="A4675" s="8"/>
      <c r="B4675" s="9"/>
      <c r="C4675" s="10"/>
      <c r="D4675" s="10"/>
      <c r="E4675" s="11"/>
      <c r="F4675" s="11"/>
      <c r="G4675" s="12"/>
      <c r="H4675" s="12"/>
      <c r="I4675" s="10"/>
      <c r="J4675" s="5"/>
      <c r="K4675" s="12"/>
      <c r="L4675" s="15"/>
    </row>
    <row r="4676" spans="1:12">
      <c r="A4676" s="8"/>
      <c r="B4676" s="9"/>
      <c r="C4676" s="10"/>
      <c r="D4676" s="10"/>
      <c r="E4676" s="11"/>
      <c r="F4676" s="11"/>
      <c r="G4676" s="12"/>
      <c r="H4676" s="12"/>
      <c r="I4676" s="10"/>
      <c r="J4676" s="5"/>
      <c r="K4676" s="12"/>
      <c r="L4676" s="15"/>
    </row>
    <row r="4677" spans="1:12">
      <c r="A4677" s="8"/>
      <c r="B4677" s="9"/>
      <c r="C4677" s="10"/>
      <c r="D4677" s="10"/>
      <c r="E4677" s="11"/>
      <c r="F4677" s="11"/>
      <c r="G4677" s="12"/>
      <c r="H4677" s="12"/>
      <c r="I4677" s="10"/>
      <c r="J4677" s="5"/>
      <c r="K4677" s="12"/>
      <c r="L4677" s="15"/>
    </row>
    <row r="4678" spans="1:12">
      <c r="A4678" s="8"/>
      <c r="B4678" s="9"/>
      <c r="C4678" s="10"/>
      <c r="D4678" s="10"/>
      <c r="E4678" s="22"/>
      <c r="F4678" s="11"/>
      <c r="G4678" s="12"/>
      <c r="H4678" s="12"/>
      <c r="I4678" s="10"/>
      <c r="J4678" s="5"/>
      <c r="K4678" s="12"/>
      <c r="L4678" s="15"/>
    </row>
    <row r="4679" spans="1:12">
      <c r="A4679" s="8"/>
      <c r="B4679" s="9"/>
      <c r="C4679" s="10"/>
      <c r="D4679" s="10"/>
      <c r="E4679" s="22"/>
      <c r="F4679" s="22"/>
      <c r="G4679" s="12"/>
      <c r="H4679" s="10"/>
      <c r="I4679" s="10"/>
      <c r="J4679" s="5"/>
      <c r="K4679" s="12"/>
      <c r="L4679" s="15"/>
    </row>
    <row r="4680" spans="1:12">
      <c r="A4680" s="8"/>
      <c r="B4680" s="9"/>
      <c r="C4680" s="10"/>
      <c r="D4680" s="10"/>
      <c r="E4680" s="11"/>
      <c r="F4680" s="11"/>
      <c r="G4680" s="12"/>
      <c r="H4680" s="12"/>
      <c r="I4680" s="10"/>
      <c r="J4680" s="5"/>
      <c r="K4680" s="12"/>
      <c r="L4680" s="16"/>
    </row>
    <row r="4681" spans="1:12">
      <c r="A4681" s="8"/>
      <c r="B4681" s="9"/>
      <c r="C4681" s="10"/>
      <c r="D4681" s="10"/>
      <c r="E4681" s="11"/>
      <c r="F4681" s="11"/>
      <c r="G4681" s="12"/>
      <c r="H4681" s="12"/>
      <c r="I4681" s="10"/>
      <c r="J4681" s="5"/>
      <c r="K4681" s="12"/>
      <c r="L4681" s="15"/>
    </row>
    <row r="4682" spans="1:12">
      <c r="A4682" s="8"/>
      <c r="B4682" s="9"/>
      <c r="C4682" s="10"/>
      <c r="D4682" s="10"/>
      <c r="E4682" s="11"/>
      <c r="F4682" s="11"/>
      <c r="G4682" s="12"/>
      <c r="H4682" s="12"/>
      <c r="I4682" s="10"/>
      <c r="J4682" s="5"/>
      <c r="K4682" s="12"/>
      <c r="L4682" s="15"/>
    </row>
    <row r="4683" spans="1:12">
      <c r="A4683" s="8"/>
      <c r="B4683" s="9"/>
      <c r="C4683" s="10"/>
      <c r="D4683" s="10"/>
      <c r="E4683" s="11"/>
      <c r="F4683" s="11"/>
      <c r="G4683" s="12"/>
      <c r="H4683" s="12"/>
      <c r="I4683" s="10"/>
      <c r="J4683" s="5"/>
      <c r="K4683" s="12"/>
      <c r="L4683" s="15"/>
    </row>
    <row r="4684" spans="1:12">
      <c r="A4684" s="8"/>
      <c r="B4684" s="9"/>
      <c r="C4684" s="10"/>
      <c r="D4684" s="10"/>
      <c r="E4684" s="11"/>
      <c r="F4684" s="11"/>
      <c r="G4684" s="12"/>
      <c r="H4684" s="12"/>
      <c r="I4684" s="10"/>
      <c r="J4684" s="5"/>
      <c r="K4684" s="12"/>
      <c r="L4684" s="16"/>
    </row>
    <row r="4685" spans="1:12">
      <c r="A4685" s="8"/>
      <c r="B4685" s="9"/>
      <c r="C4685" s="10"/>
      <c r="D4685" s="10"/>
      <c r="E4685" s="11"/>
      <c r="F4685" s="11"/>
      <c r="G4685" s="12"/>
      <c r="H4685" s="12"/>
      <c r="I4685" s="10"/>
      <c r="J4685" s="5"/>
      <c r="K4685" s="12"/>
      <c r="L4685" s="15"/>
    </row>
    <row r="4686" spans="1:12">
      <c r="A4686" s="8"/>
      <c r="B4686" s="9"/>
      <c r="C4686" s="10"/>
      <c r="D4686" s="10"/>
      <c r="E4686" s="11"/>
      <c r="F4686" s="11"/>
      <c r="G4686" s="12"/>
      <c r="H4686" s="12"/>
      <c r="I4686" s="10"/>
      <c r="J4686" s="5"/>
      <c r="K4686" s="9"/>
      <c r="L4686" s="16"/>
    </row>
    <row r="4687" spans="1:12">
      <c r="A4687" s="8"/>
      <c r="B4687" s="9"/>
      <c r="C4687" s="10"/>
      <c r="D4687" s="10"/>
      <c r="E4687" s="11"/>
      <c r="F4687" s="11"/>
      <c r="G4687" s="12"/>
      <c r="H4687" s="12"/>
      <c r="I4687" s="10"/>
      <c r="J4687" s="5"/>
      <c r="K4687" s="9"/>
      <c r="L4687" s="15"/>
    </row>
    <row r="4688" spans="1:12">
      <c r="A4688" s="8"/>
      <c r="B4688" s="9"/>
      <c r="C4688" s="10"/>
      <c r="D4688" s="10"/>
      <c r="E4688" s="11"/>
      <c r="F4688" s="11"/>
      <c r="G4688" s="12"/>
      <c r="H4688" s="12"/>
      <c r="I4688" s="10"/>
      <c r="J4688" s="5"/>
      <c r="K4688" s="9"/>
      <c r="L4688" s="15"/>
    </row>
    <row r="4689" spans="1:12">
      <c r="A4689" s="8"/>
      <c r="B4689" s="9"/>
      <c r="C4689" s="10"/>
      <c r="D4689" s="10"/>
      <c r="E4689" s="11"/>
      <c r="F4689" s="11"/>
      <c r="G4689" s="12"/>
      <c r="H4689" s="12"/>
      <c r="I4689" s="10"/>
      <c r="J4689" s="5"/>
      <c r="K4689" s="12"/>
      <c r="L4689" s="15"/>
    </row>
    <row r="4690" spans="1:12">
      <c r="A4690" s="8"/>
      <c r="B4690" s="9"/>
      <c r="C4690" s="10"/>
      <c r="D4690" s="10"/>
      <c r="E4690" s="11"/>
      <c r="F4690" s="11"/>
      <c r="G4690" s="12"/>
      <c r="H4690" s="12"/>
      <c r="I4690" s="10"/>
      <c r="J4690" s="5"/>
      <c r="K4690" s="12"/>
      <c r="L4690" s="15"/>
    </row>
    <row r="4691" spans="1:12">
      <c r="A4691" s="8"/>
      <c r="B4691" s="9"/>
      <c r="C4691" s="10"/>
      <c r="D4691" s="10"/>
      <c r="E4691" s="11"/>
      <c r="F4691" s="11"/>
      <c r="G4691" s="12"/>
      <c r="H4691" s="12"/>
      <c r="I4691" s="10"/>
      <c r="J4691" s="5"/>
      <c r="K4691" s="12"/>
      <c r="L4691" s="15"/>
    </row>
    <row r="4692" spans="1:12">
      <c r="A4692" s="8"/>
      <c r="B4692" s="9"/>
      <c r="C4692" s="10"/>
      <c r="D4692" s="10"/>
      <c r="E4692" s="11"/>
      <c r="F4692" s="11"/>
      <c r="G4692" s="12"/>
      <c r="H4692" s="12"/>
      <c r="I4692" s="10"/>
      <c r="J4692" s="5"/>
      <c r="K4692" s="9"/>
      <c r="L4692" s="15"/>
    </row>
    <row r="4693" spans="1:12">
      <c r="A4693" s="8"/>
      <c r="B4693" s="9"/>
      <c r="C4693" s="10"/>
      <c r="D4693" s="10"/>
      <c r="E4693" s="11"/>
      <c r="F4693" s="11"/>
      <c r="G4693" s="12"/>
      <c r="H4693" s="12"/>
      <c r="I4693" s="10"/>
      <c r="J4693" s="5"/>
      <c r="K4693" s="12"/>
      <c r="L4693" s="15"/>
    </row>
    <row r="4694" spans="1:12">
      <c r="A4694" s="8"/>
      <c r="B4694" s="9"/>
      <c r="C4694" s="10"/>
      <c r="D4694" s="10"/>
      <c r="E4694" s="11"/>
      <c r="F4694" s="22"/>
      <c r="G4694" s="12"/>
      <c r="H4694" s="12"/>
      <c r="I4694" s="10"/>
      <c r="J4694" s="5"/>
      <c r="K4694" s="12"/>
      <c r="L4694" s="15"/>
    </row>
    <row r="4695" spans="1:12">
      <c r="A4695" s="8"/>
      <c r="B4695" s="9"/>
      <c r="C4695" s="10"/>
      <c r="D4695" s="10"/>
      <c r="E4695" s="11"/>
      <c r="F4695" s="11"/>
      <c r="G4695" s="12"/>
      <c r="H4695" s="12"/>
      <c r="I4695" s="10"/>
      <c r="J4695" s="5"/>
      <c r="K4695" s="9"/>
      <c r="L4695" s="15"/>
    </row>
    <row r="4696" spans="1:12">
      <c r="A4696" s="8"/>
      <c r="B4696" s="9"/>
      <c r="C4696" s="10"/>
      <c r="D4696" s="10"/>
      <c r="E4696" s="11"/>
      <c r="F4696" s="11"/>
      <c r="G4696" s="12"/>
      <c r="H4696" s="12"/>
      <c r="I4696" s="10"/>
      <c r="J4696" s="5"/>
      <c r="K4696" s="9"/>
      <c r="L4696" s="15"/>
    </row>
    <row r="4697" spans="1:12">
      <c r="A4697" s="8"/>
      <c r="B4697" s="9"/>
      <c r="C4697" s="10"/>
      <c r="D4697" s="10"/>
      <c r="E4697" s="11"/>
      <c r="F4697" s="11"/>
      <c r="G4697" s="12"/>
      <c r="H4697" s="12"/>
      <c r="I4697" s="10"/>
      <c r="J4697" s="5"/>
      <c r="K4697" s="9"/>
      <c r="L4697" s="15"/>
    </row>
    <row r="4698" spans="1:12">
      <c r="A4698" s="8"/>
      <c r="B4698" s="9"/>
      <c r="C4698" s="10"/>
      <c r="D4698" s="10"/>
      <c r="E4698" s="11"/>
      <c r="F4698" s="11"/>
      <c r="G4698" s="12"/>
      <c r="H4698" s="12"/>
      <c r="I4698" s="10"/>
      <c r="J4698" s="5"/>
      <c r="K4698" s="9"/>
      <c r="L4698" s="15"/>
    </row>
    <row r="4699" spans="1:12">
      <c r="A4699" s="8"/>
      <c r="B4699" s="9"/>
      <c r="C4699" s="10"/>
      <c r="D4699" s="10"/>
      <c r="E4699" s="11"/>
      <c r="F4699" s="11"/>
      <c r="G4699" s="12"/>
      <c r="H4699" s="12"/>
      <c r="I4699" s="10"/>
      <c r="J4699" s="5"/>
      <c r="K4699" s="12"/>
      <c r="L4699" s="15"/>
    </row>
    <row r="4700" spans="1:12">
      <c r="A4700" s="8"/>
      <c r="B4700" s="9"/>
      <c r="C4700" s="10"/>
      <c r="D4700" s="10"/>
      <c r="E4700" s="11"/>
      <c r="F4700" s="11"/>
      <c r="G4700" s="12"/>
      <c r="H4700" s="12"/>
      <c r="I4700" s="10"/>
      <c r="J4700" s="5"/>
      <c r="K4700" s="12"/>
      <c r="L4700" s="15"/>
    </row>
    <row r="4701" spans="1:12">
      <c r="A4701" s="8"/>
      <c r="B4701" s="9"/>
      <c r="C4701" s="10"/>
      <c r="D4701" s="10"/>
      <c r="E4701" s="11"/>
      <c r="F4701" s="11"/>
      <c r="G4701" s="12"/>
      <c r="H4701" s="12"/>
      <c r="I4701" s="10"/>
      <c r="J4701" s="5"/>
      <c r="K4701" s="9"/>
      <c r="L4701" s="15"/>
    </row>
    <row r="4702" spans="1:12">
      <c r="A4702" s="8"/>
      <c r="B4702" s="9"/>
      <c r="C4702" s="10"/>
      <c r="D4702" s="10"/>
      <c r="E4702" s="11"/>
      <c r="F4702" s="11"/>
      <c r="G4702" s="12"/>
      <c r="H4702" s="12"/>
      <c r="I4702" s="10"/>
      <c r="J4702" s="5"/>
      <c r="K4702" s="12"/>
      <c r="L4702" s="15"/>
    </row>
    <row r="4703" spans="1:12">
      <c r="A4703" s="8"/>
      <c r="B4703" s="9"/>
      <c r="C4703" s="10"/>
      <c r="D4703" s="10"/>
      <c r="E4703" s="11"/>
      <c r="F4703" s="11"/>
      <c r="G4703" s="12"/>
      <c r="H4703" s="12"/>
      <c r="I4703" s="10"/>
      <c r="J4703" s="5"/>
      <c r="K4703" s="12"/>
      <c r="L4703" s="15"/>
    </row>
    <row r="4704" spans="1:12">
      <c r="A4704" s="8"/>
      <c r="B4704" s="9"/>
      <c r="C4704" s="10"/>
      <c r="D4704" s="10"/>
      <c r="E4704" s="11"/>
      <c r="F4704" s="11"/>
      <c r="G4704" s="12"/>
      <c r="H4704" s="12"/>
      <c r="I4704" s="10"/>
      <c r="J4704" s="5"/>
      <c r="K4704" s="12"/>
      <c r="L4704" s="15"/>
    </row>
    <row r="4705" spans="1:12">
      <c r="A4705" s="8"/>
      <c r="B4705" s="9"/>
      <c r="C4705" s="10"/>
      <c r="D4705" s="10"/>
      <c r="E4705" s="11"/>
      <c r="F4705" s="11"/>
      <c r="G4705" s="12"/>
      <c r="H4705" s="12"/>
      <c r="I4705" s="10"/>
      <c r="J4705" s="5"/>
      <c r="K4705" s="12"/>
      <c r="L4705" s="15"/>
    </row>
    <row r="4706" spans="1:12">
      <c r="A4706" s="8"/>
      <c r="B4706" s="9"/>
      <c r="C4706" s="10"/>
      <c r="D4706" s="10"/>
      <c r="E4706" s="11"/>
      <c r="F4706" s="11"/>
      <c r="G4706" s="12"/>
      <c r="H4706" s="12"/>
      <c r="I4706" s="10"/>
      <c r="J4706" s="5"/>
      <c r="K4706" s="12"/>
      <c r="L4706" s="16"/>
    </row>
    <row r="4707" spans="1:12">
      <c r="A4707" s="8"/>
      <c r="B4707" s="9"/>
      <c r="C4707" s="10"/>
      <c r="D4707" s="10"/>
      <c r="E4707" s="11"/>
      <c r="F4707" s="11"/>
      <c r="G4707" s="12"/>
      <c r="H4707" s="12"/>
      <c r="I4707" s="10"/>
      <c r="J4707" s="5"/>
      <c r="K4707" s="12"/>
      <c r="L4707" s="15"/>
    </row>
    <row r="4708" spans="1:12">
      <c r="A4708" s="8"/>
      <c r="B4708" s="9"/>
      <c r="C4708" s="10"/>
      <c r="D4708" s="10"/>
      <c r="E4708" s="11"/>
      <c r="F4708" s="11"/>
      <c r="G4708" s="12"/>
      <c r="H4708" s="12"/>
      <c r="I4708" s="10"/>
      <c r="J4708" s="5"/>
      <c r="K4708" s="12"/>
      <c r="L4708" s="15"/>
    </row>
    <row r="4709" spans="1:12">
      <c r="A4709" s="8"/>
      <c r="B4709" s="9"/>
      <c r="C4709" s="10"/>
      <c r="D4709" s="10"/>
      <c r="E4709" s="11"/>
      <c r="F4709" s="11"/>
      <c r="G4709" s="12"/>
      <c r="H4709" s="12"/>
      <c r="I4709" s="10"/>
      <c r="J4709" s="5"/>
      <c r="K4709" s="12"/>
      <c r="L4709" s="15"/>
    </row>
    <row r="4710" spans="1:12">
      <c r="A4710" s="8"/>
      <c r="B4710" s="9"/>
      <c r="C4710" s="10"/>
      <c r="D4710" s="10"/>
      <c r="E4710" s="11"/>
      <c r="F4710" s="11"/>
      <c r="G4710" s="12"/>
      <c r="H4710" s="12"/>
      <c r="I4710" s="10"/>
      <c r="J4710" s="5"/>
      <c r="K4710" s="9"/>
      <c r="L4710" s="15"/>
    </row>
    <row r="4711" spans="1:12">
      <c r="A4711" s="8"/>
      <c r="B4711" s="9"/>
      <c r="C4711" s="10"/>
      <c r="D4711" s="10"/>
      <c r="E4711" s="11"/>
      <c r="F4711" s="11"/>
      <c r="G4711" s="12"/>
      <c r="H4711" s="12"/>
      <c r="I4711" s="10"/>
      <c r="J4711" s="5"/>
      <c r="K4711" s="12"/>
      <c r="L4711" s="15"/>
    </row>
    <row r="4712" spans="1:12">
      <c r="A4712" s="8"/>
      <c r="B4712" s="9"/>
      <c r="C4712" s="10"/>
      <c r="D4712" s="10"/>
      <c r="E4712" s="11"/>
      <c r="F4712" s="11"/>
      <c r="G4712" s="12"/>
      <c r="H4712" s="12"/>
      <c r="I4712" s="10"/>
      <c r="J4712" s="5"/>
      <c r="K4712" s="12"/>
      <c r="L4712" s="15"/>
    </row>
    <row r="4713" spans="1:12">
      <c r="A4713" s="8"/>
      <c r="B4713" s="9"/>
      <c r="C4713" s="10"/>
      <c r="D4713" s="10"/>
      <c r="E4713" s="11"/>
      <c r="F4713" s="11"/>
      <c r="G4713" s="12"/>
      <c r="H4713" s="12"/>
      <c r="I4713" s="10"/>
      <c r="J4713" s="5"/>
      <c r="K4713" s="12"/>
      <c r="L4713" s="15"/>
    </row>
    <row r="4714" spans="1:12">
      <c r="A4714" s="8"/>
      <c r="B4714" s="9"/>
      <c r="C4714" s="10"/>
      <c r="D4714" s="10"/>
      <c r="E4714" s="11"/>
      <c r="F4714" s="11"/>
      <c r="G4714" s="12"/>
      <c r="H4714" s="12"/>
      <c r="I4714" s="10"/>
      <c r="J4714" s="5"/>
      <c r="K4714" s="12"/>
      <c r="L4714" s="15"/>
    </row>
    <row r="4715" spans="1:12">
      <c r="A4715" s="8"/>
      <c r="B4715" s="9"/>
      <c r="C4715" s="10"/>
      <c r="D4715" s="10"/>
      <c r="E4715" s="11"/>
      <c r="F4715" s="11"/>
      <c r="G4715" s="12"/>
      <c r="H4715" s="12"/>
      <c r="I4715" s="10"/>
      <c r="J4715" s="5"/>
      <c r="K4715" s="12"/>
      <c r="L4715" s="15"/>
    </row>
    <row r="4716" spans="1:12">
      <c r="A4716" s="8"/>
      <c r="B4716" s="9"/>
      <c r="C4716" s="10"/>
      <c r="D4716" s="10"/>
      <c r="E4716" s="11"/>
      <c r="F4716" s="11"/>
      <c r="G4716" s="12"/>
      <c r="H4716" s="12"/>
      <c r="I4716" s="10"/>
      <c r="J4716" s="5"/>
      <c r="K4716" s="9"/>
      <c r="L4716" s="15"/>
    </row>
    <row r="4717" spans="1:12">
      <c r="A4717" s="8"/>
      <c r="B4717" s="9"/>
      <c r="C4717" s="10"/>
      <c r="D4717" s="10"/>
      <c r="E4717" s="11"/>
      <c r="F4717" s="11"/>
      <c r="G4717" s="12"/>
      <c r="H4717" s="12"/>
      <c r="I4717" s="10"/>
      <c r="J4717" s="5"/>
      <c r="K4717" s="12"/>
      <c r="L4717" s="15"/>
    </row>
    <row r="4718" spans="1:12">
      <c r="A4718" s="8"/>
      <c r="B4718" s="9"/>
      <c r="C4718" s="10"/>
      <c r="D4718" s="10"/>
      <c r="E4718" s="11"/>
      <c r="F4718" s="11"/>
      <c r="G4718" s="12"/>
      <c r="H4718" s="12"/>
      <c r="I4718" s="10"/>
      <c r="J4718" s="5"/>
      <c r="K4718" s="12"/>
      <c r="L4718" s="15"/>
    </row>
    <row r="4719" spans="1:12">
      <c r="A4719" s="8"/>
      <c r="B4719" s="9"/>
      <c r="C4719" s="10"/>
      <c r="D4719" s="10"/>
      <c r="E4719" s="11"/>
      <c r="F4719" s="11"/>
      <c r="G4719" s="12"/>
      <c r="H4719" s="12"/>
      <c r="I4719" s="10"/>
      <c r="J4719" s="5"/>
      <c r="K4719" s="12"/>
      <c r="L4719" s="15"/>
    </row>
    <row r="4720" spans="1:12">
      <c r="A4720" s="8"/>
      <c r="B4720" s="9"/>
      <c r="C4720" s="10"/>
      <c r="D4720" s="10"/>
      <c r="E4720" s="11"/>
      <c r="F4720" s="11"/>
      <c r="G4720" s="12"/>
      <c r="H4720" s="12"/>
      <c r="I4720" s="10"/>
      <c r="J4720" s="5"/>
      <c r="K4720" s="12"/>
      <c r="L4720" s="15"/>
    </row>
    <row r="4721" spans="1:12">
      <c r="A4721" s="8"/>
      <c r="B4721" s="9"/>
      <c r="C4721" s="10"/>
      <c r="D4721" s="10"/>
      <c r="E4721" s="11"/>
      <c r="F4721" s="11"/>
      <c r="G4721" s="12"/>
      <c r="H4721" s="12"/>
      <c r="I4721" s="10"/>
      <c r="J4721" s="5"/>
      <c r="K4721" s="12"/>
      <c r="L4721" s="15"/>
    </row>
    <row r="4722" spans="1:12">
      <c r="A4722" s="8"/>
      <c r="B4722" s="9"/>
      <c r="C4722" s="10"/>
      <c r="D4722" s="10"/>
      <c r="E4722" s="11"/>
      <c r="F4722" s="11"/>
      <c r="G4722" s="12"/>
      <c r="H4722" s="12"/>
      <c r="I4722" s="10"/>
      <c r="J4722" s="5"/>
      <c r="K4722" s="12"/>
      <c r="L4722" s="15"/>
    </row>
    <row r="4723" spans="1:12">
      <c r="A4723" s="8"/>
      <c r="B4723" s="9"/>
      <c r="C4723" s="10"/>
      <c r="D4723" s="10"/>
      <c r="E4723" s="11"/>
      <c r="F4723" s="11"/>
      <c r="G4723" s="12"/>
      <c r="H4723" s="12"/>
      <c r="I4723" s="10"/>
      <c r="J4723" s="5"/>
      <c r="K4723" s="10"/>
      <c r="L4723" s="15"/>
    </row>
    <row r="4724" spans="1:12">
      <c r="A4724" s="8"/>
      <c r="B4724" s="9"/>
      <c r="C4724" s="10"/>
      <c r="D4724" s="10"/>
      <c r="E4724" s="11"/>
      <c r="F4724" s="11"/>
      <c r="G4724" s="12"/>
      <c r="H4724" s="12"/>
      <c r="I4724" s="10"/>
      <c r="J4724" s="5"/>
      <c r="K4724" s="12"/>
      <c r="L4724" s="15"/>
    </row>
    <row r="4725" spans="1:12">
      <c r="A4725" s="8"/>
      <c r="B4725" s="9"/>
      <c r="C4725" s="10"/>
      <c r="D4725" s="10"/>
      <c r="E4725" s="11"/>
      <c r="F4725" s="11"/>
      <c r="G4725" s="12"/>
      <c r="H4725" s="12"/>
      <c r="I4725" s="10"/>
      <c r="J4725" s="5"/>
      <c r="K4725" s="9"/>
      <c r="L4725" s="15"/>
    </row>
    <row r="4726" spans="1:12">
      <c r="A4726" s="8"/>
      <c r="B4726" s="9"/>
      <c r="C4726" s="10"/>
      <c r="D4726" s="10"/>
      <c r="E4726" s="11"/>
      <c r="F4726" s="11"/>
      <c r="G4726" s="12"/>
      <c r="H4726" s="12"/>
      <c r="I4726" s="10"/>
      <c r="J4726" s="5"/>
      <c r="K4726" s="12"/>
      <c r="L4726" s="15"/>
    </row>
    <row r="4727" spans="1:12">
      <c r="A4727" s="8"/>
      <c r="B4727" s="9"/>
      <c r="C4727" s="10"/>
      <c r="D4727" s="10"/>
      <c r="E4727" s="11"/>
      <c r="F4727" s="11"/>
      <c r="G4727" s="12"/>
      <c r="H4727" s="12"/>
      <c r="I4727" s="10"/>
      <c r="J4727" s="5"/>
      <c r="K4727" s="9"/>
      <c r="L4727" s="15"/>
    </row>
    <row r="4728" spans="1:12">
      <c r="A4728" s="8"/>
      <c r="B4728" s="9"/>
      <c r="C4728" s="10"/>
      <c r="D4728" s="10"/>
      <c r="E4728" s="11"/>
      <c r="F4728" s="11"/>
      <c r="G4728" s="12"/>
      <c r="H4728" s="12"/>
      <c r="I4728" s="10"/>
      <c r="J4728" s="5"/>
      <c r="K4728" s="12"/>
      <c r="L4728" s="15"/>
    </row>
    <row r="4729" spans="1:12">
      <c r="A4729" s="8"/>
      <c r="B4729" s="9"/>
      <c r="C4729" s="10"/>
      <c r="D4729" s="10"/>
      <c r="E4729" s="11"/>
      <c r="F4729" s="11"/>
      <c r="G4729" s="12"/>
      <c r="H4729" s="12"/>
      <c r="I4729" s="10"/>
      <c r="J4729" s="5"/>
      <c r="K4729" s="12"/>
      <c r="L4729" s="15"/>
    </row>
    <row r="4730" spans="1:12">
      <c r="A4730" s="8"/>
      <c r="B4730" s="9"/>
      <c r="C4730" s="10"/>
      <c r="D4730" s="10"/>
      <c r="E4730" s="11"/>
      <c r="F4730" s="11"/>
      <c r="G4730" s="12"/>
      <c r="H4730" s="12"/>
      <c r="I4730" s="10"/>
      <c r="J4730" s="5"/>
      <c r="K4730" s="12"/>
      <c r="L4730" s="15"/>
    </row>
    <row r="4731" spans="1:12">
      <c r="A4731" s="8"/>
      <c r="B4731" s="9"/>
      <c r="C4731" s="10"/>
      <c r="D4731" s="10"/>
      <c r="E4731" s="11"/>
      <c r="F4731" s="11"/>
      <c r="G4731" s="12"/>
      <c r="H4731" s="12"/>
      <c r="I4731" s="10"/>
      <c r="J4731" s="5"/>
      <c r="K4731" s="12"/>
      <c r="L4731" s="15"/>
    </row>
    <row r="4732" spans="1:12">
      <c r="A4732" s="8"/>
      <c r="B4732" s="9"/>
      <c r="C4732" s="10"/>
      <c r="D4732" s="10"/>
      <c r="E4732" s="11"/>
      <c r="F4732" s="11"/>
      <c r="G4732" s="12"/>
      <c r="H4732" s="12"/>
      <c r="I4732" s="10"/>
      <c r="J4732" s="5"/>
      <c r="K4732" s="12"/>
      <c r="L4732" s="15"/>
    </row>
    <row r="4733" spans="1:12">
      <c r="A4733" s="8"/>
      <c r="B4733" s="9"/>
      <c r="C4733" s="10"/>
      <c r="D4733" s="10"/>
      <c r="E4733" s="11"/>
      <c r="F4733" s="11"/>
      <c r="G4733" s="12"/>
      <c r="H4733" s="12"/>
      <c r="I4733" s="10"/>
      <c r="J4733" s="5"/>
      <c r="K4733" s="12"/>
      <c r="L4733" s="15"/>
    </row>
    <row r="4734" spans="1:12">
      <c r="A4734" s="8"/>
      <c r="B4734" s="9"/>
      <c r="C4734" s="10"/>
      <c r="D4734" s="10"/>
      <c r="E4734" s="11"/>
      <c r="F4734" s="11"/>
      <c r="G4734" s="12"/>
      <c r="H4734" s="12"/>
      <c r="I4734" s="10"/>
      <c r="J4734" s="5"/>
      <c r="K4734" s="12"/>
      <c r="L4734" s="15"/>
    </row>
    <row r="4735" spans="1:12">
      <c r="A4735" s="8"/>
      <c r="B4735" s="9"/>
      <c r="C4735" s="10"/>
      <c r="D4735" s="10"/>
      <c r="E4735" s="11"/>
      <c r="F4735" s="11"/>
      <c r="G4735" s="12"/>
      <c r="H4735" s="12"/>
      <c r="I4735" s="10"/>
      <c r="J4735" s="5"/>
      <c r="K4735" s="12"/>
      <c r="L4735" s="15"/>
    </row>
    <row r="4736" spans="1:12">
      <c r="A4736" s="8"/>
      <c r="B4736" s="9"/>
      <c r="C4736" s="10"/>
      <c r="D4736" s="10"/>
      <c r="E4736" s="11"/>
      <c r="F4736" s="11"/>
      <c r="G4736" s="12"/>
      <c r="H4736" s="12"/>
      <c r="I4736" s="10"/>
      <c r="J4736" s="5"/>
      <c r="K4736" s="12"/>
      <c r="L4736" s="15"/>
    </row>
    <row r="4737" spans="1:12">
      <c r="A4737" s="8"/>
      <c r="B4737" s="9"/>
      <c r="C4737" s="10"/>
      <c r="D4737" s="10"/>
      <c r="E4737" s="11"/>
      <c r="F4737" s="11"/>
      <c r="G4737" s="12"/>
      <c r="H4737" s="12"/>
      <c r="I4737" s="10"/>
      <c r="J4737" s="5"/>
      <c r="K4737" s="12"/>
      <c r="L4737" s="15"/>
    </row>
    <row r="4738" spans="1:12">
      <c r="A4738" s="8"/>
      <c r="B4738" s="9"/>
      <c r="C4738" s="10"/>
      <c r="D4738" s="10"/>
      <c r="E4738" s="19"/>
      <c r="F4738" s="19"/>
      <c r="G4738" s="12"/>
      <c r="H4738" s="9"/>
      <c r="I4738" s="10"/>
      <c r="J4738" s="5"/>
      <c r="K4738" s="9"/>
      <c r="L4738" s="15"/>
    </row>
    <row r="4739" spans="1:12">
      <c r="A4739" s="8"/>
      <c r="B4739" s="9"/>
      <c r="C4739" s="10"/>
      <c r="D4739" s="10"/>
      <c r="E4739" s="11"/>
      <c r="F4739" s="11"/>
      <c r="G4739" s="12"/>
      <c r="H4739" s="12"/>
      <c r="I4739" s="10"/>
      <c r="J4739" s="5"/>
      <c r="K4739" s="12"/>
      <c r="L4739" s="15"/>
    </row>
    <row r="4740" spans="1:12">
      <c r="A4740" s="8"/>
      <c r="B4740" s="9"/>
      <c r="C4740" s="10"/>
      <c r="D4740" s="10"/>
      <c r="E4740" s="11"/>
      <c r="F4740" s="11"/>
      <c r="G4740" s="12"/>
      <c r="H4740" s="12"/>
      <c r="I4740" s="10"/>
      <c r="J4740" s="5"/>
      <c r="K4740" s="12"/>
      <c r="L4740" s="15"/>
    </row>
    <row r="4741" spans="1:12">
      <c r="A4741" s="8"/>
      <c r="B4741" s="9"/>
      <c r="C4741" s="10"/>
      <c r="D4741" s="10"/>
      <c r="E4741" s="11"/>
      <c r="F4741" s="11"/>
      <c r="G4741" s="12"/>
      <c r="H4741" s="12"/>
      <c r="I4741" s="10"/>
      <c r="J4741" s="5"/>
      <c r="K4741" s="12"/>
      <c r="L4741" s="15"/>
    </row>
    <row r="4742" spans="1:12">
      <c r="A4742" s="8"/>
      <c r="B4742" s="9"/>
      <c r="C4742" s="10"/>
      <c r="D4742" s="10"/>
      <c r="E4742" s="11"/>
      <c r="F4742" s="11"/>
      <c r="G4742" s="12"/>
      <c r="H4742" s="12"/>
      <c r="I4742" s="10"/>
      <c r="J4742" s="5"/>
      <c r="K4742" s="12"/>
      <c r="L4742" s="15"/>
    </row>
    <row r="4743" spans="1:12">
      <c r="A4743" s="8"/>
      <c r="B4743" s="9"/>
      <c r="C4743" s="10"/>
      <c r="D4743" s="10"/>
      <c r="E4743" s="11"/>
      <c r="F4743" s="11"/>
      <c r="G4743" s="12"/>
      <c r="H4743" s="12"/>
      <c r="I4743" s="10"/>
      <c r="J4743" s="5"/>
      <c r="K4743" s="12"/>
      <c r="L4743" s="15"/>
    </row>
    <row r="4744" spans="1:12">
      <c r="A4744" s="8"/>
      <c r="B4744" s="9"/>
      <c r="C4744" s="10"/>
      <c r="D4744" s="10"/>
      <c r="E4744" s="11"/>
      <c r="F4744" s="11"/>
      <c r="G4744" s="12"/>
      <c r="H4744" s="12"/>
      <c r="I4744" s="10"/>
      <c r="J4744" s="5"/>
      <c r="K4744" s="12"/>
      <c r="L4744" s="15"/>
    </row>
    <row r="4745" spans="1:12">
      <c r="A4745" s="8"/>
      <c r="B4745" s="9"/>
      <c r="C4745" s="10"/>
      <c r="D4745" s="10"/>
      <c r="E4745" s="11"/>
      <c r="F4745" s="11"/>
      <c r="G4745" s="12"/>
      <c r="H4745" s="12"/>
      <c r="I4745" s="10"/>
      <c r="J4745" s="5"/>
      <c r="K4745" s="12"/>
      <c r="L4745" s="15"/>
    </row>
    <row r="4746" spans="1:12">
      <c r="A4746" s="8"/>
      <c r="B4746" s="9"/>
      <c r="C4746" s="10"/>
      <c r="D4746" s="10"/>
      <c r="E4746" s="11"/>
      <c r="F4746" s="11"/>
      <c r="G4746" s="12"/>
      <c r="H4746" s="12"/>
      <c r="I4746" s="10"/>
      <c r="J4746" s="5"/>
      <c r="K4746" s="12"/>
      <c r="L4746" s="15"/>
    </row>
    <row r="4747" spans="1:12">
      <c r="A4747" s="8"/>
      <c r="B4747" s="9"/>
      <c r="C4747" s="10"/>
      <c r="D4747" s="10"/>
      <c r="E4747" s="11"/>
      <c r="F4747" s="11"/>
      <c r="G4747" s="12"/>
      <c r="H4747" s="12"/>
      <c r="I4747" s="10"/>
      <c r="J4747" s="5"/>
      <c r="K4747" s="12"/>
      <c r="L4747" s="15"/>
    </row>
    <row r="4748" spans="1:12">
      <c r="A4748" s="8"/>
      <c r="B4748" s="9"/>
      <c r="C4748" s="10"/>
      <c r="D4748" s="10"/>
      <c r="E4748" s="11"/>
      <c r="F4748" s="11"/>
      <c r="G4748" s="12"/>
      <c r="H4748" s="12"/>
      <c r="I4748" s="10"/>
      <c r="J4748" s="5"/>
      <c r="K4748" s="9"/>
      <c r="L4748" s="15"/>
    </row>
    <row r="4749" spans="1:12">
      <c r="A4749" s="8"/>
      <c r="B4749" s="9"/>
      <c r="C4749" s="10"/>
      <c r="D4749" s="10"/>
      <c r="E4749" s="11"/>
      <c r="F4749" s="11"/>
      <c r="G4749" s="12"/>
      <c r="H4749" s="12"/>
      <c r="I4749" s="10"/>
      <c r="J4749" s="5"/>
      <c r="K4749" s="12"/>
      <c r="L4749" s="15"/>
    </row>
    <row r="4750" spans="1:12">
      <c r="A4750" s="8"/>
      <c r="B4750" s="9"/>
      <c r="C4750" s="10"/>
      <c r="D4750" s="10"/>
      <c r="E4750" s="11"/>
      <c r="F4750" s="11"/>
      <c r="G4750" s="12"/>
      <c r="H4750" s="12"/>
      <c r="I4750" s="10"/>
      <c r="J4750" s="5"/>
      <c r="K4750" s="9"/>
      <c r="L4750" s="15"/>
    </row>
    <row r="4751" spans="1:12">
      <c r="A4751" s="8"/>
      <c r="B4751" s="9"/>
      <c r="C4751" s="10"/>
      <c r="D4751" s="10"/>
      <c r="E4751" s="11"/>
      <c r="F4751" s="11"/>
      <c r="G4751" s="12"/>
      <c r="H4751" s="12"/>
      <c r="I4751" s="10"/>
      <c r="J4751" s="5"/>
      <c r="K4751" s="12"/>
      <c r="L4751" s="15"/>
    </row>
    <row r="4752" spans="1:12">
      <c r="A4752" s="8"/>
      <c r="B4752" s="9"/>
      <c r="C4752" s="10"/>
      <c r="D4752" s="10"/>
      <c r="E4752" s="11"/>
      <c r="F4752" s="11"/>
      <c r="G4752" s="12"/>
      <c r="H4752" s="12"/>
      <c r="I4752" s="10"/>
      <c r="J4752" s="5"/>
      <c r="K4752" s="10"/>
      <c r="L4752" s="23"/>
    </row>
    <row r="4753" spans="1:12">
      <c r="A4753" s="8"/>
      <c r="B4753" s="9"/>
      <c r="C4753" s="10"/>
      <c r="D4753" s="10"/>
      <c r="E4753" s="11"/>
      <c r="F4753" s="11"/>
      <c r="G4753" s="12"/>
      <c r="H4753" s="12"/>
      <c r="I4753" s="10"/>
      <c r="J4753" s="5"/>
      <c r="K4753" s="10"/>
      <c r="L4753" s="23"/>
    </row>
    <row r="4754" spans="1:12">
      <c r="A4754" s="8"/>
      <c r="B4754" s="9"/>
      <c r="C4754" s="10"/>
      <c r="D4754" s="10"/>
      <c r="E4754" s="11"/>
      <c r="F4754" s="11"/>
      <c r="G4754" s="12"/>
      <c r="H4754" s="12"/>
      <c r="I4754" s="10"/>
      <c r="J4754" s="5"/>
      <c r="K4754" s="10"/>
      <c r="L4754" s="23"/>
    </row>
    <row r="4755" spans="1:12">
      <c r="A4755" s="48"/>
      <c r="B4755" s="9"/>
      <c r="C4755" s="13"/>
      <c r="D4755" s="13"/>
      <c r="E4755" s="38"/>
      <c r="F4755" s="38"/>
      <c r="G4755" s="9"/>
      <c r="H4755" s="9"/>
      <c r="I4755" s="13"/>
      <c r="J4755" s="6"/>
      <c r="K4755" s="13"/>
      <c r="L4755" s="98"/>
    </row>
    <row r="4756" spans="1:12">
      <c r="A4756" s="48"/>
      <c r="B4756" s="9"/>
      <c r="C4756" s="13"/>
      <c r="D4756" s="13"/>
      <c r="E4756" s="38"/>
      <c r="F4756" s="38"/>
      <c r="G4756" s="9"/>
      <c r="H4756" s="9"/>
      <c r="I4756" s="13"/>
      <c r="J4756" s="6"/>
      <c r="K4756" s="13"/>
      <c r="L4756" s="98"/>
    </row>
    <row r="4757" spans="1:12">
      <c r="A4757" s="8"/>
      <c r="B4757" s="9"/>
      <c r="C4757" s="10"/>
      <c r="D4757" s="10"/>
      <c r="E4757" s="11"/>
      <c r="F4757" s="11"/>
      <c r="G4757" s="12"/>
      <c r="H4757" s="12"/>
      <c r="I4757" s="10"/>
      <c r="J4757" s="5"/>
      <c r="K4757" s="13"/>
      <c r="L4757" s="23"/>
    </row>
    <row r="4758" spans="1:12">
      <c r="A4758" s="8"/>
      <c r="B4758" s="9"/>
      <c r="C4758" s="10"/>
      <c r="D4758" s="10"/>
      <c r="E4758" s="11"/>
      <c r="F4758" s="11"/>
      <c r="G4758" s="12"/>
      <c r="H4758" s="12"/>
      <c r="I4758" s="10"/>
      <c r="J4758" s="5"/>
      <c r="K4758" s="13"/>
      <c r="L4758" s="23"/>
    </row>
    <row r="4759" spans="1:12">
      <c r="A4759" s="8"/>
      <c r="B4759" s="9"/>
      <c r="C4759" s="10"/>
      <c r="D4759" s="10"/>
      <c r="E4759" s="11"/>
      <c r="F4759" s="11"/>
      <c r="G4759" s="12"/>
      <c r="H4759" s="12"/>
      <c r="I4759" s="10"/>
      <c r="J4759" s="5"/>
      <c r="K4759" s="10"/>
      <c r="L4759" s="23"/>
    </row>
    <row r="4760" spans="1:12">
      <c r="A4760" s="8"/>
      <c r="B4760" s="9"/>
      <c r="C4760" s="10"/>
      <c r="D4760" s="10"/>
      <c r="E4760" s="11"/>
      <c r="F4760" s="11"/>
      <c r="G4760" s="12"/>
      <c r="H4760" s="12"/>
      <c r="I4760" s="10"/>
      <c r="J4760" s="5"/>
      <c r="K4760" s="10"/>
      <c r="L4760" s="23"/>
    </row>
    <row r="4761" spans="1:12">
      <c r="A4761" s="8"/>
      <c r="B4761" s="9"/>
      <c r="C4761" s="10"/>
      <c r="D4761" s="10"/>
      <c r="E4761" s="11"/>
      <c r="F4761" s="11"/>
      <c r="G4761" s="12"/>
      <c r="H4761" s="12"/>
      <c r="I4761" s="10"/>
      <c r="J4761" s="5"/>
      <c r="K4761" s="10"/>
      <c r="L4761" s="23"/>
    </row>
    <row r="4762" spans="1:12">
      <c r="A4762" s="8"/>
      <c r="B4762" s="9"/>
      <c r="C4762" s="10"/>
      <c r="D4762" s="10"/>
      <c r="E4762" s="11"/>
      <c r="F4762" s="11"/>
      <c r="G4762" s="12"/>
      <c r="H4762" s="12"/>
      <c r="I4762" s="10"/>
      <c r="J4762" s="5"/>
      <c r="K4762" s="13"/>
      <c r="L4762" s="23"/>
    </row>
    <row r="4763" spans="1:12">
      <c r="A4763" s="8"/>
      <c r="B4763" s="9"/>
      <c r="C4763" s="10"/>
      <c r="D4763" s="10"/>
      <c r="E4763" s="11"/>
      <c r="F4763" s="11"/>
      <c r="G4763" s="12"/>
      <c r="H4763" s="12"/>
      <c r="I4763" s="10"/>
      <c r="J4763" s="5"/>
      <c r="K4763" s="13"/>
      <c r="L4763" s="23"/>
    </row>
    <row r="4764" spans="1:12">
      <c r="A4764" s="8"/>
      <c r="B4764" s="9"/>
      <c r="C4764" s="10"/>
      <c r="D4764" s="10"/>
      <c r="E4764" s="11"/>
      <c r="F4764" s="11"/>
      <c r="G4764" s="12"/>
      <c r="H4764" s="12"/>
      <c r="I4764" s="10"/>
      <c r="J4764" s="5"/>
      <c r="K4764" s="10"/>
      <c r="L4764" s="23"/>
    </row>
    <row r="4765" spans="1:12">
      <c r="A4765" s="8"/>
      <c r="B4765" s="9"/>
      <c r="C4765" s="10"/>
      <c r="D4765" s="10"/>
      <c r="E4765" s="11"/>
      <c r="F4765" s="11"/>
      <c r="G4765" s="12"/>
      <c r="H4765" s="12"/>
      <c r="I4765" s="10"/>
      <c r="J4765" s="5"/>
      <c r="K4765" s="13"/>
      <c r="L4765" s="23"/>
    </row>
    <row r="4766" spans="1:12">
      <c r="A4766" s="8"/>
      <c r="B4766" s="9"/>
      <c r="C4766" s="10"/>
      <c r="D4766" s="10"/>
      <c r="E4766" s="11"/>
      <c r="F4766" s="11"/>
      <c r="G4766" s="12"/>
      <c r="H4766" s="12"/>
      <c r="I4766" s="10"/>
      <c r="J4766" s="5"/>
      <c r="K4766" s="13"/>
      <c r="L4766" s="23"/>
    </row>
    <row r="4767" spans="1:12">
      <c r="A4767" s="8"/>
      <c r="B4767" s="9"/>
      <c r="C4767" s="10"/>
      <c r="D4767" s="10"/>
      <c r="E4767" s="11"/>
      <c r="F4767" s="11"/>
      <c r="G4767" s="12"/>
      <c r="H4767" s="12"/>
      <c r="I4767" s="10"/>
      <c r="J4767" s="5"/>
      <c r="K4767" s="13"/>
      <c r="L4767" s="23"/>
    </row>
    <row r="4768" spans="1:12">
      <c r="A4768" s="8"/>
      <c r="B4768" s="9"/>
      <c r="C4768" s="10"/>
      <c r="D4768" s="10"/>
      <c r="E4768" s="11"/>
      <c r="F4768" s="11"/>
      <c r="G4768" s="12"/>
      <c r="H4768" s="12"/>
      <c r="I4768" s="10"/>
      <c r="J4768" s="5"/>
      <c r="K4768" s="13"/>
      <c r="L4768" s="23"/>
    </row>
    <row r="4769" spans="1:12">
      <c r="A4769" s="8"/>
      <c r="B4769" s="9"/>
      <c r="C4769" s="10"/>
      <c r="D4769" s="10"/>
      <c r="E4769" s="11"/>
      <c r="F4769" s="11"/>
      <c r="G4769" s="12"/>
      <c r="H4769" s="12"/>
      <c r="I4769" s="10"/>
      <c r="J4769" s="5"/>
      <c r="K4769" s="10"/>
      <c r="L4769" s="59"/>
    </row>
    <row r="4770" spans="1:12">
      <c r="A4770" s="8"/>
      <c r="B4770" s="9"/>
      <c r="C4770" s="10"/>
      <c r="D4770" s="10"/>
      <c r="E4770" s="11"/>
      <c r="F4770" s="11"/>
      <c r="G4770" s="12"/>
      <c r="H4770" s="12"/>
      <c r="I4770" s="10"/>
      <c r="J4770" s="5"/>
      <c r="K4770" s="10"/>
      <c r="L4770" s="23"/>
    </row>
    <row r="4771" spans="1:12">
      <c r="A4771" s="8"/>
      <c r="B4771" s="9"/>
      <c r="C4771" s="10"/>
      <c r="D4771" s="10"/>
      <c r="E4771" s="11"/>
      <c r="F4771" s="11"/>
      <c r="G4771" s="12"/>
      <c r="H4771" s="12"/>
      <c r="I4771" s="10"/>
      <c r="J4771" s="5"/>
      <c r="K4771" s="13"/>
      <c r="L4771" s="23"/>
    </row>
    <row r="4772" spans="1:12">
      <c r="A4772" s="8"/>
      <c r="B4772" s="9"/>
      <c r="C4772" s="10"/>
      <c r="D4772" s="10"/>
      <c r="E4772" s="11"/>
      <c r="F4772" s="11"/>
      <c r="G4772" s="12"/>
      <c r="H4772" s="12"/>
      <c r="I4772" s="10"/>
      <c r="J4772" s="5"/>
      <c r="K4772" s="9"/>
      <c r="L4772" s="15"/>
    </row>
    <row r="4773" spans="1:12">
      <c r="A4773" s="8"/>
      <c r="B4773" s="9"/>
      <c r="C4773" s="10"/>
      <c r="D4773" s="10"/>
      <c r="E4773" s="11"/>
      <c r="F4773" s="11"/>
      <c r="G4773" s="12"/>
      <c r="H4773" s="12"/>
      <c r="I4773" s="10"/>
      <c r="J4773" s="5"/>
      <c r="K4773" s="9"/>
      <c r="L4773" s="15"/>
    </row>
    <row r="4774" spans="1:12">
      <c r="A4774" s="8"/>
      <c r="B4774" s="9"/>
      <c r="C4774" s="10"/>
      <c r="D4774" s="10"/>
      <c r="E4774" s="11"/>
      <c r="F4774" s="11"/>
      <c r="G4774" s="12"/>
      <c r="H4774" s="12"/>
      <c r="I4774" s="10"/>
      <c r="J4774" s="5"/>
      <c r="K4774" s="9"/>
      <c r="L4774" s="15"/>
    </row>
    <row r="4775" spans="1:12">
      <c r="A4775" s="8"/>
      <c r="B4775" s="9"/>
      <c r="C4775" s="13"/>
      <c r="D4775" s="10"/>
      <c r="E4775" s="99"/>
      <c r="F4775" s="99"/>
      <c r="G4775" s="12"/>
      <c r="H4775" s="26"/>
      <c r="I4775" s="10"/>
      <c r="J4775" s="5"/>
      <c r="K4775" s="9"/>
      <c r="L4775" s="21"/>
    </row>
    <row r="4776" spans="1:12">
      <c r="A4776" s="8"/>
      <c r="B4776" s="9"/>
      <c r="C4776" s="10"/>
      <c r="D4776" s="10"/>
      <c r="E4776" s="11"/>
      <c r="F4776" s="11"/>
      <c r="G4776" s="12"/>
      <c r="H4776" s="12"/>
      <c r="I4776" s="10"/>
      <c r="J4776" s="5"/>
      <c r="K4776" s="9"/>
      <c r="L4776" s="15"/>
    </row>
    <row r="4777" spans="1:12">
      <c r="A4777" s="8"/>
      <c r="B4777" s="9"/>
      <c r="C4777" s="13"/>
      <c r="D4777" s="10"/>
      <c r="E4777" s="32"/>
      <c r="F4777" s="32"/>
      <c r="G4777" s="12"/>
      <c r="H4777" s="13"/>
      <c r="I4777" s="10"/>
      <c r="J4777" s="5"/>
      <c r="K4777" s="13"/>
      <c r="L4777" s="21"/>
    </row>
    <row r="4778" spans="1:12">
      <c r="A4778" s="8"/>
      <c r="B4778" s="9"/>
      <c r="C4778" s="13"/>
      <c r="D4778" s="10"/>
      <c r="E4778" s="32"/>
      <c r="F4778" s="32"/>
      <c r="G4778" s="12"/>
      <c r="H4778" s="13"/>
      <c r="I4778" s="10"/>
      <c r="J4778" s="5"/>
      <c r="K4778" s="13"/>
      <c r="L4778" s="21"/>
    </row>
    <row r="4779" spans="1:12">
      <c r="A4779" s="8"/>
      <c r="B4779" s="9"/>
      <c r="C4779" s="10"/>
      <c r="D4779" s="10"/>
      <c r="E4779" s="22"/>
      <c r="F4779" s="22"/>
      <c r="G4779" s="12"/>
      <c r="H4779" s="10"/>
      <c r="I4779" s="10"/>
      <c r="J4779" s="5"/>
      <c r="K4779" s="9"/>
      <c r="L4779" s="15"/>
    </row>
    <row r="4780" spans="1:12">
      <c r="A4780" s="8"/>
      <c r="B4780" s="9"/>
      <c r="C4780" s="10"/>
      <c r="D4780" s="10"/>
      <c r="E4780" s="22"/>
      <c r="F4780" s="22"/>
      <c r="G4780" s="12"/>
      <c r="H4780" s="10"/>
      <c r="I4780" s="10"/>
      <c r="J4780" s="5"/>
      <c r="K4780" s="9"/>
      <c r="L4780" s="15"/>
    </row>
    <row r="4781" spans="1:12">
      <c r="A4781" s="8"/>
      <c r="B4781" s="9"/>
      <c r="C4781" s="10"/>
      <c r="D4781" s="10"/>
      <c r="E4781" s="11"/>
      <c r="F4781" s="11"/>
      <c r="G4781" s="12"/>
      <c r="H4781" s="12"/>
      <c r="I4781" s="10"/>
      <c r="J4781" s="5"/>
      <c r="K4781" s="13"/>
      <c r="L4781" s="23"/>
    </row>
    <row r="4782" spans="1:12">
      <c r="A4782" s="8"/>
      <c r="B4782" s="9"/>
      <c r="C4782" s="10"/>
      <c r="D4782" s="10"/>
      <c r="E4782" s="22"/>
      <c r="F4782" s="22"/>
      <c r="G4782" s="12"/>
      <c r="H4782" s="12"/>
      <c r="I4782" s="10"/>
      <c r="J4782" s="5"/>
      <c r="K4782" s="13"/>
      <c r="L4782" s="23"/>
    </row>
    <row r="4783" spans="1:12">
      <c r="A4783" s="8"/>
      <c r="B4783" s="9"/>
      <c r="C4783" s="10"/>
      <c r="D4783" s="10"/>
      <c r="E4783" s="11"/>
      <c r="F4783" s="11"/>
      <c r="G4783" s="12"/>
      <c r="H4783" s="12"/>
      <c r="I4783" s="10"/>
      <c r="J4783" s="5"/>
      <c r="K4783" s="10"/>
      <c r="L4783" s="23"/>
    </row>
    <row r="4784" spans="1:12">
      <c r="A4784" s="8"/>
      <c r="B4784" s="9"/>
      <c r="C4784" s="10"/>
      <c r="D4784" s="10"/>
      <c r="E4784" s="11"/>
      <c r="F4784" s="11"/>
      <c r="G4784" s="12"/>
      <c r="H4784" s="12"/>
      <c r="I4784" s="10"/>
      <c r="J4784" s="5"/>
      <c r="K4784" s="10"/>
      <c r="L4784" s="23"/>
    </row>
    <row r="4785" spans="1:12">
      <c r="A4785" s="8"/>
      <c r="B4785" s="9"/>
      <c r="C4785" s="10"/>
      <c r="D4785" s="10"/>
      <c r="E4785" s="11"/>
      <c r="F4785" s="11"/>
      <c r="G4785" s="12"/>
      <c r="H4785" s="12"/>
      <c r="I4785" s="10"/>
      <c r="J4785" s="5"/>
      <c r="K4785" s="10"/>
      <c r="L4785" s="23"/>
    </row>
    <row r="4786" spans="1:12">
      <c r="A4786" s="8"/>
      <c r="B4786" s="9"/>
      <c r="C4786" s="10"/>
      <c r="D4786" s="10"/>
      <c r="E4786" s="11"/>
      <c r="F4786" s="11"/>
      <c r="G4786" s="12"/>
      <c r="H4786" s="12"/>
      <c r="I4786" s="10"/>
      <c r="J4786" s="5"/>
      <c r="K4786" s="10"/>
      <c r="L4786" s="23"/>
    </row>
    <row r="4787" spans="1:12">
      <c r="A4787" s="8"/>
      <c r="B4787" s="9"/>
      <c r="C4787" s="10"/>
      <c r="D4787" s="10"/>
      <c r="E4787" s="11"/>
      <c r="F4787" s="11"/>
      <c r="G4787" s="12"/>
      <c r="H4787" s="12"/>
      <c r="I4787" s="10"/>
      <c r="J4787" s="5"/>
      <c r="K4787" s="10"/>
      <c r="L4787" s="23"/>
    </row>
    <row r="4788" spans="1:12">
      <c r="A4788" s="8"/>
      <c r="B4788" s="9"/>
      <c r="C4788" s="10"/>
      <c r="D4788" s="10"/>
      <c r="E4788" s="11"/>
      <c r="F4788" s="11"/>
      <c r="G4788" s="12"/>
      <c r="H4788" s="12"/>
      <c r="I4788" s="10"/>
      <c r="J4788" s="5"/>
      <c r="K4788" s="10"/>
      <c r="L4788" s="23"/>
    </row>
    <row r="4789" spans="1:12">
      <c r="A4789" s="8"/>
      <c r="B4789" s="9"/>
      <c r="C4789" s="10"/>
      <c r="D4789" s="10"/>
      <c r="E4789" s="11"/>
      <c r="F4789" s="11"/>
      <c r="G4789" s="12"/>
      <c r="H4789" s="12"/>
      <c r="I4789" s="10"/>
      <c r="J4789" s="5"/>
      <c r="K4789" s="13"/>
      <c r="L4789" s="23"/>
    </row>
    <row r="4790" spans="1:12">
      <c r="A4790" s="8"/>
      <c r="B4790" s="9"/>
      <c r="C4790" s="10"/>
      <c r="D4790" s="10"/>
      <c r="E4790" s="11"/>
      <c r="F4790" s="11"/>
      <c r="G4790" s="12"/>
      <c r="H4790" s="12"/>
      <c r="I4790" s="10"/>
      <c r="J4790" s="5"/>
      <c r="K4790" s="13"/>
      <c r="L4790" s="23"/>
    </row>
    <row r="4791" spans="1:12">
      <c r="A4791" s="8"/>
      <c r="B4791" s="9"/>
      <c r="C4791" s="10"/>
      <c r="D4791" s="10"/>
      <c r="E4791" s="11"/>
      <c r="F4791" s="11"/>
      <c r="G4791" s="12"/>
      <c r="H4791" s="12"/>
      <c r="I4791" s="10"/>
      <c r="J4791" s="5"/>
      <c r="K4791" s="13"/>
      <c r="L4791" s="23"/>
    </row>
    <row r="4792" spans="1:12">
      <c r="A4792" s="8"/>
      <c r="B4792" s="9"/>
      <c r="C4792" s="10"/>
      <c r="D4792" s="10"/>
      <c r="E4792" s="11"/>
      <c r="F4792" s="11"/>
      <c r="G4792" s="12"/>
      <c r="H4792" s="12"/>
      <c r="I4792" s="10"/>
      <c r="J4792" s="5"/>
      <c r="K4792" s="10"/>
      <c r="L4792" s="23"/>
    </row>
    <row r="4793" spans="1:12">
      <c r="A4793" s="8"/>
      <c r="B4793" s="9"/>
      <c r="C4793" s="10"/>
      <c r="D4793" s="10"/>
      <c r="E4793" s="11"/>
      <c r="F4793" s="11"/>
      <c r="G4793" s="12"/>
      <c r="H4793" s="12"/>
      <c r="I4793" s="10"/>
      <c r="J4793" s="5"/>
      <c r="K4793" s="13"/>
      <c r="L4793" s="23"/>
    </row>
    <row r="4794" spans="1:12">
      <c r="A4794" s="8"/>
      <c r="B4794" s="9"/>
      <c r="C4794" s="10"/>
      <c r="D4794" s="10"/>
      <c r="E4794" s="11"/>
      <c r="F4794" s="11"/>
      <c r="G4794" s="12"/>
      <c r="H4794" s="12"/>
      <c r="I4794" s="10"/>
      <c r="J4794" s="5"/>
      <c r="K4794" s="13"/>
      <c r="L4794" s="23"/>
    </row>
    <row r="4795" spans="1:12">
      <c r="A4795" s="8"/>
      <c r="B4795" s="9"/>
      <c r="C4795" s="10"/>
      <c r="D4795" s="10"/>
      <c r="E4795" s="11"/>
      <c r="F4795" s="11"/>
      <c r="G4795" s="12"/>
      <c r="H4795" s="12"/>
      <c r="I4795" s="10"/>
      <c r="J4795" s="5"/>
      <c r="K4795" s="13"/>
      <c r="L4795" s="23"/>
    </row>
    <row r="4796" spans="1:12">
      <c r="A4796" s="8"/>
      <c r="B4796" s="9"/>
      <c r="C4796" s="10"/>
      <c r="D4796" s="10"/>
      <c r="E4796" s="11"/>
      <c r="F4796" s="11"/>
      <c r="G4796" s="12"/>
      <c r="H4796" s="12"/>
      <c r="I4796" s="10"/>
      <c r="J4796" s="5"/>
      <c r="K4796" s="10"/>
      <c r="L4796" s="23"/>
    </row>
    <row r="4797" spans="1:12">
      <c r="A4797" s="8"/>
      <c r="B4797" s="9"/>
      <c r="C4797" s="10"/>
      <c r="D4797" s="10"/>
      <c r="E4797" s="11"/>
      <c r="F4797" s="11"/>
      <c r="G4797" s="12"/>
      <c r="H4797" s="12"/>
      <c r="I4797" s="10"/>
      <c r="J4797" s="5"/>
      <c r="K4797" s="10"/>
      <c r="L4797" s="23"/>
    </row>
    <row r="4798" spans="1:12">
      <c r="A4798" s="8"/>
      <c r="B4798" s="9"/>
      <c r="C4798" s="10"/>
      <c r="D4798" s="10"/>
      <c r="E4798" s="11"/>
      <c r="F4798" s="11"/>
      <c r="G4798" s="12"/>
      <c r="H4798" s="12"/>
      <c r="I4798" s="10"/>
      <c r="J4798" s="5"/>
      <c r="K4798" s="12"/>
      <c r="L4798" s="15"/>
    </row>
    <row r="4799" spans="1:12">
      <c r="A4799" s="8"/>
      <c r="B4799" s="9"/>
      <c r="C4799" s="10"/>
      <c r="D4799" s="10"/>
      <c r="E4799" s="11"/>
      <c r="F4799" s="11"/>
      <c r="G4799" s="12"/>
      <c r="H4799" s="12"/>
      <c r="I4799" s="10"/>
      <c r="J4799" s="5"/>
      <c r="K4799" s="12"/>
      <c r="L4799" s="15"/>
    </row>
    <row r="4800" spans="1:12">
      <c r="A4800" s="8"/>
      <c r="B4800" s="9"/>
      <c r="C4800" s="10"/>
      <c r="D4800" s="10"/>
      <c r="E4800" s="11"/>
      <c r="F4800" s="11"/>
      <c r="G4800" s="12"/>
      <c r="H4800" s="12"/>
      <c r="I4800" s="10"/>
      <c r="J4800" s="5"/>
      <c r="K4800" s="12"/>
      <c r="L4800" s="15"/>
    </row>
    <row r="4801" spans="1:12">
      <c r="A4801" s="8"/>
      <c r="B4801" s="9"/>
      <c r="C4801" s="10"/>
      <c r="D4801" s="10"/>
      <c r="E4801" s="11"/>
      <c r="F4801" s="11"/>
      <c r="G4801" s="12"/>
      <c r="H4801" s="12"/>
      <c r="I4801" s="10"/>
      <c r="J4801" s="5"/>
      <c r="K4801" s="12"/>
      <c r="L4801" s="15"/>
    </row>
    <row r="4802" spans="1:12">
      <c r="A4802" s="8"/>
      <c r="B4802" s="9"/>
      <c r="C4802" s="10"/>
      <c r="D4802" s="10"/>
      <c r="E4802" s="11"/>
      <c r="F4802" s="11"/>
      <c r="G4802" s="12"/>
      <c r="H4802" s="12"/>
      <c r="I4802" s="10"/>
      <c r="J4802" s="5"/>
      <c r="K4802" s="12"/>
      <c r="L4802" s="15"/>
    </row>
    <row r="4803" spans="1:12">
      <c r="A4803" s="8"/>
      <c r="B4803" s="9"/>
      <c r="C4803" s="10"/>
      <c r="D4803" s="10"/>
      <c r="E4803" s="11"/>
      <c r="F4803" s="11"/>
      <c r="G4803" s="12"/>
      <c r="H4803" s="12"/>
      <c r="I4803" s="10"/>
      <c r="J4803" s="5"/>
      <c r="K4803" s="12"/>
      <c r="L4803" s="15"/>
    </row>
    <row r="4804" spans="1:12">
      <c r="A4804" s="8"/>
      <c r="B4804" s="9"/>
      <c r="C4804" s="10"/>
      <c r="D4804" s="10"/>
      <c r="E4804" s="11"/>
      <c r="F4804" s="11"/>
      <c r="G4804" s="12"/>
      <c r="H4804" s="12"/>
      <c r="I4804" s="10"/>
      <c r="J4804" s="5"/>
      <c r="K4804" s="12"/>
      <c r="L4804" s="15"/>
    </row>
    <row r="4805" spans="1:12">
      <c r="A4805" s="8"/>
      <c r="B4805" s="9"/>
      <c r="C4805" s="10"/>
      <c r="D4805" s="10"/>
      <c r="E4805" s="11"/>
      <c r="F4805" s="11"/>
      <c r="G4805" s="12"/>
      <c r="H4805" s="12"/>
      <c r="I4805" s="10"/>
      <c r="J4805" s="5"/>
      <c r="K4805" s="12"/>
      <c r="L4805" s="15"/>
    </row>
    <row r="4806" spans="1:12">
      <c r="A4806" s="8"/>
      <c r="B4806" s="9"/>
      <c r="C4806" s="10"/>
      <c r="D4806" s="10"/>
      <c r="E4806" s="11"/>
      <c r="F4806" s="11"/>
      <c r="G4806" s="12"/>
      <c r="H4806" s="12"/>
      <c r="I4806" s="10"/>
      <c r="J4806" s="5"/>
      <c r="K4806" s="12"/>
      <c r="L4806" s="15"/>
    </row>
    <row r="4807" spans="1:12">
      <c r="A4807" s="8"/>
      <c r="B4807" s="9"/>
      <c r="C4807" s="10"/>
      <c r="D4807" s="10"/>
      <c r="E4807" s="11"/>
      <c r="F4807" s="11"/>
      <c r="G4807" s="12"/>
      <c r="H4807" s="12"/>
      <c r="I4807" s="10"/>
      <c r="J4807" s="5"/>
      <c r="K4807" s="12"/>
      <c r="L4807" s="15"/>
    </row>
    <row r="4808" spans="1:12">
      <c r="A4808" s="8"/>
      <c r="B4808" s="9"/>
      <c r="C4808" s="13"/>
      <c r="D4808" s="10"/>
      <c r="E4808" s="19"/>
      <c r="F4808" s="19"/>
      <c r="G4808" s="12"/>
      <c r="H4808" s="9"/>
      <c r="I4808" s="10"/>
      <c r="J4808" s="5"/>
      <c r="K4808" s="9"/>
      <c r="L4808" s="21"/>
    </row>
    <row r="4809" spans="1:12">
      <c r="A4809" s="8"/>
      <c r="B4809" s="9"/>
      <c r="C4809" s="10"/>
      <c r="D4809" s="10"/>
      <c r="E4809" s="11"/>
      <c r="F4809" s="11"/>
      <c r="G4809" s="12"/>
      <c r="H4809" s="12"/>
      <c r="I4809" s="10"/>
      <c r="J4809" s="5"/>
      <c r="K4809" s="12"/>
      <c r="L4809" s="15"/>
    </row>
    <row r="4810" spans="1:12">
      <c r="A4810" s="8"/>
      <c r="B4810" s="9"/>
      <c r="C4810" s="10"/>
      <c r="D4810" s="10"/>
      <c r="E4810" s="11"/>
      <c r="F4810" s="11"/>
      <c r="G4810" s="12"/>
      <c r="H4810" s="12"/>
      <c r="I4810" s="10"/>
      <c r="J4810" s="5"/>
      <c r="K4810" s="12"/>
      <c r="L4810" s="15"/>
    </row>
    <row r="4811" spans="1:12">
      <c r="A4811" s="8"/>
      <c r="B4811" s="9"/>
      <c r="C4811" s="10"/>
      <c r="D4811" s="10"/>
      <c r="E4811" s="11"/>
      <c r="F4811" s="11"/>
      <c r="G4811" s="12"/>
      <c r="H4811" s="12"/>
      <c r="I4811" s="10"/>
      <c r="J4811" s="5"/>
      <c r="K4811" s="12"/>
      <c r="L4811" s="15"/>
    </row>
    <row r="4812" spans="1:12">
      <c r="A4812" s="8"/>
      <c r="B4812" s="9"/>
      <c r="C4812" s="10"/>
      <c r="D4812" s="10"/>
      <c r="E4812" s="11"/>
      <c r="F4812" s="11"/>
      <c r="G4812" s="12"/>
      <c r="H4812" s="12"/>
      <c r="I4812" s="10"/>
      <c r="J4812" s="5"/>
      <c r="K4812" s="12"/>
      <c r="L4812" s="15"/>
    </row>
    <row r="4813" spans="1:12">
      <c r="A4813" s="8"/>
      <c r="B4813" s="9"/>
      <c r="C4813" s="10"/>
      <c r="D4813" s="10"/>
      <c r="E4813" s="11"/>
      <c r="F4813" s="11"/>
      <c r="G4813" s="12"/>
      <c r="H4813" s="12"/>
      <c r="I4813" s="10"/>
      <c r="J4813" s="5"/>
      <c r="K4813" s="12"/>
      <c r="L4813" s="15"/>
    </row>
    <row r="4814" spans="1:12">
      <c r="A4814" s="8"/>
      <c r="B4814" s="9"/>
      <c r="C4814" s="10"/>
      <c r="D4814" s="10"/>
      <c r="E4814" s="11"/>
      <c r="F4814" s="11"/>
      <c r="G4814" s="12"/>
      <c r="H4814" s="12"/>
      <c r="I4814" s="10"/>
      <c r="J4814" s="5"/>
      <c r="K4814" s="12"/>
      <c r="L4814" s="15"/>
    </row>
    <row r="4815" spans="1:12">
      <c r="A4815" s="8"/>
      <c r="B4815" s="9"/>
      <c r="C4815" s="10"/>
      <c r="D4815" s="10"/>
      <c r="E4815" s="11"/>
      <c r="F4815" s="11"/>
      <c r="G4815" s="12"/>
      <c r="H4815" s="12"/>
      <c r="I4815" s="10"/>
      <c r="J4815" s="5"/>
      <c r="K4815" s="9"/>
      <c r="L4815" s="15"/>
    </row>
    <row r="4816" spans="1:12">
      <c r="A4816" s="8"/>
      <c r="B4816" s="9"/>
      <c r="C4816" s="10"/>
      <c r="D4816" s="10"/>
      <c r="E4816" s="11"/>
      <c r="F4816" s="11"/>
      <c r="G4816" s="12"/>
      <c r="H4816" s="12"/>
      <c r="I4816" s="10"/>
      <c r="J4816" s="5"/>
      <c r="K4816" s="12"/>
      <c r="L4816" s="15"/>
    </row>
    <row r="4817" spans="1:12">
      <c r="A4817" s="8"/>
      <c r="B4817" s="9"/>
      <c r="C4817" s="10"/>
      <c r="D4817" s="10"/>
      <c r="E4817" s="11"/>
      <c r="F4817" s="11"/>
      <c r="G4817" s="12"/>
      <c r="H4817" s="12"/>
      <c r="I4817" s="10"/>
      <c r="J4817" s="5"/>
      <c r="K4817" s="12"/>
      <c r="L4817" s="15"/>
    </row>
    <row r="4818" spans="1:12">
      <c r="A4818" s="8"/>
      <c r="B4818" s="9"/>
      <c r="C4818" s="10"/>
      <c r="D4818" s="10"/>
      <c r="E4818" s="11"/>
      <c r="F4818" s="11"/>
      <c r="G4818" s="12"/>
      <c r="H4818" s="12"/>
      <c r="I4818" s="10"/>
      <c r="J4818" s="5"/>
      <c r="K4818" s="12"/>
      <c r="L4818" s="15"/>
    </row>
    <row r="4819" spans="1:12">
      <c r="A4819" s="8"/>
      <c r="B4819" s="9"/>
      <c r="C4819" s="10"/>
      <c r="D4819" s="10"/>
      <c r="E4819" s="11"/>
      <c r="F4819" s="11"/>
      <c r="G4819" s="12"/>
      <c r="H4819" s="12"/>
      <c r="I4819" s="10"/>
      <c r="J4819" s="5"/>
      <c r="K4819" s="12"/>
      <c r="L4819" s="15"/>
    </row>
    <row r="4820" spans="1:12">
      <c r="A4820" s="8"/>
      <c r="B4820" s="9"/>
      <c r="C4820" s="10"/>
      <c r="D4820" s="10"/>
      <c r="E4820" s="11"/>
      <c r="F4820" s="11"/>
      <c r="G4820" s="12"/>
      <c r="H4820" s="12"/>
      <c r="I4820" s="10"/>
      <c r="J4820" s="5"/>
      <c r="K4820" s="12"/>
      <c r="L4820" s="15"/>
    </row>
    <row r="4821" spans="1:12">
      <c r="A4821" s="8"/>
      <c r="B4821" s="9"/>
      <c r="C4821" s="10"/>
      <c r="D4821" s="10"/>
      <c r="E4821" s="11"/>
      <c r="F4821" s="11"/>
      <c r="G4821" s="12"/>
      <c r="H4821" s="12"/>
      <c r="I4821" s="10"/>
      <c r="J4821" s="5"/>
      <c r="K4821" s="12"/>
      <c r="L4821" s="15"/>
    </row>
    <row r="4822" spans="1:12">
      <c r="A4822" s="8"/>
      <c r="B4822" s="9"/>
      <c r="C4822" s="10"/>
      <c r="D4822" s="10"/>
      <c r="E4822" s="25"/>
      <c r="F4822" s="25"/>
      <c r="G4822" s="12"/>
      <c r="H4822" s="26"/>
      <c r="I4822" s="10"/>
      <c r="J4822" s="5"/>
      <c r="K4822" s="12"/>
      <c r="L4822" s="15"/>
    </row>
    <row r="4823" spans="1:12">
      <c r="A4823" s="8"/>
      <c r="B4823" s="9"/>
      <c r="C4823" s="10"/>
      <c r="D4823" s="10"/>
      <c r="E4823" s="25"/>
      <c r="F4823" s="25"/>
      <c r="G4823" s="12"/>
      <c r="H4823" s="26"/>
      <c r="I4823" s="10"/>
      <c r="J4823" s="5"/>
      <c r="K4823" s="10"/>
      <c r="L4823" s="23"/>
    </row>
    <row r="4824" spans="1:12">
      <c r="A4824" s="8"/>
      <c r="B4824" s="9"/>
      <c r="C4824" s="10"/>
      <c r="D4824" s="10"/>
      <c r="E4824" s="11"/>
      <c r="F4824" s="11"/>
      <c r="G4824" s="12"/>
      <c r="H4824" s="12"/>
      <c r="I4824" s="10"/>
      <c r="J4824" s="5"/>
      <c r="K4824" s="10"/>
      <c r="L4824" s="23"/>
    </row>
    <row r="4825" spans="1:12">
      <c r="A4825" s="8"/>
      <c r="B4825" s="9"/>
      <c r="C4825" s="10"/>
      <c r="D4825" s="10"/>
      <c r="E4825" s="11"/>
      <c r="F4825" s="11"/>
      <c r="G4825" s="12"/>
      <c r="H4825" s="12"/>
      <c r="I4825" s="10"/>
      <c r="J4825" s="5"/>
      <c r="K4825" s="10"/>
      <c r="L4825" s="23"/>
    </row>
    <row r="4826" spans="1:12">
      <c r="A4826" s="8"/>
      <c r="B4826" s="9"/>
      <c r="C4826" s="10"/>
      <c r="D4826" s="10"/>
      <c r="E4826" s="11"/>
      <c r="F4826" s="11"/>
      <c r="G4826" s="12"/>
      <c r="H4826" s="12"/>
      <c r="I4826" s="10"/>
      <c r="J4826" s="5"/>
      <c r="K4826" s="10"/>
      <c r="L4826" s="23"/>
    </row>
    <row r="4827" spans="1:12">
      <c r="A4827" s="8"/>
      <c r="B4827" s="9"/>
      <c r="C4827" s="10"/>
      <c r="D4827" s="10"/>
      <c r="E4827" s="11"/>
      <c r="F4827" s="11"/>
      <c r="G4827" s="12"/>
      <c r="H4827" s="12"/>
      <c r="I4827" s="10"/>
      <c r="J4827" s="5"/>
      <c r="K4827" s="12"/>
      <c r="L4827" s="15"/>
    </row>
    <row r="4828" spans="1:12">
      <c r="A4828" s="8"/>
      <c r="B4828" s="9"/>
      <c r="C4828" s="10"/>
      <c r="D4828" s="10"/>
      <c r="E4828" s="11"/>
      <c r="F4828" s="11"/>
      <c r="G4828" s="12"/>
      <c r="H4828" s="12"/>
      <c r="I4828" s="10"/>
      <c r="J4828" s="5"/>
      <c r="K4828" s="12"/>
      <c r="L4828" s="15"/>
    </row>
    <row r="4829" spans="1:12">
      <c r="A4829" s="8"/>
      <c r="B4829" s="9"/>
      <c r="C4829" s="10"/>
      <c r="D4829" s="10"/>
      <c r="E4829" s="11"/>
      <c r="F4829" s="11"/>
      <c r="G4829" s="12"/>
      <c r="H4829" s="12"/>
      <c r="I4829" s="10"/>
      <c r="J4829" s="5"/>
      <c r="K4829" s="12"/>
      <c r="L4829" s="15"/>
    </row>
    <row r="4830" spans="1:12">
      <c r="A4830" s="8"/>
      <c r="B4830" s="9"/>
      <c r="C4830" s="10"/>
      <c r="D4830" s="10"/>
      <c r="E4830" s="11"/>
      <c r="F4830" s="11"/>
      <c r="G4830" s="12"/>
      <c r="H4830" s="12"/>
      <c r="I4830" s="10"/>
      <c r="J4830" s="5"/>
      <c r="K4830" s="12"/>
      <c r="L4830" s="15"/>
    </row>
    <row r="4831" spans="1:12">
      <c r="A4831" s="8"/>
      <c r="B4831" s="9"/>
      <c r="C4831" s="10"/>
      <c r="D4831" s="10"/>
      <c r="E4831" s="11"/>
      <c r="F4831" s="11"/>
      <c r="G4831" s="12"/>
      <c r="H4831" s="12"/>
      <c r="I4831" s="10"/>
      <c r="J4831" s="5"/>
      <c r="K4831" s="12"/>
      <c r="L4831" s="15"/>
    </row>
    <row r="4832" spans="1:12">
      <c r="A4832" s="8"/>
      <c r="B4832" s="9"/>
      <c r="C4832" s="10"/>
      <c r="D4832" s="10"/>
      <c r="E4832" s="11"/>
      <c r="F4832" s="11"/>
      <c r="G4832" s="12"/>
      <c r="H4832" s="12"/>
      <c r="I4832" s="10"/>
      <c r="J4832" s="5"/>
      <c r="K4832" s="12"/>
      <c r="L4832" s="15"/>
    </row>
    <row r="4833" spans="1:12">
      <c r="A4833" s="8"/>
      <c r="B4833" s="9"/>
      <c r="C4833" s="10"/>
      <c r="D4833" s="10"/>
      <c r="E4833" s="11"/>
      <c r="F4833" s="11"/>
      <c r="G4833" s="12"/>
      <c r="H4833" s="12"/>
      <c r="I4833" s="10"/>
      <c r="J4833" s="5"/>
      <c r="K4833" s="12"/>
      <c r="L4833" s="15"/>
    </row>
    <row r="4834" spans="1:12">
      <c r="A4834" s="8"/>
      <c r="B4834" s="9"/>
      <c r="C4834" s="10"/>
      <c r="D4834" s="10"/>
      <c r="E4834" s="11"/>
      <c r="F4834" s="11"/>
      <c r="G4834" s="12"/>
      <c r="H4834" s="12"/>
      <c r="I4834" s="10"/>
      <c r="J4834" s="5"/>
      <c r="K4834" s="12"/>
      <c r="L4834" s="15"/>
    </row>
    <row r="4835" spans="1:12">
      <c r="A4835" s="8"/>
      <c r="B4835" s="9"/>
      <c r="C4835" s="10"/>
      <c r="D4835" s="10"/>
      <c r="E4835" s="11"/>
      <c r="F4835" s="11"/>
      <c r="G4835" s="12"/>
      <c r="H4835" s="12"/>
      <c r="I4835" s="10"/>
      <c r="J4835" s="5"/>
      <c r="K4835" s="10"/>
      <c r="L4835" s="23"/>
    </row>
    <row r="4836" spans="1:12">
      <c r="A4836" s="8"/>
      <c r="B4836" s="9"/>
      <c r="C4836" s="10"/>
      <c r="D4836" s="10"/>
      <c r="E4836" s="19"/>
      <c r="F4836" s="19"/>
      <c r="G4836" s="12"/>
      <c r="H4836" s="12"/>
      <c r="I4836" s="10"/>
      <c r="J4836" s="5"/>
      <c r="K4836" s="9"/>
      <c r="L4836" s="15"/>
    </row>
    <row r="4837" spans="1:12">
      <c r="A4837" s="8"/>
      <c r="B4837" s="9"/>
      <c r="C4837" s="10"/>
      <c r="D4837" s="10"/>
      <c r="E4837" s="19"/>
      <c r="F4837" s="19"/>
      <c r="G4837" s="12"/>
      <c r="H4837" s="12"/>
      <c r="I4837" s="10"/>
      <c r="J4837" s="5"/>
      <c r="K4837" s="9"/>
      <c r="L4837" s="15"/>
    </row>
    <row r="4838" spans="1:12">
      <c r="A4838" s="8"/>
      <c r="B4838" s="9"/>
      <c r="C4838" s="10"/>
      <c r="D4838" s="10"/>
      <c r="E4838" s="11"/>
      <c r="F4838" s="11"/>
      <c r="G4838" s="12"/>
      <c r="H4838" s="12"/>
      <c r="I4838" s="10"/>
      <c r="J4838" s="5"/>
      <c r="K4838" s="12"/>
      <c r="L4838" s="15"/>
    </row>
    <row r="4839" spans="1:12">
      <c r="A4839" s="8"/>
      <c r="B4839" s="9"/>
      <c r="C4839" s="10"/>
      <c r="D4839" s="10"/>
      <c r="E4839" s="11"/>
      <c r="F4839" s="11"/>
      <c r="G4839" s="12"/>
      <c r="H4839" s="12"/>
      <c r="I4839" s="10"/>
      <c r="J4839" s="5"/>
      <c r="K4839" s="12"/>
      <c r="L4839" s="15"/>
    </row>
    <row r="4840" spans="1:12">
      <c r="A4840" s="8"/>
      <c r="B4840" s="9"/>
      <c r="C4840" s="10"/>
      <c r="D4840" s="10"/>
      <c r="E4840" s="11"/>
      <c r="F4840" s="11"/>
      <c r="G4840" s="12"/>
      <c r="H4840" s="12"/>
      <c r="I4840" s="10"/>
      <c r="J4840" s="5"/>
      <c r="K4840" s="9"/>
      <c r="L4840" s="15"/>
    </row>
    <row r="4841" spans="1:12">
      <c r="A4841" s="8"/>
      <c r="B4841" s="9"/>
      <c r="C4841" s="10"/>
      <c r="D4841" s="10"/>
      <c r="E4841" s="11"/>
      <c r="F4841" s="11"/>
      <c r="G4841" s="12"/>
      <c r="H4841" s="12"/>
      <c r="I4841" s="10"/>
      <c r="J4841" s="5"/>
      <c r="K4841" s="13"/>
      <c r="L4841" s="23"/>
    </row>
    <row r="4842" spans="1:12">
      <c r="A4842" s="8"/>
      <c r="B4842" s="9"/>
      <c r="C4842" s="10"/>
      <c r="D4842" s="10"/>
      <c r="E4842" s="11"/>
      <c r="F4842" s="11"/>
      <c r="G4842" s="12"/>
      <c r="H4842" s="12"/>
      <c r="I4842" s="10"/>
      <c r="J4842" s="5"/>
      <c r="K4842" s="10"/>
      <c r="L4842" s="23"/>
    </row>
    <row r="4843" spans="1:12">
      <c r="A4843" s="8"/>
      <c r="B4843" s="9"/>
      <c r="C4843" s="10"/>
      <c r="D4843" s="10"/>
      <c r="E4843" s="11"/>
      <c r="F4843" s="11"/>
      <c r="G4843" s="12"/>
      <c r="H4843" s="12"/>
      <c r="I4843" s="10"/>
      <c r="J4843" s="5"/>
      <c r="K4843" s="10"/>
      <c r="L4843" s="23"/>
    </row>
    <row r="4844" spans="1:12">
      <c r="A4844" s="8"/>
      <c r="B4844" s="9"/>
      <c r="C4844" s="10"/>
      <c r="D4844" s="10"/>
      <c r="E4844" s="11"/>
      <c r="F4844" s="11"/>
      <c r="G4844" s="12"/>
      <c r="H4844" s="12"/>
      <c r="I4844" s="10"/>
      <c r="J4844" s="5"/>
      <c r="K4844" s="12"/>
      <c r="L4844" s="15"/>
    </row>
    <row r="4845" spans="1:12">
      <c r="A4845" s="8"/>
      <c r="B4845" s="9"/>
      <c r="C4845" s="10"/>
      <c r="D4845" s="10"/>
      <c r="E4845" s="11"/>
      <c r="F4845" s="11"/>
      <c r="G4845" s="12"/>
      <c r="H4845" s="12"/>
      <c r="I4845" s="10"/>
      <c r="J4845" s="5"/>
      <c r="K4845" s="9"/>
      <c r="L4845" s="15"/>
    </row>
    <row r="4846" spans="1:12">
      <c r="A4846" s="8"/>
      <c r="B4846" s="9"/>
      <c r="C4846" s="10"/>
      <c r="D4846" s="10"/>
      <c r="E4846" s="11"/>
      <c r="F4846" s="11"/>
      <c r="G4846" s="12"/>
      <c r="H4846" s="12"/>
      <c r="I4846" s="10"/>
      <c r="J4846" s="5"/>
      <c r="K4846" s="9"/>
      <c r="L4846" s="15"/>
    </row>
    <row r="4847" spans="1:12">
      <c r="A4847" s="8"/>
      <c r="B4847" s="9"/>
      <c r="C4847" s="10"/>
      <c r="D4847" s="10"/>
      <c r="E4847" s="11"/>
      <c r="F4847" s="11"/>
      <c r="G4847" s="12"/>
      <c r="H4847" s="12"/>
      <c r="I4847" s="10"/>
      <c r="J4847" s="5"/>
      <c r="K4847" s="12"/>
      <c r="L4847" s="15"/>
    </row>
    <row r="4848" spans="1:12">
      <c r="A4848" s="8"/>
      <c r="B4848" s="9"/>
      <c r="C4848" s="10"/>
      <c r="D4848" s="10"/>
      <c r="E4848" s="11"/>
      <c r="F4848" s="11"/>
      <c r="G4848" s="12"/>
      <c r="H4848" s="12"/>
      <c r="I4848" s="10"/>
      <c r="J4848" s="5"/>
      <c r="K4848" s="12"/>
      <c r="L4848" s="15"/>
    </row>
    <row r="4849" spans="1:12">
      <c r="A4849" s="8"/>
      <c r="B4849" s="9"/>
      <c r="C4849" s="10"/>
      <c r="D4849" s="10"/>
      <c r="E4849" s="11"/>
      <c r="F4849" s="11"/>
      <c r="G4849" s="12"/>
      <c r="H4849" s="12"/>
      <c r="I4849" s="10"/>
      <c r="J4849" s="5"/>
      <c r="K4849" s="12"/>
      <c r="L4849" s="15"/>
    </row>
    <row r="4850" spans="1:12">
      <c r="A4850" s="8"/>
      <c r="B4850" s="9"/>
      <c r="C4850" s="10"/>
      <c r="D4850" s="10"/>
      <c r="E4850" s="19"/>
      <c r="F4850" s="19"/>
      <c r="G4850" s="12"/>
      <c r="H4850" s="9"/>
      <c r="I4850" s="10"/>
      <c r="J4850" s="5"/>
      <c r="K4850" s="71"/>
      <c r="L4850" s="15"/>
    </row>
    <row r="4851" spans="1:12">
      <c r="A4851" s="8"/>
      <c r="B4851" s="9"/>
      <c r="C4851" s="10"/>
      <c r="D4851" s="10"/>
      <c r="E4851" s="11"/>
      <c r="F4851" s="11"/>
      <c r="G4851" s="12"/>
      <c r="H4851" s="12"/>
      <c r="I4851" s="10"/>
      <c r="J4851" s="5"/>
      <c r="K4851" s="9"/>
      <c r="L4851" s="15"/>
    </row>
    <row r="4852" spans="1:12">
      <c r="A4852" s="8"/>
      <c r="B4852" s="9"/>
      <c r="C4852" s="10"/>
      <c r="D4852" s="10"/>
      <c r="E4852" s="11"/>
      <c r="F4852" s="11"/>
      <c r="G4852" s="12"/>
      <c r="H4852" s="12"/>
      <c r="I4852" s="10"/>
      <c r="J4852" s="5"/>
      <c r="K4852" s="9"/>
      <c r="L4852" s="15"/>
    </row>
    <row r="4853" spans="1:12">
      <c r="A4853" s="8"/>
      <c r="B4853" s="9"/>
      <c r="C4853" s="10"/>
      <c r="D4853" s="10"/>
      <c r="E4853" s="11"/>
      <c r="F4853" s="11"/>
      <c r="G4853" s="12"/>
      <c r="H4853" s="12"/>
      <c r="I4853" s="10"/>
      <c r="J4853" s="5"/>
      <c r="K4853" s="12"/>
      <c r="L4853" s="15"/>
    </row>
    <row r="4854" spans="1:12">
      <c r="A4854" s="8"/>
      <c r="B4854" s="9"/>
      <c r="C4854" s="10"/>
      <c r="D4854" s="10"/>
      <c r="E4854" s="11"/>
      <c r="F4854" s="11"/>
      <c r="G4854" s="12"/>
      <c r="H4854" s="12"/>
      <c r="I4854" s="10"/>
      <c r="J4854" s="5"/>
      <c r="K4854" s="12"/>
      <c r="L4854" s="15"/>
    </row>
    <row r="4855" spans="1:12">
      <c r="A4855" s="8"/>
      <c r="B4855" s="9"/>
      <c r="C4855" s="10"/>
      <c r="D4855" s="10"/>
      <c r="E4855" s="11"/>
      <c r="F4855" s="11"/>
      <c r="G4855" s="12"/>
      <c r="H4855" s="12"/>
      <c r="I4855" s="10"/>
      <c r="J4855" s="5"/>
      <c r="K4855" s="12"/>
      <c r="L4855" s="16"/>
    </row>
    <row r="4856" spans="1:12">
      <c r="A4856" s="8"/>
      <c r="B4856" s="9"/>
      <c r="C4856" s="10"/>
      <c r="D4856" s="10"/>
      <c r="E4856" s="11"/>
      <c r="F4856" s="11"/>
      <c r="G4856" s="12"/>
      <c r="H4856" s="12"/>
      <c r="I4856" s="10"/>
      <c r="J4856" s="5"/>
      <c r="K4856" s="12"/>
      <c r="L4856" s="15"/>
    </row>
    <row r="4857" spans="1:12">
      <c r="A4857" s="8"/>
      <c r="B4857" s="9"/>
      <c r="C4857" s="10"/>
      <c r="D4857" s="10"/>
      <c r="E4857" s="11"/>
      <c r="F4857" s="11"/>
      <c r="G4857" s="12"/>
      <c r="H4857" s="12"/>
      <c r="I4857" s="10"/>
      <c r="J4857" s="5"/>
      <c r="K4857" s="12"/>
      <c r="L4857" s="16"/>
    </row>
    <row r="4858" spans="1:12">
      <c r="A4858" s="8"/>
      <c r="B4858" s="9"/>
      <c r="C4858" s="10"/>
      <c r="D4858" s="10"/>
      <c r="E4858" s="11"/>
      <c r="F4858" s="11"/>
      <c r="G4858" s="12"/>
      <c r="H4858" s="12"/>
      <c r="I4858" s="10"/>
      <c r="J4858" s="5"/>
      <c r="K4858" s="12"/>
      <c r="L4858" s="15"/>
    </row>
    <row r="4859" spans="1:12">
      <c r="A4859" s="8"/>
      <c r="B4859" s="9"/>
      <c r="C4859" s="10"/>
      <c r="D4859" s="10"/>
      <c r="E4859" s="11"/>
      <c r="F4859" s="11"/>
      <c r="G4859" s="12"/>
      <c r="H4859" s="12"/>
      <c r="I4859" s="10"/>
      <c r="J4859" s="5"/>
      <c r="K4859" s="12"/>
      <c r="L4859" s="15"/>
    </row>
    <row r="4860" spans="1:12">
      <c r="A4860" s="8"/>
      <c r="B4860" s="9"/>
      <c r="C4860" s="10"/>
      <c r="D4860" s="10"/>
      <c r="E4860" s="11"/>
      <c r="F4860" s="11"/>
      <c r="G4860" s="12"/>
      <c r="H4860" s="12"/>
      <c r="I4860" s="10"/>
      <c r="J4860" s="5"/>
      <c r="K4860" s="12"/>
      <c r="L4860" s="15"/>
    </row>
    <row r="4861" spans="1:12">
      <c r="A4861" s="8"/>
      <c r="B4861" s="9"/>
      <c r="C4861" s="10"/>
      <c r="D4861" s="10"/>
      <c r="E4861" s="11"/>
      <c r="F4861" s="11"/>
      <c r="G4861" s="12"/>
      <c r="H4861" s="12"/>
      <c r="I4861" s="10"/>
      <c r="J4861" s="5"/>
      <c r="K4861" s="12"/>
      <c r="L4861" s="15"/>
    </row>
    <row r="4862" spans="1:12">
      <c r="A4862" s="8"/>
      <c r="B4862" s="9"/>
      <c r="C4862" s="10"/>
      <c r="D4862" s="10"/>
      <c r="E4862" s="22"/>
      <c r="F4862" s="22"/>
      <c r="G4862" s="12"/>
      <c r="H4862" s="10"/>
      <c r="I4862" s="10"/>
      <c r="J4862" s="5"/>
      <c r="K4862" s="12"/>
      <c r="L4862" s="15"/>
    </row>
    <row r="4863" spans="1:12">
      <c r="A4863" s="8"/>
      <c r="B4863" s="9"/>
      <c r="C4863" s="10"/>
      <c r="D4863" s="10"/>
      <c r="E4863" s="11"/>
      <c r="F4863" s="11"/>
      <c r="G4863" s="12"/>
      <c r="H4863" s="12"/>
      <c r="I4863" s="10"/>
      <c r="J4863" s="5"/>
      <c r="K4863" s="9"/>
      <c r="L4863" s="15"/>
    </row>
    <row r="4864" spans="1:12">
      <c r="A4864" s="8"/>
      <c r="B4864" s="9"/>
      <c r="C4864" s="10"/>
      <c r="D4864" s="10"/>
      <c r="E4864" s="11"/>
      <c r="F4864" s="11"/>
      <c r="G4864" s="12"/>
      <c r="H4864" s="12"/>
      <c r="I4864" s="10"/>
      <c r="J4864" s="5"/>
      <c r="K4864" s="9"/>
      <c r="L4864" s="15"/>
    </row>
    <row r="4865" spans="1:12">
      <c r="A4865" s="8"/>
      <c r="B4865" s="9"/>
      <c r="C4865" s="10"/>
      <c r="D4865" s="10"/>
      <c r="E4865" s="11"/>
      <c r="F4865" s="11"/>
      <c r="G4865" s="12"/>
      <c r="H4865" s="12"/>
      <c r="I4865" s="10"/>
      <c r="J4865" s="5"/>
      <c r="K4865" s="9"/>
      <c r="L4865" s="15"/>
    </row>
    <row r="4866" spans="1:12">
      <c r="A4866" s="8"/>
      <c r="B4866" s="9"/>
      <c r="C4866" s="10"/>
      <c r="D4866" s="10"/>
      <c r="E4866" s="11"/>
      <c r="F4866" s="11"/>
      <c r="G4866" s="12"/>
      <c r="H4866" s="12"/>
      <c r="I4866" s="10"/>
      <c r="J4866" s="5"/>
      <c r="K4866" s="9"/>
      <c r="L4866" s="15"/>
    </row>
    <row r="4867" spans="1:12">
      <c r="A4867" s="8"/>
      <c r="B4867" s="9"/>
      <c r="C4867" s="10"/>
      <c r="D4867" s="10"/>
      <c r="E4867" s="11"/>
      <c r="F4867" s="11"/>
      <c r="G4867" s="12"/>
      <c r="H4867" s="12"/>
      <c r="I4867" s="10"/>
      <c r="J4867" s="5"/>
      <c r="K4867" s="9"/>
      <c r="L4867" s="15"/>
    </row>
    <row r="4868" spans="1:12">
      <c r="A4868" s="8"/>
      <c r="B4868" s="9"/>
      <c r="C4868" s="10"/>
      <c r="D4868" s="10"/>
      <c r="E4868" s="11"/>
      <c r="F4868" s="11"/>
      <c r="G4868" s="12"/>
      <c r="H4868" s="12"/>
      <c r="I4868" s="10"/>
      <c r="J4868" s="5"/>
      <c r="K4868" s="9"/>
      <c r="L4868" s="15"/>
    </row>
    <row r="4869" spans="1:12">
      <c r="A4869" s="8"/>
      <c r="B4869" s="9"/>
      <c r="C4869" s="10"/>
      <c r="D4869" s="10"/>
      <c r="E4869" s="11"/>
      <c r="F4869" s="11"/>
      <c r="G4869" s="12"/>
      <c r="H4869" s="12"/>
      <c r="I4869" s="10"/>
      <c r="J4869" s="5"/>
      <c r="K4869" s="9"/>
      <c r="L4869" s="15"/>
    </row>
    <row r="4870" spans="1:12">
      <c r="A4870" s="8"/>
      <c r="B4870" s="9"/>
      <c r="C4870" s="65"/>
      <c r="D4870" s="10"/>
      <c r="E4870" s="34"/>
      <c r="F4870" s="34"/>
      <c r="G4870" s="12"/>
      <c r="H4870" s="35"/>
      <c r="I4870" s="10"/>
      <c r="J4870" s="5"/>
      <c r="K4870" s="35"/>
      <c r="L4870" s="66"/>
    </row>
    <row r="4871" spans="1:12">
      <c r="A4871" s="8"/>
      <c r="B4871" s="9"/>
      <c r="C4871" s="10"/>
      <c r="D4871" s="10"/>
      <c r="E4871" s="11"/>
      <c r="F4871" s="11"/>
      <c r="G4871" s="12"/>
      <c r="H4871" s="12"/>
      <c r="I4871" s="10"/>
      <c r="J4871" s="5"/>
      <c r="K4871" s="9"/>
      <c r="L4871" s="15"/>
    </row>
    <row r="4872" spans="1:12">
      <c r="A4872" s="8"/>
      <c r="B4872" s="9"/>
      <c r="C4872" s="10"/>
      <c r="D4872" s="10"/>
      <c r="E4872" s="11"/>
      <c r="F4872" s="11"/>
      <c r="G4872" s="12"/>
      <c r="H4872" s="12"/>
      <c r="I4872" s="10"/>
      <c r="J4872" s="5"/>
      <c r="K4872" s="9"/>
      <c r="L4872" s="15"/>
    </row>
    <row r="4873" spans="1:12">
      <c r="A4873" s="8"/>
      <c r="B4873" s="9"/>
      <c r="C4873" s="10"/>
      <c r="D4873" s="10"/>
      <c r="E4873" s="11"/>
      <c r="F4873" s="11"/>
      <c r="G4873" s="12"/>
      <c r="H4873" s="12"/>
      <c r="I4873" s="10"/>
      <c r="J4873" s="5"/>
      <c r="K4873" s="9"/>
      <c r="L4873" s="15"/>
    </row>
    <row r="4874" spans="1:12">
      <c r="A4874" s="8"/>
      <c r="B4874" s="9"/>
      <c r="C4874" s="10"/>
      <c r="D4874" s="10"/>
      <c r="E4874" s="11"/>
      <c r="F4874" s="11"/>
      <c r="G4874" s="12"/>
      <c r="H4874" s="10"/>
      <c r="I4874" s="10"/>
      <c r="J4874" s="5"/>
      <c r="K4874" s="9"/>
      <c r="L4874" s="15"/>
    </row>
    <row r="4875" spans="1:12">
      <c r="A4875" s="8"/>
      <c r="B4875" s="9"/>
      <c r="C4875" s="10"/>
      <c r="D4875" s="10"/>
      <c r="E4875" s="11"/>
      <c r="F4875" s="11"/>
      <c r="G4875" s="12"/>
      <c r="H4875" s="12"/>
      <c r="I4875" s="10"/>
      <c r="J4875" s="5"/>
      <c r="K4875" s="12"/>
      <c r="L4875" s="15"/>
    </row>
    <row r="4876" spans="1:12">
      <c r="A4876" s="8"/>
      <c r="B4876" s="9"/>
      <c r="C4876" s="10"/>
      <c r="D4876" s="10"/>
      <c r="E4876" s="11"/>
      <c r="F4876" s="11"/>
      <c r="G4876" s="12"/>
      <c r="H4876" s="12"/>
      <c r="I4876" s="10"/>
      <c r="J4876" s="5"/>
      <c r="K4876" s="12"/>
      <c r="L4876" s="15"/>
    </row>
    <row r="4877" spans="1:12">
      <c r="A4877" s="8"/>
      <c r="B4877" s="9"/>
      <c r="C4877" s="10"/>
      <c r="D4877" s="10"/>
      <c r="E4877" s="11"/>
      <c r="F4877" s="11"/>
      <c r="G4877" s="12"/>
      <c r="H4877" s="12"/>
      <c r="I4877" s="10"/>
      <c r="J4877" s="5"/>
      <c r="K4877" s="9"/>
      <c r="L4877" s="15"/>
    </row>
    <row r="4878" spans="1:12">
      <c r="A4878" s="8"/>
      <c r="B4878" s="9"/>
      <c r="C4878" s="10"/>
      <c r="D4878" s="10"/>
      <c r="E4878" s="11"/>
      <c r="F4878" s="11"/>
      <c r="G4878" s="12"/>
      <c r="H4878" s="12"/>
      <c r="I4878" s="10"/>
      <c r="J4878" s="5"/>
      <c r="K4878" s="9"/>
      <c r="L4878" s="15"/>
    </row>
    <row r="4879" spans="1:12">
      <c r="A4879" s="291"/>
      <c r="B4879" s="71"/>
      <c r="C4879" s="65"/>
      <c r="D4879" s="65"/>
      <c r="E4879" s="70"/>
      <c r="F4879" s="70"/>
      <c r="G4879" s="71"/>
      <c r="H4879" s="71"/>
      <c r="I4879" s="65"/>
      <c r="J4879" s="292"/>
      <c r="K4879" s="71"/>
      <c r="L4879" s="293"/>
    </row>
    <row r="4880" spans="1:12">
      <c r="A4880" s="8"/>
      <c r="B4880" s="9"/>
      <c r="C4880" s="10"/>
      <c r="D4880" s="10"/>
      <c r="E4880" s="22"/>
      <c r="F4880" s="22"/>
      <c r="G4880" s="12"/>
      <c r="H4880" s="10"/>
      <c r="I4880" s="10"/>
      <c r="J4880" s="5"/>
      <c r="K4880" s="9"/>
      <c r="L4880" s="15"/>
    </row>
    <row r="4881" spans="1:12">
      <c r="A4881" s="8"/>
      <c r="B4881" s="9"/>
      <c r="C4881" s="10"/>
      <c r="D4881" s="10"/>
      <c r="E4881" s="11"/>
      <c r="F4881" s="11"/>
      <c r="G4881" s="12"/>
      <c r="H4881" s="12"/>
      <c r="I4881" s="10"/>
      <c r="J4881" s="5"/>
      <c r="K4881" s="12"/>
      <c r="L4881" s="15"/>
    </row>
    <row r="4882" spans="1:12">
      <c r="A4882" s="8"/>
      <c r="B4882" s="9"/>
      <c r="C4882" s="10"/>
      <c r="D4882" s="10"/>
      <c r="E4882" s="11"/>
      <c r="F4882" s="11"/>
      <c r="G4882" s="12"/>
      <c r="H4882" s="12"/>
      <c r="I4882" s="10"/>
      <c r="J4882" s="5"/>
      <c r="K4882" s="9"/>
      <c r="L4882" s="15"/>
    </row>
    <row r="4883" spans="1:12">
      <c r="A4883" s="8"/>
      <c r="B4883" s="9"/>
      <c r="C4883" s="10"/>
      <c r="D4883" s="10"/>
      <c r="E4883" s="11"/>
      <c r="F4883" s="11"/>
      <c r="G4883" s="12"/>
      <c r="H4883" s="12"/>
      <c r="I4883" s="10"/>
      <c r="J4883" s="5"/>
      <c r="K4883" s="9"/>
      <c r="L4883" s="15"/>
    </row>
    <row r="4884" spans="1:12">
      <c r="A4884" s="8"/>
      <c r="B4884" s="9"/>
      <c r="C4884" s="10"/>
      <c r="D4884" s="10"/>
      <c r="E4884" s="11"/>
      <c r="F4884" s="11"/>
      <c r="G4884" s="12"/>
      <c r="H4884" s="12"/>
      <c r="I4884" s="10"/>
      <c r="J4884" s="5"/>
      <c r="K4884" s="9"/>
      <c r="L4884" s="15"/>
    </row>
    <row r="4885" spans="1:12">
      <c r="A4885" s="8"/>
      <c r="B4885" s="9"/>
      <c r="C4885" s="10"/>
      <c r="D4885" s="10"/>
      <c r="E4885" s="11"/>
      <c r="F4885" s="11"/>
      <c r="G4885" s="12"/>
      <c r="H4885" s="12"/>
      <c r="I4885" s="10"/>
      <c r="J4885" s="5"/>
      <c r="K4885" s="9"/>
      <c r="L4885" s="15"/>
    </row>
    <row r="4886" spans="1:12">
      <c r="A4886" s="8"/>
      <c r="B4886" s="9"/>
      <c r="C4886" s="10"/>
      <c r="D4886" s="10"/>
      <c r="E4886" s="11"/>
      <c r="F4886" s="11"/>
      <c r="G4886" s="12"/>
      <c r="H4886" s="12"/>
      <c r="I4886" s="10"/>
      <c r="J4886" s="5"/>
      <c r="K4886" s="12"/>
      <c r="L4886" s="15"/>
    </row>
    <row r="4887" spans="1:12">
      <c r="A4887" s="8"/>
      <c r="B4887" s="9"/>
      <c r="C4887" s="10"/>
      <c r="D4887" s="10"/>
      <c r="E4887" s="22"/>
      <c r="F4887" s="22"/>
      <c r="G4887" s="12"/>
      <c r="H4887" s="10"/>
      <c r="I4887" s="10"/>
      <c r="J4887" s="5"/>
      <c r="K4887" s="12"/>
      <c r="L4887" s="15"/>
    </row>
    <row r="4888" spans="1:12">
      <c r="A4888" s="8"/>
      <c r="B4888" s="9"/>
      <c r="C4888" s="10"/>
      <c r="D4888" s="10"/>
      <c r="E4888" s="22"/>
      <c r="F4888" s="22"/>
      <c r="G4888" s="12"/>
      <c r="H4888" s="10"/>
      <c r="I4888" s="10"/>
      <c r="J4888" s="5"/>
      <c r="K4888" s="12"/>
      <c r="L4888" s="15"/>
    </row>
    <row r="4889" spans="1:12">
      <c r="A4889" s="8"/>
      <c r="B4889" s="9"/>
      <c r="C4889" s="10"/>
      <c r="D4889" s="10"/>
      <c r="E4889" s="11"/>
      <c r="F4889" s="11"/>
      <c r="G4889" s="12"/>
      <c r="H4889" s="12"/>
      <c r="I4889" s="10"/>
      <c r="J4889" s="5"/>
      <c r="K4889" s="12"/>
      <c r="L4889" s="15"/>
    </row>
    <row r="4890" spans="1:12">
      <c r="A4890" s="8"/>
      <c r="B4890" s="9"/>
      <c r="C4890" s="10"/>
      <c r="D4890" s="10"/>
      <c r="E4890" s="22"/>
      <c r="F4890" s="22"/>
      <c r="G4890" s="12"/>
      <c r="H4890" s="10"/>
      <c r="I4890" s="10"/>
      <c r="J4890" s="5"/>
      <c r="K4890" s="12"/>
      <c r="L4890" s="15"/>
    </row>
    <row r="4891" spans="1:12">
      <c r="A4891" s="8"/>
      <c r="B4891" s="9"/>
      <c r="C4891" s="10"/>
      <c r="D4891" s="10"/>
      <c r="E4891" s="11"/>
      <c r="F4891" s="11"/>
      <c r="G4891" s="12"/>
      <c r="H4891" s="12"/>
      <c r="I4891" s="10"/>
      <c r="J4891" s="5"/>
      <c r="K4891" s="10"/>
      <c r="L4891" s="23"/>
    </row>
    <row r="4892" spans="1:12">
      <c r="A4892" s="8"/>
      <c r="B4892" s="9"/>
      <c r="C4892" s="10"/>
      <c r="D4892" s="100"/>
      <c r="E4892" s="11"/>
      <c r="F4892" s="11"/>
      <c r="G4892" s="12"/>
      <c r="H4892" s="12"/>
      <c r="I4892" s="10"/>
      <c r="J4892" s="5"/>
      <c r="K4892" s="10"/>
      <c r="L4892" s="23"/>
    </row>
    <row r="4893" spans="1:12">
      <c r="A4893" s="291"/>
      <c r="B4893" s="71"/>
      <c r="C4893" s="65"/>
      <c r="D4893" s="65"/>
      <c r="E4893" s="70"/>
      <c r="F4893" s="70"/>
      <c r="G4893" s="71"/>
      <c r="H4893" s="71"/>
      <c r="I4893" s="65"/>
      <c r="J4893" s="292"/>
      <c r="K4893" s="65"/>
      <c r="L4893" s="294"/>
    </row>
    <row r="4894" spans="1:12">
      <c r="A4894" s="291"/>
      <c r="B4894" s="71"/>
      <c r="C4894" s="65"/>
      <c r="D4894" s="65"/>
      <c r="E4894" s="70"/>
      <c r="F4894" s="70"/>
      <c r="G4894" s="71"/>
      <c r="H4894" s="71"/>
      <c r="I4894" s="65"/>
      <c r="J4894" s="292"/>
      <c r="K4894" s="71"/>
      <c r="L4894" s="293"/>
    </row>
    <row r="4895" spans="1:12">
      <c r="A4895" s="8"/>
      <c r="B4895" s="9"/>
      <c r="C4895" s="10"/>
      <c r="D4895" s="10"/>
      <c r="E4895" s="11"/>
      <c r="F4895" s="11"/>
      <c r="G4895" s="12"/>
      <c r="H4895" s="12"/>
      <c r="I4895" s="10"/>
      <c r="J4895" s="5"/>
      <c r="K4895" s="9"/>
      <c r="L4895" s="15"/>
    </row>
    <row r="4896" spans="1:12">
      <c r="A4896" s="8"/>
      <c r="B4896" s="9"/>
      <c r="C4896" s="10"/>
      <c r="D4896" s="10"/>
      <c r="E4896" s="11"/>
      <c r="F4896" s="11"/>
      <c r="G4896" s="12"/>
      <c r="H4896" s="12"/>
      <c r="I4896" s="10"/>
      <c r="J4896" s="5"/>
      <c r="K4896" s="12"/>
      <c r="L4896" s="15"/>
    </row>
    <row r="4897" spans="1:12">
      <c r="A4897" s="8"/>
      <c r="B4897" s="9"/>
      <c r="C4897" s="10"/>
      <c r="D4897" s="10"/>
      <c r="E4897" s="11"/>
      <c r="F4897" s="11"/>
      <c r="G4897" s="12"/>
      <c r="H4897" s="12"/>
      <c r="I4897" s="10"/>
      <c r="J4897" s="5"/>
      <c r="K4897" s="12"/>
      <c r="L4897" s="15"/>
    </row>
    <row r="4898" spans="1:12">
      <c r="A4898" s="8"/>
      <c r="B4898" s="9"/>
      <c r="C4898" s="10"/>
      <c r="D4898" s="10"/>
      <c r="E4898" s="11"/>
      <c r="F4898" s="11"/>
      <c r="G4898" s="12"/>
      <c r="H4898" s="12"/>
      <c r="I4898" s="10"/>
      <c r="J4898" s="5"/>
      <c r="K4898" s="9"/>
      <c r="L4898" s="15"/>
    </row>
    <row r="4899" spans="1:12">
      <c r="A4899" s="8"/>
      <c r="B4899" s="9"/>
      <c r="C4899" s="10"/>
      <c r="D4899" s="10"/>
      <c r="E4899" s="11"/>
      <c r="F4899" s="11"/>
      <c r="G4899" s="12"/>
      <c r="H4899" s="12"/>
      <c r="I4899" s="10"/>
      <c r="J4899" s="5"/>
      <c r="K4899" s="12"/>
      <c r="L4899" s="15"/>
    </row>
    <row r="4900" spans="1:12">
      <c r="A4900" s="8"/>
      <c r="B4900" s="9"/>
      <c r="C4900" s="10"/>
      <c r="D4900" s="10"/>
      <c r="E4900" s="11"/>
      <c r="F4900" s="11"/>
      <c r="G4900" s="12"/>
      <c r="H4900" s="12"/>
      <c r="I4900" s="10"/>
      <c r="J4900" s="5"/>
      <c r="K4900" s="12"/>
      <c r="L4900" s="15"/>
    </row>
    <row r="4901" spans="1:12">
      <c r="A4901" s="8"/>
      <c r="B4901" s="9"/>
      <c r="C4901" s="10"/>
      <c r="D4901" s="10"/>
      <c r="E4901" s="11"/>
      <c r="F4901" s="11"/>
      <c r="G4901" s="12"/>
      <c r="H4901" s="12"/>
      <c r="I4901" s="10"/>
      <c r="J4901" s="5"/>
      <c r="K4901" s="12"/>
      <c r="L4901" s="15"/>
    </row>
    <row r="4902" spans="1:12">
      <c r="A4902" s="8"/>
      <c r="B4902" s="9"/>
      <c r="C4902" s="10"/>
      <c r="D4902" s="10"/>
      <c r="E4902" s="11"/>
      <c r="F4902" s="11"/>
      <c r="G4902" s="12"/>
      <c r="H4902" s="12"/>
      <c r="I4902" s="10"/>
      <c r="J4902" s="5"/>
      <c r="K4902" s="12"/>
      <c r="L4902" s="15"/>
    </row>
    <row r="4903" spans="1:12">
      <c r="A4903" s="8"/>
      <c r="B4903" s="9"/>
      <c r="C4903" s="10"/>
      <c r="D4903" s="10"/>
      <c r="E4903" s="11"/>
      <c r="F4903" s="11"/>
      <c r="G4903" s="12"/>
      <c r="H4903" s="12"/>
      <c r="I4903" s="10"/>
      <c r="J4903" s="5"/>
      <c r="K4903" s="12"/>
      <c r="L4903" s="15"/>
    </row>
    <row r="4904" spans="1:12">
      <c r="A4904" s="8"/>
      <c r="B4904" s="9"/>
      <c r="C4904" s="10"/>
      <c r="D4904" s="10"/>
      <c r="E4904" s="11"/>
      <c r="F4904" s="11"/>
      <c r="G4904" s="12"/>
      <c r="H4904" s="12"/>
      <c r="I4904" s="10"/>
      <c r="J4904" s="5"/>
      <c r="K4904" s="12"/>
      <c r="L4904" s="15"/>
    </row>
    <row r="4905" spans="1:12">
      <c r="A4905" s="8"/>
      <c r="B4905" s="9"/>
      <c r="C4905" s="10"/>
      <c r="D4905" s="10"/>
      <c r="E4905" s="11"/>
      <c r="F4905" s="11"/>
      <c r="G4905" s="12"/>
      <c r="H4905" s="12"/>
      <c r="I4905" s="10"/>
      <c r="J4905" s="5"/>
      <c r="K4905" s="9"/>
      <c r="L4905" s="15"/>
    </row>
    <row r="4906" spans="1:12">
      <c r="A4906" s="8"/>
      <c r="B4906" s="9"/>
      <c r="C4906" s="10"/>
      <c r="D4906" s="10"/>
      <c r="E4906" s="11"/>
      <c r="F4906" s="11"/>
      <c r="G4906" s="12"/>
      <c r="H4906" s="12"/>
      <c r="I4906" s="10"/>
      <c r="J4906" s="5"/>
      <c r="K4906" s="9"/>
      <c r="L4906" s="15"/>
    </row>
    <row r="4907" spans="1:12">
      <c r="A4907" s="8"/>
      <c r="B4907" s="9"/>
      <c r="C4907" s="10"/>
      <c r="D4907" s="10"/>
      <c r="E4907" s="11"/>
      <c r="F4907" s="11"/>
      <c r="G4907" s="12"/>
      <c r="H4907" s="12"/>
      <c r="I4907" s="10"/>
      <c r="J4907" s="5"/>
      <c r="K4907" s="9"/>
      <c r="L4907" s="15"/>
    </row>
    <row r="4908" spans="1:12">
      <c r="A4908" s="8"/>
      <c r="B4908" s="9"/>
      <c r="C4908" s="10"/>
      <c r="D4908" s="10"/>
      <c r="E4908" s="11"/>
      <c r="F4908" s="11"/>
      <c r="G4908" s="12"/>
      <c r="H4908" s="12"/>
      <c r="I4908" s="10"/>
      <c r="J4908" s="5"/>
      <c r="K4908" s="9"/>
      <c r="L4908" s="15"/>
    </row>
    <row r="4909" spans="1:12">
      <c r="A4909" s="8"/>
      <c r="B4909" s="9"/>
      <c r="C4909" s="10"/>
      <c r="D4909" s="10"/>
      <c r="E4909" s="11"/>
      <c r="F4909" s="11"/>
      <c r="G4909" s="12"/>
      <c r="H4909" s="12"/>
      <c r="I4909" s="10"/>
      <c r="J4909" s="5"/>
      <c r="K4909" s="9"/>
      <c r="L4909" s="15"/>
    </row>
    <row r="4910" spans="1:12">
      <c r="A4910" s="8"/>
      <c r="B4910" s="9"/>
      <c r="C4910" s="10"/>
      <c r="D4910" s="10"/>
      <c r="E4910" s="11"/>
      <c r="F4910" s="11"/>
      <c r="G4910" s="12"/>
      <c r="H4910" s="12"/>
      <c r="I4910" s="10"/>
      <c r="J4910" s="5"/>
      <c r="K4910" s="9"/>
      <c r="L4910" s="15"/>
    </row>
    <row r="4911" spans="1:12">
      <c r="A4911" s="8"/>
      <c r="B4911" s="9"/>
      <c r="C4911" s="10"/>
      <c r="D4911" s="10"/>
      <c r="E4911" s="11"/>
      <c r="F4911" s="11"/>
      <c r="G4911" s="12"/>
      <c r="H4911" s="12"/>
      <c r="I4911" s="10"/>
      <c r="J4911" s="5"/>
      <c r="K4911" s="9"/>
      <c r="L4911" s="15"/>
    </row>
    <row r="4912" spans="1:12">
      <c r="A4912" s="8"/>
      <c r="B4912" s="9"/>
      <c r="C4912" s="10"/>
      <c r="D4912" s="10"/>
      <c r="E4912" s="11"/>
      <c r="F4912" s="11"/>
      <c r="G4912" s="12"/>
      <c r="H4912" s="12"/>
      <c r="I4912" s="10"/>
      <c r="J4912" s="5"/>
      <c r="K4912" s="9"/>
      <c r="L4912" s="15"/>
    </row>
    <row r="4913" spans="1:12">
      <c r="A4913" s="8"/>
      <c r="B4913" s="9"/>
      <c r="C4913" s="13"/>
      <c r="D4913" s="10"/>
      <c r="E4913" s="19"/>
      <c r="F4913" s="19"/>
      <c r="G4913" s="12"/>
      <c r="H4913" s="9"/>
      <c r="I4913" s="10"/>
      <c r="J4913" s="5"/>
      <c r="K4913" s="13"/>
      <c r="L4913" s="31"/>
    </row>
    <row r="4914" spans="1:12">
      <c r="A4914" s="8"/>
      <c r="B4914" s="9"/>
      <c r="C4914" s="10"/>
      <c r="D4914" s="10"/>
      <c r="E4914" s="11"/>
      <c r="F4914" s="11"/>
      <c r="G4914" s="12"/>
      <c r="H4914" s="12"/>
      <c r="I4914" s="10"/>
      <c r="J4914" s="5"/>
      <c r="K4914" s="10"/>
      <c r="L4914" s="23"/>
    </row>
    <row r="4915" spans="1:12">
      <c r="A4915" s="8"/>
      <c r="B4915" s="9"/>
      <c r="C4915" s="10"/>
      <c r="D4915" s="10"/>
      <c r="E4915" s="11"/>
      <c r="F4915" s="11"/>
      <c r="G4915" s="12"/>
      <c r="H4915" s="12"/>
      <c r="I4915" s="10"/>
      <c r="J4915" s="5"/>
      <c r="K4915" s="10"/>
      <c r="L4915" s="23"/>
    </row>
    <row r="4916" spans="1:12">
      <c r="A4916" s="8"/>
      <c r="B4916" s="9"/>
      <c r="C4916" s="13"/>
      <c r="D4916" s="10"/>
      <c r="E4916" s="19"/>
      <c r="F4916" s="19"/>
      <c r="G4916" s="12"/>
      <c r="H4916" s="9"/>
      <c r="I4916" s="10"/>
      <c r="J4916" s="5"/>
      <c r="K4916" s="13"/>
      <c r="L4916" s="31"/>
    </row>
    <row r="4917" spans="1:12">
      <c r="A4917" s="8"/>
      <c r="B4917" s="9"/>
      <c r="C4917" s="10"/>
      <c r="D4917" s="10"/>
      <c r="E4917" s="11"/>
      <c r="F4917" s="11"/>
      <c r="G4917" s="12"/>
      <c r="H4917" s="12"/>
      <c r="I4917" s="10"/>
      <c r="J4917" s="5"/>
      <c r="K4917" s="12"/>
      <c r="L4917" s="15"/>
    </row>
    <row r="4918" spans="1:12">
      <c r="A4918" s="8"/>
      <c r="B4918" s="9"/>
      <c r="C4918" s="10"/>
      <c r="D4918" s="10"/>
      <c r="E4918" s="11"/>
      <c r="F4918" s="11"/>
      <c r="G4918" s="12"/>
      <c r="H4918" s="12"/>
      <c r="I4918" s="10"/>
      <c r="J4918" s="5"/>
      <c r="K4918" s="12"/>
      <c r="L4918" s="15"/>
    </row>
    <row r="4919" spans="1:12">
      <c r="A4919" s="8"/>
      <c r="B4919" s="9"/>
      <c r="C4919" s="10"/>
      <c r="D4919" s="10"/>
      <c r="E4919" s="11"/>
      <c r="F4919" s="11"/>
      <c r="G4919" s="12"/>
      <c r="H4919" s="12"/>
      <c r="I4919" s="10"/>
      <c r="J4919" s="5"/>
      <c r="K4919" s="12"/>
      <c r="L4919" s="15"/>
    </row>
    <row r="4920" spans="1:12">
      <c r="A4920" s="8"/>
      <c r="B4920" s="9"/>
      <c r="C4920" s="10"/>
      <c r="D4920" s="10"/>
      <c r="E4920" s="11"/>
      <c r="F4920" s="11"/>
      <c r="G4920" s="12"/>
      <c r="H4920" s="12"/>
      <c r="I4920" s="10"/>
      <c r="J4920" s="5"/>
      <c r="K4920" s="9"/>
      <c r="L4920" s="15"/>
    </row>
    <row r="4921" spans="1:12">
      <c r="A4921" s="8"/>
      <c r="B4921" s="9"/>
      <c r="C4921" s="10"/>
      <c r="D4921" s="10"/>
      <c r="E4921" s="11"/>
      <c r="F4921" s="11"/>
      <c r="G4921" s="12"/>
      <c r="H4921" s="12"/>
      <c r="I4921" s="10"/>
      <c r="J4921" s="5"/>
      <c r="K4921" s="9"/>
      <c r="L4921" s="15"/>
    </row>
    <row r="4922" spans="1:12">
      <c r="A4922" s="8"/>
      <c r="B4922" s="9"/>
      <c r="C4922" s="10"/>
      <c r="D4922" s="10"/>
      <c r="E4922" s="11"/>
      <c r="F4922" s="11"/>
      <c r="G4922" s="12"/>
      <c r="H4922" s="12"/>
      <c r="I4922" s="10"/>
      <c r="J4922" s="5"/>
      <c r="K4922" s="101"/>
      <c r="L4922" s="15"/>
    </row>
    <row r="4923" spans="1:12">
      <c r="A4923" s="8"/>
      <c r="B4923" s="9"/>
      <c r="C4923" s="10"/>
      <c r="D4923" s="10"/>
      <c r="E4923" s="11"/>
      <c r="F4923" s="11"/>
      <c r="G4923" s="12"/>
      <c r="H4923" s="12"/>
      <c r="I4923" s="10"/>
      <c r="J4923" s="5"/>
      <c r="K4923" s="101"/>
      <c r="L4923" s="15"/>
    </row>
    <row r="4924" spans="1:12">
      <c r="A4924" s="8"/>
      <c r="B4924" s="9"/>
      <c r="C4924" s="10"/>
      <c r="D4924" s="10"/>
      <c r="E4924" s="11"/>
      <c r="F4924" s="11"/>
      <c r="G4924" s="12"/>
      <c r="H4924" s="12"/>
      <c r="I4924" s="10"/>
      <c r="J4924" s="5"/>
      <c r="K4924" s="101"/>
      <c r="L4924" s="15"/>
    </row>
    <row r="4925" spans="1:12">
      <c r="A4925" s="8"/>
      <c r="B4925" s="9"/>
      <c r="C4925" s="10"/>
      <c r="D4925" s="10"/>
      <c r="E4925" s="11"/>
      <c r="F4925" s="11"/>
      <c r="G4925" s="12"/>
      <c r="H4925" s="12"/>
      <c r="I4925" s="10"/>
      <c r="J4925" s="5"/>
      <c r="K4925" s="10"/>
      <c r="L4925" s="23"/>
    </row>
    <row r="4926" spans="1:12">
      <c r="A4926" s="8"/>
      <c r="B4926" s="9"/>
      <c r="C4926" s="10"/>
      <c r="D4926" s="10"/>
      <c r="E4926" s="11"/>
      <c r="F4926" s="11"/>
      <c r="G4926" s="12"/>
      <c r="H4926" s="12"/>
      <c r="I4926" s="10"/>
      <c r="J4926" s="5"/>
      <c r="K4926" s="13"/>
      <c r="L4926" s="23"/>
    </row>
    <row r="4927" spans="1:12">
      <c r="A4927" s="8"/>
      <c r="B4927" s="9"/>
      <c r="C4927" s="10"/>
      <c r="D4927" s="10"/>
      <c r="E4927" s="11"/>
      <c r="F4927" s="11"/>
      <c r="G4927" s="12"/>
      <c r="H4927" s="12"/>
      <c r="I4927" s="10"/>
      <c r="J4927" s="5"/>
      <c r="K4927" s="13"/>
      <c r="L4927" s="23"/>
    </row>
    <row r="4928" spans="1:12">
      <c r="A4928" s="8"/>
      <c r="B4928" s="9"/>
      <c r="C4928" s="10"/>
      <c r="D4928" s="10"/>
      <c r="E4928" s="11"/>
      <c r="F4928" s="11"/>
      <c r="G4928" s="12"/>
      <c r="H4928" s="12"/>
      <c r="I4928" s="10"/>
      <c r="J4928" s="5"/>
      <c r="K4928" s="10"/>
      <c r="L4928" s="23"/>
    </row>
    <row r="4929" spans="1:12">
      <c r="A4929" s="8"/>
      <c r="B4929" s="9"/>
      <c r="C4929" s="10"/>
      <c r="D4929" s="10"/>
      <c r="E4929" s="11"/>
      <c r="F4929" s="11"/>
      <c r="G4929" s="12"/>
      <c r="H4929" s="12"/>
      <c r="I4929" s="10"/>
      <c r="J4929" s="5"/>
      <c r="K4929" s="10"/>
      <c r="L4929" s="23"/>
    </row>
    <row r="4930" spans="1:12">
      <c r="A4930" s="8"/>
      <c r="B4930" s="9"/>
      <c r="C4930" s="10"/>
      <c r="D4930" s="10"/>
      <c r="E4930" s="11"/>
      <c r="F4930" s="11"/>
      <c r="G4930" s="12"/>
      <c r="H4930" s="12"/>
      <c r="I4930" s="10"/>
      <c r="J4930" s="5"/>
      <c r="K4930" s="9"/>
      <c r="L4930" s="15"/>
    </row>
    <row r="4931" spans="1:12">
      <c r="A4931" s="8"/>
      <c r="B4931" s="9"/>
      <c r="C4931" s="10"/>
      <c r="D4931" s="10"/>
      <c r="E4931" s="11"/>
      <c r="F4931" s="11"/>
      <c r="G4931" s="12"/>
      <c r="H4931" s="12"/>
      <c r="I4931" s="10"/>
      <c r="J4931" s="5"/>
      <c r="K4931" s="9"/>
      <c r="L4931" s="15"/>
    </row>
    <row r="4932" spans="1:12">
      <c r="A4932" s="8"/>
      <c r="B4932" s="9"/>
      <c r="C4932" s="10"/>
      <c r="D4932" s="10"/>
      <c r="E4932" s="22"/>
      <c r="F4932" s="22"/>
      <c r="G4932" s="12"/>
      <c r="H4932" s="10"/>
      <c r="I4932" s="10"/>
      <c r="J4932" s="5"/>
      <c r="K4932" s="12"/>
      <c r="L4932" s="15"/>
    </row>
    <row r="4933" spans="1:12">
      <c r="A4933" s="8"/>
      <c r="B4933" s="9"/>
      <c r="C4933" s="10"/>
      <c r="D4933" s="10"/>
      <c r="E4933" s="11"/>
      <c r="F4933" s="11"/>
      <c r="G4933" s="12"/>
      <c r="H4933" s="12"/>
      <c r="I4933" s="10"/>
      <c r="J4933" s="5"/>
      <c r="K4933" s="12"/>
      <c r="L4933" s="15"/>
    </row>
    <row r="4934" spans="1:12">
      <c r="A4934" s="8"/>
      <c r="B4934" s="9"/>
      <c r="C4934" s="10"/>
      <c r="D4934" s="10"/>
      <c r="E4934" s="11"/>
      <c r="F4934" s="11"/>
      <c r="G4934" s="12"/>
      <c r="H4934" s="12"/>
      <c r="I4934" s="10"/>
      <c r="J4934" s="5"/>
      <c r="K4934" s="12"/>
      <c r="L4934" s="15"/>
    </row>
    <row r="4935" spans="1:12">
      <c r="A4935" s="8"/>
      <c r="B4935" s="9"/>
      <c r="C4935" s="10"/>
      <c r="D4935" s="10"/>
      <c r="E4935" s="11"/>
      <c r="F4935" s="11"/>
      <c r="G4935" s="12"/>
      <c r="H4935" s="12"/>
      <c r="I4935" s="10"/>
      <c r="J4935" s="5"/>
      <c r="K4935" s="12"/>
      <c r="L4935" s="15"/>
    </row>
    <row r="4936" spans="1:12">
      <c r="A4936" s="8"/>
      <c r="B4936" s="9"/>
      <c r="C4936" s="10"/>
      <c r="D4936" s="10"/>
      <c r="E4936" s="11"/>
      <c r="F4936" s="11"/>
      <c r="G4936" s="12"/>
      <c r="H4936" s="12"/>
      <c r="I4936" s="10"/>
      <c r="J4936" s="5"/>
      <c r="K4936" s="12"/>
      <c r="L4936" s="15"/>
    </row>
    <row r="4937" spans="1:12">
      <c r="A4937" s="8"/>
      <c r="B4937" s="9"/>
      <c r="C4937" s="10"/>
      <c r="D4937" s="10"/>
      <c r="E4937" s="11"/>
      <c r="F4937" s="11"/>
      <c r="G4937" s="12"/>
      <c r="H4937" s="12"/>
      <c r="I4937" s="10"/>
      <c r="J4937" s="5"/>
      <c r="K4937" s="9"/>
      <c r="L4937" s="15"/>
    </row>
    <row r="4938" spans="1:12">
      <c r="A4938" s="8"/>
      <c r="B4938" s="9"/>
      <c r="C4938" s="10"/>
      <c r="D4938" s="10"/>
      <c r="E4938" s="11"/>
      <c r="F4938" s="11"/>
      <c r="G4938" s="12"/>
      <c r="H4938" s="12"/>
      <c r="I4938" s="10"/>
      <c r="J4938" s="5"/>
      <c r="K4938" s="9"/>
      <c r="L4938" s="15"/>
    </row>
    <row r="4939" spans="1:12">
      <c r="A4939" s="8"/>
      <c r="B4939" s="9"/>
      <c r="C4939" s="10"/>
      <c r="D4939" s="10"/>
      <c r="E4939" s="11"/>
      <c r="F4939" s="11"/>
      <c r="G4939" s="12"/>
      <c r="H4939" s="12"/>
      <c r="I4939" s="10"/>
      <c r="J4939" s="5"/>
      <c r="K4939" s="12"/>
      <c r="L4939" s="15"/>
    </row>
    <row r="4940" spans="1:12">
      <c r="A4940" s="8"/>
      <c r="B4940" s="9"/>
      <c r="C4940" s="10"/>
      <c r="D4940" s="10"/>
      <c r="E4940" s="11"/>
      <c r="F4940" s="11"/>
      <c r="G4940" s="12"/>
      <c r="H4940" s="12"/>
      <c r="I4940" s="10"/>
      <c r="J4940" s="5"/>
      <c r="K4940" s="12"/>
      <c r="L4940" s="15"/>
    </row>
    <row r="4941" spans="1:12">
      <c r="A4941" s="8"/>
      <c r="B4941" s="9"/>
      <c r="C4941" s="10"/>
      <c r="D4941" s="10"/>
      <c r="E4941" s="11"/>
      <c r="F4941" s="11"/>
      <c r="G4941" s="12"/>
      <c r="H4941" s="12"/>
      <c r="I4941" s="10"/>
      <c r="J4941" s="5"/>
      <c r="K4941" s="12"/>
      <c r="L4941" s="15"/>
    </row>
    <row r="4942" spans="1:12">
      <c r="A4942" s="8"/>
      <c r="B4942" s="9"/>
      <c r="C4942" s="10"/>
      <c r="D4942" s="10"/>
      <c r="E4942" s="11"/>
      <c r="F4942" s="11"/>
      <c r="G4942" s="12"/>
      <c r="H4942" s="12"/>
      <c r="I4942" s="10"/>
      <c r="J4942" s="5"/>
      <c r="K4942" s="12"/>
      <c r="L4942" s="15"/>
    </row>
    <row r="4943" spans="1:12">
      <c r="A4943" s="8"/>
      <c r="B4943" s="9"/>
      <c r="C4943" s="10"/>
      <c r="D4943" s="10"/>
      <c r="E4943" s="11"/>
      <c r="F4943" s="11"/>
      <c r="G4943" s="12"/>
      <c r="H4943" s="12"/>
      <c r="I4943" s="10"/>
      <c r="J4943" s="5"/>
      <c r="K4943" s="12"/>
      <c r="L4943" s="16"/>
    </row>
    <row r="4944" spans="1:12">
      <c r="A4944" s="8"/>
      <c r="B4944" s="9"/>
      <c r="C4944" s="10"/>
      <c r="D4944" s="10"/>
      <c r="E4944" s="11"/>
      <c r="F4944" s="11"/>
      <c r="G4944" s="12"/>
      <c r="H4944" s="12"/>
      <c r="I4944" s="10"/>
      <c r="J4944" s="5"/>
      <c r="K4944" s="12"/>
      <c r="L4944" s="16"/>
    </row>
    <row r="4945" spans="1:12">
      <c r="A4945" s="8"/>
      <c r="B4945" s="9"/>
      <c r="C4945" s="10"/>
      <c r="D4945" s="10"/>
      <c r="E4945" s="11"/>
      <c r="F4945" s="11"/>
      <c r="G4945" s="12"/>
      <c r="H4945" s="12"/>
      <c r="I4945" s="10"/>
      <c r="J4945" s="5"/>
      <c r="K4945" s="12"/>
      <c r="L4945" s="15"/>
    </row>
    <row r="4946" spans="1:12">
      <c r="A4946" s="8"/>
      <c r="B4946" s="9"/>
      <c r="C4946" s="10"/>
      <c r="D4946" s="10"/>
      <c r="E4946" s="11"/>
      <c r="F4946" s="11"/>
      <c r="G4946" s="12"/>
      <c r="H4946" s="12"/>
      <c r="I4946" s="10"/>
      <c r="J4946" s="5"/>
      <c r="K4946" s="12"/>
      <c r="L4946" s="15"/>
    </row>
    <row r="4947" spans="1:12">
      <c r="A4947" s="8"/>
      <c r="B4947" s="9"/>
      <c r="C4947" s="10"/>
      <c r="D4947" s="10"/>
      <c r="E4947" s="11"/>
      <c r="F4947" s="11"/>
      <c r="G4947" s="12"/>
      <c r="H4947" s="12"/>
      <c r="I4947" s="10"/>
      <c r="J4947" s="5"/>
      <c r="K4947" s="13"/>
      <c r="L4947" s="23"/>
    </row>
    <row r="4948" spans="1:12">
      <c r="A4948" s="8"/>
      <c r="B4948" s="9"/>
      <c r="C4948" s="10"/>
      <c r="D4948" s="10"/>
      <c r="E4948" s="11"/>
      <c r="F4948" s="11"/>
      <c r="G4948" s="12"/>
      <c r="H4948" s="12"/>
      <c r="I4948" s="10"/>
      <c r="J4948" s="5"/>
      <c r="K4948" s="12"/>
      <c r="L4948" s="15"/>
    </row>
    <row r="4949" spans="1:12">
      <c r="A4949" s="8"/>
      <c r="B4949" s="9"/>
      <c r="C4949" s="10"/>
      <c r="D4949" s="10"/>
      <c r="E4949" s="11"/>
      <c r="F4949" s="11"/>
      <c r="G4949" s="12"/>
      <c r="H4949" s="12"/>
      <c r="I4949" s="10"/>
      <c r="J4949" s="5"/>
      <c r="K4949" s="12"/>
      <c r="L4949" s="15"/>
    </row>
    <row r="4950" spans="1:12">
      <c r="A4950" s="8"/>
      <c r="B4950" s="9"/>
      <c r="C4950" s="10"/>
      <c r="D4950" s="10"/>
      <c r="E4950" s="11"/>
      <c r="F4950" s="11"/>
      <c r="G4950" s="102"/>
      <c r="H4950" s="12"/>
      <c r="I4950" s="10"/>
      <c r="J4950" s="5"/>
      <c r="K4950" s="12"/>
      <c r="L4950" s="15"/>
    </row>
    <row r="4951" spans="1:12">
      <c r="A4951" s="8"/>
      <c r="B4951" s="9"/>
      <c r="C4951" s="10"/>
      <c r="D4951" s="10"/>
      <c r="E4951" s="11"/>
      <c r="F4951" s="11"/>
      <c r="G4951" s="12"/>
      <c r="H4951" s="12"/>
      <c r="I4951" s="10"/>
      <c r="J4951" s="5"/>
      <c r="K4951" s="12"/>
      <c r="L4951" s="15"/>
    </row>
    <row r="4952" spans="1:12">
      <c r="A4952" s="8"/>
      <c r="B4952" s="9"/>
      <c r="C4952" s="10"/>
      <c r="D4952" s="10"/>
      <c r="E4952" s="11"/>
      <c r="F4952" s="11"/>
      <c r="G4952" s="12"/>
      <c r="H4952" s="12"/>
      <c r="I4952" s="10"/>
      <c r="J4952" s="5"/>
      <c r="K4952" s="12"/>
      <c r="L4952" s="15"/>
    </row>
    <row r="4953" spans="1:12">
      <c r="A4953" s="8"/>
      <c r="B4953" s="9"/>
      <c r="C4953" s="10"/>
      <c r="D4953" s="10"/>
      <c r="E4953" s="11"/>
      <c r="F4953" s="11"/>
      <c r="G4953" s="12"/>
      <c r="H4953" s="12"/>
      <c r="I4953" s="10"/>
      <c r="J4953" s="5"/>
      <c r="K4953" s="12"/>
      <c r="L4953" s="15"/>
    </row>
    <row r="4954" spans="1:12">
      <c r="A4954" s="8"/>
      <c r="B4954" s="9"/>
      <c r="C4954" s="10"/>
      <c r="D4954" s="10"/>
      <c r="E4954" s="11"/>
      <c r="F4954" s="11"/>
      <c r="G4954" s="12"/>
      <c r="H4954" s="12"/>
      <c r="I4954" s="10"/>
      <c r="J4954" s="5"/>
      <c r="K4954" s="9"/>
      <c r="L4954" s="15"/>
    </row>
    <row r="4955" spans="1:12">
      <c r="A4955" s="8"/>
      <c r="B4955" s="9"/>
      <c r="C4955" s="10"/>
      <c r="D4955" s="10"/>
      <c r="E4955" s="11"/>
      <c r="F4955" s="11"/>
      <c r="G4955" s="12"/>
      <c r="H4955" s="12"/>
      <c r="I4955" s="10"/>
      <c r="J4955" s="5"/>
      <c r="K4955" s="12"/>
      <c r="L4955" s="15"/>
    </row>
    <row r="4956" spans="1:12">
      <c r="A4956" s="8"/>
      <c r="B4956" s="9"/>
      <c r="C4956" s="10"/>
      <c r="D4956" s="10"/>
      <c r="E4956" s="22"/>
      <c r="F4956" s="22"/>
      <c r="G4956" s="12"/>
      <c r="H4956" s="10"/>
      <c r="I4956" s="10"/>
      <c r="J4956" s="5"/>
      <c r="K4956" s="12"/>
      <c r="L4956" s="15"/>
    </row>
    <row r="4957" spans="1:12">
      <c r="A4957" s="8"/>
      <c r="B4957" s="9"/>
      <c r="C4957" s="10"/>
      <c r="D4957" s="10"/>
      <c r="E4957" s="22"/>
      <c r="F4957" s="22"/>
      <c r="G4957" s="12"/>
      <c r="H4957" s="10"/>
      <c r="I4957" s="10"/>
      <c r="J4957" s="5"/>
      <c r="K4957" s="12"/>
      <c r="L4957" s="15"/>
    </row>
    <row r="4958" spans="1:12">
      <c r="A4958" s="8"/>
      <c r="B4958" s="9"/>
      <c r="C4958" s="10"/>
      <c r="D4958" s="10"/>
      <c r="E4958" s="11"/>
      <c r="F4958" s="11"/>
      <c r="G4958" s="12"/>
      <c r="H4958" s="12"/>
      <c r="I4958" s="10"/>
      <c r="J4958" s="5"/>
      <c r="K4958" s="12"/>
      <c r="L4958" s="15"/>
    </row>
    <row r="4959" spans="1:12">
      <c r="A4959" s="8"/>
      <c r="B4959" s="9"/>
      <c r="C4959" s="10"/>
      <c r="D4959" s="10"/>
      <c r="E4959" s="11"/>
      <c r="F4959" s="11"/>
      <c r="G4959" s="12"/>
      <c r="H4959" s="12"/>
      <c r="I4959" s="10"/>
      <c r="J4959" s="5"/>
      <c r="K4959" s="12"/>
      <c r="L4959" s="15"/>
    </row>
    <row r="4960" spans="1:12">
      <c r="A4960" s="8"/>
      <c r="B4960" s="9"/>
      <c r="C4960" s="10"/>
      <c r="D4960" s="10"/>
      <c r="E4960" s="11"/>
      <c r="F4960" s="11"/>
      <c r="G4960" s="12"/>
      <c r="H4960" s="12"/>
      <c r="I4960" s="10"/>
      <c r="J4960" s="5"/>
      <c r="K4960" s="12"/>
      <c r="L4960" s="15"/>
    </row>
    <row r="4961" spans="1:12">
      <c r="A4961" s="8"/>
      <c r="B4961" s="9"/>
      <c r="C4961" s="10"/>
      <c r="D4961" s="10"/>
      <c r="E4961" s="11"/>
      <c r="F4961" s="11"/>
      <c r="G4961" s="12"/>
      <c r="H4961" s="12"/>
      <c r="I4961" s="10"/>
      <c r="J4961" s="5"/>
      <c r="K4961" s="12"/>
      <c r="L4961" s="15"/>
    </row>
    <row r="4962" spans="1:12">
      <c r="A4962" s="8"/>
      <c r="B4962" s="9"/>
      <c r="C4962" s="10"/>
      <c r="D4962" s="10"/>
      <c r="E4962" s="11"/>
      <c r="F4962" s="11"/>
      <c r="G4962" s="12"/>
      <c r="H4962" s="12"/>
      <c r="I4962" s="10"/>
      <c r="J4962" s="5"/>
      <c r="K4962" s="12"/>
      <c r="L4962" s="15"/>
    </row>
    <row r="4963" spans="1:12">
      <c r="A4963" s="8"/>
      <c r="B4963" s="9"/>
      <c r="C4963" s="10"/>
      <c r="D4963" s="10"/>
      <c r="E4963" s="11"/>
      <c r="F4963" s="11"/>
      <c r="G4963" s="12"/>
      <c r="H4963" s="12"/>
      <c r="I4963" s="10"/>
      <c r="J4963" s="5"/>
      <c r="K4963" s="12"/>
      <c r="L4963" s="15"/>
    </row>
    <row r="4964" spans="1:12">
      <c r="A4964" s="8"/>
      <c r="B4964" s="9"/>
      <c r="C4964" s="10"/>
      <c r="D4964" s="10"/>
      <c r="E4964" s="11"/>
      <c r="F4964" s="11"/>
      <c r="G4964" s="12"/>
      <c r="H4964" s="12"/>
      <c r="I4964" s="10"/>
      <c r="J4964" s="5"/>
      <c r="K4964" s="12"/>
      <c r="L4964" s="15"/>
    </row>
    <row r="4965" spans="1:12">
      <c r="A4965" s="8"/>
      <c r="B4965" s="9"/>
      <c r="C4965" s="10"/>
      <c r="D4965" s="10"/>
      <c r="E4965" s="11"/>
      <c r="F4965" s="11"/>
      <c r="G4965" s="12"/>
      <c r="H4965" s="12"/>
      <c r="I4965" s="10"/>
      <c r="J4965" s="5"/>
      <c r="K4965" s="12"/>
      <c r="L4965" s="15"/>
    </row>
    <row r="4966" spans="1:12">
      <c r="A4966" s="8"/>
      <c r="B4966" s="9"/>
      <c r="C4966" s="10"/>
      <c r="D4966" s="10"/>
      <c r="E4966" s="11"/>
      <c r="F4966" s="11"/>
      <c r="G4966" s="12"/>
      <c r="H4966" s="12"/>
      <c r="I4966" s="10"/>
      <c r="J4966" s="5"/>
      <c r="K4966" s="12"/>
      <c r="L4966" s="15"/>
    </row>
    <row r="4967" spans="1:12">
      <c r="A4967" s="8"/>
      <c r="B4967" s="9"/>
      <c r="C4967" s="10"/>
      <c r="D4967" s="10"/>
      <c r="E4967" s="11"/>
      <c r="F4967" s="11"/>
      <c r="G4967" s="12"/>
      <c r="H4967" s="12"/>
      <c r="I4967" s="10"/>
      <c r="J4967" s="5"/>
      <c r="K4967" s="12"/>
      <c r="L4967" s="15"/>
    </row>
    <row r="4968" spans="1:12">
      <c r="A4968" s="291"/>
      <c r="B4968" s="71"/>
      <c r="C4968" s="65"/>
      <c r="D4968" s="65"/>
      <c r="E4968" s="70"/>
      <c r="F4968" s="70"/>
      <c r="G4968" s="71"/>
      <c r="H4968" s="71"/>
      <c r="I4968" s="65"/>
      <c r="J4968" s="292"/>
      <c r="K4968" s="71"/>
      <c r="L4968" s="293"/>
    </row>
    <row r="4969" spans="1:12">
      <c r="A4969" s="8"/>
      <c r="B4969" s="9"/>
      <c r="C4969" s="10"/>
      <c r="D4969" s="10"/>
      <c r="E4969" s="11"/>
      <c r="F4969" s="11"/>
      <c r="G4969" s="12"/>
      <c r="H4969" s="12"/>
      <c r="I4969" s="10"/>
      <c r="J4969" s="5"/>
      <c r="K4969" s="12"/>
      <c r="L4969" s="15"/>
    </row>
    <row r="4970" spans="1:12">
      <c r="A4970" s="8"/>
      <c r="B4970" s="9"/>
      <c r="C4970" s="10"/>
      <c r="D4970" s="10"/>
      <c r="E4970" s="11"/>
      <c r="F4970" s="11"/>
      <c r="G4970" s="12"/>
      <c r="H4970" s="12"/>
      <c r="I4970" s="10"/>
      <c r="J4970" s="5"/>
      <c r="K4970" s="12"/>
      <c r="L4970" s="15"/>
    </row>
    <row r="4971" spans="1:12">
      <c r="A4971" s="8"/>
      <c r="B4971" s="9"/>
      <c r="C4971" s="10"/>
      <c r="D4971" s="10"/>
      <c r="E4971" s="11"/>
      <c r="F4971" s="11"/>
      <c r="G4971" s="12"/>
      <c r="H4971" s="12"/>
      <c r="I4971" s="10"/>
      <c r="J4971" s="5"/>
      <c r="K4971" s="12"/>
      <c r="L4971" s="15"/>
    </row>
    <row r="4972" spans="1:12">
      <c r="A4972" s="8"/>
      <c r="B4972" s="9"/>
      <c r="C4972" s="10"/>
      <c r="D4972" s="10"/>
      <c r="E4972" s="11"/>
      <c r="F4972" s="11"/>
      <c r="G4972" s="12"/>
      <c r="H4972" s="12"/>
      <c r="I4972" s="10"/>
      <c r="J4972" s="5"/>
      <c r="K4972" s="12"/>
      <c r="L4972" s="15"/>
    </row>
    <row r="4973" spans="1:12">
      <c r="A4973" s="8"/>
      <c r="B4973" s="9"/>
      <c r="C4973" s="10"/>
      <c r="D4973" s="10"/>
      <c r="E4973" s="11"/>
      <c r="F4973" s="11"/>
      <c r="G4973" s="12"/>
      <c r="H4973" s="12"/>
      <c r="I4973" s="10"/>
      <c r="J4973" s="5"/>
      <c r="K4973" s="9"/>
      <c r="L4973" s="15"/>
    </row>
    <row r="4974" spans="1:12">
      <c r="A4974" s="8"/>
      <c r="B4974" s="9"/>
      <c r="C4974" s="10"/>
      <c r="D4974" s="10"/>
      <c r="E4974" s="11"/>
      <c r="F4974" s="11"/>
      <c r="G4974" s="12"/>
      <c r="H4974" s="12"/>
      <c r="I4974" s="10"/>
      <c r="J4974" s="5"/>
      <c r="K4974" s="12"/>
      <c r="L4974" s="15"/>
    </row>
    <row r="4975" spans="1:12">
      <c r="A4975" s="8"/>
      <c r="B4975" s="9"/>
      <c r="C4975" s="10"/>
      <c r="D4975" s="10"/>
      <c r="E4975" s="11"/>
      <c r="F4975" s="11"/>
      <c r="G4975" s="12"/>
      <c r="H4975" s="12"/>
      <c r="I4975" s="10"/>
      <c r="J4975" s="5"/>
      <c r="K4975" s="12"/>
      <c r="L4975" s="15"/>
    </row>
    <row r="4976" spans="1:12">
      <c r="A4976" s="8"/>
      <c r="B4976" s="9"/>
      <c r="C4976" s="10"/>
      <c r="D4976" s="10"/>
      <c r="E4976" s="11"/>
      <c r="F4976" s="11"/>
      <c r="G4976" s="12"/>
      <c r="H4976" s="12"/>
      <c r="I4976" s="10"/>
      <c r="J4976" s="5"/>
      <c r="K4976" s="9"/>
      <c r="L4976" s="15"/>
    </row>
    <row r="4977" spans="1:12">
      <c r="A4977" s="8"/>
      <c r="B4977" s="9"/>
      <c r="C4977" s="10"/>
      <c r="D4977" s="10"/>
      <c r="E4977" s="32"/>
      <c r="F4977" s="32"/>
      <c r="G4977" s="12"/>
      <c r="H4977" s="10"/>
      <c r="I4977" s="10"/>
      <c r="J4977" s="5"/>
      <c r="K4977" s="12"/>
      <c r="L4977" s="15"/>
    </row>
    <row r="4978" spans="1:12">
      <c r="A4978" s="8"/>
      <c r="B4978" s="9"/>
      <c r="C4978" s="10"/>
      <c r="D4978" s="10"/>
      <c r="E4978" s="11"/>
      <c r="F4978" s="11"/>
      <c r="G4978" s="12"/>
      <c r="H4978" s="12"/>
      <c r="I4978" s="10"/>
      <c r="J4978" s="5"/>
      <c r="K4978" s="10"/>
      <c r="L4978" s="23"/>
    </row>
    <row r="4979" spans="1:12">
      <c r="A4979" s="8"/>
      <c r="B4979" s="9"/>
      <c r="C4979" s="10"/>
      <c r="D4979" s="10"/>
      <c r="E4979" s="11"/>
      <c r="F4979" s="11"/>
      <c r="G4979" s="12"/>
      <c r="H4979" s="12"/>
      <c r="I4979" s="10"/>
      <c r="J4979" s="5"/>
      <c r="K4979" s="97"/>
      <c r="L4979" s="15"/>
    </row>
    <row r="4980" spans="1:12">
      <c r="A4980" s="8"/>
      <c r="B4980" s="9"/>
      <c r="C4980" s="10"/>
      <c r="D4980" s="10"/>
      <c r="E4980" s="11"/>
      <c r="F4980" s="11"/>
      <c r="G4980" s="12"/>
      <c r="H4980" s="12"/>
      <c r="I4980" s="10"/>
      <c r="J4980" s="5"/>
      <c r="K4980" s="97"/>
      <c r="L4980" s="15"/>
    </row>
    <row r="4981" spans="1:12">
      <c r="A4981" s="8"/>
      <c r="B4981" s="9"/>
      <c r="C4981" s="10"/>
      <c r="D4981" s="10"/>
      <c r="E4981" s="11"/>
      <c r="F4981" s="11"/>
      <c r="G4981" s="12"/>
      <c r="H4981" s="12"/>
      <c r="I4981" s="10"/>
      <c r="J4981" s="5"/>
      <c r="K4981" s="97"/>
      <c r="L4981" s="15"/>
    </row>
    <row r="4982" spans="1:12">
      <c r="A4982" s="8"/>
      <c r="B4982" s="9"/>
      <c r="C4982" s="10"/>
      <c r="D4982" s="10"/>
      <c r="E4982" s="11"/>
      <c r="F4982" s="11"/>
      <c r="G4982" s="12"/>
      <c r="H4982" s="12"/>
      <c r="I4982" s="10"/>
      <c r="J4982" s="5"/>
      <c r="K4982" s="12"/>
      <c r="L4982" s="15"/>
    </row>
    <row r="4983" spans="1:12">
      <c r="A4983" s="8"/>
      <c r="B4983" s="9"/>
      <c r="C4983" s="10"/>
      <c r="D4983" s="10"/>
      <c r="E4983" s="11"/>
      <c r="F4983" s="11"/>
      <c r="G4983" s="12"/>
      <c r="H4983" s="12"/>
      <c r="I4983" s="10"/>
      <c r="J4983" s="5"/>
      <c r="K4983" s="9"/>
      <c r="L4983" s="15"/>
    </row>
    <row r="4984" spans="1:12">
      <c r="A4984" s="8"/>
      <c r="B4984" s="9"/>
      <c r="C4984" s="10"/>
      <c r="D4984" s="10"/>
      <c r="E4984" s="11"/>
      <c r="F4984" s="11"/>
      <c r="G4984" s="12"/>
      <c r="H4984" s="12"/>
      <c r="I4984" s="10"/>
      <c r="J4984" s="5"/>
      <c r="K4984" s="9"/>
      <c r="L4984" s="15"/>
    </row>
    <row r="4985" spans="1:12">
      <c r="A4985" s="8"/>
      <c r="B4985" s="9"/>
      <c r="C4985" s="10"/>
      <c r="D4985" s="10"/>
      <c r="E4985" s="11"/>
      <c r="F4985" s="11"/>
      <c r="G4985" s="12"/>
      <c r="H4985" s="12"/>
      <c r="I4985" s="10"/>
      <c r="J4985" s="5"/>
      <c r="K4985" s="12"/>
      <c r="L4985" s="15"/>
    </row>
    <row r="4986" spans="1:12">
      <c r="A4986" s="8"/>
      <c r="B4986" s="9"/>
      <c r="C4986" s="10"/>
      <c r="D4986" s="10"/>
      <c r="E4986" s="11"/>
      <c r="F4986" s="11"/>
      <c r="G4986" s="12"/>
      <c r="H4986" s="12"/>
      <c r="I4986" s="10"/>
      <c r="J4986" s="5"/>
      <c r="K4986" s="12"/>
      <c r="L4986" s="15"/>
    </row>
    <row r="4987" spans="1:12">
      <c r="A4987" s="8"/>
      <c r="B4987" s="9"/>
      <c r="C4987" s="10"/>
      <c r="D4987" s="10"/>
      <c r="E4987" s="11"/>
      <c r="F4987" s="11"/>
      <c r="G4987" s="12"/>
      <c r="H4987" s="12"/>
      <c r="I4987" s="10"/>
      <c r="J4987" s="5"/>
      <c r="K4987" s="12"/>
      <c r="L4987" s="15"/>
    </row>
    <row r="4988" spans="1:12">
      <c r="A4988" s="8"/>
      <c r="B4988" s="9"/>
      <c r="C4988" s="10"/>
      <c r="D4988" s="10"/>
      <c r="E4988" s="11"/>
      <c r="F4988" s="11"/>
      <c r="G4988" s="12"/>
      <c r="H4988" s="12"/>
      <c r="I4988" s="10"/>
      <c r="J4988" s="5"/>
      <c r="K4988" s="12"/>
      <c r="L4988" s="15"/>
    </row>
    <row r="4989" spans="1:12">
      <c r="A4989" s="8"/>
      <c r="B4989" s="9"/>
      <c r="C4989" s="10"/>
      <c r="D4989" s="10"/>
      <c r="E4989" s="22"/>
      <c r="F4989" s="22"/>
      <c r="G4989" s="12"/>
      <c r="H4989" s="10"/>
      <c r="I4989" s="10"/>
      <c r="J4989" s="5"/>
      <c r="K4989" s="12"/>
      <c r="L4989" s="15"/>
    </row>
    <row r="4990" spans="1:12">
      <c r="A4990" s="8"/>
      <c r="B4990" s="9"/>
      <c r="C4990" s="10"/>
      <c r="D4990" s="10"/>
      <c r="E4990" s="22"/>
      <c r="F4990" s="22"/>
      <c r="G4990" s="12"/>
      <c r="H4990" s="10"/>
      <c r="I4990" s="10"/>
      <c r="J4990" s="5"/>
      <c r="K4990" s="9"/>
      <c r="L4990" s="15"/>
    </row>
    <row r="4991" spans="1:12">
      <c r="A4991" s="8"/>
      <c r="B4991" s="9"/>
      <c r="C4991" s="10"/>
      <c r="D4991" s="10"/>
      <c r="E4991" s="11"/>
      <c r="F4991" s="11"/>
      <c r="G4991" s="12"/>
      <c r="H4991" s="12"/>
      <c r="I4991" s="10"/>
      <c r="J4991" s="5"/>
      <c r="K4991" s="12"/>
      <c r="L4991" s="15"/>
    </row>
    <row r="4992" spans="1:12">
      <c r="A4992" s="8"/>
      <c r="B4992" s="9"/>
      <c r="C4992" s="10"/>
      <c r="D4992" s="10"/>
      <c r="E4992" s="11"/>
      <c r="F4992" s="11"/>
      <c r="G4992" s="12"/>
      <c r="H4992" s="12"/>
      <c r="I4992" s="10"/>
      <c r="J4992" s="5"/>
      <c r="K4992" s="10"/>
      <c r="L4992" s="23"/>
    </row>
    <row r="4993" spans="1:12">
      <c r="A4993" s="8"/>
      <c r="B4993" s="9"/>
      <c r="C4993" s="10"/>
      <c r="D4993" s="10"/>
      <c r="E4993" s="11"/>
      <c r="F4993" s="11"/>
      <c r="G4993" s="12"/>
      <c r="H4993" s="12"/>
      <c r="I4993" s="10"/>
      <c r="J4993" s="5"/>
      <c r="K4993" s="10"/>
      <c r="L4993" s="23"/>
    </row>
    <row r="4994" spans="1:12">
      <c r="A4994" s="8"/>
      <c r="B4994" s="9"/>
      <c r="C4994" s="10"/>
      <c r="D4994" s="10"/>
      <c r="E4994" s="11"/>
      <c r="F4994" s="11"/>
      <c r="G4994" s="12"/>
      <c r="H4994" s="12"/>
      <c r="I4994" s="10"/>
      <c r="J4994" s="5"/>
      <c r="K4994" s="10"/>
      <c r="L4994" s="23"/>
    </row>
    <row r="4995" spans="1:12">
      <c r="A4995" s="8"/>
      <c r="B4995" s="9"/>
      <c r="C4995" s="10"/>
      <c r="D4995" s="10"/>
      <c r="E4995" s="11"/>
      <c r="F4995" s="11"/>
      <c r="G4995" s="12"/>
      <c r="H4995" s="12"/>
      <c r="I4995" s="10"/>
      <c r="J4995" s="5"/>
      <c r="K4995" s="10"/>
      <c r="L4995" s="23"/>
    </row>
    <row r="4996" spans="1:12">
      <c r="A4996" s="8"/>
      <c r="B4996" s="9"/>
      <c r="C4996" s="10"/>
      <c r="D4996" s="10"/>
      <c r="E4996" s="11"/>
      <c r="F4996" s="11"/>
      <c r="G4996" s="12"/>
      <c r="H4996" s="12"/>
      <c r="I4996" s="10"/>
      <c r="J4996" s="5"/>
      <c r="K4996" s="10"/>
      <c r="L4996" s="23"/>
    </row>
    <row r="4997" spans="1:12">
      <c r="A4997" s="8"/>
      <c r="B4997" s="9"/>
      <c r="C4997" s="10"/>
      <c r="D4997" s="10"/>
      <c r="E4997" s="25"/>
      <c r="F4997" s="25"/>
      <c r="G4997" s="12"/>
      <c r="H4997" s="26"/>
      <c r="I4997" s="10"/>
      <c r="J4997" s="5"/>
      <c r="K4997" s="13"/>
      <c r="L4997" s="23"/>
    </row>
    <row r="4998" spans="1:12">
      <c r="A4998" s="8"/>
      <c r="B4998" s="9"/>
      <c r="C4998" s="10"/>
      <c r="D4998" s="10"/>
      <c r="E4998" s="11"/>
      <c r="F4998" s="11"/>
      <c r="G4998" s="12"/>
      <c r="H4998" s="12"/>
      <c r="I4998" s="10"/>
      <c r="J4998" s="5"/>
      <c r="K4998" s="13"/>
      <c r="L4998" s="23"/>
    </row>
    <row r="4999" spans="1:12">
      <c r="A4999" s="8"/>
      <c r="B4999" s="9"/>
      <c r="C4999" s="10"/>
      <c r="D4999" s="10"/>
      <c r="E4999" s="11"/>
      <c r="F4999" s="11"/>
      <c r="G4999" s="12"/>
      <c r="H4999" s="12"/>
      <c r="I4999" s="10"/>
      <c r="J4999" s="5"/>
      <c r="K4999" s="13"/>
      <c r="L4999" s="23"/>
    </row>
    <row r="5000" spans="1:12">
      <c r="A5000" s="8"/>
      <c r="B5000" s="9"/>
      <c r="C5000" s="10"/>
      <c r="D5000" s="10"/>
      <c r="E5000" s="11"/>
      <c r="F5000" s="11"/>
      <c r="G5000" s="12"/>
      <c r="H5000" s="12"/>
      <c r="I5000" s="10"/>
      <c r="J5000" s="5"/>
      <c r="K5000" s="13"/>
      <c r="L5000" s="23"/>
    </row>
    <row r="5001" spans="1:12">
      <c r="A5001" s="8"/>
      <c r="B5001" s="9"/>
      <c r="C5001" s="10"/>
      <c r="D5001" s="10"/>
      <c r="E5001" s="11"/>
      <c r="F5001" s="11"/>
      <c r="G5001" s="12"/>
      <c r="H5001" s="12"/>
      <c r="I5001" s="10"/>
      <c r="J5001" s="5"/>
      <c r="K5001" s="10"/>
      <c r="L5001" s="23"/>
    </row>
    <row r="5002" spans="1:12">
      <c r="A5002" s="8"/>
      <c r="B5002" s="9"/>
      <c r="C5002" s="10"/>
      <c r="D5002" s="10"/>
      <c r="E5002" s="11"/>
      <c r="F5002" s="11"/>
      <c r="G5002" s="12"/>
      <c r="H5002" s="12"/>
      <c r="I5002" s="10"/>
      <c r="J5002" s="5"/>
      <c r="K5002" s="10"/>
      <c r="L5002" s="23"/>
    </row>
    <row r="5003" spans="1:12">
      <c r="A5003" s="8"/>
      <c r="B5003" s="9"/>
      <c r="C5003" s="10"/>
      <c r="D5003" s="10"/>
      <c r="E5003" s="25"/>
      <c r="F5003" s="25"/>
      <c r="G5003" s="12"/>
      <c r="H5003" s="26"/>
      <c r="I5003" s="10"/>
      <c r="J5003" s="5"/>
      <c r="K5003" s="10"/>
      <c r="L5003" s="23"/>
    </row>
    <row r="5004" spans="1:12">
      <c r="A5004" s="8"/>
      <c r="B5004" s="9"/>
      <c r="C5004" s="10"/>
      <c r="D5004" s="10"/>
      <c r="E5004" s="32"/>
      <c r="F5004" s="32"/>
      <c r="G5004" s="12"/>
      <c r="H5004" s="13"/>
      <c r="I5004" s="10"/>
      <c r="J5004" s="5"/>
      <c r="K5004" s="13"/>
      <c r="L5004" s="31"/>
    </row>
    <row r="5005" spans="1:12">
      <c r="A5005" s="8"/>
      <c r="B5005" s="9"/>
      <c r="C5005" s="10"/>
      <c r="D5005" s="10"/>
      <c r="E5005" s="11"/>
      <c r="F5005" s="11"/>
      <c r="G5005" s="12"/>
      <c r="H5005" s="12"/>
      <c r="I5005" s="10"/>
      <c r="J5005" s="5"/>
      <c r="K5005" s="9"/>
      <c r="L5005" s="15"/>
    </row>
    <row r="5006" spans="1:12">
      <c r="A5006" s="8"/>
      <c r="B5006" s="9"/>
      <c r="C5006" s="10"/>
      <c r="D5006" s="10"/>
      <c r="E5006" s="11"/>
      <c r="F5006" s="11"/>
      <c r="G5006" s="12"/>
      <c r="H5006" s="12"/>
      <c r="I5006" s="10"/>
      <c r="J5006" s="5"/>
      <c r="K5006" s="9"/>
      <c r="L5006" s="15"/>
    </row>
    <row r="5007" spans="1:12">
      <c r="A5007" s="8"/>
      <c r="B5007" s="9"/>
      <c r="C5007" s="10"/>
      <c r="D5007" s="10"/>
      <c r="E5007" s="11"/>
      <c r="F5007" s="11"/>
      <c r="G5007" s="12"/>
      <c r="H5007" s="12"/>
      <c r="I5007" s="10"/>
      <c r="J5007" s="5"/>
      <c r="K5007" s="12"/>
      <c r="L5007" s="15"/>
    </row>
    <row r="5008" spans="1:12">
      <c r="A5008" s="8"/>
      <c r="B5008" s="9"/>
      <c r="C5008" s="65"/>
      <c r="D5008" s="10"/>
      <c r="E5008" s="34"/>
      <c r="F5008" s="34"/>
      <c r="G5008" s="12"/>
      <c r="H5008" s="35"/>
      <c r="I5008" s="10"/>
      <c r="J5008" s="5"/>
      <c r="K5008" s="35"/>
      <c r="L5008" s="66"/>
    </row>
    <row r="5009" spans="1:12">
      <c r="A5009" s="8"/>
      <c r="B5009" s="9"/>
      <c r="C5009" s="10"/>
      <c r="D5009" s="10"/>
      <c r="E5009" s="11"/>
      <c r="F5009" s="11"/>
      <c r="G5009" s="12"/>
      <c r="H5009" s="12"/>
      <c r="I5009" s="10"/>
      <c r="J5009" s="5"/>
      <c r="K5009" s="12"/>
      <c r="L5009" s="15"/>
    </row>
    <row r="5010" spans="1:12">
      <c r="A5010" s="8"/>
      <c r="B5010" s="9"/>
      <c r="C5010" s="10"/>
      <c r="D5010" s="10"/>
      <c r="E5010" s="11"/>
      <c r="F5010" s="11"/>
      <c r="G5010" s="12"/>
      <c r="H5010" s="12"/>
      <c r="I5010" s="10"/>
      <c r="J5010" s="5"/>
      <c r="K5010" s="12"/>
      <c r="L5010" s="15"/>
    </row>
    <row r="5011" spans="1:12">
      <c r="A5011" s="8"/>
      <c r="B5011" s="9"/>
      <c r="C5011" s="10"/>
      <c r="D5011" s="10"/>
      <c r="E5011" s="32"/>
      <c r="F5011" s="32"/>
      <c r="G5011" s="12"/>
      <c r="H5011" s="13"/>
      <c r="I5011" s="10"/>
      <c r="J5011" s="5"/>
      <c r="K5011" s="13"/>
      <c r="L5011" s="31"/>
    </row>
    <row r="5012" spans="1:12">
      <c r="A5012" s="8"/>
      <c r="B5012" s="9"/>
      <c r="C5012" s="10"/>
      <c r="D5012" s="10"/>
      <c r="E5012" s="32"/>
      <c r="F5012" s="32"/>
      <c r="G5012" s="12"/>
      <c r="H5012" s="13"/>
      <c r="I5012" s="10"/>
      <c r="J5012" s="5"/>
      <c r="K5012" s="13"/>
      <c r="L5012" s="31"/>
    </row>
    <row r="5013" spans="1:12">
      <c r="A5013" s="8"/>
      <c r="B5013" s="9"/>
      <c r="C5013" s="13"/>
      <c r="D5013" s="10"/>
      <c r="E5013" s="32"/>
      <c r="F5013" s="32"/>
      <c r="G5013" s="12"/>
      <c r="H5013" s="13"/>
      <c r="I5013" s="10"/>
      <c r="J5013" s="5"/>
      <c r="K5013" s="13"/>
      <c r="L5013" s="31"/>
    </row>
    <row r="5014" spans="1:12">
      <c r="A5014" s="8"/>
      <c r="B5014" s="9"/>
      <c r="C5014" s="10"/>
      <c r="D5014" s="10"/>
      <c r="E5014" s="32"/>
      <c r="F5014" s="32"/>
      <c r="G5014" s="12"/>
      <c r="H5014" s="13"/>
      <c r="I5014" s="10"/>
      <c r="J5014" s="5"/>
      <c r="K5014" s="13"/>
      <c r="L5014" s="31"/>
    </row>
    <row r="5015" spans="1:12">
      <c r="A5015" s="8"/>
      <c r="B5015" s="9"/>
      <c r="C5015" s="13"/>
      <c r="D5015" s="10"/>
      <c r="E5015" s="32"/>
      <c r="F5015" s="32"/>
      <c r="G5015" s="12"/>
      <c r="H5015" s="13"/>
      <c r="I5015" s="10"/>
      <c r="J5015" s="5"/>
      <c r="K5015" s="13"/>
      <c r="L5015" s="31"/>
    </row>
    <row r="5016" spans="1:12">
      <c r="A5016" s="8"/>
      <c r="B5016" s="9"/>
      <c r="C5016" s="10"/>
      <c r="D5016" s="10"/>
      <c r="E5016" s="32"/>
      <c r="F5016" s="32"/>
      <c r="G5016" s="12"/>
      <c r="H5016" s="13"/>
      <c r="I5016" s="10"/>
      <c r="J5016" s="5"/>
      <c r="K5016" s="13"/>
      <c r="L5016" s="31"/>
    </row>
    <row r="5017" spans="1:12">
      <c r="A5017" s="8"/>
      <c r="B5017" s="9"/>
      <c r="C5017" s="10"/>
      <c r="D5017" s="10"/>
      <c r="E5017" s="32"/>
      <c r="F5017" s="32"/>
      <c r="G5017" s="12"/>
      <c r="H5017" s="13"/>
      <c r="I5017" s="10"/>
      <c r="J5017" s="5"/>
      <c r="K5017" s="13"/>
      <c r="L5017" s="31"/>
    </row>
    <row r="5018" spans="1:12">
      <c r="A5018" s="8"/>
      <c r="B5018" s="9"/>
      <c r="C5018" s="10"/>
      <c r="D5018" s="10"/>
      <c r="E5018" s="25"/>
      <c r="F5018" s="25"/>
      <c r="G5018" s="12"/>
      <c r="H5018" s="26"/>
      <c r="I5018" s="10"/>
      <c r="J5018" s="5"/>
      <c r="K5018" s="9"/>
      <c r="L5018" s="15"/>
    </row>
    <row r="5019" spans="1:12">
      <c r="A5019" s="8"/>
      <c r="B5019" s="9"/>
      <c r="C5019" s="10"/>
      <c r="D5019" s="10"/>
      <c r="E5019" s="25"/>
      <c r="F5019" s="25"/>
      <c r="G5019" s="12"/>
      <c r="H5019" s="26"/>
      <c r="I5019" s="10"/>
      <c r="J5019" s="5"/>
      <c r="K5019" s="9"/>
      <c r="L5019" s="15"/>
    </row>
    <row r="5020" spans="1:12">
      <c r="A5020" s="8"/>
      <c r="B5020" s="9"/>
      <c r="C5020" s="10"/>
      <c r="D5020" s="10"/>
      <c r="E5020" s="25"/>
      <c r="F5020" s="25"/>
      <c r="G5020" s="12"/>
      <c r="H5020" s="26"/>
      <c r="I5020" s="10"/>
      <c r="J5020" s="5"/>
      <c r="K5020" s="9"/>
      <c r="L5020" s="15"/>
    </row>
    <row r="5021" spans="1:12">
      <c r="A5021" s="8"/>
      <c r="B5021" s="9"/>
      <c r="C5021" s="10"/>
      <c r="D5021" s="10"/>
      <c r="E5021" s="25"/>
      <c r="F5021" s="25"/>
      <c r="G5021" s="12"/>
      <c r="H5021" s="26"/>
      <c r="I5021" s="10"/>
      <c r="J5021" s="5"/>
      <c r="K5021" s="9"/>
      <c r="L5021" s="15"/>
    </row>
    <row r="5022" spans="1:12">
      <c r="A5022" s="8"/>
      <c r="B5022" s="9"/>
      <c r="C5022" s="10"/>
      <c r="D5022" s="10"/>
      <c r="E5022" s="25"/>
      <c r="F5022" s="25"/>
      <c r="G5022" s="12"/>
      <c r="H5022" s="26"/>
      <c r="I5022" s="10"/>
      <c r="J5022" s="5"/>
      <c r="K5022" s="9"/>
      <c r="L5022" s="15"/>
    </row>
    <row r="5023" spans="1:12">
      <c r="A5023" s="8"/>
      <c r="B5023" s="9"/>
      <c r="C5023" s="10"/>
      <c r="D5023" s="10"/>
      <c r="E5023" s="25"/>
      <c r="F5023" s="25"/>
      <c r="G5023" s="12"/>
      <c r="H5023" s="26"/>
      <c r="I5023" s="10"/>
      <c r="J5023" s="5"/>
      <c r="K5023" s="9"/>
      <c r="L5023" s="15"/>
    </row>
    <row r="5024" spans="1:12">
      <c r="A5024" s="8"/>
      <c r="B5024" s="9"/>
      <c r="C5024" s="10"/>
      <c r="D5024" s="10"/>
      <c r="E5024" s="25"/>
      <c r="F5024" s="25"/>
      <c r="G5024" s="12"/>
      <c r="H5024" s="26"/>
      <c r="I5024" s="10"/>
      <c r="J5024" s="5"/>
      <c r="K5024" s="9"/>
      <c r="L5024" s="15"/>
    </row>
    <row r="5025" spans="1:12">
      <c r="A5025" s="8"/>
      <c r="B5025" s="9"/>
      <c r="C5025" s="10"/>
      <c r="D5025" s="10"/>
      <c r="E5025" s="25"/>
      <c r="F5025" s="25"/>
      <c r="G5025" s="12"/>
      <c r="H5025" s="26"/>
      <c r="I5025" s="10"/>
      <c r="J5025" s="5"/>
      <c r="K5025" s="9"/>
      <c r="L5025" s="15"/>
    </row>
    <row r="5026" spans="1:12">
      <c r="A5026" s="8"/>
      <c r="B5026" s="9"/>
      <c r="C5026" s="10"/>
      <c r="D5026" s="10"/>
      <c r="E5026" s="32"/>
      <c r="F5026" s="32"/>
      <c r="G5026" s="12"/>
      <c r="H5026" s="13"/>
      <c r="I5026" s="10"/>
      <c r="J5026" s="5"/>
      <c r="K5026" s="13"/>
      <c r="L5026" s="31"/>
    </row>
    <row r="5027" spans="1:12">
      <c r="A5027" s="8"/>
      <c r="B5027" s="9"/>
      <c r="C5027" s="10"/>
      <c r="D5027" s="10"/>
      <c r="E5027" s="32"/>
      <c r="F5027" s="32"/>
      <c r="G5027" s="12"/>
      <c r="H5027" s="13"/>
      <c r="I5027" s="10"/>
      <c r="J5027" s="5"/>
      <c r="K5027" s="13"/>
      <c r="L5027" s="31"/>
    </row>
    <row r="5028" spans="1:12">
      <c r="A5028" s="8"/>
      <c r="B5028" s="9"/>
      <c r="C5028" s="10"/>
      <c r="D5028" s="10"/>
      <c r="E5028" s="25"/>
      <c r="F5028" s="25"/>
      <c r="G5028" s="12"/>
      <c r="H5028" s="26"/>
      <c r="I5028" s="10"/>
      <c r="J5028" s="5"/>
      <c r="K5028" s="9"/>
      <c r="L5028" s="15"/>
    </row>
    <row r="5029" spans="1:12">
      <c r="A5029" s="8"/>
      <c r="B5029" s="9"/>
      <c r="C5029" s="10"/>
      <c r="D5029" s="10"/>
      <c r="E5029" s="11"/>
      <c r="F5029" s="11"/>
      <c r="G5029" s="12"/>
      <c r="H5029" s="12"/>
      <c r="I5029" s="10"/>
      <c r="J5029" s="5"/>
      <c r="K5029" s="10"/>
      <c r="L5029" s="23"/>
    </row>
    <row r="5030" spans="1:12">
      <c r="A5030" s="8"/>
      <c r="B5030" s="9"/>
      <c r="C5030" s="10"/>
      <c r="D5030" s="10"/>
      <c r="E5030" s="11"/>
      <c r="F5030" s="11"/>
      <c r="G5030" s="12"/>
      <c r="H5030" s="12"/>
      <c r="I5030" s="10"/>
      <c r="J5030" s="5"/>
      <c r="K5030" s="10"/>
      <c r="L5030" s="23"/>
    </row>
    <row r="5031" spans="1:12">
      <c r="A5031" s="8"/>
      <c r="B5031" s="9"/>
      <c r="C5031" s="10"/>
      <c r="D5031" s="10"/>
      <c r="E5031" s="11"/>
      <c r="F5031" s="11"/>
      <c r="G5031" s="12"/>
      <c r="H5031" s="12"/>
      <c r="I5031" s="10"/>
      <c r="J5031" s="5"/>
      <c r="K5031" s="10"/>
      <c r="L5031" s="23"/>
    </row>
    <row r="5032" spans="1:12">
      <c r="A5032" s="8"/>
      <c r="B5032" s="9"/>
      <c r="C5032" s="10"/>
      <c r="D5032" s="10"/>
      <c r="E5032" s="11"/>
      <c r="F5032" s="11"/>
      <c r="G5032" s="12"/>
      <c r="H5032" s="12"/>
      <c r="I5032" s="10"/>
      <c r="J5032" s="5"/>
      <c r="K5032" s="13"/>
      <c r="L5032" s="23"/>
    </row>
    <row r="5033" spans="1:12">
      <c r="A5033" s="8"/>
      <c r="B5033" s="9"/>
      <c r="C5033" s="10"/>
      <c r="D5033" s="10"/>
      <c r="E5033" s="11"/>
      <c r="F5033" s="11"/>
      <c r="G5033" s="12"/>
      <c r="H5033" s="12"/>
      <c r="I5033" s="10"/>
      <c r="J5033" s="5"/>
      <c r="K5033" s="10"/>
      <c r="L5033" s="23"/>
    </row>
    <row r="5034" spans="1:12">
      <c r="A5034" s="8"/>
      <c r="B5034" s="9"/>
      <c r="C5034" s="10"/>
      <c r="D5034" s="10"/>
      <c r="E5034" s="11"/>
      <c r="F5034" s="11"/>
      <c r="G5034" s="12"/>
      <c r="H5034" s="12"/>
      <c r="I5034" s="10"/>
      <c r="J5034" s="5"/>
      <c r="K5034" s="10"/>
      <c r="L5034" s="23"/>
    </row>
    <row r="5035" spans="1:12">
      <c r="A5035" s="8"/>
      <c r="B5035" s="9"/>
      <c r="C5035" s="10"/>
      <c r="D5035" s="10"/>
      <c r="E5035" s="11"/>
      <c r="F5035" s="11"/>
      <c r="G5035" s="12"/>
      <c r="H5035" s="12"/>
      <c r="I5035" s="10"/>
      <c r="J5035" s="5"/>
      <c r="K5035" s="26"/>
      <c r="L5035" s="15"/>
    </row>
    <row r="5036" spans="1:12">
      <c r="A5036" s="8"/>
      <c r="B5036" s="9"/>
      <c r="C5036" s="10"/>
      <c r="D5036" s="10"/>
      <c r="E5036" s="11"/>
      <c r="F5036" s="11"/>
      <c r="G5036" s="12"/>
      <c r="H5036" s="12"/>
      <c r="I5036" s="10"/>
      <c r="J5036" s="5"/>
      <c r="K5036" s="26"/>
      <c r="L5036" s="15"/>
    </row>
    <row r="5037" spans="1:12">
      <c r="A5037" s="8"/>
      <c r="B5037" s="9"/>
      <c r="C5037" s="10"/>
      <c r="D5037" s="10"/>
      <c r="E5037" s="11"/>
      <c r="F5037" s="11"/>
      <c r="G5037" s="12"/>
      <c r="H5037" s="12"/>
      <c r="I5037" s="10"/>
      <c r="J5037" s="5"/>
      <c r="K5037" s="10"/>
      <c r="L5037" s="23"/>
    </row>
    <row r="5038" spans="1:12">
      <c r="A5038" s="8"/>
      <c r="B5038" s="9"/>
      <c r="C5038" s="10"/>
      <c r="D5038" s="10"/>
      <c r="E5038" s="11"/>
      <c r="F5038" s="11"/>
      <c r="G5038" s="12"/>
      <c r="H5038" s="12"/>
      <c r="I5038" s="10"/>
      <c r="J5038" s="5"/>
      <c r="K5038" s="13"/>
      <c r="L5038" s="23"/>
    </row>
    <row r="5039" spans="1:12">
      <c r="A5039" s="8"/>
      <c r="B5039" s="9"/>
      <c r="C5039" s="10"/>
      <c r="D5039" s="10"/>
      <c r="E5039" s="11"/>
      <c r="F5039" s="11"/>
      <c r="G5039" s="12"/>
      <c r="H5039" s="12"/>
      <c r="I5039" s="10"/>
      <c r="J5039" s="5"/>
      <c r="K5039" s="10"/>
      <c r="L5039" s="23"/>
    </row>
    <row r="5040" spans="1:12">
      <c r="A5040" s="8"/>
      <c r="B5040" s="9"/>
      <c r="C5040" s="10"/>
      <c r="D5040" s="10"/>
      <c r="E5040" s="11"/>
      <c r="F5040" s="11"/>
      <c r="G5040" s="12"/>
      <c r="H5040" s="12"/>
      <c r="I5040" s="10"/>
      <c r="J5040" s="5"/>
      <c r="K5040" s="10"/>
      <c r="L5040" s="23"/>
    </row>
    <row r="5041" spans="1:12">
      <c r="A5041" s="8"/>
      <c r="B5041" s="9"/>
      <c r="C5041" s="10"/>
      <c r="D5041" s="10"/>
      <c r="E5041" s="11"/>
      <c r="F5041" s="11"/>
      <c r="G5041" s="12"/>
      <c r="H5041" s="12"/>
      <c r="I5041" s="10"/>
      <c r="J5041" s="5"/>
      <c r="K5041" s="12"/>
      <c r="L5041" s="15"/>
    </row>
    <row r="5042" spans="1:12">
      <c r="A5042" s="8"/>
      <c r="B5042" s="9"/>
      <c r="C5042" s="10"/>
      <c r="D5042" s="10"/>
      <c r="E5042" s="11"/>
      <c r="F5042" s="11"/>
      <c r="G5042" s="12"/>
      <c r="H5042" s="12"/>
      <c r="I5042" s="10"/>
      <c r="J5042" s="5"/>
      <c r="K5042" s="12"/>
      <c r="L5042" s="15"/>
    </row>
    <row r="5043" spans="1:12">
      <c r="A5043" s="8"/>
      <c r="B5043" s="9"/>
      <c r="C5043" s="10"/>
      <c r="D5043" s="10"/>
      <c r="E5043" s="11"/>
      <c r="F5043" s="11"/>
      <c r="G5043" s="12"/>
      <c r="H5043" s="12"/>
      <c r="I5043" s="10"/>
      <c r="J5043" s="5"/>
      <c r="K5043" s="12"/>
      <c r="L5043" s="15"/>
    </row>
    <row r="5044" spans="1:12">
      <c r="A5044" s="8"/>
      <c r="B5044" s="9"/>
      <c r="C5044" s="10"/>
      <c r="D5044" s="10"/>
      <c r="E5044" s="11"/>
      <c r="F5044" s="11"/>
      <c r="G5044" s="12"/>
      <c r="H5044" s="12"/>
      <c r="I5044" s="10"/>
      <c r="J5044" s="5"/>
      <c r="K5044" s="12"/>
      <c r="L5044" s="15"/>
    </row>
    <row r="5045" spans="1:12">
      <c r="A5045" s="8"/>
      <c r="B5045" s="9"/>
      <c r="C5045" s="10"/>
      <c r="D5045" s="10"/>
      <c r="E5045" s="11"/>
      <c r="F5045" s="11"/>
      <c r="G5045" s="12"/>
      <c r="H5045" s="12"/>
      <c r="I5045" s="10"/>
      <c r="J5045" s="5"/>
      <c r="K5045" s="12"/>
      <c r="L5045" s="15"/>
    </row>
    <row r="5046" spans="1:12">
      <c r="A5046" s="8"/>
      <c r="B5046" s="9"/>
      <c r="C5046" s="10"/>
      <c r="D5046" s="10"/>
      <c r="E5046" s="11"/>
      <c r="F5046" s="11"/>
      <c r="G5046" s="12"/>
      <c r="H5046" s="12"/>
      <c r="I5046" s="10"/>
      <c r="J5046" s="5"/>
      <c r="K5046" s="12"/>
      <c r="L5046" s="15"/>
    </row>
    <row r="5047" spans="1:12">
      <c r="A5047" s="8"/>
      <c r="B5047" s="9"/>
      <c r="C5047" s="10"/>
      <c r="D5047" s="10"/>
      <c r="E5047" s="11"/>
      <c r="F5047" s="11"/>
      <c r="G5047" s="12"/>
      <c r="H5047" s="12"/>
      <c r="I5047" s="10"/>
      <c r="J5047" s="5"/>
      <c r="K5047" s="12"/>
      <c r="L5047" s="15"/>
    </row>
    <row r="5048" spans="1:12">
      <c r="A5048" s="8"/>
      <c r="B5048" s="9"/>
      <c r="C5048" s="10"/>
      <c r="D5048" s="10"/>
      <c r="E5048" s="11"/>
      <c r="F5048" s="11"/>
      <c r="G5048" s="12"/>
      <c r="H5048" s="12"/>
      <c r="I5048" s="10"/>
      <c r="J5048" s="5"/>
      <c r="K5048" s="12"/>
      <c r="L5048" s="15"/>
    </row>
    <row r="5049" spans="1:12">
      <c r="A5049" s="8"/>
      <c r="B5049" s="9"/>
      <c r="C5049" s="10"/>
      <c r="D5049" s="10"/>
      <c r="E5049" s="11"/>
      <c r="F5049" s="11"/>
      <c r="G5049" s="12"/>
      <c r="H5049" s="12"/>
      <c r="I5049" s="10"/>
      <c r="J5049" s="5"/>
      <c r="K5049" s="12"/>
      <c r="L5049" s="15"/>
    </row>
    <row r="5050" spans="1:12">
      <c r="A5050" s="8"/>
      <c r="B5050" s="9"/>
      <c r="C5050" s="10"/>
      <c r="D5050" s="10"/>
      <c r="E5050" s="11"/>
      <c r="F5050" s="11"/>
      <c r="G5050" s="12"/>
      <c r="H5050" s="12"/>
      <c r="I5050" s="10"/>
      <c r="J5050" s="5"/>
      <c r="K5050" s="12"/>
      <c r="L5050" s="15"/>
    </row>
    <row r="5051" spans="1:12">
      <c r="A5051" s="8"/>
      <c r="B5051" s="9"/>
      <c r="C5051" s="10"/>
      <c r="D5051" s="10"/>
      <c r="E5051" s="11"/>
      <c r="F5051" s="11"/>
      <c r="G5051" s="12"/>
      <c r="H5051" s="12"/>
      <c r="I5051" s="10"/>
      <c r="J5051" s="5"/>
      <c r="K5051" s="12"/>
      <c r="L5051" s="15"/>
    </row>
    <row r="5052" spans="1:12">
      <c r="A5052" s="8"/>
      <c r="B5052" s="9"/>
      <c r="C5052" s="10"/>
      <c r="D5052" s="10"/>
      <c r="E5052" s="11"/>
      <c r="F5052" s="11"/>
      <c r="G5052" s="12"/>
      <c r="H5052" s="12"/>
      <c r="I5052" s="10"/>
      <c r="J5052" s="5"/>
      <c r="K5052" s="12"/>
      <c r="L5052" s="15"/>
    </row>
    <row r="5053" spans="1:12">
      <c r="A5053" s="8"/>
      <c r="B5053" s="9"/>
      <c r="C5053" s="10"/>
      <c r="D5053" s="10"/>
      <c r="E5053" s="11"/>
      <c r="F5053" s="11"/>
      <c r="G5053" s="12"/>
      <c r="H5053" s="12"/>
      <c r="I5053" s="10"/>
      <c r="J5053" s="5"/>
      <c r="K5053" s="12"/>
      <c r="L5053" s="15"/>
    </row>
    <row r="5054" spans="1:12">
      <c r="A5054" s="8"/>
      <c r="B5054" s="9"/>
      <c r="C5054" s="10"/>
      <c r="D5054" s="10"/>
      <c r="E5054" s="11"/>
      <c r="F5054" s="11"/>
      <c r="G5054" s="12"/>
      <c r="H5054" s="12"/>
      <c r="I5054" s="10"/>
      <c r="J5054" s="5"/>
      <c r="K5054" s="12"/>
      <c r="L5054" s="15"/>
    </row>
    <row r="5055" spans="1:12">
      <c r="A5055" s="8"/>
      <c r="B5055" s="9"/>
      <c r="C5055" s="10"/>
      <c r="D5055" s="10"/>
      <c r="E5055" s="11"/>
      <c r="F5055" s="11"/>
      <c r="G5055" s="12"/>
      <c r="H5055" s="12"/>
      <c r="I5055" s="10"/>
      <c r="J5055" s="5"/>
      <c r="K5055" s="12"/>
      <c r="L5055" s="15"/>
    </row>
    <row r="5056" spans="1:12">
      <c r="A5056" s="8"/>
      <c r="B5056" s="9"/>
      <c r="C5056" s="10"/>
      <c r="D5056" s="10"/>
      <c r="E5056" s="11"/>
      <c r="F5056" s="11"/>
      <c r="G5056" s="12"/>
      <c r="H5056" s="12"/>
      <c r="I5056" s="10"/>
      <c r="J5056" s="5"/>
      <c r="K5056" s="12"/>
      <c r="L5056" s="15"/>
    </row>
    <row r="5057" spans="1:12">
      <c r="A5057" s="8"/>
      <c r="B5057" s="9"/>
      <c r="C5057" s="10"/>
      <c r="D5057" s="10"/>
      <c r="E5057" s="11"/>
      <c r="F5057" s="11"/>
      <c r="G5057" s="12"/>
      <c r="H5057" s="12"/>
      <c r="I5057" s="10"/>
      <c r="J5057" s="5"/>
      <c r="K5057" s="12"/>
      <c r="L5057" s="15"/>
    </row>
    <row r="5058" spans="1:12">
      <c r="A5058" s="8"/>
      <c r="B5058" s="9"/>
      <c r="C5058" s="10"/>
      <c r="D5058" s="10"/>
      <c r="E5058" s="11"/>
      <c r="F5058" s="11"/>
      <c r="G5058" s="12"/>
      <c r="H5058" s="12"/>
      <c r="I5058" s="10"/>
      <c r="J5058" s="5"/>
      <c r="K5058" s="12"/>
      <c r="L5058" s="15"/>
    </row>
    <row r="5059" spans="1:12">
      <c r="A5059" s="8"/>
      <c r="B5059" s="9"/>
      <c r="C5059" s="10"/>
      <c r="D5059" s="10"/>
      <c r="E5059" s="11"/>
      <c r="F5059" s="11"/>
      <c r="G5059" s="12"/>
      <c r="H5059" s="12"/>
      <c r="I5059" s="10"/>
      <c r="J5059" s="5"/>
      <c r="K5059" s="9"/>
      <c r="L5059" s="15"/>
    </row>
    <row r="5060" spans="1:12">
      <c r="A5060" s="8"/>
      <c r="B5060" s="9"/>
      <c r="C5060" s="10"/>
      <c r="D5060" s="10"/>
      <c r="E5060" s="11"/>
      <c r="F5060" s="11"/>
      <c r="G5060" s="12"/>
      <c r="H5060" s="12"/>
      <c r="I5060" s="10"/>
      <c r="J5060" s="5"/>
      <c r="K5060" s="9"/>
      <c r="L5060" s="15"/>
    </row>
    <row r="5061" spans="1:12">
      <c r="A5061" s="8"/>
      <c r="B5061" s="9"/>
      <c r="C5061" s="10"/>
      <c r="D5061" s="10"/>
      <c r="E5061" s="11"/>
      <c r="F5061" s="11"/>
      <c r="G5061" s="12"/>
      <c r="H5061" s="12"/>
      <c r="I5061" s="10"/>
      <c r="J5061" s="5"/>
      <c r="K5061" s="12"/>
      <c r="L5061" s="15"/>
    </row>
    <row r="5062" spans="1:12">
      <c r="A5062" s="8"/>
      <c r="B5062" s="9"/>
      <c r="C5062" s="10"/>
      <c r="D5062" s="10"/>
      <c r="E5062" s="11"/>
      <c r="F5062" s="11"/>
      <c r="G5062" s="12"/>
      <c r="H5062" s="12"/>
      <c r="I5062" s="10"/>
      <c r="J5062" s="5"/>
      <c r="K5062" s="12"/>
      <c r="L5062" s="15"/>
    </row>
    <row r="5063" spans="1:12">
      <c r="A5063" s="8"/>
      <c r="B5063" s="9"/>
      <c r="C5063" s="10"/>
      <c r="D5063" s="10"/>
      <c r="E5063" s="11"/>
      <c r="F5063" s="11"/>
      <c r="G5063" s="12"/>
      <c r="H5063" s="12"/>
      <c r="I5063" s="10"/>
      <c r="J5063" s="5"/>
      <c r="K5063" s="12"/>
      <c r="L5063" s="15"/>
    </row>
    <row r="5064" spans="1:12">
      <c r="A5064" s="8"/>
      <c r="B5064" s="9"/>
      <c r="C5064" s="13"/>
      <c r="D5064" s="10"/>
      <c r="E5064" s="19"/>
      <c r="F5064" s="19"/>
      <c r="G5064" s="12"/>
      <c r="H5064" s="9"/>
      <c r="I5064" s="10"/>
      <c r="J5064" s="5"/>
      <c r="K5064" s="13"/>
      <c r="L5064" s="31"/>
    </row>
    <row r="5065" spans="1:12">
      <c r="A5065" s="8"/>
      <c r="B5065" s="9"/>
      <c r="C5065" s="10"/>
      <c r="D5065" s="10"/>
      <c r="E5065" s="22"/>
      <c r="F5065" s="22"/>
      <c r="G5065" s="12"/>
      <c r="H5065" s="10"/>
      <c r="I5065" s="10"/>
      <c r="J5065" s="5"/>
      <c r="K5065" s="13"/>
      <c r="L5065" s="23"/>
    </row>
    <row r="5066" spans="1:12">
      <c r="A5066" s="8"/>
      <c r="B5066" s="9"/>
      <c r="C5066" s="10"/>
      <c r="D5066" s="10"/>
      <c r="E5066" s="11"/>
      <c r="F5066" s="11"/>
      <c r="G5066" s="12"/>
      <c r="H5066" s="12"/>
      <c r="I5066" s="10"/>
      <c r="J5066" s="5"/>
      <c r="K5066" s="10"/>
      <c r="L5066" s="23"/>
    </row>
    <row r="5067" spans="1:12">
      <c r="A5067" s="8"/>
      <c r="B5067" s="9"/>
      <c r="C5067" s="10"/>
      <c r="D5067" s="10"/>
      <c r="E5067" s="11"/>
      <c r="F5067" s="11"/>
      <c r="G5067" s="12"/>
      <c r="H5067" s="12"/>
      <c r="I5067" s="10"/>
      <c r="J5067" s="5"/>
      <c r="K5067" s="10"/>
      <c r="L5067" s="23"/>
    </row>
    <row r="5068" spans="1:12">
      <c r="A5068" s="8"/>
      <c r="B5068" s="9"/>
      <c r="C5068" s="10"/>
      <c r="D5068" s="10"/>
      <c r="E5068" s="11"/>
      <c r="F5068" s="11"/>
      <c r="G5068" s="12"/>
      <c r="H5068" s="12"/>
      <c r="I5068" s="10"/>
      <c r="J5068" s="5"/>
      <c r="K5068" s="10"/>
      <c r="L5068" s="23"/>
    </row>
    <row r="5069" spans="1:12">
      <c r="A5069" s="8"/>
      <c r="B5069" s="9"/>
      <c r="C5069" s="10"/>
      <c r="D5069" s="10"/>
      <c r="E5069" s="11"/>
      <c r="F5069" s="11"/>
      <c r="G5069" s="12"/>
      <c r="H5069" s="12"/>
      <c r="I5069" s="10"/>
      <c r="J5069" s="5"/>
      <c r="K5069" s="13"/>
      <c r="L5069" s="23"/>
    </row>
    <row r="5070" spans="1:12">
      <c r="A5070" s="8"/>
      <c r="B5070" s="9"/>
      <c r="C5070" s="10"/>
      <c r="D5070" s="10"/>
      <c r="E5070" s="11"/>
      <c r="F5070" s="11"/>
      <c r="G5070" s="12"/>
      <c r="H5070" s="12"/>
      <c r="I5070" s="10"/>
      <c r="J5070" s="5"/>
      <c r="K5070" s="12"/>
      <c r="L5070" s="15"/>
    </row>
    <row r="5071" spans="1:12">
      <c r="A5071" s="8"/>
      <c r="B5071" s="9"/>
      <c r="C5071" s="10"/>
      <c r="D5071" s="10"/>
      <c r="E5071" s="11"/>
      <c r="F5071" s="11"/>
      <c r="G5071" s="12"/>
      <c r="H5071" s="12"/>
      <c r="I5071" s="10"/>
      <c r="J5071" s="5"/>
      <c r="K5071" s="12"/>
      <c r="L5071" s="15"/>
    </row>
    <row r="5072" spans="1:12">
      <c r="A5072" s="8"/>
      <c r="B5072" s="9"/>
      <c r="C5072" s="10"/>
      <c r="D5072" s="10"/>
      <c r="E5072" s="11"/>
      <c r="F5072" s="11"/>
      <c r="G5072" s="12"/>
      <c r="H5072" s="12"/>
      <c r="I5072" s="10"/>
      <c r="J5072" s="5"/>
      <c r="K5072" s="12"/>
      <c r="L5072" s="15"/>
    </row>
    <row r="5073" spans="1:12">
      <c r="A5073" s="8"/>
      <c r="B5073" s="9"/>
      <c r="C5073" s="10"/>
      <c r="D5073" s="10"/>
      <c r="E5073" s="11"/>
      <c r="F5073" s="11"/>
      <c r="G5073" s="12"/>
      <c r="H5073" s="12"/>
      <c r="I5073" s="10"/>
      <c r="J5073" s="5"/>
      <c r="K5073" s="12"/>
      <c r="L5073" s="15"/>
    </row>
    <row r="5074" spans="1:12">
      <c r="A5074" s="8"/>
      <c r="B5074" s="9"/>
      <c r="C5074" s="10"/>
      <c r="D5074" s="10"/>
      <c r="E5074" s="11"/>
      <c r="F5074" s="11"/>
      <c r="G5074" s="12"/>
      <c r="H5074" s="12"/>
      <c r="I5074" s="10"/>
      <c r="J5074" s="5"/>
      <c r="K5074" s="12"/>
      <c r="L5074" s="15"/>
    </row>
    <row r="5075" spans="1:12">
      <c r="A5075" s="8"/>
      <c r="B5075" s="9"/>
      <c r="C5075" s="10"/>
      <c r="D5075" s="10"/>
      <c r="E5075" s="11"/>
      <c r="F5075" s="11"/>
      <c r="G5075" s="12"/>
      <c r="H5075" s="12"/>
      <c r="I5075" s="10"/>
      <c r="J5075" s="5"/>
      <c r="K5075" s="12"/>
      <c r="L5075" s="15"/>
    </row>
    <row r="5076" spans="1:12">
      <c r="A5076" s="8"/>
      <c r="B5076" s="9"/>
      <c r="C5076" s="10"/>
      <c r="D5076" s="10"/>
      <c r="E5076" s="11"/>
      <c r="F5076" s="11"/>
      <c r="G5076" s="12"/>
      <c r="H5076" s="12"/>
      <c r="I5076" s="10"/>
      <c r="J5076" s="5"/>
      <c r="K5076" s="12"/>
      <c r="L5076" s="15"/>
    </row>
    <row r="5077" spans="1:12">
      <c r="A5077" s="8"/>
      <c r="B5077" s="9"/>
      <c r="C5077" s="10"/>
      <c r="D5077" s="10"/>
      <c r="E5077" s="11"/>
      <c r="F5077" s="11"/>
      <c r="G5077" s="12"/>
      <c r="H5077" s="12"/>
      <c r="I5077" s="10"/>
      <c r="J5077" s="5"/>
      <c r="K5077" s="10"/>
      <c r="L5077" s="23"/>
    </row>
    <row r="5078" spans="1:12">
      <c r="A5078" s="8"/>
      <c r="B5078" s="9"/>
      <c r="C5078" s="10"/>
      <c r="D5078" s="10"/>
      <c r="E5078" s="11"/>
      <c r="F5078" s="11"/>
      <c r="G5078" s="12"/>
      <c r="H5078" s="12"/>
      <c r="I5078" s="10"/>
      <c r="J5078" s="5"/>
      <c r="K5078" s="10"/>
      <c r="L5078" s="23"/>
    </row>
    <row r="5079" spans="1:12">
      <c r="A5079" s="8"/>
      <c r="B5079" s="9"/>
      <c r="C5079" s="10"/>
      <c r="D5079" s="10"/>
      <c r="E5079" s="11"/>
      <c r="F5079" s="11"/>
      <c r="G5079" s="12"/>
      <c r="H5079" s="12"/>
      <c r="I5079" s="10"/>
      <c r="J5079" s="5"/>
      <c r="K5079" s="10"/>
      <c r="L5079" s="23"/>
    </row>
    <row r="5080" spans="1:12">
      <c r="A5080" s="8"/>
      <c r="B5080" s="9"/>
      <c r="C5080" s="10"/>
      <c r="D5080" s="10"/>
      <c r="E5080" s="11"/>
      <c r="F5080" s="11"/>
      <c r="G5080" s="12"/>
      <c r="H5080" s="12"/>
      <c r="I5080" s="10"/>
      <c r="J5080" s="5"/>
      <c r="K5080" s="10"/>
      <c r="L5080" s="23"/>
    </row>
    <row r="5081" spans="1:12">
      <c r="A5081" s="8"/>
      <c r="B5081" s="9"/>
      <c r="C5081" s="10"/>
      <c r="D5081" s="10"/>
      <c r="E5081" s="22"/>
      <c r="F5081" s="22"/>
      <c r="G5081" s="12"/>
      <c r="H5081" s="10"/>
      <c r="I5081" s="10"/>
      <c r="J5081" s="5"/>
      <c r="K5081" s="10"/>
      <c r="L5081" s="23"/>
    </row>
    <row r="5082" spans="1:12">
      <c r="A5082" s="8"/>
      <c r="B5082" s="9"/>
      <c r="C5082" s="10"/>
      <c r="D5082" s="10"/>
      <c r="E5082" s="11"/>
      <c r="F5082" s="11"/>
      <c r="G5082" s="12"/>
      <c r="H5082" s="12"/>
      <c r="I5082" s="10"/>
      <c r="J5082" s="5"/>
      <c r="K5082" s="9"/>
      <c r="L5082" s="15"/>
    </row>
    <row r="5083" spans="1:12">
      <c r="A5083" s="8"/>
      <c r="B5083" s="9"/>
      <c r="C5083" s="10"/>
      <c r="D5083" s="10"/>
      <c r="E5083" s="11"/>
      <c r="F5083" s="11"/>
      <c r="G5083" s="12"/>
      <c r="H5083" s="12"/>
      <c r="I5083" s="10"/>
      <c r="J5083" s="5"/>
      <c r="K5083" s="10"/>
      <c r="L5083" s="23"/>
    </row>
    <row r="5084" spans="1:12">
      <c r="A5084" s="8"/>
      <c r="B5084" s="9"/>
      <c r="C5084" s="10"/>
      <c r="D5084" s="10"/>
      <c r="E5084" s="11"/>
      <c r="F5084" s="11"/>
      <c r="G5084" s="12"/>
      <c r="H5084" s="12"/>
      <c r="I5084" s="10"/>
      <c r="J5084" s="5"/>
      <c r="K5084" s="13"/>
      <c r="L5084" s="23"/>
    </row>
    <row r="5085" spans="1:12">
      <c r="A5085" s="8"/>
      <c r="B5085" s="9"/>
      <c r="C5085" s="10"/>
      <c r="D5085" s="10"/>
      <c r="E5085" s="11"/>
      <c r="F5085" s="11"/>
      <c r="G5085" s="12"/>
      <c r="H5085" s="12"/>
      <c r="I5085" s="10"/>
      <c r="J5085" s="5"/>
      <c r="K5085" s="13"/>
      <c r="L5085" s="23"/>
    </row>
    <row r="5086" spans="1:12">
      <c r="A5086" s="8"/>
      <c r="B5086" s="9"/>
      <c r="C5086" s="10"/>
      <c r="D5086" s="10"/>
      <c r="E5086" s="22"/>
      <c r="F5086" s="22"/>
      <c r="G5086" s="12"/>
      <c r="H5086" s="10"/>
      <c r="I5086" s="10"/>
      <c r="J5086" s="5"/>
      <c r="K5086" s="10"/>
      <c r="L5086" s="23"/>
    </row>
    <row r="5087" spans="1:12">
      <c r="A5087" s="8"/>
      <c r="B5087" s="9"/>
      <c r="C5087" s="10"/>
      <c r="D5087" s="10"/>
      <c r="E5087" s="22"/>
      <c r="F5087" s="22"/>
      <c r="G5087" s="12"/>
      <c r="H5087" s="10"/>
      <c r="I5087" s="10"/>
      <c r="J5087" s="5"/>
      <c r="K5087" s="10"/>
      <c r="L5087" s="23"/>
    </row>
    <row r="5088" spans="1:12">
      <c r="A5088" s="8"/>
      <c r="B5088" s="9"/>
      <c r="C5088" s="10"/>
      <c r="D5088" s="10"/>
      <c r="E5088" s="22"/>
      <c r="F5088" s="22"/>
      <c r="G5088" s="12"/>
      <c r="H5088" s="10"/>
      <c r="I5088" s="10"/>
      <c r="J5088" s="5"/>
      <c r="K5088" s="10"/>
      <c r="L5088" s="23"/>
    </row>
    <row r="5089" spans="1:12">
      <c r="A5089" s="8"/>
      <c r="B5089" s="9"/>
      <c r="C5089" s="10"/>
      <c r="D5089" s="10"/>
      <c r="E5089" s="22"/>
      <c r="F5089" s="22"/>
      <c r="G5089" s="12"/>
      <c r="H5089" s="10"/>
      <c r="I5089" s="10"/>
      <c r="J5089" s="5"/>
      <c r="K5089" s="10"/>
      <c r="L5089" s="23"/>
    </row>
    <row r="5090" spans="1:12">
      <c r="A5090" s="8"/>
      <c r="B5090" s="9"/>
      <c r="C5090" s="10"/>
      <c r="D5090" s="10"/>
      <c r="E5090" s="22"/>
      <c r="F5090" s="22"/>
      <c r="G5090" s="12"/>
      <c r="H5090" s="10"/>
      <c r="I5090" s="10"/>
      <c r="J5090" s="5"/>
      <c r="K5090" s="10"/>
      <c r="L5090" s="23"/>
    </row>
    <row r="5091" spans="1:12">
      <c r="A5091" s="8"/>
      <c r="B5091" s="9"/>
      <c r="C5091" s="10"/>
      <c r="D5091" s="10"/>
      <c r="E5091" s="22"/>
      <c r="F5091" s="22"/>
      <c r="G5091" s="12"/>
      <c r="H5091" s="10"/>
      <c r="I5091" s="10"/>
      <c r="J5091" s="5"/>
      <c r="K5091" s="10"/>
      <c r="L5091" s="23"/>
    </row>
    <row r="5092" spans="1:12">
      <c r="A5092" s="8"/>
      <c r="B5092" s="9"/>
      <c r="C5092" s="10"/>
      <c r="D5092" s="10"/>
      <c r="E5092" s="22"/>
      <c r="F5092" s="11"/>
      <c r="G5092" s="12"/>
      <c r="H5092" s="12"/>
      <c r="I5092" s="10"/>
      <c r="J5092" s="5"/>
      <c r="K5092" s="10"/>
      <c r="L5092" s="23"/>
    </row>
    <row r="5093" spans="1:12">
      <c r="A5093" s="8"/>
      <c r="B5093" s="9"/>
      <c r="C5093" s="10"/>
      <c r="D5093" s="10"/>
      <c r="E5093" s="11"/>
      <c r="F5093" s="11"/>
      <c r="G5093" s="12"/>
      <c r="H5093" s="12"/>
      <c r="I5093" s="10"/>
      <c r="J5093" s="5"/>
      <c r="K5093" s="13"/>
      <c r="L5093" s="23"/>
    </row>
    <row r="5094" spans="1:12">
      <c r="A5094" s="8"/>
      <c r="B5094" s="9"/>
      <c r="C5094" s="10"/>
      <c r="D5094" s="10"/>
      <c r="E5094" s="11"/>
      <c r="F5094" s="11"/>
      <c r="G5094" s="12"/>
      <c r="H5094" s="12"/>
      <c r="I5094" s="10"/>
      <c r="J5094" s="5"/>
      <c r="K5094" s="13"/>
      <c r="L5094" s="23"/>
    </row>
    <row r="5095" spans="1:12">
      <c r="A5095" s="8"/>
      <c r="B5095" s="9"/>
      <c r="C5095" s="10"/>
      <c r="D5095" s="10"/>
      <c r="E5095" s="11"/>
      <c r="F5095" s="11"/>
      <c r="G5095" s="12"/>
      <c r="H5095" s="12"/>
      <c r="I5095" s="10"/>
      <c r="J5095" s="5"/>
      <c r="K5095" s="12"/>
      <c r="L5095" s="15"/>
    </row>
    <row r="5096" spans="1:12">
      <c r="A5096" s="8"/>
      <c r="B5096" s="9"/>
      <c r="C5096" s="10"/>
      <c r="D5096" s="10"/>
      <c r="E5096" s="11"/>
      <c r="F5096" s="11"/>
      <c r="G5096" s="12"/>
      <c r="H5096" s="12"/>
      <c r="I5096" s="10"/>
      <c r="J5096" s="5"/>
      <c r="K5096" s="9"/>
      <c r="L5096" s="15"/>
    </row>
    <row r="5097" spans="1:12">
      <c r="A5097" s="8"/>
      <c r="B5097" s="9"/>
      <c r="C5097" s="10"/>
      <c r="D5097" s="10"/>
      <c r="E5097" s="11"/>
      <c r="F5097" s="11"/>
      <c r="G5097" s="12"/>
      <c r="H5097" s="12"/>
      <c r="I5097" s="10"/>
      <c r="J5097" s="5"/>
      <c r="K5097" s="12"/>
      <c r="L5097" s="15"/>
    </row>
    <row r="5098" spans="1:12">
      <c r="A5098" s="8"/>
      <c r="B5098" s="9"/>
      <c r="C5098" s="10"/>
      <c r="D5098" s="10"/>
      <c r="E5098" s="11"/>
      <c r="F5098" s="11"/>
      <c r="G5098" s="12"/>
      <c r="H5098" s="12"/>
      <c r="I5098" s="10"/>
      <c r="J5098" s="5"/>
      <c r="K5098" s="12"/>
      <c r="L5098" s="15"/>
    </row>
    <row r="5099" spans="1:12">
      <c r="A5099" s="8"/>
      <c r="B5099" s="9"/>
      <c r="C5099" s="10"/>
      <c r="D5099" s="10"/>
      <c r="E5099" s="11"/>
      <c r="F5099" s="11"/>
      <c r="G5099" s="12"/>
      <c r="H5099" s="12"/>
      <c r="I5099" s="10"/>
      <c r="J5099" s="5"/>
      <c r="K5099" s="12"/>
      <c r="L5099" s="15"/>
    </row>
    <row r="5100" spans="1:12">
      <c r="A5100" s="8"/>
      <c r="B5100" s="9"/>
      <c r="C5100" s="10"/>
      <c r="D5100" s="10"/>
      <c r="E5100" s="11"/>
      <c r="F5100" s="11"/>
      <c r="G5100" s="12"/>
      <c r="H5100" s="12"/>
      <c r="I5100" s="10"/>
      <c r="J5100" s="5"/>
      <c r="K5100" s="12"/>
      <c r="L5100" s="15"/>
    </row>
    <row r="5101" spans="1:12">
      <c r="A5101" s="8"/>
      <c r="B5101" s="9"/>
      <c r="C5101" s="10"/>
      <c r="D5101" s="10"/>
      <c r="E5101" s="11"/>
      <c r="F5101" s="11"/>
      <c r="G5101" s="12"/>
      <c r="H5101" s="12"/>
      <c r="I5101" s="10"/>
      <c r="J5101" s="5"/>
      <c r="K5101" s="12"/>
      <c r="L5101" s="16"/>
    </row>
    <row r="5102" spans="1:12">
      <c r="A5102" s="8"/>
      <c r="B5102" s="9"/>
      <c r="C5102" s="10"/>
      <c r="D5102" s="10"/>
      <c r="E5102" s="11"/>
      <c r="F5102" s="11"/>
      <c r="G5102" s="12"/>
      <c r="H5102" s="12"/>
      <c r="I5102" s="10"/>
      <c r="J5102" s="5"/>
      <c r="K5102" s="12"/>
      <c r="L5102" s="15"/>
    </row>
    <row r="5103" spans="1:12">
      <c r="A5103" s="8"/>
      <c r="B5103" s="9"/>
      <c r="C5103" s="10"/>
      <c r="D5103" s="10"/>
      <c r="E5103" s="11"/>
      <c r="F5103" s="11"/>
      <c r="G5103" s="12"/>
      <c r="H5103" s="12"/>
      <c r="I5103" s="10"/>
      <c r="J5103" s="5"/>
      <c r="K5103" s="12"/>
      <c r="L5103" s="15"/>
    </row>
    <row r="5104" spans="1:12">
      <c r="A5104" s="8"/>
      <c r="B5104" s="9"/>
      <c r="C5104" s="10"/>
      <c r="D5104" s="10"/>
      <c r="E5104" s="11"/>
      <c r="F5104" s="11"/>
      <c r="G5104" s="12"/>
      <c r="H5104" s="12"/>
      <c r="I5104" s="10"/>
      <c r="J5104" s="5"/>
      <c r="K5104" s="12"/>
      <c r="L5104" s="15"/>
    </row>
    <row r="5105" spans="1:12">
      <c r="A5105" s="8"/>
      <c r="B5105" s="9"/>
      <c r="C5105" s="10"/>
      <c r="D5105" s="10"/>
      <c r="E5105" s="11"/>
      <c r="F5105" s="11"/>
      <c r="G5105" s="12"/>
      <c r="H5105" s="12"/>
      <c r="I5105" s="10"/>
      <c r="J5105" s="5"/>
      <c r="K5105" s="12"/>
      <c r="L5105" s="15"/>
    </row>
    <row r="5106" spans="1:12">
      <c r="A5106" s="8"/>
      <c r="B5106" s="9"/>
      <c r="C5106" s="10"/>
      <c r="D5106" s="10"/>
      <c r="E5106" s="11"/>
      <c r="F5106" s="11"/>
      <c r="G5106" s="12"/>
      <c r="H5106" s="12"/>
      <c r="I5106" s="10"/>
      <c r="J5106" s="5"/>
      <c r="K5106" s="9"/>
      <c r="L5106" s="15"/>
    </row>
    <row r="5107" spans="1:12">
      <c r="A5107" s="8"/>
      <c r="B5107" s="9"/>
      <c r="C5107" s="10"/>
      <c r="D5107" s="10"/>
      <c r="E5107" s="11"/>
      <c r="F5107" s="11"/>
      <c r="G5107" s="12"/>
      <c r="H5107" s="12"/>
      <c r="I5107" s="10"/>
      <c r="J5107" s="5"/>
      <c r="K5107" s="9"/>
      <c r="L5107" s="15"/>
    </row>
    <row r="5108" spans="1:12">
      <c r="A5108" s="8"/>
      <c r="B5108" s="9"/>
      <c r="C5108" s="10"/>
      <c r="D5108" s="10"/>
      <c r="E5108" s="11"/>
      <c r="F5108" s="11"/>
      <c r="G5108" s="12"/>
      <c r="H5108" s="12"/>
      <c r="I5108" s="10"/>
      <c r="J5108" s="5"/>
      <c r="K5108" s="13"/>
      <c r="L5108" s="23"/>
    </row>
    <row r="5109" spans="1:12">
      <c r="A5109" s="8"/>
      <c r="B5109" s="9"/>
      <c r="C5109" s="10"/>
      <c r="D5109" s="10"/>
      <c r="E5109" s="11"/>
      <c r="F5109" s="11"/>
      <c r="G5109" s="12"/>
      <c r="H5109" s="12"/>
      <c r="I5109" s="10"/>
      <c r="J5109" s="5"/>
      <c r="K5109" s="10"/>
      <c r="L5109" s="23"/>
    </row>
    <row r="5110" spans="1:12">
      <c r="A5110" s="8"/>
      <c r="B5110" s="9"/>
      <c r="C5110" s="10"/>
      <c r="D5110" s="10"/>
      <c r="E5110" s="11"/>
      <c r="F5110" s="11"/>
      <c r="G5110" s="12"/>
      <c r="H5110" s="12"/>
      <c r="I5110" s="10"/>
      <c r="J5110" s="5"/>
      <c r="K5110" s="10"/>
      <c r="L5110" s="23"/>
    </row>
    <row r="5111" spans="1:12">
      <c r="A5111" s="8"/>
      <c r="B5111" s="9"/>
      <c r="C5111" s="10"/>
      <c r="D5111" s="10"/>
      <c r="E5111" s="11"/>
      <c r="F5111" s="11"/>
      <c r="G5111" s="12"/>
      <c r="H5111" s="12"/>
      <c r="I5111" s="10"/>
      <c r="J5111" s="5"/>
      <c r="K5111" s="10"/>
      <c r="L5111" s="23"/>
    </row>
    <row r="5112" spans="1:12">
      <c r="A5112" s="8"/>
      <c r="B5112" s="9"/>
      <c r="C5112" s="10"/>
      <c r="D5112" s="10"/>
      <c r="E5112" s="11"/>
      <c r="F5112" s="11"/>
      <c r="G5112" s="12"/>
      <c r="H5112" s="12"/>
      <c r="I5112" s="10"/>
      <c r="J5112" s="5"/>
      <c r="K5112" s="10"/>
      <c r="L5112" s="23"/>
    </row>
    <row r="5113" spans="1:12">
      <c r="A5113" s="8"/>
      <c r="B5113" s="9"/>
      <c r="C5113" s="10"/>
      <c r="D5113" s="10"/>
      <c r="E5113" s="11"/>
      <c r="F5113" s="11"/>
      <c r="G5113" s="12"/>
      <c r="H5113" s="12"/>
      <c r="I5113" s="10"/>
      <c r="J5113" s="5"/>
      <c r="K5113" s="10"/>
      <c r="L5113" s="23"/>
    </row>
    <row r="5114" spans="1:12">
      <c r="A5114" s="8"/>
      <c r="B5114" s="9"/>
      <c r="C5114" s="10"/>
      <c r="D5114" s="10"/>
      <c r="E5114" s="11"/>
      <c r="F5114" s="11"/>
      <c r="G5114" s="12"/>
      <c r="H5114" s="12"/>
      <c r="I5114" s="10"/>
      <c r="J5114" s="5"/>
      <c r="K5114" s="10"/>
      <c r="L5114" s="23"/>
    </row>
    <row r="5115" spans="1:12">
      <c r="A5115" s="8"/>
      <c r="B5115" s="9"/>
      <c r="C5115" s="10"/>
      <c r="D5115" s="10"/>
      <c r="E5115" s="11"/>
      <c r="F5115" s="11"/>
      <c r="G5115" s="12"/>
      <c r="H5115" s="12"/>
      <c r="I5115" s="10"/>
      <c r="J5115" s="5"/>
      <c r="K5115" s="10"/>
      <c r="L5115" s="23"/>
    </row>
    <row r="5116" spans="1:12">
      <c r="A5116" s="8"/>
      <c r="B5116" s="9"/>
      <c r="C5116" s="10"/>
      <c r="D5116" s="10"/>
      <c r="E5116" s="11"/>
      <c r="F5116" s="11"/>
      <c r="G5116" s="12"/>
      <c r="H5116" s="12"/>
      <c r="I5116" s="10"/>
      <c r="J5116" s="5"/>
      <c r="K5116" s="10"/>
      <c r="L5116" s="23"/>
    </row>
    <row r="5117" spans="1:12">
      <c r="A5117" s="8"/>
      <c r="B5117" s="9"/>
      <c r="C5117" s="10"/>
      <c r="D5117" s="10"/>
      <c r="E5117" s="11"/>
      <c r="F5117" s="11"/>
      <c r="G5117" s="12"/>
      <c r="H5117" s="12"/>
      <c r="I5117" s="10"/>
      <c r="J5117" s="5"/>
      <c r="K5117" s="10"/>
      <c r="L5117" s="23"/>
    </row>
    <row r="5118" spans="1:12">
      <c r="A5118" s="8"/>
      <c r="B5118" s="9"/>
      <c r="C5118" s="10"/>
      <c r="D5118" s="10"/>
      <c r="E5118" s="11"/>
      <c r="F5118" s="11"/>
      <c r="G5118" s="12"/>
      <c r="H5118" s="12"/>
      <c r="I5118" s="10"/>
      <c r="J5118" s="5"/>
      <c r="K5118" s="13"/>
      <c r="L5118" s="23"/>
    </row>
    <row r="5119" spans="1:12">
      <c r="A5119" s="8"/>
      <c r="B5119" s="9"/>
      <c r="C5119" s="10"/>
      <c r="D5119" s="10"/>
      <c r="E5119" s="11"/>
      <c r="F5119" s="11"/>
      <c r="G5119" s="12"/>
      <c r="H5119" s="12"/>
      <c r="I5119" s="10"/>
      <c r="J5119" s="5"/>
      <c r="K5119" s="12"/>
      <c r="L5119" s="15"/>
    </row>
    <row r="5120" spans="1:12">
      <c r="A5120" s="8"/>
      <c r="B5120" s="9"/>
      <c r="C5120" s="10"/>
      <c r="D5120" s="10"/>
      <c r="E5120" s="11"/>
      <c r="F5120" s="11"/>
      <c r="G5120" s="12"/>
      <c r="H5120" s="12"/>
      <c r="I5120" s="10"/>
      <c r="J5120" s="5"/>
      <c r="K5120" s="13"/>
      <c r="L5120" s="23"/>
    </row>
    <row r="5121" spans="1:12">
      <c r="A5121" s="8"/>
      <c r="B5121" s="9"/>
      <c r="C5121" s="10"/>
      <c r="D5121" s="10"/>
      <c r="E5121" s="11"/>
      <c r="F5121" s="11"/>
      <c r="G5121" s="12"/>
      <c r="H5121" s="10"/>
      <c r="I5121" s="10"/>
      <c r="J5121" s="5"/>
      <c r="K5121" s="13"/>
      <c r="L5121" s="23"/>
    </row>
    <row r="5122" spans="1:12">
      <c r="A5122" s="8"/>
      <c r="B5122" s="9"/>
      <c r="C5122" s="10"/>
      <c r="D5122" s="10"/>
      <c r="E5122" s="11"/>
      <c r="F5122" s="11"/>
      <c r="G5122" s="12"/>
      <c r="H5122" s="12"/>
      <c r="I5122" s="10"/>
      <c r="J5122" s="5"/>
      <c r="K5122" s="13"/>
      <c r="L5122" s="23"/>
    </row>
    <row r="5123" spans="1:12">
      <c r="A5123" s="8"/>
      <c r="B5123" s="9"/>
      <c r="C5123" s="10"/>
      <c r="D5123" s="10"/>
      <c r="E5123" s="11"/>
      <c r="F5123" s="22"/>
      <c r="G5123" s="12"/>
      <c r="H5123" s="10"/>
      <c r="I5123" s="10"/>
      <c r="J5123" s="5"/>
      <c r="K5123" s="9"/>
      <c r="L5123" s="15"/>
    </row>
    <row r="5124" spans="1:12">
      <c r="A5124" s="8"/>
      <c r="B5124" s="9"/>
      <c r="C5124" s="10"/>
      <c r="D5124" s="10"/>
      <c r="E5124" s="11"/>
      <c r="F5124" s="11"/>
      <c r="G5124" s="12"/>
      <c r="H5124" s="12"/>
      <c r="I5124" s="10"/>
      <c r="J5124" s="5"/>
      <c r="K5124" s="12"/>
      <c r="L5124" s="15"/>
    </row>
    <row r="5125" spans="1:12">
      <c r="A5125" s="8"/>
      <c r="B5125" s="9"/>
      <c r="C5125" s="10"/>
      <c r="D5125" s="10"/>
      <c r="E5125" s="11"/>
      <c r="F5125" s="11"/>
      <c r="G5125" s="12"/>
      <c r="H5125" s="12"/>
      <c r="I5125" s="10"/>
      <c r="J5125" s="5"/>
      <c r="K5125" s="12"/>
      <c r="L5125" s="15"/>
    </row>
    <row r="5126" spans="1:12">
      <c r="A5126" s="8"/>
      <c r="B5126" s="9"/>
      <c r="C5126" s="10"/>
      <c r="D5126" s="10"/>
      <c r="E5126" s="11"/>
      <c r="F5126" s="11"/>
      <c r="G5126" s="12"/>
      <c r="H5126" s="12"/>
      <c r="I5126" s="10"/>
      <c r="J5126" s="5"/>
      <c r="K5126" s="9"/>
      <c r="L5126" s="15"/>
    </row>
    <row r="5127" spans="1:12">
      <c r="A5127" s="8"/>
      <c r="B5127" s="9"/>
      <c r="C5127" s="10"/>
      <c r="D5127" s="10"/>
      <c r="E5127" s="11"/>
      <c r="F5127" s="11"/>
      <c r="G5127" s="12"/>
      <c r="H5127" s="12"/>
      <c r="I5127" s="10"/>
      <c r="J5127" s="5"/>
      <c r="K5127" s="9"/>
      <c r="L5127" s="15"/>
    </row>
    <row r="5128" spans="1:12">
      <c r="A5128" s="8"/>
      <c r="B5128" s="9"/>
      <c r="C5128" s="10"/>
      <c r="D5128" s="10"/>
      <c r="E5128" s="11"/>
      <c r="F5128" s="11"/>
      <c r="G5128" s="12"/>
      <c r="H5128" s="12"/>
      <c r="I5128" s="10"/>
      <c r="J5128" s="5"/>
      <c r="K5128" s="12"/>
      <c r="L5128" s="15"/>
    </row>
    <row r="5129" spans="1:12">
      <c r="A5129" s="8"/>
      <c r="B5129" s="9"/>
      <c r="C5129" s="10"/>
      <c r="D5129" s="10"/>
      <c r="E5129" s="11"/>
      <c r="F5129" s="11"/>
      <c r="G5129" s="12"/>
      <c r="H5129" s="12"/>
      <c r="I5129" s="10"/>
      <c r="J5129" s="5"/>
      <c r="K5129" s="12"/>
      <c r="L5129" s="15"/>
    </row>
    <row r="5130" spans="1:12">
      <c r="A5130" s="8"/>
      <c r="B5130" s="9"/>
      <c r="C5130" s="10"/>
      <c r="D5130" s="10"/>
      <c r="E5130" s="11"/>
      <c r="F5130" s="11"/>
      <c r="G5130" s="12"/>
      <c r="H5130" s="12"/>
      <c r="I5130" s="10"/>
      <c r="J5130" s="5"/>
      <c r="K5130" s="9"/>
      <c r="L5130" s="15"/>
    </row>
    <row r="5131" spans="1:12">
      <c r="A5131" s="8"/>
      <c r="B5131" s="9"/>
      <c r="C5131" s="10"/>
      <c r="D5131" s="10"/>
      <c r="E5131" s="11"/>
      <c r="F5131" s="11"/>
      <c r="G5131" s="12"/>
      <c r="H5131" s="12"/>
      <c r="I5131" s="10"/>
      <c r="J5131" s="5"/>
      <c r="K5131" s="12"/>
      <c r="L5131" s="15"/>
    </row>
    <row r="5132" spans="1:12">
      <c r="A5132" s="8"/>
      <c r="B5132" s="9"/>
      <c r="C5132" s="10"/>
      <c r="D5132" s="10"/>
      <c r="E5132" s="11"/>
      <c r="F5132" s="11"/>
      <c r="G5132" s="12"/>
      <c r="H5132" s="12"/>
      <c r="I5132" s="10"/>
      <c r="J5132" s="5"/>
      <c r="K5132" s="12"/>
      <c r="L5132" s="15"/>
    </row>
    <row r="5133" spans="1:12">
      <c r="A5133" s="8"/>
      <c r="B5133" s="9"/>
      <c r="C5133" s="10"/>
      <c r="D5133" s="10"/>
      <c r="E5133" s="11"/>
      <c r="F5133" s="11"/>
      <c r="G5133" s="12"/>
      <c r="H5133" s="12"/>
      <c r="I5133" s="10"/>
      <c r="J5133" s="5"/>
      <c r="K5133" s="12"/>
      <c r="L5133" s="15"/>
    </row>
    <row r="5134" spans="1:12">
      <c r="A5134" s="8"/>
      <c r="B5134" s="9"/>
      <c r="C5134" s="10"/>
      <c r="D5134" s="10"/>
      <c r="E5134" s="11"/>
      <c r="F5134" s="11"/>
      <c r="G5134" s="12"/>
      <c r="H5134" s="12"/>
      <c r="I5134" s="10"/>
      <c r="J5134" s="5"/>
      <c r="K5134" s="12"/>
      <c r="L5134" s="15"/>
    </row>
    <row r="5135" spans="1:12">
      <c r="A5135" s="8"/>
      <c r="B5135" s="9"/>
      <c r="C5135" s="10"/>
      <c r="D5135" s="10"/>
      <c r="E5135" s="11"/>
      <c r="F5135" s="11"/>
      <c r="G5135" s="12"/>
      <c r="H5135" s="12"/>
      <c r="I5135" s="10"/>
      <c r="J5135" s="5"/>
      <c r="K5135" s="12"/>
      <c r="L5135" s="15"/>
    </row>
    <row r="5136" spans="1:12">
      <c r="A5136" s="8"/>
      <c r="B5136" s="9"/>
      <c r="C5136" s="10"/>
      <c r="D5136" s="10"/>
      <c r="E5136" s="11"/>
      <c r="F5136" s="11"/>
      <c r="G5136" s="12"/>
      <c r="H5136" s="12"/>
      <c r="I5136" s="10"/>
      <c r="J5136" s="5"/>
      <c r="K5136" s="12"/>
      <c r="L5136" s="15"/>
    </row>
    <row r="5137" spans="1:12">
      <c r="A5137" s="8"/>
      <c r="B5137" s="9"/>
      <c r="C5137" s="10"/>
      <c r="D5137" s="10"/>
      <c r="E5137" s="11"/>
      <c r="F5137" s="11"/>
      <c r="G5137" s="12"/>
      <c r="H5137" s="12"/>
      <c r="I5137" s="10"/>
      <c r="J5137" s="5"/>
      <c r="K5137" s="12"/>
      <c r="L5137" s="15"/>
    </row>
    <row r="5138" spans="1:12">
      <c r="A5138" s="8"/>
      <c r="B5138" s="9"/>
      <c r="C5138" s="10"/>
      <c r="D5138" s="10"/>
      <c r="E5138" s="11"/>
      <c r="F5138" s="11"/>
      <c r="G5138" s="12"/>
      <c r="H5138" s="12"/>
      <c r="I5138" s="10"/>
      <c r="J5138" s="5"/>
      <c r="K5138" s="9"/>
      <c r="L5138" s="15"/>
    </row>
    <row r="5139" spans="1:12">
      <c r="A5139" s="8"/>
      <c r="B5139" s="9"/>
      <c r="C5139" s="10"/>
      <c r="D5139" s="10"/>
      <c r="E5139" s="19"/>
      <c r="F5139" s="19"/>
      <c r="G5139" s="12"/>
      <c r="H5139" s="12"/>
      <c r="I5139" s="10"/>
      <c r="J5139" s="5"/>
      <c r="K5139" s="9"/>
      <c r="L5139" s="15"/>
    </row>
    <row r="5140" spans="1:12">
      <c r="A5140" s="8"/>
      <c r="B5140" s="9"/>
      <c r="C5140" s="10"/>
      <c r="D5140" s="10"/>
      <c r="E5140" s="11"/>
      <c r="F5140" s="11"/>
      <c r="G5140" s="12"/>
      <c r="H5140" s="12"/>
      <c r="I5140" s="10"/>
      <c r="J5140" s="5"/>
      <c r="K5140" s="12"/>
      <c r="L5140" s="18"/>
    </row>
    <row r="5141" spans="1:12">
      <c r="A5141" s="8"/>
      <c r="B5141" s="9"/>
      <c r="C5141" s="10"/>
      <c r="D5141" s="10"/>
      <c r="E5141" s="11"/>
      <c r="F5141" s="11"/>
      <c r="G5141" s="12"/>
      <c r="H5141" s="12"/>
      <c r="I5141" s="10"/>
      <c r="J5141" s="5"/>
      <c r="K5141" s="12"/>
      <c r="L5141" s="15"/>
    </row>
    <row r="5142" spans="1:12">
      <c r="A5142" s="8"/>
      <c r="B5142" s="9"/>
      <c r="C5142" s="10"/>
      <c r="D5142" s="10"/>
      <c r="E5142" s="11"/>
      <c r="F5142" s="11"/>
      <c r="G5142" s="12"/>
      <c r="H5142" s="12"/>
      <c r="I5142" s="10"/>
      <c r="J5142" s="5"/>
      <c r="K5142" s="12"/>
      <c r="L5142" s="15"/>
    </row>
    <row r="5143" spans="1:12">
      <c r="A5143" s="8"/>
      <c r="B5143" s="9"/>
      <c r="C5143" s="10"/>
      <c r="D5143" s="10"/>
      <c r="E5143" s="11"/>
      <c r="F5143" s="11"/>
      <c r="G5143" s="12"/>
      <c r="H5143" s="12"/>
      <c r="I5143" s="10"/>
      <c r="J5143" s="5"/>
      <c r="K5143" s="9"/>
      <c r="L5143" s="15"/>
    </row>
    <row r="5144" spans="1:12">
      <c r="A5144" s="8"/>
      <c r="B5144" s="9"/>
      <c r="C5144" s="10"/>
      <c r="D5144" s="10"/>
      <c r="E5144" s="25"/>
      <c r="F5144" s="25"/>
      <c r="G5144" s="12"/>
      <c r="H5144" s="26"/>
      <c r="I5144" s="10"/>
      <c r="J5144" s="5"/>
      <c r="K5144" s="26"/>
      <c r="L5144" s="103"/>
    </row>
    <row r="5145" spans="1:12">
      <c r="A5145" s="8"/>
      <c r="B5145" s="9"/>
      <c r="C5145" s="10"/>
      <c r="D5145" s="10"/>
      <c r="E5145" s="11"/>
      <c r="F5145" s="11"/>
      <c r="G5145" s="12"/>
      <c r="H5145" s="12"/>
      <c r="I5145" s="10"/>
      <c r="J5145" s="5"/>
      <c r="K5145" s="12"/>
      <c r="L5145" s="15"/>
    </row>
    <row r="5146" spans="1:12">
      <c r="A5146" s="8"/>
      <c r="B5146" s="9"/>
      <c r="C5146" s="10"/>
      <c r="D5146" s="10"/>
      <c r="E5146" s="25"/>
      <c r="F5146" s="25"/>
      <c r="G5146" s="12"/>
      <c r="H5146" s="26"/>
      <c r="I5146" s="10"/>
      <c r="J5146" s="5"/>
      <c r="K5146" s="26"/>
      <c r="L5146" s="103"/>
    </row>
    <row r="5147" spans="1:12">
      <c r="A5147" s="8"/>
      <c r="B5147" s="9"/>
      <c r="C5147" s="10"/>
      <c r="D5147" s="10"/>
      <c r="E5147" s="11"/>
      <c r="F5147" s="11"/>
      <c r="G5147" s="12"/>
      <c r="H5147" s="12"/>
      <c r="I5147" s="10"/>
      <c r="J5147" s="5"/>
      <c r="K5147" s="12"/>
      <c r="L5147" s="15"/>
    </row>
    <row r="5148" spans="1:12">
      <c r="A5148" s="8"/>
      <c r="B5148" s="9"/>
      <c r="C5148" s="10"/>
      <c r="D5148" s="10"/>
      <c r="E5148" s="11"/>
      <c r="F5148" s="11"/>
      <c r="G5148" s="12"/>
      <c r="H5148" s="12"/>
      <c r="I5148" s="10"/>
      <c r="J5148" s="5"/>
      <c r="K5148" s="12"/>
      <c r="L5148" s="15"/>
    </row>
    <row r="5149" spans="1:12">
      <c r="A5149" s="8"/>
      <c r="B5149" s="9"/>
      <c r="C5149" s="10"/>
      <c r="D5149" s="10"/>
      <c r="E5149" s="11"/>
      <c r="F5149" s="11"/>
      <c r="G5149" s="12"/>
      <c r="H5149" s="12"/>
      <c r="I5149" s="10"/>
      <c r="J5149" s="5"/>
      <c r="K5149" s="12"/>
      <c r="L5149" s="15"/>
    </row>
    <row r="5150" spans="1:12">
      <c r="A5150" s="8"/>
      <c r="B5150" s="9"/>
      <c r="C5150" s="10"/>
      <c r="D5150" s="10"/>
      <c r="E5150" s="25"/>
      <c r="F5150" s="25"/>
      <c r="G5150" s="12"/>
      <c r="H5150" s="26"/>
      <c r="I5150" s="10"/>
      <c r="J5150" s="5"/>
      <c r="K5150" s="12"/>
      <c r="L5150" s="15"/>
    </row>
    <row r="5151" spans="1:12">
      <c r="A5151" s="8"/>
      <c r="B5151" s="9"/>
      <c r="C5151" s="10"/>
      <c r="D5151" s="10"/>
      <c r="E5151" s="25"/>
      <c r="F5151" s="25"/>
      <c r="G5151" s="12"/>
      <c r="H5151" s="26"/>
      <c r="I5151" s="10"/>
      <c r="J5151" s="5"/>
      <c r="K5151" s="12"/>
      <c r="L5151" s="15"/>
    </row>
    <row r="5152" spans="1:12">
      <c r="A5152" s="8"/>
      <c r="B5152" s="9"/>
      <c r="C5152" s="10"/>
      <c r="D5152" s="10"/>
      <c r="E5152" s="11"/>
      <c r="F5152" s="11"/>
      <c r="G5152" s="12"/>
      <c r="H5152" s="12"/>
      <c r="I5152" s="10"/>
      <c r="J5152" s="5"/>
      <c r="K5152" s="9"/>
      <c r="L5152" s="15"/>
    </row>
    <row r="5153" spans="1:12">
      <c r="A5153" s="8"/>
      <c r="B5153" s="9"/>
      <c r="C5153" s="10"/>
      <c r="D5153" s="10"/>
      <c r="E5153" s="11"/>
      <c r="F5153" s="11"/>
      <c r="G5153" s="12"/>
      <c r="H5153" s="12"/>
      <c r="I5153" s="10"/>
      <c r="J5153" s="5"/>
      <c r="K5153" s="9"/>
      <c r="L5153" s="15"/>
    </row>
    <row r="5154" spans="1:12">
      <c r="A5154" s="8"/>
      <c r="B5154" s="9"/>
      <c r="C5154" s="10"/>
      <c r="D5154" s="10"/>
      <c r="E5154" s="11"/>
      <c r="F5154" s="11"/>
      <c r="G5154" s="12"/>
      <c r="H5154" s="12"/>
      <c r="I5154" s="10"/>
      <c r="J5154" s="5"/>
      <c r="K5154" s="9"/>
      <c r="L5154" s="15"/>
    </row>
    <row r="5155" spans="1:12">
      <c r="A5155" s="8"/>
      <c r="B5155" s="9"/>
      <c r="C5155" s="13"/>
      <c r="D5155" s="10"/>
      <c r="E5155" s="19"/>
      <c r="F5155" s="19"/>
      <c r="G5155" s="12"/>
      <c r="H5155" s="9"/>
      <c r="I5155" s="10"/>
      <c r="J5155" s="5"/>
      <c r="K5155" s="9"/>
      <c r="L5155" s="41"/>
    </row>
    <row r="5156" spans="1:12">
      <c r="A5156" s="8"/>
      <c r="B5156" s="9"/>
      <c r="C5156" s="13"/>
      <c r="D5156" s="10"/>
      <c r="E5156" s="95"/>
      <c r="F5156" s="95"/>
      <c r="G5156" s="12"/>
      <c r="H5156" s="27"/>
      <c r="I5156" s="10"/>
      <c r="J5156" s="5"/>
      <c r="K5156" s="9"/>
      <c r="L5156" s="21"/>
    </row>
    <row r="5157" spans="1:12">
      <c r="A5157" s="8"/>
      <c r="B5157" s="9"/>
      <c r="C5157" s="10"/>
      <c r="D5157" s="10"/>
      <c r="E5157" s="11"/>
      <c r="F5157" s="11"/>
      <c r="G5157" s="12"/>
      <c r="H5157" s="12"/>
      <c r="I5157" s="10"/>
      <c r="J5157" s="5"/>
      <c r="K5157" s="9"/>
      <c r="L5157" s="15"/>
    </row>
    <row r="5158" spans="1:12">
      <c r="A5158" s="8"/>
      <c r="B5158" s="9"/>
      <c r="C5158" s="10"/>
      <c r="D5158" s="10"/>
      <c r="E5158" s="11"/>
      <c r="F5158" s="11"/>
      <c r="G5158" s="12"/>
      <c r="H5158" s="12"/>
      <c r="I5158" s="10"/>
      <c r="J5158" s="5"/>
      <c r="K5158" s="104"/>
      <c r="L5158" s="15"/>
    </row>
    <row r="5159" spans="1:12">
      <c r="A5159" s="8"/>
      <c r="B5159" s="9"/>
      <c r="C5159" s="10"/>
      <c r="D5159" s="10"/>
      <c r="E5159" s="11"/>
      <c r="F5159" s="11"/>
      <c r="G5159" s="12"/>
      <c r="H5159" s="12"/>
      <c r="I5159" s="10"/>
      <c r="J5159" s="5"/>
      <c r="K5159" s="104"/>
      <c r="L5159" s="15"/>
    </row>
    <row r="5160" spans="1:12">
      <c r="A5160" s="8"/>
      <c r="B5160" s="9"/>
      <c r="C5160" s="10"/>
      <c r="D5160" s="10"/>
      <c r="E5160" s="25"/>
      <c r="F5160" s="25"/>
      <c r="G5160" s="12"/>
      <c r="H5160" s="26"/>
      <c r="I5160" s="10"/>
      <c r="J5160" s="5"/>
      <c r="K5160" s="104"/>
      <c r="L5160" s="15"/>
    </row>
    <row r="5161" spans="1:12">
      <c r="A5161" s="8"/>
      <c r="B5161" s="9"/>
      <c r="C5161" s="10"/>
      <c r="D5161" s="10"/>
      <c r="E5161" s="11"/>
      <c r="F5161" s="11"/>
      <c r="G5161" s="12"/>
      <c r="H5161" s="12"/>
      <c r="I5161" s="10"/>
      <c r="J5161" s="5"/>
      <c r="K5161" s="104"/>
      <c r="L5161" s="15"/>
    </row>
    <row r="5162" spans="1:12">
      <c r="A5162" s="8"/>
      <c r="B5162" s="9"/>
      <c r="C5162" s="10"/>
      <c r="D5162" s="10"/>
      <c r="E5162" s="25"/>
      <c r="F5162" s="25"/>
      <c r="G5162" s="12"/>
      <c r="H5162" s="26"/>
      <c r="I5162" s="10"/>
      <c r="J5162" s="5"/>
      <c r="K5162" s="104"/>
      <c r="L5162" s="15"/>
    </row>
    <row r="5163" spans="1:12">
      <c r="A5163" s="8"/>
      <c r="B5163" s="9"/>
      <c r="C5163" s="10"/>
      <c r="D5163" s="10"/>
      <c r="E5163" s="11"/>
      <c r="F5163" s="11"/>
      <c r="G5163" s="12"/>
      <c r="H5163" s="12"/>
      <c r="I5163" s="10"/>
      <c r="J5163" s="5"/>
      <c r="K5163" s="12"/>
      <c r="L5163" s="16"/>
    </row>
    <row r="5164" spans="1:12">
      <c r="A5164" s="8"/>
      <c r="B5164" s="9"/>
      <c r="C5164" s="10"/>
      <c r="D5164" s="10"/>
      <c r="E5164" s="11"/>
      <c r="F5164" s="11"/>
      <c r="G5164" s="12"/>
      <c r="H5164" s="12"/>
      <c r="I5164" s="10"/>
      <c r="J5164" s="5"/>
      <c r="K5164" s="12"/>
      <c r="L5164" s="16"/>
    </row>
    <row r="5165" spans="1:12">
      <c r="A5165" s="8"/>
      <c r="B5165" s="9"/>
      <c r="C5165" s="10"/>
      <c r="D5165" s="10"/>
      <c r="E5165" s="11"/>
      <c r="F5165" s="11"/>
      <c r="G5165" s="12"/>
      <c r="H5165" s="12"/>
      <c r="I5165" s="10"/>
      <c r="J5165" s="5"/>
      <c r="K5165" s="12"/>
      <c r="L5165" s="15"/>
    </row>
    <row r="5166" spans="1:12">
      <c r="A5166" s="8"/>
      <c r="B5166" s="9"/>
      <c r="C5166" s="10"/>
      <c r="D5166" s="10"/>
      <c r="E5166" s="11"/>
      <c r="F5166" s="11"/>
      <c r="G5166" s="12"/>
      <c r="H5166" s="12"/>
      <c r="I5166" s="10"/>
      <c r="J5166" s="5"/>
      <c r="K5166" s="12"/>
      <c r="L5166" s="15"/>
    </row>
    <row r="5167" spans="1:12">
      <c r="A5167" s="8"/>
      <c r="B5167" s="9"/>
      <c r="C5167" s="10"/>
      <c r="D5167" s="10"/>
      <c r="E5167" s="11"/>
      <c r="F5167" s="11"/>
      <c r="G5167" s="12"/>
      <c r="H5167" s="12"/>
      <c r="I5167" s="10"/>
      <c r="J5167" s="5"/>
      <c r="K5167" s="10"/>
      <c r="L5167" s="23"/>
    </row>
    <row r="5168" spans="1:12">
      <c r="A5168" s="8"/>
      <c r="B5168" s="9"/>
      <c r="C5168" s="10"/>
      <c r="D5168" s="10"/>
      <c r="E5168" s="11"/>
      <c r="F5168" s="11"/>
      <c r="G5168" s="12"/>
      <c r="H5168" s="12"/>
      <c r="I5168" s="10"/>
      <c r="J5168" s="5"/>
      <c r="K5168" s="13"/>
      <c r="L5168" s="23"/>
    </row>
    <row r="5169" spans="1:12">
      <c r="A5169" s="8"/>
      <c r="B5169" s="9"/>
      <c r="C5169" s="10"/>
      <c r="D5169" s="10"/>
      <c r="E5169" s="11"/>
      <c r="F5169" s="11"/>
      <c r="G5169" s="12"/>
      <c r="H5169" s="12"/>
      <c r="I5169" s="10"/>
      <c r="J5169" s="5"/>
      <c r="K5169" s="13"/>
      <c r="L5169" s="23"/>
    </row>
    <row r="5170" spans="1:12">
      <c r="A5170" s="8"/>
      <c r="B5170" s="9"/>
      <c r="C5170" s="10"/>
      <c r="D5170" s="10"/>
      <c r="E5170" s="11"/>
      <c r="F5170" s="11"/>
      <c r="G5170" s="12"/>
      <c r="H5170" s="12"/>
      <c r="I5170" s="10"/>
      <c r="J5170" s="5"/>
      <c r="K5170" s="10"/>
      <c r="L5170" s="23"/>
    </row>
    <row r="5171" spans="1:12">
      <c r="A5171" s="8"/>
      <c r="B5171" s="9"/>
      <c r="C5171" s="10"/>
      <c r="D5171" s="10"/>
      <c r="E5171" s="11"/>
      <c r="F5171" s="11"/>
      <c r="G5171" s="12"/>
      <c r="H5171" s="12"/>
      <c r="I5171" s="10"/>
      <c r="J5171" s="5"/>
      <c r="K5171" s="13"/>
      <c r="L5171" s="23"/>
    </row>
    <row r="5172" spans="1:12">
      <c r="A5172" s="8"/>
      <c r="B5172" s="9"/>
      <c r="C5172" s="10"/>
      <c r="D5172" s="10"/>
      <c r="E5172" s="11"/>
      <c r="F5172" s="11"/>
      <c r="G5172" s="12"/>
      <c r="H5172" s="12"/>
      <c r="I5172" s="10"/>
      <c r="J5172" s="5"/>
      <c r="K5172" s="13"/>
      <c r="L5172" s="23"/>
    </row>
    <row r="5173" spans="1:12">
      <c r="A5173" s="8"/>
      <c r="B5173" s="9"/>
      <c r="C5173" s="10"/>
      <c r="D5173" s="10"/>
      <c r="E5173" s="11"/>
      <c r="F5173" s="11"/>
      <c r="G5173" s="12"/>
      <c r="H5173" s="12"/>
      <c r="I5173" s="10"/>
      <c r="J5173" s="5"/>
      <c r="K5173" s="13"/>
      <c r="L5173" s="23"/>
    </row>
    <row r="5174" spans="1:12">
      <c r="A5174" s="8"/>
      <c r="B5174" s="9"/>
      <c r="C5174" s="10"/>
      <c r="D5174" s="10"/>
      <c r="E5174" s="11"/>
      <c r="F5174" s="11"/>
      <c r="G5174" s="12"/>
      <c r="H5174" s="12"/>
      <c r="I5174" s="10"/>
      <c r="J5174" s="5"/>
      <c r="K5174" s="10"/>
      <c r="L5174" s="23"/>
    </row>
    <row r="5175" spans="1:12">
      <c r="A5175" s="8"/>
      <c r="B5175" s="9"/>
      <c r="C5175" s="10"/>
      <c r="D5175" s="10"/>
      <c r="E5175" s="11"/>
      <c r="F5175" s="11"/>
      <c r="G5175" s="12"/>
      <c r="H5175" s="12"/>
      <c r="I5175" s="10"/>
      <c r="J5175" s="5"/>
      <c r="K5175" s="12"/>
      <c r="L5175" s="15"/>
    </row>
    <row r="5176" spans="1:12">
      <c r="A5176" s="8"/>
      <c r="B5176" s="9"/>
      <c r="C5176" s="10"/>
      <c r="D5176" s="10"/>
      <c r="E5176" s="22"/>
      <c r="F5176" s="22"/>
      <c r="G5176" s="12"/>
      <c r="H5176" s="10"/>
      <c r="I5176" s="10"/>
      <c r="J5176" s="5"/>
      <c r="K5176" s="12"/>
      <c r="L5176" s="15"/>
    </row>
    <row r="5177" spans="1:12">
      <c r="A5177" s="8"/>
      <c r="B5177" s="9"/>
      <c r="C5177" s="10"/>
      <c r="D5177" s="10"/>
      <c r="E5177" s="22"/>
      <c r="F5177" s="22"/>
      <c r="G5177" s="12"/>
      <c r="H5177" s="10"/>
      <c r="I5177" s="10"/>
      <c r="J5177" s="5"/>
      <c r="K5177" s="12"/>
      <c r="L5177" s="15"/>
    </row>
    <row r="5178" spans="1:12">
      <c r="A5178" s="8"/>
      <c r="B5178" s="9"/>
      <c r="C5178" s="10"/>
      <c r="D5178" s="10"/>
      <c r="E5178" s="11"/>
      <c r="F5178" s="11"/>
      <c r="G5178" s="12"/>
      <c r="H5178" s="12"/>
      <c r="I5178" s="10"/>
      <c r="J5178" s="5"/>
      <c r="K5178" s="12"/>
      <c r="L5178" s="15"/>
    </row>
    <row r="5179" spans="1:12">
      <c r="A5179" s="8"/>
      <c r="B5179" s="9"/>
      <c r="C5179" s="10"/>
      <c r="D5179" s="10"/>
      <c r="E5179" s="11"/>
      <c r="F5179" s="11"/>
      <c r="G5179" s="12"/>
      <c r="H5179" s="12"/>
      <c r="I5179" s="10"/>
      <c r="J5179" s="5"/>
      <c r="K5179" s="10"/>
      <c r="L5179" s="23"/>
    </row>
    <row r="5180" spans="1:12">
      <c r="A5180" s="8"/>
      <c r="B5180" s="9"/>
      <c r="C5180" s="10"/>
      <c r="D5180" s="10"/>
      <c r="E5180" s="11"/>
      <c r="F5180" s="11"/>
      <c r="G5180" s="12"/>
      <c r="H5180" s="12"/>
      <c r="I5180" s="10"/>
      <c r="J5180" s="5"/>
      <c r="K5180" s="13"/>
      <c r="L5180" s="23"/>
    </row>
    <row r="5181" spans="1:12">
      <c r="A5181" s="8"/>
      <c r="B5181" s="9"/>
      <c r="C5181" s="10"/>
      <c r="D5181" s="10"/>
      <c r="E5181" s="11"/>
      <c r="F5181" s="11"/>
      <c r="G5181" s="12"/>
      <c r="H5181" s="12"/>
      <c r="I5181" s="10"/>
      <c r="J5181" s="5"/>
      <c r="K5181" s="10"/>
      <c r="L5181" s="23"/>
    </row>
    <row r="5182" spans="1:12">
      <c r="A5182" s="8"/>
      <c r="B5182" s="9"/>
      <c r="C5182" s="10"/>
      <c r="D5182" s="10"/>
      <c r="E5182" s="11"/>
      <c r="F5182" s="11"/>
      <c r="G5182" s="12"/>
      <c r="H5182" s="12"/>
      <c r="I5182" s="10"/>
      <c r="J5182" s="5"/>
      <c r="K5182" s="10"/>
      <c r="L5182" s="23"/>
    </row>
    <row r="5183" spans="1:12">
      <c r="A5183" s="8"/>
      <c r="B5183" s="9"/>
      <c r="C5183" s="10"/>
      <c r="D5183" s="10"/>
      <c r="E5183" s="11"/>
      <c r="F5183" s="11"/>
      <c r="G5183" s="12"/>
      <c r="H5183" s="12"/>
      <c r="I5183" s="10"/>
      <c r="J5183" s="5"/>
      <c r="K5183" s="10"/>
      <c r="L5183" s="23"/>
    </row>
    <row r="5184" spans="1:12">
      <c r="A5184" s="8"/>
      <c r="B5184" s="9"/>
      <c r="C5184" s="10"/>
      <c r="D5184" s="10"/>
      <c r="E5184" s="11"/>
      <c r="F5184" s="11"/>
      <c r="G5184" s="12"/>
      <c r="H5184" s="12"/>
      <c r="I5184" s="10"/>
      <c r="J5184" s="5"/>
      <c r="K5184" s="10"/>
      <c r="L5184" s="23"/>
    </row>
    <row r="5185" spans="1:12">
      <c r="A5185" s="8"/>
      <c r="B5185" s="9"/>
      <c r="C5185" s="10"/>
      <c r="D5185" s="10"/>
      <c r="E5185" s="11"/>
      <c r="F5185" s="11"/>
      <c r="G5185" s="12"/>
      <c r="H5185" s="12"/>
      <c r="I5185" s="10"/>
      <c r="J5185" s="5"/>
      <c r="K5185" s="13"/>
      <c r="L5185" s="23"/>
    </row>
    <row r="5186" spans="1:12">
      <c r="A5186" s="8"/>
      <c r="B5186" s="9"/>
      <c r="C5186" s="10"/>
      <c r="D5186" s="10"/>
      <c r="E5186" s="11"/>
      <c r="F5186" s="11"/>
      <c r="G5186" s="12"/>
      <c r="H5186" s="12"/>
      <c r="I5186" s="10"/>
      <c r="J5186" s="5"/>
      <c r="K5186" s="9"/>
      <c r="L5186" s="15"/>
    </row>
    <row r="5187" spans="1:12">
      <c r="A5187" s="8"/>
      <c r="B5187" s="9"/>
      <c r="C5187" s="10"/>
      <c r="D5187" s="10"/>
      <c r="E5187" s="11"/>
      <c r="F5187" s="11"/>
      <c r="G5187" s="12"/>
      <c r="H5187" s="12"/>
      <c r="I5187" s="10"/>
      <c r="J5187" s="5"/>
      <c r="K5187" s="9"/>
      <c r="L5187" s="15"/>
    </row>
    <row r="5188" spans="1:12">
      <c r="A5188" s="8"/>
      <c r="B5188" s="9"/>
      <c r="C5188" s="10"/>
      <c r="D5188" s="10"/>
      <c r="E5188" s="11"/>
      <c r="F5188" s="11"/>
      <c r="G5188" s="12"/>
      <c r="H5188" s="12"/>
      <c r="I5188" s="10"/>
      <c r="J5188" s="5"/>
      <c r="K5188" s="9"/>
      <c r="L5188" s="15"/>
    </row>
    <row r="5189" spans="1:12">
      <c r="A5189" s="8"/>
      <c r="B5189" s="9"/>
      <c r="C5189" s="10"/>
      <c r="D5189" s="10"/>
      <c r="E5189" s="11"/>
      <c r="F5189" s="11"/>
      <c r="G5189" s="12"/>
      <c r="H5189" s="12"/>
      <c r="I5189" s="10"/>
      <c r="J5189" s="5"/>
      <c r="K5189" s="9"/>
      <c r="L5189" s="15"/>
    </row>
    <row r="5190" spans="1:12">
      <c r="A5190" s="8"/>
      <c r="B5190" s="9"/>
      <c r="C5190" s="10"/>
      <c r="D5190" s="10"/>
      <c r="E5190" s="11"/>
      <c r="F5190" s="11"/>
      <c r="G5190" s="12"/>
      <c r="H5190" s="12"/>
      <c r="I5190" s="10"/>
      <c r="J5190" s="5"/>
      <c r="K5190" s="9"/>
      <c r="L5190" s="15"/>
    </row>
    <row r="5191" spans="1:12">
      <c r="A5191" s="8"/>
      <c r="B5191" s="9"/>
      <c r="C5191" s="10"/>
      <c r="D5191" s="10"/>
      <c r="E5191" s="11"/>
      <c r="F5191" s="11"/>
      <c r="G5191" s="12"/>
      <c r="H5191" s="12"/>
      <c r="I5191" s="10"/>
      <c r="J5191" s="5"/>
      <c r="K5191" s="9"/>
      <c r="L5191" s="15"/>
    </row>
    <row r="5192" spans="1:12">
      <c r="A5192" s="8"/>
      <c r="B5192" s="9"/>
      <c r="C5192" s="10"/>
      <c r="D5192" s="10"/>
      <c r="E5192" s="11"/>
      <c r="F5192" s="11"/>
      <c r="G5192" s="12"/>
      <c r="H5192" s="12"/>
      <c r="I5192" s="10"/>
      <c r="J5192" s="5"/>
      <c r="K5192" s="12"/>
      <c r="L5192" s="15"/>
    </row>
    <row r="5193" spans="1:12">
      <c r="A5193" s="8"/>
      <c r="B5193" s="9"/>
      <c r="C5193" s="10"/>
      <c r="D5193" s="10"/>
      <c r="E5193" s="11"/>
      <c r="F5193" s="11"/>
      <c r="G5193" s="12"/>
      <c r="H5193" s="12"/>
      <c r="I5193" s="10"/>
      <c r="J5193" s="5"/>
      <c r="K5193" s="12"/>
      <c r="L5193" s="15"/>
    </row>
    <row r="5194" spans="1:12">
      <c r="A5194" s="8"/>
      <c r="B5194" s="9"/>
      <c r="C5194" s="10"/>
      <c r="D5194" s="10"/>
      <c r="E5194" s="11"/>
      <c r="F5194" s="11"/>
      <c r="G5194" s="12"/>
      <c r="H5194" s="12"/>
      <c r="I5194" s="10"/>
      <c r="J5194" s="5"/>
      <c r="K5194" s="9"/>
      <c r="L5194" s="15"/>
    </row>
    <row r="5195" spans="1:12">
      <c r="A5195" s="8"/>
      <c r="B5195" s="9"/>
      <c r="C5195" s="10"/>
      <c r="D5195" s="10"/>
      <c r="E5195" s="11"/>
      <c r="F5195" s="11"/>
      <c r="G5195" s="12"/>
      <c r="H5195" s="12"/>
      <c r="I5195" s="10"/>
      <c r="J5195" s="5"/>
      <c r="K5195" s="10"/>
      <c r="L5195" s="59"/>
    </row>
    <row r="5196" spans="1:12">
      <c r="A5196" s="8"/>
      <c r="B5196" s="9"/>
      <c r="C5196" s="10"/>
      <c r="D5196" s="10"/>
      <c r="E5196" s="11"/>
      <c r="F5196" s="11"/>
      <c r="G5196" s="12"/>
      <c r="H5196" s="12"/>
      <c r="I5196" s="10"/>
      <c r="J5196" s="5"/>
      <c r="K5196" s="10"/>
      <c r="L5196" s="59"/>
    </row>
    <row r="5197" spans="1:12">
      <c r="A5197" s="8"/>
      <c r="B5197" s="9"/>
      <c r="C5197" s="10"/>
      <c r="D5197" s="10"/>
      <c r="E5197" s="11"/>
      <c r="F5197" s="11"/>
      <c r="G5197" s="12"/>
      <c r="H5197" s="12"/>
      <c r="I5197" s="10"/>
      <c r="J5197" s="5"/>
      <c r="K5197" s="10"/>
      <c r="L5197" s="23"/>
    </row>
    <row r="5198" spans="1:12">
      <c r="A5198" s="8"/>
      <c r="B5198" s="9"/>
      <c r="C5198" s="10"/>
      <c r="D5198" s="10"/>
      <c r="E5198" s="11"/>
      <c r="F5198" s="11"/>
      <c r="G5198" s="12"/>
      <c r="H5198" s="12"/>
      <c r="I5198" s="10"/>
      <c r="J5198" s="5"/>
      <c r="K5198" s="12"/>
      <c r="L5198" s="15"/>
    </row>
    <row r="5199" spans="1:12">
      <c r="A5199" s="8"/>
      <c r="B5199" s="9"/>
      <c r="C5199" s="10"/>
      <c r="D5199" s="10"/>
      <c r="E5199" s="11"/>
      <c r="F5199" s="11"/>
      <c r="G5199" s="12"/>
      <c r="H5199" s="12"/>
      <c r="I5199" s="10"/>
      <c r="J5199" s="5"/>
      <c r="K5199" s="9"/>
      <c r="L5199" s="15"/>
    </row>
    <row r="5200" spans="1:12">
      <c r="A5200" s="8"/>
      <c r="B5200" s="9"/>
      <c r="C5200" s="10"/>
      <c r="D5200" s="10"/>
      <c r="E5200" s="22"/>
      <c r="F5200" s="22"/>
      <c r="G5200" s="12"/>
      <c r="H5200" s="10"/>
      <c r="I5200" s="10"/>
      <c r="J5200" s="5"/>
      <c r="K5200" s="10"/>
      <c r="L5200" s="23"/>
    </row>
    <row r="5201" spans="1:12">
      <c r="A5201" s="8"/>
      <c r="B5201" s="9"/>
      <c r="C5201" s="10"/>
      <c r="D5201" s="10"/>
      <c r="E5201" s="11"/>
      <c r="F5201" s="11"/>
      <c r="G5201" s="12"/>
      <c r="H5201" s="12"/>
      <c r="I5201" s="10"/>
      <c r="J5201" s="5"/>
      <c r="K5201" s="10"/>
      <c r="L5201" s="23"/>
    </row>
    <row r="5202" spans="1:12">
      <c r="A5202" s="8"/>
      <c r="B5202" s="9"/>
      <c r="C5202" s="10"/>
      <c r="D5202" s="10"/>
      <c r="E5202" s="11"/>
      <c r="F5202" s="11"/>
      <c r="G5202" s="12"/>
      <c r="H5202" s="12"/>
      <c r="I5202" s="10"/>
      <c r="J5202" s="5"/>
      <c r="K5202" s="13"/>
      <c r="L5202" s="23"/>
    </row>
    <row r="5203" spans="1:12">
      <c r="A5203" s="8"/>
      <c r="B5203" s="9"/>
      <c r="C5203" s="10"/>
      <c r="D5203" s="10"/>
      <c r="E5203" s="11"/>
      <c r="F5203" s="11"/>
      <c r="G5203" s="12"/>
      <c r="H5203" s="12"/>
      <c r="I5203" s="10"/>
      <c r="J5203" s="5"/>
      <c r="K5203" s="13"/>
      <c r="L5203" s="23"/>
    </row>
    <row r="5204" spans="1:12">
      <c r="A5204" s="8"/>
      <c r="B5204" s="9"/>
      <c r="C5204" s="10"/>
      <c r="D5204" s="10"/>
      <c r="E5204" s="11"/>
      <c r="F5204" s="11"/>
      <c r="G5204" s="12"/>
      <c r="H5204" s="12"/>
      <c r="I5204" s="10"/>
      <c r="J5204" s="5"/>
      <c r="K5204" s="10"/>
      <c r="L5204" s="23"/>
    </row>
    <row r="5205" spans="1:12">
      <c r="A5205" s="8"/>
      <c r="B5205" s="9"/>
      <c r="C5205" s="10"/>
      <c r="D5205" s="10"/>
      <c r="E5205" s="11"/>
      <c r="F5205" s="11"/>
      <c r="G5205" s="12"/>
      <c r="H5205" s="12"/>
      <c r="I5205" s="10"/>
      <c r="J5205" s="5"/>
      <c r="K5205" s="10"/>
      <c r="L5205" s="23"/>
    </row>
    <row r="5206" spans="1:12">
      <c r="A5206" s="8"/>
      <c r="B5206" s="9"/>
      <c r="C5206" s="10"/>
      <c r="D5206" s="10"/>
      <c r="E5206" s="11"/>
      <c r="F5206" s="11"/>
      <c r="G5206" s="12"/>
      <c r="H5206" s="12"/>
      <c r="I5206" s="10"/>
      <c r="J5206" s="5"/>
      <c r="K5206" s="13"/>
      <c r="L5206" s="23"/>
    </row>
    <row r="5207" spans="1:12">
      <c r="A5207" s="8"/>
      <c r="B5207" s="9"/>
      <c r="C5207" s="10"/>
      <c r="D5207" s="10"/>
      <c r="E5207" s="11"/>
      <c r="F5207" s="11"/>
      <c r="G5207" s="12"/>
      <c r="H5207" s="12"/>
      <c r="I5207" s="10"/>
      <c r="J5207" s="5"/>
      <c r="K5207" s="13"/>
      <c r="L5207" s="23"/>
    </row>
    <row r="5208" spans="1:12">
      <c r="A5208" s="8"/>
      <c r="B5208" s="9"/>
      <c r="C5208" s="10"/>
      <c r="D5208" s="10"/>
      <c r="E5208" s="11"/>
      <c r="F5208" s="11"/>
      <c r="G5208" s="12"/>
      <c r="H5208" s="12"/>
      <c r="I5208" s="10"/>
      <c r="J5208" s="5"/>
      <c r="K5208" s="13"/>
      <c r="L5208" s="23"/>
    </row>
    <row r="5209" spans="1:12">
      <c r="A5209" s="8"/>
      <c r="B5209" s="9"/>
      <c r="C5209" s="10"/>
      <c r="D5209" s="10"/>
      <c r="E5209" s="22"/>
      <c r="F5209" s="22"/>
      <c r="G5209" s="12"/>
      <c r="H5209" s="10"/>
      <c r="I5209" s="10"/>
      <c r="J5209" s="5"/>
      <c r="K5209" s="13"/>
      <c r="L5209" s="23"/>
    </row>
    <row r="5210" spans="1:12">
      <c r="A5210" s="8"/>
      <c r="B5210" s="9"/>
      <c r="C5210" s="10"/>
      <c r="D5210" s="10"/>
      <c r="E5210" s="11"/>
      <c r="F5210" s="11"/>
      <c r="G5210" s="12"/>
      <c r="H5210" s="12"/>
      <c r="I5210" s="10"/>
      <c r="J5210" s="5"/>
      <c r="K5210" s="13"/>
      <c r="L5210" s="23"/>
    </row>
    <row r="5211" spans="1:12">
      <c r="A5211" s="8"/>
      <c r="B5211" s="9"/>
      <c r="C5211" s="10"/>
      <c r="D5211" s="10"/>
      <c r="E5211" s="11"/>
      <c r="F5211" s="11"/>
      <c r="G5211" s="12"/>
      <c r="H5211" s="12"/>
      <c r="I5211" s="10"/>
      <c r="J5211" s="5"/>
      <c r="K5211" s="13"/>
      <c r="L5211" s="23"/>
    </row>
    <row r="5212" spans="1:12">
      <c r="A5212" s="8"/>
      <c r="B5212" s="9"/>
      <c r="C5212" s="10"/>
      <c r="D5212" s="10"/>
      <c r="E5212" s="11"/>
      <c r="F5212" s="11"/>
      <c r="G5212" s="12"/>
      <c r="H5212" s="12"/>
      <c r="I5212" s="10"/>
      <c r="J5212" s="5"/>
      <c r="K5212" s="10"/>
      <c r="L5212" s="23"/>
    </row>
    <row r="5213" spans="1:12">
      <c r="A5213" s="8"/>
      <c r="B5213" s="9"/>
      <c r="C5213" s="10"/>
      <c r="D5213" s="10"/>
      <c r="E5213" s="11"/>
      <c r="F5213" s="11"/>
      <c r="G5213" s="12"/>
      <c r="H5213" s="12"/>
      <c r="I5213" s="10"/>
      <c r="J5213" s="5"/>
      <c r="K5213" s="13"/>
      <c r="L5213" s="23"/>
    </row>
    <row r="5214" spans="1:12">
      <c r="A5214" s="8"/>
      <c r="B5214" s="9"/>
      <c r="C5214" s="10"/>
      <c r="D5214" s="10"/>
      <c r="E5214" s="11"/>
      <c r="F5214" s="11"/>
      <c r="G5214" s="12"/>
      <c r="H5214" s="12"/>
      <c r="I5214" s="10"/>
      <c r="J5214" s="5"/>
      <c r="K5214" s="13"/>
      <c r="L5214" s="23"/>
    </row>
    <row r="5215" spans="1:12">
      <c r="A5215" s="8"/>
      <c r="B5215" s="9"/>
      <c r="C5215" s="10"/>
      <c r="D5215" s="10"/>
      <c r="E5215" s="11"/>
      <c r="F5215" s="11"/>
      <c r="G5215" s="12"/>
      <c r="H5215" s="12"/>
      <c r="I5215" s="10"/>
      <c r="J5215" s="5"/>
      <c r="K5215" s="10"/>
      <c r="L5215" s="23"/>
    </row>
    <row r="5216" spans="1:12">
      <c r="A5216" s="8"/>
      <c r="B5216" s="9"/>
      <c r="C5216" s="10"/>
      <c r="D5216" s="10"/>
      <c r="E5216" s="11"/>
      <c r="F5216" s="11"/>
      <c r="G5216" s="12"/>
      <c r="H5216" s="12"/>
      <c r="I5216" s="10"/>
      <c r="J5216" s="5"/>
      <c r="K5216" s="13"/>
      <c r="L5216" s="23"/>
    </row>
    <row r="5217" spans="1:12">
      <c r="A5217" s="8"/>
      <c r="B5217" s="9"/>
      <c r="C5217" s="10"/>
      <c r="D5217" s="10"/>
      <c r="E5217" s="11"/>
      <c r="F5217" s="11"/>
      <c r="G5217" s="12"/>
      <c r="H5217" s="12"/>
      <c r="I5217" s="10"/>
      <c r="J5217" s="5"/>
      <c r="K5217" s="12"/>
      <c r="L5217" s="15"/>
    </row>
    <row r="5218" spans="1:12">
      <c r="A5218" s="8"/>
      <c r="B5218" s="9"/>
      <c r="C5218" s="10"/>
      <c r="D5218" s="10"/>
      <c r="E5218" s="11"/>
      <c r="F5218" s="11"/>
      <c r="G5218" s="12"/>
      <c r="H5218" s="12"/>
      <c r="I5218" s="10"/>
      <c r="J5218" s="5"/>
      <c r="K5218" s="12"/>
      <c r="L5218" s="15"/>
    </row>
    <row r="5219" spans="1:12">
      <c r="A5219" s="8"/>
      <c r="B5219" s="9"/>
      <c r="C5219" s="10"/>
      <c r="D5219" s="10"/>
      <c r="E5219" s="11"/>
      <c r="F5219" s="11"/>
      <c r="G5219" s="12"/>
      <c r="H5219" s="12"/>
      <c r="I5219" s="10"/>
      <c r="J5219" s="5"/>
      <c r="K5219" s="12"/>
      <c r="L5219" s="15"/>
    </row>
    <row r="5220" spans="1:12">
      <c r="A5220" s="8"/>
      <c r="B5220" s="9"/>
      <c r="C5220" s="10"/>
      <c r="D5220" s="10"/>
      <c r="E5220" s="25"/>
      <c r="F5220" s="25"/>
      <c r="G5220" s="12"/>
      <c r="H5220" s="26"/>
      <c r="I5220" s="10"/>
      <c r="J5220" s="5"/>
      <c r="K5220" s="9"/>
      <c r="L5220" s="15"/>
    </row>
    <row r="5221" spans="1:12">
      <c r="A5221" s="8"/>
      <c r="B5221" s="9"/>
      <c r="C5221" s="10"/>
      <c r="D5221" s="10"/>
      <c r="E5221" s="11"/>
      <c r="F5221" s="11"/>
      <c r="G5221" s="12"/>
      <c r="H5221" s="12"/>
      <c r="I5221" s="10"/>
      <c r="J5221" s="5"/>
      <c r="K5221" s="12"/>
      <c r="L5221" s="15"/>
    </row>
    <row r="5222" spans="1:12">
      <c r="A5222" s="8"/>
      <c r="B5222" s="9"/>
      <c r="C5222" s="10"/>
      <c r="D5222" s="10"/>
      <c r="E5222" s="11"/>
      <c r="F5222" s="11"/>
      <c r="G5222" s="12"/>
      <c r="H5222" s="12"/>
      <c r="I5222" s="10"/>
      <c r="J5222" s="5"/>
      <c r="K5222" s="12"/>
      <c r="L5222" s="15"/>
    </row>
    <row r="5223" spans="1:12">
      <c r="A5223" s="8"/>
      <c r="B5223" s="9"/>
      <c r="C5223" s="10"/>
      <c r="D5223" s="10"/>
      <c r="E5223" s="11"/>
      <c r="F5223" s="11"/>
      <c r="G5223" s="12"/>
      <c r="H5223" s="12"/>
      <c r="I5223" s="10"/>
      <c r="J5223" s="5"/>
      <c r="K5223" s="12"/>
      <c r="L5223" s="15"/>
    </row>
    <row r="5224" spans="1:12">
      <c r="A5224" s="8"/>
      <c r="B5224" s="9"/>
      <c r="C5224" s="10"/>
      <c r="D5224" s="10"/>
      <c r="E5224" s="11"/>
      <c r="F5224" s="11"/>
      <c r="G5224" s="12"/>
      <c r="H5224" s="12"/>
      <c r="I5224" s="10"/>
      <c r="J5224" s="5"/>
      <c r="K5224" s="12"/>
      <c r="L5224" s="15"/>
    </row>
    <row r="5225" spans="1:12">
      <c r="A5225" s="8"/>
      <c r="B5225" s="9"/>
      <c r="C5225" s="10"/>
      <c r="D5225" s="10"/>
      <c r="E5225" s="11"/>
      <c r="F5225" s="11"/>
      <c r="G5225" s="12"/>
      <c r="H5225" s="12"/>
      <c r="I5225" s="10"/>
      <c r="J5225" s="5"/>
      <c r="K5225" s="10"/>
      <c r="L5225" s="23"/>
    </row>
    <row r="5226" spans="1:12">
      <c r="A5226" s="8"/>
      <c r="B5226" s="9"/>
      <c r="C5226" s="10"/>
      <c r="D5226" s="10"/>
      <c r="E5226" s="11"/>
      <c r="F5226" s="11"/>
      <c r="G5226" s="12"/>
      <c r="H5226" s="12"/>
      <c r="I5226" s="10"/>
      <c r="J5226" s="5"/>
      <c r="K5226" s="12"/>
      <c r="L5226" s="15"/>
    </row>
    <row r="5227" spans="1:12">
      <c r="A5227" s="8"/>
      <c r="B5227" s="9"/>
      <c r="C5227" s="10"/>
      <c r="D5227" s="10"/>
      <c r="E5227" s="11"/>
      <c r="F5227" s="11"/>
      <c r="G5227" s="12"/>
      <c r="H5227" s="12"/>
      <c r="I5227" s="10"/>
      <c r="J5227" s="5"/>
      <c r="K5227" s="12"/>
      <c r="L5227" s="15"/>
    </row>
    <row r="5228" spans="1:12">
      <c r="A5228" s="8"/>
      <c r="B5228" s="9"/>
      <c r="C5228" s="10"/>
      <c r="D5228" s="10"/>
      <c r="E5228" s="11"/>
      <c r="F5228" s="11"/>
      <c r="G5228" s="12"/>
      <c r="H5228" s="12"/>
      <c r="I5228" s="10"/>
      <c r="J5228" s="5"/>
      <c r="K5228" s="12"/>
      <c r="L5228" s="15"/>
    </row>
    <row r="5229" spans="1:12">
      <c r="A5229" s="8"/>
      <c r="B5229" s="9"/>
      <c r="C5229" s="10"/>
      <c r="D5229" s="10"/>
      <c r="E5229" s="11"/>
      <c r="F5229" s="11"/>
      <c r="G5229" s="12"/>
      <c r="H5229" s="12"/>
      <c r="I5229" s="10"/>
      <c r="J5229" s="5"/>
      <c r="K5229" s="12"/>
      <c r="L5229" s="15"/>
    </row>
    <row r="5230" spans="1:12">
      <c r="A5230" s="8"/>
      <c r="B5230" s="9"/>
      <c r="C5230" s="10"/>
      <c r="D5230" s="10"/>
      <c r="E5230" s="11"/>
      <c r="F5230" s="11"/>
      <c r="G5230" s="12"/>
      <c r="H5230" s="12"/>
      <c r="I5230" s="10"/>
      <c r="J5230" s="5"/>
      <c r="K5230" s="12"/>
      <c r="L5230" s="15"/>
    </row>
    <row r="5231" spans="1:12">
      <c r="A5231" s="8"/>
      <c r="B5231" s="9"/>
      <c r="C5231" s="10"/>
      <c r="D5231" s="10"/>
      <c r="E5231" s="22"/>
      <c r="F5231" s="22"/>
      <c r="G5231" s="12"/>
      <c r="H5231" s="10"/>
      <c r="I5231" s="10"/>
      <c r="J5231" s="5"/>
      <c r="K5231" s="10"/>
      <c r="L5231" s="23"/>
    </row>
    <row r="5232" spans="1:12">
      <c r="A5232" s="8"/>
      <c r="B5232" s="9"/>
      <c r="C5232" s="10"/>
      <c r="D5232" s="10"/>
      <c r="E5232" s="11"/>
      <c r="F5232" s="11"/>
      <c r="G5232" s="12"/>
      <c r="H5232" s="12"/>
      <c r="I5232" s="10"/>
      <c r="J5232" s="5"/>
      <c r="K5232" s="12"/>
      <c r="L5232" s="15"/>
    </row>
    <row r="5233" spans="1:12">
      <c r="A5233" s="8"/>
      <c r="B5233" s="9"/>
      <c r="C5233" s="10"/>
      <c r="D5233" s="10"/>
      <c r="E5233" s="11"/>
      <c r="F5233" s="11"/>
      <c r="G5233" s="12"/>
      <c r="H5233" s="12"/>
      <c r="I5233" s="10"/>
      <c r="J5233" s="5"/>
      <c r="K5233" s="12"/>
      <c r="L5233" s="15"/>
    </row>
    <row r="5234" spans="1:12">
      <c r="A5234" s="8"/>
      <c r="B5234" s="9"/>
      <c r="C5234" s="10"/>
      <c r="D5234" s="10"/>
      <c r="E5234" s="11"/>
      <c r="F5234" s="11"/>
      <c r="G5234" s="12"/>
      <c r="H5234" s="12"/>
      <c r="I5234" s="10"/>
      <c r="J5234" s="5"/>
      <c r="K5234" s="12"/>
      <c r="L5234" s="15"/>
    </row>
    <row r="5235" spans="1:12">
      <c r="A5235" s="8"/>
      <c r="B5235" s="9"/>
      <c r="C5235" s="10"/>
      <c r="D5235" s="10"/>
      <c r="E5235" s="11"/>
      <c r="F5235" s="11"/>
      <c r="G5235" s="12"/>
      <c r="H5235" s="12"/>
      <c r="I5235" s="10"/>
      <c r="J5235" s="5"/>
      <c r="K5235" s="12"/>
      <c r="L5235" s="15"/>
    </row>
    <row r="5236" spans="1:12">
      <c r="A5236" s="8"/>
      <c r="B5236" s="9"/>
      <c r="C5236" s="10"/>
      <c r="D5236" s="10"/>
      <c r="E5236" s="11"/>
      <c r="F5236" s="11"/>
      <c r="G5236" s="12"/>
      <c r="H5236" s="12"/>
      <c r="I5236" s="10"/>
      <c r="J5236" s="5"/>
      <c r="K5236" s="10"/>
      <c r="L5236" s="23"/>
    </row>
    <row r="5237" spans="1:12">
      <c r="A5237" s="8"/>
      <c r="B5237" s="9"/>
      <c r="C5237" s="10"/>
      <c r="D5237" s="10"/>
      <c r="E5237" s="11"/>
      <c r="F5237" s="11"/>
      <c r="G5237" s="12"/>
      <c r="H5237" s="12"/>
      <c r="I5237" s="10"/>
      <c r="J5237" s="5"/>
      <c r="K5237" s="10"/>
      <c r="L5237" s="23"/>
    </row>
    <row r="5238" spans="1:12">
      <c r="A5238" s="8"/>
      <c r="B5238" s="9"/>
      <c r="C5238" s="10"/>
      <c r="D5238" s="10"/>
      <c r="E5238" s="11"/>
      <c r="F5238" s="11"/>
      <c r="G5238" s="12"/>
      <c r="H5238" s="12"/>
      <c r="I5238" s="10"/>
      <c r="J5238" s="5"/>
      <c r="K5238" s="13"/>
      <c r="L5238" s="23"/>
    </row>
    <row r="5239" spans="1:12">
      <c r="A5239" s="8"/>
      <c r="B5239" s="9"/>
      <c r="C5239" s="10"/>
      <c r="D5239" s="10"/>
      <c r="E5239" s="11"/>
      <c r="F5239" s="11"/>
      <c r="G5239" s="12"/>
      <c r="H5239" s="12"/>
      <c r="I5239" s="10"/>
      <c r="J5239" s="5"/>
      <c r="K5239" s="13"/>
      <c r="L5239" s="23"/>
    </row>
    <row r="5240" spans="1:12">
      <c r="A5240" s="291"/>
      <c r="B5240" s="71"/>
      <c r="C5240" s="65"/>
      <c r="D5240" s="65"/>
      <c r="E5240" s="70"/>
      <c r="F5240" s="70"/>
      <c r="G5240" s="71"/>
      <c r="H5240" s="71"/>
      <c r="I5240" s="65"/>
      <c r="J5240" s="292"/>
      <c r="K5240" s="65"/>
      <c r="L5240" s="294"/>
    </row>
    <row r="5241" spans="1:12">
      <c r="A5241" s="8"/>
      <c r="B5241" s="9"/>
      <c r="C5241" s="10"/>
      <c r="D5241" s="10"/>
      <c r="E5241" s="11"/>
      <c r="F5241" s="11"/>
      <c r="G5241" s="12"/>
      <c r="H5241" s="12"/>
      <c r="I5241" s="10"/>
      <c r="J5241" s="5"/>
      <c r="K5241" s="12"/>
      <c r="L5241" s="15"/>
    </row>
    <row r="5242" spans="1:12">
      <c r="A5242" s="8"/>
      <c r="B5242" s="9"/>
      <c r="C5242" s="10"/>
      <c r="D5242" s="10"/>
      <c r="E5242" s="11"/>
      <c r="F5242" s="11"/>
      <c r="G5242" s="12"/>
      <c r="H5242" s="12"/>
      <c r="I5242" s="10"/>
      <c r="J5242" s="5"/>
      <c r="K5242" s="12"/>
      <c r="L5242" s="15"/>
    </row>
    <row r="5243" spans="1:12">
      <c r="A5243" s="8"/>
      <c r="B5243" s="9"/>
      <c r="C5243" s="10"/>
      <c r="D5243" s="10"/>
      <c r="E5243" s="11"/>
      <c r="F5243" s="11"/>
      <c r="G5243" s="12"/>
      <c r="H5243" s="12"/>
      <c r="I5243" s="10"/>
      <c r="J5243" s="5"/>
      <c r="K5243" s="12"/>
      <c r="L5243" s="15"/>
    </row>
    <row r="5244" spans="1:12">
      <c r="A5244" s="8"/>
      <c r="B5244" s="9"/>
      <c r="C5244" s="10"/>
      <c r="D5244" s="10"/>
      <c r="E5244" s="11"/>
      <c r="F5244" s="11"/>
      <c r="G5244" s="12"/>
      <c r="H5244" s="12"/>
      <c r="I5244" s="10"/>
      <c r="J5244" s="5"/>
      <c r="K5244" s="12"/>
      <c r="L5244" s="15"/>
    </row>
    <row r="5245" spans="1:12">
      <c r="A5245" s="8"/>
      <c r="B5245" s="9"/>
      <c r="C5245" s="10"/>
      <c r="D5245" s="10"/>
      <c r="E5245" s="11"/>
      <c r="F5245" s="22"/>
      <c r="G5245" s="12"/>
      <c r="H5245" s="10"/>
      <c r="I5245" s="10"/>
      <c r="J5245" s="5"/>
      <c r="K5245" s="12"/>
      <c r="L5245" s="15"/>
    </row>
    <row r="5246" spans="1:12">
      <c r="A5246" s="8"/>
      <c r="B5246" s="9"/>
      <c r="C5246" s="10"/>
      <c r="D5246" s="10"/>
      <c r="E5246" s="11"/>
      <c r="F5246" s="22"/>
      <c r="G5246" s="12"/>
      <c r="H5246" s="10"/>
      <c r="I5246" s="10"/>
      <c r="J5246" s="5"/>
      <c r="K5246" s="12"/>
      <c r="L5246" s="15"/>
    </row>
    <row r="5247" spans="1:12">
      <c r="A5247" s="8"/>
      <c r="B5247" s="9"/>
      <c r="C5247" s="10"/>
      <c r="D5247" s="10"/>
      <c r="E5247" s="11"/>
      <c r="F5247" s="22"/>
      <c r="G5247" s="12"/>
      <c r="H5247" s="10"/>
      <c r="I5247" s="10"/>
      <c r="J5247" s="5"/>
      <c r="K5247" s="12"/>
      <c r="L5247" s="15"/>
    </row>
    <row r="5248" spans="1:12">
      <c r="A5248" s="8"/>
      <c r="B5248" s="9"/>
      <c r="C5248" s="10"/>
      <c r="D5248" s="10"/>
      <c r="E5248" s="11"/>
      <c r="F5248" s="22"/>
      <c r="G5248" s="12"/>
      <c r="H5248" s="10"/>
      <c r="I5248" s="10"/>
      <c r="J5248" s="5"/>
      <c r="K5248" s="12"/>
      <c r="L5248" s="15"/>
    </row>
    <row r="5249" spans="1:12">
      <c r="A5249" s="8"/>
      <c r="B5249" s="9"/>
      <c r="C5249" s="10"/>
      <c r="D5249" s="10"/>
      <c r="E5249" s="11"/>
      <c r="F5249" s="11"/>
      <c r="G5249" s="12"/>
      <c r="H5249" s="12"/>
      <c r="I5249" s="10"/>
      <c r="J5249" s="5"/>
      <c r="K5249" s="9"/>
      <c r="L5249" s="15"/>
    </row>
    <row r="5250" spans="1:12">
      <c r="A5250" s="8"/>
      <c r="B5250" s="9"/>
      <c r="C5250" s="10"/>
      <c r="D5250" s="10"/>
      <c r="E5250" s="11"/>
      <c r="F5250" s="11"/>
      <c r="G5250" s="12"/>
      <c r="H5250" s="12"/>
      <c r="I5250" s="10"/>
      <c r="J5250" s="5"/>
      <c r="K5250" s="12"/>
      <c r="L5250" s="15"/>
    </row>
    <row r="5251" spans="1:12">
      <c r="A5251" s="291"/>
      <c r="B5251" s="71"/>
      <c r="C5251" s="65"/>
      <c r="D5251" s="65"/>
      <c r="E5251" s="70"/>
      <c r="F5251" s="70"/>
      <c r="G5251" s="71"/>
      <c r="H5251" s="71"/>
      <c r="I5251" s="65"/>
      <c r="J5251" s="292"/>
      <c r="K5251" s="71"/>
      <c r="L5251" s="293"/>
    </row>
    <row r="5252" spans="1:12">
      <c r="A5252" s="291"/>
      <c r="B5252" s="71"/>
      <c r="C5252" s="65"/>
      <c r="D5252" s="65"/>
      <c r="E5252" s="70"/>
      <c r="F5252" s="70"/>
      <c r="G5252" s="71"/>
      <c r="H5252" s="71"/>
      <c r="I5252" s="65"/>
      <c r="J5252" s="292"/>
      <c r="K5252" s="71"/>
      <c r="L5252" s="293"/>
    </row>
    <row r="5253" spans="1:12">
      <c r="A5253" s="8"/>
      <c r="B5253" s="9"/>
      <c r="C5253" s="10"/>
      <c r="D5253" s="10"/>
      <c r="E5253" s="11"/>
      <c r="F5253" s="11"/>
      <c r="G5253" s="12"/>
      <c r="H5253" s="12"/>
      <c r="I5253" s="10"/>
      <c r="J5253" s="5"/>
      <c r="K5253" s="9"/>
      <c r="L5253" s="15"/>
    </row>
    <row r="5254" spans="1:12">
      <c r="A5254" s="8"/>
      <c r="B5254" s="9"/>
      <c r="C5254" s="10"/>
      <c r="D5254" s="10"/>
      <c r="E5254" s="11"/>
      <c r="F5254" s="11"/>
      <c r="G5254" s="12"/>
      <c r="H5254" s="12"/>
      <c r="I5254" s="10"/>
      <c r="J5254" s="5"/>
      <c r="K5254" s="9"/>
      <c r="L5254" s="15"/>
    </row>
    <row r="5255" spans="1:12">
      <c r="A5255" s="8"/>
      <c r="B5255" s="9"/>
      <c r="C5255" s="10"/>
      <c r="D5255" s="10"/>
      <c r="E5255" s="11"/>
      <c r="F5255" s="11"/>
      <c r="G5255" s="12"/>
      <c r="H5255" s="12"/>
      <c r="I5255" s="10"/>
      <c r="J5255" s="5"/>
      <c r="K5255" s="9"/>
      <c r="L5255" s="15"/>
    </row>
    <row r="5256" spans="1:12">
      <c r="A5256" s="8"/>
      <c r="B5256" s="9"/>
      <c r="C5256" s="10"/>
      <c r="D5256" s="10"/>
      <c r="E5256" s="11"/>
      <c r="F5256" s="11"/>
      <c r="G5256" s="12"/>
      <c r="H5256" s="12"/>
      <c r="I5256" s="10"/>
      <c r="J5256" s="5"/>
      <c r="K5256" s="13"/>
      <c r="L5256" s="23"/>
    </row>
    <row r="5257" spans="1:12">
      <c r="A5257" s="8"/>
      <c r="B5257" s="9"/>
      <c r="C5257" s="10"/>
      <c r="D5257" s="10"/>
      <c r="E5257" s="11"/>
      <c r="F5257" s="11"/>
      <c r="G5257" s="12"/>
      <c r="H5257" s="12"/>
      <c r="I5257" s="10"/>
      <c r="J5257" s="5"/>
      <c r="K5257" s="10"/>
      <c r="L5257" s="23"/>
    </row>
    <row r="5258" spans="1:12">
      <c r="A5258" s="8"/>
      <c r="B5258" s="9"/>
      <c r="C5258" s="10"/>
      <c r="D5258" s="10"/>
      <c r="E5258" s="11"/>
      <c r="F5258" s="11"/>
      <c r="G5258" s="12"/>
      <c r="H5258" s="12"/>
      <c r="I5258" s="10"/>
      <c r="J5258" s="5"/>
      <c r="K5258" s="13"/>
      <c r="L5258" s="23"/>
    </row>
    <row r="5259" spans="1:12">
      <c r="A5259" s="8"/>
      <c r="B5259" s="9"/>
      <c r="C5259" s="10"/>
      <c r="D5259" s="10"/>
      <c r="E5259" s="11"/>
      <c r="F5259" s="11"/>
      <c r="G5259" s="12"/>
      <c r="H5259" s="12"/>
      <c r="I5259" s="10"/>
      <c r="J5259" s="5"/>
      <c r="K5259" s="13"/>
      <c r="L5259" s="23"/>
    </row>
    <row r="5260" spans="1:12">
      <c r="A5260" s="8"/>
      <c r="B5260" s="9"/>
      <c r="C5260" s="10"/>
      <c r="D5260" s="10"/>
      <c r="E5260" s="11"/>
      <c r="F5260" s="11"/>
      <c r="G5260" s="12"/>
      <c r="H5260" s="12"/>
      <c r="I5260" s="10"/>
      <c r="J5260" s="5"/>
      <c r="K5260" s="12"/>
      <c r="L5260" s="15"/>
    </row>
    <row r="5261" spans="1:12">
      <c r="A5261" s="8"/>
      <c r="B5261" s="9"/>
      <c r="C5261" s="10"/>
      <c r="D5261" s="10"/>
      <c r="E5261" s="11"/>
      <c r="F5261" s="11"/>
      <c r="G5261" s="12"/>
      <c r="H5261" s="12"/>
      <c r="I5261" s="10"/>
      <c r="J5261" s="5"/>
      <c r="K5261" s="9"/>
      <c r="L5261" s="15"/>
    </row>
    <row r="5262" spans="1:12">
      <c r="A5262" s="8"/>
      <c r="B5262" s="9"/>
      <c r="C5262" s="10"/>
      <c r="D5262" s="10"/>
      <c r="E5262" s="11"/>
      <c r="F5262" s="11"/>
      <c r="G5262" s="12"/>
      <c r="H5262" s="12"/>
      <c r="I5262" s="10"/>
      <c r="J5262" s="5"/>
      <c r="K5262" s="9"/>
      <c r="L5262" s="15"/>
    </row>
    <row r="5263" spans="1:12">
      <c r="A5263" s="8"/>
      <c r="B5263" s="9"/>
      <c r="C5263" s="10"/>
      <c r="D5263" s="10"/>
      <c r="E5263" s="11"/>
      <c r="F5263" s="11"/>
      <c r="G5263" s="12"/>
      <c r="H5263" s="12"/>
      <c r="I5263" s="10"/>
      <c r="J5263" s="5"/>
      <c r="K5263" s="97"/>
      <c r="L5263" s="15"/>
    </row>
    <row r="5264" spans="1:12">
      <c r="A5264" s="8"/>
      <c r="B5264" s="9"/>
      <c r="C5264" s="10"/>
      <c r="D5264" s="10"/>
      <c r="E5264" s="11"/>
      <c r="F5264" s="11"/>
      <c r="G5264" s="12"/>
      <c r="H5264" s="12"/>
      <c r="I5264" s="10"/>
      <c r="J5264" s="5"/>
      <c r="K5264" s="9"/>
      <c r="L5264" s="15"/>
    </row>
    <row r="5265" spans="1:12">
      <c r="A5265" s="8"/>
      <c r="B5265" s="9"/>
      <c r="C5265" s="10"/>
      <c r="D5265" s="10"/>
      <c r="E5265" s="11"/>
      <c r="F5265" s="11"/>
      <c r="G5265" s="12"/>
      <c r="H5265" s="12"/>
      <c r="I5265" s="10"/>
      <c r="J5265" s="5"/>
      <c r="K5265" s="9"/>
      <c r="L5265" s="15"/>
    </row>
    <row r="5266" spans="1:12">
      <c r="A5266" s="8"/>
      <c r="B5266" s="9"/>
      <c r="C5266" s="10"/>
      <c r="D5266" s="10"/>
      <c r="E5266" s="11"/>
      <c r="F5266" s="11"/>
      <c r="G5266" s="12"/>
      <c r="H5266" s="12"/>
      <c r="I5266" s="10"/>
      <c r="J5266" s="5"/>
      <c r="K5266" s="9"/>
      <c r="L5266" s="15"/>
    </row>
    <row r="5267" spans="1:12">
      <c r="A5267" s="8"/>
      <c r="B5267" s="9"/>
      <c r="C5267" s="10"/>
      <c r="D5267" s="10"/>
      <c r="E5267" s="11"/>
      <c r="F5267" s="11"/>
      <c r="G5267" s="12"/>
      <c r="H5267" s="12"/>
      <c r="I5267" s="10"/>
      <c r="J5267" s="5"/>
      <c r="K5267" s="9"/>
      <c r="L5267" s="15"/>
    </row>
    <row r="5268" spans="1:12">
      <c r="A5268" s="8"/>
      <c r="B5268" s="9"/>
      <c r="C5268" s="10"/>
      <c r="D5268" s="10"/>
      <c r="E5268" s="11"/>
      <c r="F5268" s="11"/>
      <c r="G5268" s="12"/>
      <c r="H5268" s="12"/>
      <c r="I5268" s="10"/>
      <c r="J5268" s="5"/>
      <c r="K5268" s="9"/>
      <c r="L5268" s="15"/>
    </row>
    <row r="5269" spans="1:12">
      <c r="A5269" s="8"/>
      <c r="B5269" s="9"/>
      <c r="C5269" s="10"/>
      <c r="D5269" s="10"/>
      <c r="E5269" s="11"/>
      <c r="F5269" s="11"/>
      <c r="G5269" s="12"/>
      <c r="H5269" s="12"/>
      <c r="I5269" s="10"/>
      <c r="J5269" s="5"/>
      <c r="K5269" s="12"/>
      <c r="L5269" s="15"/>
    </row>
    <row r="5270" spans="1:12">
      <c r="A5270" s="8"/>
      <c r="B5270" s="9"/>
      <c r="C5270" s="10"/>
      <c r="D5270" s="10"/>
      <c r="E5270" s="22"/>
      <c r="F5270" s="22"/>
      <c r="G5270" s="12"/>
      <c r="H5270" s="10"/>
      <c r="I5270" s="10"/>
      <c r="J5270" s="5"/>
      <c r="K5270" s="10"/>
      <c r="L5270" s="23"/>
    </row>
    <row r="5271" spans="1:12">
      <c r="A5271" s="8"/>
      <c r="B5271" s="9"/>
      <c r="C5271" s="10"/>
      <c r="D5271" s="10"/>
      <c r="E5271" s="25"/>
      <c r="F5271" s="25"/>
      <c r="G5271" s="12"/>
      <c r="H5271" s="26"/>
      <c r="I5271" s="10"/>
      <c r="J5271" s="5"/>
      <c r="K5271" s="13"/>
      <c r="L5271" s="23"/>
    </row>
    <row r="5272" spans="1:12">
      <c r="A5272" s="8"/>
      <c r="B5272" s="9"/>
      <c r="C5272" s="10"/>
      <c r="D5272" s="10"/>
      <c r="E5272" s="11"/>
      <c r="F5272" s="11"/>
      <c r="G5272" s="12"/>
      <c r="H5272" s="12"/>
      <c r="I5272" s="10"/>
      <c r="J5272" s="5"/>
      <c r="K5272" s="10"/>
      <c r="L5272" s="23"/>
    </row>
    <row r="5273" spans="1:12">
      <c r="A5273" s="8"/>
      <c r="B5273" s="9"/>
      <c r="C5273" s="10"/>
      <c r="D5273" s="10"/>
      <c r="E5273" s="11"/>
      <c r="F5273" s="11"/>
      <c r="G5273" s="12"/>
      <c r="H5273" s="12"/>
      <c r="I5273" s="10"/>
      <c r="J5273" s="5"/>
      <c r="K5273" s="13"/>
      <c r="L5273" s="23"/>
    </row>
    <row r="5274" spans="1:12">
      <c r="A5274" s="8"/>
      <c r="B5274" s="9"/>
      <c r="C5274" s="10"/>
      <c r="D5274" s="10"/>
      <c r="E5274" s="11"/>
      <c r="F5274" s="11"/>
      <c r="G5274" s="12"/>
      <c r="H5274" s="12"/>
      <c r="I5274" s="10"/>
      <c r="J5274" s="5"/>
      <c r="K5274" s="13"/>
      <c r="L5274" s="23"/>
    </row>
    <row r="5275" spans="1:12">
      <c r="A5275" s="8"/>
      <c r="B5275" s="9"/>
      <c r="C5275" s="10"/>
      <c r="D5275" s="10"/>
      <c r="E5275" s="11"/>
      <c r="F5275" s="11"/>
      <c r="G5275" s="12"/>
      <c r="H5275" s="12"/>
      <c r="I5275" s="10"/>
      <c r="J5275" s="5"/>
      <c r="K5275" s="13"/>
      <c r="L5275" s="23"/>
    </row>
    <row r="5276" spans="1:12">
      <c r="A5276" s="8"/>
      <c r="B5276" s="9"/>
      <c r="C5276" s="10"/>
      <c r="D5276" s="10"/>
      <c r="E5276" s="19"/>
      <c r="F5276" s="11"/>
      <c r="G5276" s="12"/>
      <c r="H5276" s="12"/>
      <c r="I5276" s="10"/>
      <c r="J5276" s="5"/>
      <c r="K5276" s="13"/>
      <c r="L5276" s="23"/>
    </row>
    <row r="5277" spans="1:12">
      <c r="A5277" s="8"/>
      <c r="B5277" s="9"/>
      <c r="C5277" s="10"/>
      <c r="D5277" s="10"/>
      <c r="E5277" s="25"/>
      <c r="F5277" s="25"/>
      <c r="G5277" s="12"/>
      <c r="H5277" s="26"/>
      <c r="I5277" s="10"/>
      <c r="J5277" s="5"/>
      <c r="K5277" s="9"/>
      <c r="L5277" s="15"/>
    </row>
    <row r="5278" spans="1:12">
      <c r="A5278" s="8"/>
      <c r="B5278" s="9"/>
      <c r="C5278" s="10"/>
      <c r="D5278" s="10"/>
      <c r="E5278" s="11"/>
      <c r="F5278" s="11"/>
      <c r="G5278" s="12"/>
      <c r="H5278" s="12"/>
      <c r="I5278" s="10"/>
      <c r="J5278" s="5"/>
      <c r="K5278" s="9"/>
      <c r="L5278" s="15"/>
    </row>
    <row r="5279" spans="1:12">
      <c r="A5279" s="8"/>
      <c r="B5279" s="9"/>
      <c r="C5279" s="10"/>
      <c r="D5279" s="10"/>
      <c r="E5279" s="11"/>
      <c r="F5279" s="11"/>
      <c r="G5279" s="12"/>
      <c r="H5279" s="12"/>
      <c r="I5279" s="10"/>
      <c r="J5279" s="5"/>
      <c r="K5279" s="9"/>
      <c r="L5279" s="15"/>
    </row>
    <row r="5280" spans="1:12">
      <c r="A5280" s="8"/>
      <c r="B5280" s="9"/>
      <c r="C5280" s="10"/>
      <c r="D5280" s="10"/>
      <c r="E5280" s="11"/>
      <c r="F5280" s="11"/>
      <c r="G5280" s="12"/>
      <c r="H5280" s="12"/>
      <c r="I5280" s="10"/>
      <c r="J5280" s="5"/>
      <c r="K5280" s="9"/>
      <c r="L5280" s="15"/>
    </row>
    <row r="5281" spans="1:12">
      <c r="A5281" s="8"/>
      <c r="B5281" s="9"/>
      <c r="C5281" s="10"/>
      <c r="D5281" s="10"/>
      <c r="E5281" s="11"/>
      <c r="F5281" s="11"/>
      <c r="G5281" s="12"/>
      <c r="H5281" s="12"/>
      <c r="I5281" s="10"/>
      <c r="J5281" s="5"/>
      <c r="K5281" s="9"/>
      <c r="L5281" s="15"/>
    </row>
    <row r="5282" spans="1:12">
      <c r="A5282" s="8"/>
      <c r="B5282" s="9"/>
      <c r="C5282" s="10"/>
      <c r="D5282" s="10"/>
      <c r="E5282" s="11"/>
      <c r="F5282" s="11"/>
      <c r="G5282" s="12"/>
      <c r="H5282" s="12"/>
      <c r="I5282" s="10"/>
      <c r="J5282" s="5"/>
      <c r="K5282" s="9"/>
      <c r="L5282" s="15"/>
    </row>
    <row r="5283" spans="1:12">
      <c r="A5283" s="8"/>
      <c r="B5283" s="9"/>
      <c r="C5283" s="10"/>
      <c r="D5283" s="10"/>
      <c r="E5283" s="11"/>
      <c r="F5283" s="11"/>
      <c r="G5283" s="12"/>
      <c r="H5283" s="12"/>
      <c r="I5283" s="10"/>
      <c r="J5283" s="5"/>
      <c r="K5283" s="13"/>
      <c r="L5283" s="23"/>
    </row>
    <row r="5284" spans="1:12">
      <c r="A5284" s="8"/>
      <c r="B5284" s="9"/>
      <c r="C5284" s="10"/>
      <c r="D5284" s="10"/>
      <c r="E5284" s="11"/>
      <c r="F5284" s="11"/>
      <c r="G5284" s="12"/>
      <c r="H5284" s="12"/>
      <c r="I5284" s="10"/>
      <c r="J5284" s="5"/>
      <c r="K5284" s="10"/>
      <c r="L5284" s="23"/>
    </row>
    <row r="5285" spans="1:12">
      <c r="A5285" s="8"/>
      <c r="B5285" s="9"/>
      <c r="C5285" s="10"/>
      <c r="D5285" s="10"/>
      <c r="E5285" s="19"/>
      <c r="F5285" s="19"/>
      <c r="G5285" s="12"/>
      <c r="H5285" s="9"/>
      <c r="I5285" s="10"/>
      <c r="J5285" s="5"/>
      <c r="K5285" s="13"/>
      <c r="L5285" s="23"/>
    </row>
    <row r="5286" spans="1:12">
      <c r="A5286" s="8"/>
      <c r="B5286" s="9"/>
      <c r="C5286" s="10"/>
      <c r="D5286" s="10"/>
      <c r="E5286" s="11"/>
      <c r="F5286" s="11"/>
      <c r="G5286" s="12"/>
      <c r="H5286" s="12"/>
      <c r="I5286" s="10"/>
      <c r="J5286" s="5"/>
      <c r="K5286" s="13"/>
      <c r="L5286" s="23"/>
    </row>
    <row r="5287" spans="1:12">
      <c r="A5287" s="8"/>
      <c r="B5287" s="9"/>
      <c r="C5287" s="10"/>
      <c r="D5287" s="10"/>
      <c r="E5287" s="11"/>
      <c r="F5287" s="11"/>
      <c r="G5287" s="12"/>
      <c r="H5287" s="12"/>
      <c r="I5287" s="10"/>
      <c r="J5287" s="5"/>
      <c r="K5287" s="13"/>
      <c r="L5287" s="23"/>
    </row>
    <row r="5288" spans="1:12">
      <c r="A5288" s="8"/>
      <c r="B5288" s="9"/>
      <c r="C5288" s="10"/>
      <c r="D5288" s="10"/>
      <c r="E5288" s="11"/>
      <c r="F5288" s="11"/>
      <c r="G5288" s="12"/>
      <c r="H5288" s="12"/>
      <c r="I5288" s="10"/>
      <c r="J5288" s="5"/>
      <c r="K5288" s="9"/>
      <c r="L5288" s="15"/>
    </row>
    <row r="5289" spans="1:12">
      <c r="A5289" s="8"/>
      <c r="B5289" s="9"/>
      <c r="C5289" s="10"/>
      <c r="D5289" s="10"/>
      <c r="E5289" s="11"/>
      <c r="F5289" s="11"/>
      <c r="G5289" s="12"/>
      <c r="H5289" s="12"/>
      <c r="I5289" s="10"/>
      <c r="J5289" s="5"/>
      <c r="K5289" s="9"/>
      <c r="L5289" s="15"/>
    </row>
    <row r="5290" spans="1:12">
      <c r="A5290" s="8"/>
      <c r="B5290" s="9"/>
      <c r="C5290" s="10"/>
      <c r="D5290" s="10"/>
      <c r="E5290" s="11"/>
      <c r="F5290" s="11"/>
      <c r="G5290" s="12"/>
      <c r="H5290" s="12"/>
      <c r="I5290" s="10"/>
      <c r="J5290" s="5"/>
      <c r="K5290" s="9"/>
      <c r="L5290" s="15"/>
    </row>
    <row r="5291" spans="1:12">
      <c r="A5291" s="8"/>
      <c r="B5291" s="9"/>
      <c r="C5291" s="10"/>
      <c r="D5291" s="10"/>
      <c r="E5291" s="11"/>
      <c r="F5291" s="11"/>
      <c r="G5291" s="12"/>
      <c r="H5291" s="12"/>
      <c r="I5291" s="10"/>
      <c r="J5291" s="5"/>
      <c r="K5291" s="12"/>
      <c r="L5291" s="15"/>
    </row>
    <row r="5292" spans="1:12">
      <c r="A5292" s="8"/>
      <c r="B5292" s="9"/>
      <c r="C5292" s="10"/>
      <c r="D5292" s="10"/>
      <c r="E5292" s="11"/>
      <c r="F5292" s="11"/>
      <c r="G5292" s="12"/>
      <c r="H5292" s="12"/>
      <c r="I5292" s="10"/>
      <c r="J5292" s="5"/>
      <c r="K5292" s="12"/>
      <c r="L5292" s="16"/>
    </row>
    <row r="5293" spans="1:12">
      <c r="A5293" s="8"/>
      <c r="B5293" s="9"/>
      <c r="C5293" s="10"/>
      <c r="D5293" s="10"/>
      <c r="E5293" s="11"/>
      <c r="F5293" s="11"/>
      <c r="G5293" s="12"/>
      <c r="H5293" s="12"/>
      <c r="I5293" s="10"/>
      <c r="J5293" s="5"/>
      <c r="K5293" s="12"/>
      <c r="L5293" s="16"/>
    </row>
    <row r="5294" spans="1:12">
      <c r="A5294" s="8"/>
      <c r="B5294" s="9"/>
      <c r="C5294" s="10"/>
      <c r="D5294" s="10"/>
      <c r="E5294" s="11"/>
      <c r="F5294" s="11"/>
      <c r="G5294" s="12"/>
      <c r="H5294" s="12"/>
      <c r="I5294" s="10"/>
      <c r="J5294" s="5"/>
      <c r="K5294" s="12"/>
      <c r="L5294" s="15"/>
    </row>
    <row r="5295" spans="1:12">
      <c r="A5295" s="8"/>
      <c r="B5295" s="9"/>
      <c r="C5295" s="10"/>
      <c r="D5295" s="10"/>
      <c r="E5295" s="11"/>
      <c r="F5295" s="11"/>
      <c r="G5295" s="12"/>
      <c r="H5295" s="12"/>
      <c r="I5295" s="10"/>
      <c r="J5295" s="5"/>
      <c r="K5295" s="12"/>
      <c r="L5295" s="15"/>
    </row>
    <row r="5296" spans="1:12">
      <c r="A5296" s="8"/>
      <c r="B5296" s="9"/>
      <c r="C5296" s="10"/>
      <c r="D5296" s="10"/>
      <c r="E5296" s="11"/>
      <c r="F5296" s="11"/>
      <c r="G5296" s="12"/>
      <c r="H5296" s="12"/>
      <c r="I5296" s="10"/>
      <c r="J5296" s="5"/>
      <c r="K5296" s="12"/>
      <c r="L5296" s="16"/>
    </row>
    <row r="5297" spans="1:12">
      <c r="A5297" s="8"/>
      <c r="B5297" s="9"/>
      <c r="C5297" s="10"/>
      <c r="D5297" s="10"/>
      <c r="E5297" s="11"/>
      <c r="F5297" s="11"/>
      <c r="G5297" s="12"/>
      <c r="H5297" s="12"/>
      <c r="I5297" s="10"/>
      <c r="J5297" s="5"/>
      <c r="K5297" s="12"/>
      <c r="L5297" s="15"/>
    </row>
    <row r="5298" spans="1:12">
      <c r="A5298" s="8"/>
      <c r="B5298" s="9"/>
      <c r="C5298" s="10"/>
      <c r="D5298" s="10"/>
      <c r="E5298" s="11"/>
      <c r="F5298" s="11"/>
      <c r="G5298" s="12"/>
      <c r="H5298" s="12"/>
      <c r="I5298" s="10"/>
      <c r="J5298" s="5"/>
      <c r="K5298" s="12"/>
      <c r="L5298" s="15"/>
    </row>
    <row r="5299" spans="1:12">
      <c r="A5299" s="8"/>
      <c r="B5299" s="9"/>
      <c r="C5299" s="10"/>
      <c r="D5299" s="10"/>
      <c r="E5299" s="11"/>
      <c r="F5299" s="11"/>
      <c r="G5299" s="12"/>
      <c r="H5299" s="12"/>
      <c r="I5299" s="10"/>
      <c r="J5299" s="5"/>
      <c r="K5299" s="12"/>
      <c r="L5299" s="15"/>
    </row>
    <row r="5300" spans="1:12">
      <c r="A5300" s="8"/>
      <c r="B5300" s="9"/>
      <c r="C5300" s="10"/>
      <c r="D5300" s="10"/>
      <c r="E5300" s="11"/>
      <c r="F5300" s="11"/>
      <c r="G5300" s="12"/>
      <c r="H5300" s="12"/>
      <c r="I5300" s="10"/>
      <c r="J5300" s="5"/>
      <c r="K5300" s="12"/>
      <c r="L5300" s="15"/>
    </row>
    <row r="5301" spans="1:12">
      <c r="A5301" s="8"/>
      <c r="B5301" s="9"/>
      <c r="C5301" s="10"/>
      <c r="D5301" s="10"/>
      <c r="E5301" s="11"/>
      <c r="F5301" s="11"/>
      <c r="G5301" s="12"/>
      <c r="H5301" s="12"/>
      <c r="I5301" s="10"/>
      <c r="J5301" s="5"/>
      <c r="K5301" s="12"/>
      <c r="L5301" s="15"/>
    </row>
    <row r="5302" spans="1:12">
      <c r="A5302" s="8"/>
      <c r="B5302" s="9"/>
      <c r="C5302" s="10"/>
      <c r="D5302" s="10"/>
      <c r="E5302" s="11"/>
      <c r="F5302" s="11"/>
      <c r="G5302" s="12"/>
      <c r="H5302" s="12"/>
      <c r="I5302" s="10"/>
      <c r="J5302" s="5"/>
      <c r="K5302" s="12"/>
      <c r="L5302" s="15"/>
    </row>
    <row r="5303" spans="1:12">
      <c r="A5303" s="8"/>
      <c r="B5303" s="9"/>
      <c r="C5303" s="10"/>
      <c r="D5303" s="10"/>
      <c r="E5303" s="11"/>
      <c r="F5303" s="11"/>
      <c r="G5303" s="12"/>
      <c r="H5303" s="12"/>
      <c r="I5303" s="10"/>
      <c r="J5303" s="5"/>
      <c r="K5303" s="12"/>
      <c r="L5303" s="15"/>
    </row>
    <row r="5304" spans="1:12">
      <c r="A5304" s="8"/>
      <c r="B5304" s="9"/>
      <c r="C5304" s="10"/>
      <c r="D5304" s="10"/>
      <c r="E5304" s="11"/>
      <c r="F5304" s="11"/>
      <c r="G5304" s="12"/>
      <c r="H5304" s="12"/>
      <c r="I5304" s="10"/>
      <c r="J5304" s="5"/>
      <c r="K5304" s="12"/>
      <c r="L5304" s="15"/>
    </row>
    <row r="5305" spans="1:12">
      <c r="A5305" s="8"/>
      <c r="B5305" s="9"/>
      <c r="C5305" s="10"/>
      <c r="D5305" s="10"/>
      <c r="E5305" s="11"/>
      <c r="F5305" s="11"/>
      <c r="G5305" s="12"/>
      <c r="H5305" s="12"/>
      <c r="I5305" s="10"/>
      <c r="J5305" s="5"/>
      <c r="K5305" s="12"/>
      <c r="L5305" s="15"/>
    </row>
    <row r="5306" spans="1:12">
      <c r="A5306" s="8"/>
      <c r="B5306" s="9"/>
      <c r="C5306" s="10"/>
      <c r="D5306" s="10"/>
      <c r="E5306" s="11"/>
      <c r="F5306" s="11"/>
      <c r="G5306" s="12"/>
      <c r="H5306" s="12"/>
      <c r="I5306" s="10"/>
      <c r="J5306" s="5"/>
      <c r="K5306" s="12"/>
      <c r="L5306" s="15"/>
    </row>
    <row r="5307" spans="1:12">
      <c r="A5307" s="8"/>
      <c r="B5307" s="9"/>
      <c r="C5307" s="10"/>
      <c r="D5307" s="10"/>
      <c r="E5307" s="11"/>
      <c r="F5307" s="11"/>
      <c r="G5307" s="12"/>
      <c r="H5307" s="12"/>
      <c r="I5307" s="10"/>
      <c r="J5307" s="5"/>
      <c r="K5307" s="12"/>
      <c r="L5307" s="15"/>
    </row>
    <row r="5308" spans="1:12">
      <c r="A5308" s="8"/>
      <c r="B5308" s="9"/>
      <c r="C5308" s="10"/>
      <c r="D5308" s="10"/>
      <c r="E5308" s="11"/>
      <c r="F5308" s="11"/>
      <c r="G5308" s="12"/>
      <c r="H5308" s="12"/>
      <c r="I5308" s="10"/>
      <c r="J5308" s="5"/>
      <c r="K5308" s="12"/>
      <c r="L5308" s="15"/>
    </row>
    <row r="5309" spans="1:12">
      <c r="A5309" s="8"/>
      <c r="B5309" s="9"/>
      <c r="C5309" s="10"/>
      <c r="D5309" s="10"/>
      <c r="E5309" s="11"/>
      <c r="F5309" s="11"/>
      <c r="G5309" s="12"/>
      <c r="H5309" s="12"/>
      <c r="I5309" s="10"/>
      <c r="J5309" s="5"/>
      <c r="K5309" s="12"/>
      <c r="L5309" s="15"/>
    </row>
    <row r="5310" spans="1:12">
      <c r="A5310" s="8"/>
      <c r="B5310" s="9"/>
      <c r="C5310" s="10"/>
      <c r="D5310" s="10"/>
      <c r="E5310" s="11"/>
      <c r="F5310" s="11"/>
      <c r="G5310" s="12"/>
      <c r="H5310" s="12"/>
      <c r="I5310" s="10"/>
      <c r="J5310" s="5"/>
      <c r="K5310" s="12"/>
      <c r="L5310" s="15"/>
    </row>
    <row r="5311" spans="1:12">
      <c r="A5311" s="8"/>
      <c r="B5311" s="9"/>
      <c r="C5311" s="10"/>
      <c r="D5311" s="10"/>
      <c r="E5311" s="11"/>
      <c r="F5311" s="11"/>
      <c r="G5311" s="12"/>
      <c r="H5311" s="12"/>
      <c r="I5311" s="10"/>
      <c r="J5311" s="5"/>
      <c r="K5311" s="12"/>
      <c r="L5311" s="15"/>
    </row>
    <row r="5312" spans="1:12">
      <c r="A5312" s="8"/>
      <c r="B5312" s="9"/>
      <c r="C5312" s="10"/>
      <c r="D5312" s="10"/>
      <c r="E5312" s="11"/>
      <c r="F5312" s="11"/>
      <c r="G5312" s="12"/>
      <c r="H5312" s="12"/>
      <c r="I5312" s="10"/>
      <c r="J5312" s="5"/>
      <c r="K5312" s="12"/>
      <c r="L5312" s="15"/>
    </row>
    <row r="5313" spans="1:12">
      <c r="A5313" s="8"/>
      <c r="B5313" s="9"/>
      <c r="C5313" s="10"/>
      <c r="D5313" s="10"/>
      <c r="E5313" s="11"/>
      <c r="F5313" s="11"/>
      <c r="G5313" s="12"/>
      <c r="H5313" s="12"/>
      <c r="I5313" s="10"/>
      <c r="J5313" s="5"/>
      <c r="K5313" s="12"/>
      <c r="L5313" s="15"/>
    </row>
    <row r="5314" spans="1:12">
      <c r="A5314" s="8"/>
      <c r="B5314" s="9"/>
      <c r="C5314" s="10"/>
      <c r="D5314" s="10"/>
      <c r="E5314" s="11"/>
      <c r="F5314" s="11"/>
      <c r="G5314" s="12"/>
      <c r="H5314" s="12"/>
      <c r="I5314" s="10"/>
      <c r="J5314" s="5"/>
      <c r="K5314" s="12"/>
      <c r="L5314" s="15"/>
    </row>
    <row r="5315" spans="1:12">
      <c r="A5315" s="8"/>
      <c r="B5315" s="9"/>
      <c r="C5315" s="10"/>
      <c r="D5315" s="10"/>
      <c r="E5315" s="11"/>
      <c r="F5315" s="11"/>
      <c r="G5315" s="12"/>
      <c r="H5315" s="12"/>
      <c r="I5315" s="10"/>
      <c r="J5315" s="5"/>
      <c r="K5315" s="12"/>
      <c r="L5315" s="15"/>
    </row>
    <row r="5316" spans="1:12">
      <c r="A5316" s="8"/>
      <c r="B5316" s="9"/>
      <c r="C5316" s="10"/>
      <c r="D5316" s="10"/>
      <c r="E5316" s="11"/>
      <c r="F5316" s="11"/>
      <c r="G5316" s="12"/>
      <c r="H5316" s="12"/>
      <c r="I5316" s="10"/>
      <c r="J5316" s="5"/>
      <c r="K5316" s="12"/>
      <c r="L5316" s="15"/>
    </row>
    <row r="5317" spans="1:12">
      <c r="A5317" s="8"/>
      <c r="B5317" s="9"/>
      <c r="C5317" s="10"/>
      <c r="D5317" s="10"/>
      <c r="E5317" s="11"/>
      <c r="F5317" s="11"/>
      <c r="G5317" s="12"/>
      <c r="H5317" s="12"/>
      <c r="I5317" s="10"/>
      <c r="J5317" s="5"/>
      <c r="K5317" s="12"/>
      <c r="L5317" s="16"/>
    </row>
    <row r="5318" spans="1:12">
      <c r="A5318" s="8"/>
      <c r="B5318" s="9"/>
      <c r="C5318" s="10"/>
      <c r="D5318" s="10"/>
      <c r="E5318" s="11"/>
      <c r="F5318" s="11"/>
      <c r="G5318" s="12"/>
      <c r="H5318" s="12"/>
      <c r="I5318" s="10"/>
      <c r="J5318" s="5"/>
      <c r="K5318" s="12"/>
      <c r="L5318" s="15"/>
    </row>
    <row r="5319" spans="1:12">
      <c r="A5319" s="8"/>
      <c r="B5319" s="9"/>
      <c r="C5319" s="10"/>
      <c r="D5319" s="10"/>
      <c r="E5319" s="11"/>
      <c r="F5319" s="11"/>
      <c r="G5319" s="12"/>
      <c r="H5319" s="12"/>
      <c r="I5319" s="10"/>
      <c r="J5319" s="5"/>
      <c r="K5319" s="12"/>
      <c r="L5319" s="15"/>
    </row>
    <row r="5320" spans="1:12">
      <c r="A5320" s="8"/>
      <c r="B5320" s="9"/>
      <c r="C5320" s="10"/>
      <c r="D5320" s="10"/>
      <c r="E5320" s="11"/>
      <c r="F5320" s="11"/>
      <c r="G5320" s="12"/>
      <c r="H5320" s="12"/>
      <c r="I5320" s="10"/>
      <c r="J5320" s="5"/>
      <c r="K5320" s="12"/>
      <c r="L5320" s="15"/>
    </row>
    <row r="5321" spans="1:12">
      <c r="A5321" s="8"/>
      <c r="B5321" s="9"/>
      <c r="C5321" s="10"/>
      <c r="D5321" s="10"/>
      <c r="E5321" s="11"/>
      <c r="F5321" s="11"/>
      <c r="G5321" s="12"/>
      <c r="H5321" s="12"/>
      <c r="I5321" s="10"/>
      <c r="J5321" s="5"/>
      <c r="K5321" s="12"/>
      <c r="L5321" s="15"/>
    </row>
    <row r="5322" spans="1:12">
      <c r="A5322" s="8"/>
      <c r="B5322" s="9"/>
      <c r="C5322" s="10"/>
      <c r="D5322" s="10"/>
      <c r="E5322" s="11"/>
      <c r="F5322" s="11"/>
      <c r="G5322" s="12"/>
      <c r="H5322" s="12"/>
      <c r="I5322" s="10"/>
      <c r="J5322" s="5"/>
      <c r="K5322" s="12"/>
      <c r="L5322" s="15"/>
    </row>
    <row r="5323" spans="1:12">
      <c r="A5323" s="8"/>
      <c r="B5323" s="9"/>
      <c r="C5323" s="10"/>
      <c r="D5323" s="10"/>
      <c r="E5323" s="11"/>
      <c r="F5323" s="11"/>
      <c r="G5323" s="12"/>
      <c r="H5323" s="12"/>
      <c r="I5323" s="10"/>
      <c r="J5323" s="5"/>
      <c r="K5323" s="12"/>
      <c r="L5323" s="15"/>
    </row>
    <row r="5324" spans="1:12">
      <c r="A5324" s="8"/>
      <c r="B5324" s="9"/>
      <c r="C5324" s="10"/>
      <c r="D5324" s="10"/>
      <c r="E5324" s="11"/>
      <c r="F5324" s="11"/>
      <c r="G5324" s="12"/>
      <c r="H5324" s="12"/>
      <c r="I5324" s="10"/>
      <c r="J5324" s="5"/>
      <c r="K5324" s="12"/>
      <c r="L5324" s="15"/>
    </row>
    <row r="5325" spans="1:12">
      <c r="A5325" s="8"/>
      <c r="B5325" s="9"/>
      <c r="C5325" s="10"/>
      <c r="D5325" s="10"/>
      <c r="E5325" s="11"/>
      <c r="F5325" s="11"/>
      <c r="G5325" s="12"/>
      <c r="H5325" s="12"/>
      <c r="I5325" s="10"/>
      <c r="J5325" s="5"/>
      <c r="K5325" s="12"/>
      <c r="L5325" s="15"/>
    </row>
    <row r="5326" spans="1:12">
      <c r="A5326" s="8"/>
      <c r="B5326" s="9"/>
      <c r="C5326" s="10"/>
      <c r="D5326" s="10"/>
      <c r="E5326" s="11"/>
      <c r="F5326" s="11"/>
      <c r="G5326" s="12"/>
      <c r="H5326" s="12"/>
      <c r="I5326" s="10"/>
      <c r="J5326" s="5"/>
      <c r="K5326" s="12"/>
      <c r="L5326" s="15"/>
    </row>
    <row r="5327" spans="1:12">
      <c r="A5327" s="8"/>
      <c r="B5327" s="9"/>
      <c r="C5327" s="10"/>
      <c r="D5327" s="10"/>
      <c r="E5327" s="11"/>
      <c r="F5327" s="11"/>
      <c r="G5327" s="12"/>
      <c r="H5327" s="12"/>
      <c r="I5327" s="10"/>
      <c r="J5327" s="5"/>
      <c r="K5327" s="12"/>
      <c r="L5327" s="15"/>
    </row>
    <row r="5328" spans="1:12">
      <c r="A5328" s="8"/>
      <c r="B5328" s="9"/>
      <c r="C5328" s="10"/>
      <c r="D5328" s="10"/>
      <c r="E5328" s="11"/>
      <c r="F5328" s="11"/>
      <c r="G5328" s="12"/>
      <c r="H5328" s="12"/>
      <c r="I5328" s="10"/>
      <c r="J5328" s="5"/>
      <c r="K5328" s="12"/>
      <c r="L5328" s="15"/>
    </row>
    <row r="5329" spans="1:12">
      <c r="A5329" s="8"/>
      <c r="B5329" s="9"/>
      <c r="C5329" s="10"/>
      <c r="D5329" s="10"/>
      <c r="E5329" s="11"/>
      <c r="F5329" s="11"/>
      <c r="G5329" s="12"/>
      <c r="H5329" s="12"/>
      <c r="I5329" s="10"/>
      <c r="J5329" s="5"/>
      <c r="K5329" s="12"/>
      <c r="L5329" s="15"/>
    </row>
    <row r="5330" spans="1:12">
      <c r="A5330" s="8"/>
      <c r="B5330" s="9"/>
      <c r="C5330" s="10"/>
      <c r="D5330" s="10"/>
      <c r="E5330" s="11"/>
      <c r="F5330" s="11"/>
      <c r="G5330" s="12"/>
      <c r="H5330" s="12"/>
      <c r="I5330" s="10"/>
      <c r="J5330" s="5"/>
      <c r="K5330" s="12"/>
      <c r="L5330" s="16"/>
    </row>
    <row r="5331" spans="1:12">
      <c r="A5331" s="8"/>
      <c r="B5331" s="9"/>
      <c r="C5331" s="10"/>
      <c r="D5331" s="10"/>
      <c r="E5331" s="11"/>
      <c r="F5331" s="11"/>
      <c r="G5331" s="12"/>
      <c r="H5331" s="12"/>
      <c r="I5331" s="10"/>
      <c r="J5331" s="5"/>
      <c r="K5331" s="12"/>
      <c r="L5331" s="15"/>
    </row>
    <row r="5332" spans="1:12">
      <c r="A5332" s="8"/>
      <c r="B5332" s="9"/>
      <c r="C5332" s="10"/>
      <c r="D5332" s="10"/>
      <c r="E5332" s="11"/>
      <c r="F5332" s="11"/>
      <c r="G5332" s="12"/>
      <c r="H5332" s="12"/>
      <c r="I5332" s="10"/>
      <c r="J5332" s="5"/>
      <c r="K5332" s="12"/>
      <c r="L5332" s="15"/>
    </row>
    <row r="5333" spans="1:12">
      <c r="A5333" s="8"/>
      <c r="B5333" s="9"/>
      <c r="C5333" s="10"/>
      <c r="D5333" s="10"/>
      <c r="E5333" s="11"/>
      <c r="F5333" s="11"/>
      <c r="G5333" s="12"/>
      <c r="H5333" s="12"/>
      <c r="I5333" s="10"/>
      <c r="J5333" s="5"/>
      <c r="K5333" s="12"/>
      <c r="L5333" s="15"/>
    </row>
    <row r="5334" spans="1:12">
      <c r="A5334" s="8"/>
      <c r="B5334" s="9"/>
      <c r="C5334" s="10"/>
      <c r="D5334" s="40"/>
      <c r="E5334" s="11"/>
      <c r="F5334" s="11"/>
      <c r="G5334" s="12"/>
      <c r="H5334" s="12"/>
      <c r="I5334" s="10"/>
      <c r="J5334" s="5"/>
      <c r="K5334" s="12"/>
      <c r="L5334" s="15"/>
    </row>
    <row r="5335" spans="1:12">
      <c r="A5335" s="8"/>
      <c r="B5335" s="9"/>
      <c r="C5335" s="10"/>
      <c r="D5335" s="10"/>
      <c r="E5335" s="11"/>
      <c r="F5335" s="11"/>
      <c r="G5335" s="12"/>
      <c r="H5335" s="12"/>
      <c r="I5335" s="10"/>
      <c r="J5335" s="5"/>
      <c r="K5335" s="12"/>
      <c r="L5335" s="15"/>
    </row>
    <row r="5336" spans="1:12">
      <c r="A5336" s="8"/>
      <c r="B5336" s="9"/>
      <c r="C5336" s="10"/>
      <c r="D5336" s="40"/>
      <c r="E5336" s="11"/>
      <c r="F5336" s="11"/>
      <c r="G5336" s="12"/>
      <c r="H5336" s="12"/>
      <c r="I5336" s="10"/>
      <c r="J5336" s="5"/>
      <c r="K5336" s="12"/>
      <c r="L5336" s="15"/>
    </row>
    <row r="5337" spans="1:12">
      <c r="A5337" s="8"/>
      <c r="B5337" s="9"/>
      <c r="C5337" s="10"/>
      <c r="D5337" s="10"/>
      <c r="E5337" s="11"/>
      <c r="F5337" s="11"/>
      <c r="G5337" s="12"/>
      <c r="H5337" s="12"/>
      <c r="I5337" s="10"/>
      <c r="J5337" s="5"/>
      <c r="K5337" s="12"/>
      <c r="L5337" s="15"/>
    </row>
    <row r="5338" spans="1:12">
      <c r="A5338" s="8"/>
      <c r="B5338" s="9"/>
      <c r="C5338" s="10"/>
      <c r="D5338" s="10"/>
      <c r="E5338" s="11"/>
      <c r="F5338" s="11"/>
      <c r="G5338" s="12"/>
      <c r="H5338" s="12"/>
      <c r="I5338" s="10"/>
      <c r="J5338" s="5"/>
      <c r="K5338" s="12"/>
      <c r="L5338" s="15"/>
    </row>
    <row r="5339" spans="1:12">
      <c r="A5339" s="8"/>
      <c r="B5339" s="9"/>
      <c r="C5339" s="10"/>
      <c r="D5339" s="10"/>
      <c r="E5339" s="11"/>
      <c r="F5339" s="11"/>
      <c r="G5339" s="12"/>
      <c r="H5339" s="12"/>
      <c r="I5339" s="10"/>
      <c r="J5339" s="5"/>
      <c r="K5339" s="12"/>
      <c r="L5339" s="15"/>
    </row>
    <row r="5340" spans="1:12">
      <c r="A5340" s="72"/>
      <c r="B5340" s="9"/>
      <c r="C5340" s="9"/>
      <c r="D5340" s="10"/>
      <c r="E5340" s="19"/>
      <c r="F5340" s="19"/>
      <c r="G5340" s="12"/>
      <c r="H5340" s="9"/>
      <c r="I5340" s="9"/>
      <c r="J5340" s="9"/>
      <c r="K5340" s="9"/>
      <c r="L5340" s="16"/>
    </row>
    <row r="5341" spans="1:12">
      <c r="A5341" s="72"/>
      <c r="B5341" s="9"/>
      <c r="C5341" s="9"/>
      <c r="D5341" s="10"/>
      <c r="E5341" s="19"/>
      <c r="F5341" s="19"/>
      <c r="G5341" s="12"/>
      <c r="H5341" s="9"/>
      <c r="I5341" s="9"/>
      <c r="J5341" s="9"/>
      <c r="K5341" s="9"/>
      <c r="L5341" s="21"/>
    </row>
    <row r="5342" spans="1:12">
      <c r="A5342" s="72"/>
      <c r="B5342" s="9"/>
      <c r="C5342" s="9"/>
      <c r="D5342" s="9"/>
      <c r="E5342" s="19"/>
      <c r="F5342" s="19"/>
      <c r="G5342" s="12"/>
      <c r="H5342" s="12"/>
      <c r="I5342" s="9"/>
      <c r="J5342" s="9"/>
      <c r="K5342" s="9"/>
      <c r="L5342" s="21"/>
    </row>
    <row r="5343" spans="1:12">
      <c r="A5343" s="72"/>
      <c r="B5343" s="9"/>
      <c r="C5343" s="9"/>
      <c r="D5343" s="10"/>
      <c r="E5343" s="19"/>
      <c r="F5343" s="19"/>
      <c r="G5343" s="12"/>
      <c r="H5343" s="9"/>
      <c r="I5343" s="9"/>
      <c r="J5343" s="9"/>
      <c r="K5343" s="9"/>
      <c r="L5343" s="21"/>
    </row>
    <row r="5344" spans="1:12">
      <c r="A5344" s="72"/>
      <c r="B5344" s="12"/>
      <c r="C5344" s="12"/>
      <c r="D5344" s="12"/>
      <c r="E5344" s="11"/>
      <c r="F5344" s="11"/>
      <c r="G5344" s="12"/>
      <c r="H5344" s="12"/>
      <c r="I5344" s="12"/>
      <c r="J5344" s="12"/>
      <c r="K5344" s="12"/>
      <c r="L5344" s="15"/>
    </row>
    <row r="5345" spans="1:12">
      <c r="A5345" s="72"/>
      <c r="B5345" s="12"/>
      <c r="C5345" s="12"/>
      <c r="D5345" s="10"/>
      <c r="E5345" s="11"/>
      <c r="F5345" s="11"/>
      <c r="G5345" s="12"/>
      <c r="H5345" s="12"/>
      <c r="I5345" s="12"/>
      <c r="J5345" s="12"/>
      <c r="K5345" s="12"/>
      <c r="L5345" s="15"/>
    </row>
    <row r="5346" spans="1:12">
      <c r="A5346" s="72"/>
      <c r="B5346" s="12"/>
      <c r="C5346" s="12"/>
      <c r="D5346" s="10"/>
      <c r="E5346" s="11"/>
      <c r="F5346" s="11"/>
      <c r="G5346" s="12"/>
      <c r="H5346" s="12"/>
      <c r="I5346" s="12"/>
      <c r="J5346" s="12"/>
      <c r="K5346" s="12"/>
      <c r="L5346" s="15"/>
    </row>
    <row r="5347" spans="1:12">
      <c r="A5347" s="72"/>
      <c r="B5347" s="12"/>
      <c r="C5347" s="12"/>
      <c r="D5347" s="10"/>
      <c r="E5347" s="11"/>
      <c r="F5347" s="11"/>
      <c r="G5347" s="12"/>
      <c r="H5347" s="12"/>
      <c r="I5347" s="12"/>
      <c r="J5347" s="12"/>
      <c r="K5347" s="12"/>
      <c r="L5347" s="15"/>
    </row>
    <row r="5348" spans="1:12">
      <c r="A5348" s="72"/>
      <c r="B5348" s="12"/>
      <c r="C5348" s="12"/>
      <c r="D5348" s="10"/>
      <c r="E5348" s="11"/>
      <c r="F5348" s="11"/>
      <c r="G5348" s="12"/>
      <c r="H5348" s="12"/>
      <c r="I5348" s="12"/>
      <c r="J5348" s="12"/>
      <c r="K5348" s="12"/>
      <c r="L5348" s="15"/>
    </row>
    <row r="5349" spans="1:12">
      <c r="A5349" s="72"/>
      <c r="B5349" s="12"/>
      <c r="C5349" s="12"/>
      <c r="D5349" s="10"/>
      <c r="E5349" s="11"/>
      <c r="F5349" s="11"/>
      <c r="G5349" s="12"/>
      <c r="H5349" s="12"/>
      <c r="I5349" s="12"/>
      <c r="J5349" s="12"/>
      <c r="K5349" s="12"/>
      <c r="L5349" s="15"/>
    </row>
    <row r="5350" spans="1:12">
      <c r="A5350" s="72"/>
      <c r="B5350" s="10"/>
      <c r="C5350" s="10"/>
      <c r="D5350" s="10"/>
      <c r="E5350" s="22"/>
      <c r="F5350" s="22"/>
      <c r="G5350" s="12"/>
      <c r="H5350" s="10"/>
      <c r="I5350" s="10"/>
      <c r="J5350" s="10"/>
      <c r="K5350" s="10"/>
      <c r="L5350" s="23"/>
    </row>
    <row r="5351" spans="1:12">
      <c r="A5351" s="72"/>
      <c r="B5351" s="10"/>
      <c r="C5351" s="10"/>
      <c r="D5351" s="10"/>
      <c r="E5351" s="22"/>
      <c r="F5351" s="22"/>
      <c r="G5351" s="12"/>
      <c r="H5351" s="10"/>
      <c r="I5351" s="10"/>
      <c r="J5351" s="10"/>
      <c r="K5351" s="10"/>
      <c r="L5351" s="23"/>
    </row>
    <row r="5352" spans="1:12">
      <c r="A5352" s="72"/>
      <c r="B5352" s="10"/>
      <c r="C5352" s="10"/>
      <c r="D5352" s="10"/>
      <c r="E5352" s="22"/>
      <c r="F5352" s="22"/>
      <c r="G5352" s="12"/>
      <c r="H5352" s="10"/>
      <c r="I5352" s="10"/>
      <c r="J5352" s="10"/>
      <c r="K5352" s="10"/>
      <c r="L5352" s="23"/>
    </row>
    <row r="5353" spans="1:12">
      <c r="A5353" s="72"/>
      <c r="B5353" s="10"/>
      <c r="C5353" s="10"/>
      <c r="D5353" s="10"/>
      <c r="E5353" s="22"/>
      <c r="F5353" s="22"/>
      <c r="G5353" s="12"/>
      <c r="H5353" s="10"/>
      <c r="I5353" s="10"/>
      <c r="J5353" s="10"/>
      <c r="K5353" s="10"/>
      <c r="L5353" s="23"/>
    </row>
    <row r="5354" spans="1:12">
      <c r="A5354" s="72"/>
      <c r="B5354" s="10"/>
      <c r="C5354" s="10"/>
      <c r="D5354" s="10"/>
      <c r="E5354" s="22"/>
      <c r="F5354" s="22"/>
      <c r="G5354" s="12"/>
      <c r="H5354" s="10"/>
      <c r="I5354" s="10"/>
      <c r="J5354" s="10"/>
      <c r="K5354" s="10"/>
      <c r="L5354" s="23"/>
    </row>
    <row r="5355" spans="1:12">
      <c r="A5355" s="72"/>
      <c r="B5355" s="12"/>
      <c r="C5355" s="12"/>
      <c r="D5355" s="10"/>
      <c r="E5355" s="11"/>
      <c r="F5355" s="11"/>
      <c r="G5355" s="12"/>
      <c r="H5355" s="12"/>
      <c r="I5355" s="12"/>
      <c r="J5355" s="12"/>
      <c r="K5355" s="12"/>
      <c r="L5355" s="15"/>
    </row>
    <row r="5356" spans="1:12">
      <c r="A5356" s="72"/>
      <c r="B5356" s="12"/>
      <c r="C5356" s="12"/>
      <c r="D5356" s="12"/>
      <c r="E5356" s="11"/>
      <c r="F5356" s="11"/>
      <c r="G5356" s="12"/>
      <c r="H5356" s="12"/>
      <c r="I5356" s="12"/>
      <c r="J5356" s="12"/>
      <c r="K5356" s="12"/>
      <c r="L5356" s="15"/>
    </row>
    <row r="5357" spans="1:12">
      <c r="A5357" s="72"/>
      <c r="B5357" s="12"/>
      <c r="C5357" s="12"/>
      <c r="D5357" s="10"/>
      <c r="E5357" s="56"/>
      <c r="F5357" s="56"/>
      <c r="G5357" s="12"/>
      <c r="H5357" s="57"/>
      <c r="I5357" s="12"/>
      <c r="J5357" s="12"/>
      <c r="K5357" s="12"/>
      <c r="L5357" s="15"/>
    </row>
    <row r="5358" spans="1:12">
      <c r="A5358" s="72"/>
      <c r="B5358" s="12"/>
      <c r="C5358" s="12"/>
      <c r="D5358" s="10"/>
      <c r="E5358" s="11"/>
      <c r="F5358" s="11"/>
      <c r="G5358" s="12"/>
      <c r="H5358" s="12"/>
      <c r="I5358" s="12"/>
      <c r="J5358" s="12"/>
      <c r="K5358" s="12"/>
      <c r="L5358" s="15"/>
    </row>
    <row r="5359" spans="1:12">
      <c r="A5359" s="72"/>
      <c r="B5359" s="12"/>
      <c r="C5359" s="12"/>
      <c r="D5359" s="10"/>
      <c r="E5359" s="11"/>
      <c r="F5359" s="11"/>
      <c r="G5359" s="12"/>
      <c r="H5359" s="12"/>
      <c r="I5359" s="12"/>
      <c r="J5359" s="12"/>
      <c r="K5359" s="12"/>
      <c r="L5359" s="15"/>
    </row>
    <row r="5360" spans="1:12">
      <c r="A5360" s="72"/>
      <c r="B5360" s="12"/>
      <c r="C5360" s="12"/>
      <c r="D5360" s="12"/>
      <c r="E5360" s="11"/>
      <c r="F5360" s="11"/>
      <c r="G5360" s="12"/>
      <c r="H5360" s="12"/>
      <c r="I5360" s="12"/>
      <c r="J5360" s="12"/>
      <c r="K5360" s="12"/>
      <c r="L5360" s="15"/>
    </row>
    <row r="5361" spans="1:12">
      <c r="A5361" s="72"/>
      <c r="B5361" s="12"/>
      <c r="C5361" s="12"/>
      <c r="D5361" s="12"/>
      <c r="E5361" s="11"/>
      <c r="F5361" s="11"/>
      <c r="G5361" s="12"/>
      <c r="H5361" s="12"/>
      <c r="I5361" s="12"/>
      <c r="J5361" s="12"/>
      <c r="K5361" s="12"/>
      <c r="L5361" s="15"/>
    </row>
    <row r="5362" spans="1:12">
      <c r="A5362" s="72"/>
      <c r="B5362" s="12"/>
      <c r="C5362" s="12"/>
      <c r="D5362" s="10"/>
      <c r="E5362" s="11"/>
      <c r="F5362" s="11"/>
      <c r="G5362" s="12"/>
      <c r="H5362" s="12"/>
      <c r="I5362" s="12"/>
      <c r="J5362" s="12"/>
      <c r="K5362" s="12"/>
      <c r="L5362" s="15"/>
    </row>
    <row r="5363" spans="1:12">
      <c r="A5363" s="72"/>
      <c r="B5363" s="12"/>
      <c r="C5363" s="12"/>
      <c r="D5363" s="12"/>
      <c r="E5363" s="11"/>
      <c r="F5363" s="11"/>
      <c r="G5363" s="12"/>
      <c r="H5363" s="12"/>
      <c r="I5363" s="12"/>
      <c r="J5363" s="12"/>
      <c r="K5363" s="12"/>
      <c r="L5363" s="15"/>
    </row>
    <row r="5364" spans="1:12">
      <c r="A5364" s="72"/>
      <c r="B5364" s="12"/>
      <c r="C5364" s="12"/>
      <c r="D5364" s="10"/>
      <c r="E5364" s="11"/>
      <c r="F5364" s="11"/>
      <c r="G5364" s="12"/>
      <c r="H5364" s="12"/>
      <c r="I5364" s="12"/>
      <c r="J5364" s="12"/>
      <c r="K5364" s="12"/>
      <c r="L5364" s="15"/>
    </row>
    <row r="5365" spans="1:12">
      <c r="A5365" s="72"/>
      <c r="B5365" s="12"/>
      <c r="C5365" s="12"/>
      <c r="D5365" s="10"/>
      <c r="E5365" s="11"/>
      <c r="F5365" s="11"/>
      <c r="G5365" s="12"/>
      <c r="H5365" s="12"/>
      <c r="I5365" s="12"/>
      <c r="J5365" s="12"/>
      <c r="K5365" s="12"/>
      <c r="L5365" s="15"/>
    </row>
    <row r="5366" spans="1:12">
      <c r="A5366" s="72"/>
      <c r="B5366" s="12"/>
      <c r="C5366" s="12"/>
      <c r="D5366" s="10"/>
      <c r="E5366" s="11"/>
      <c r="F5366" s="11"/>
      <c r="G5366" s="12"/>
      <c r="H5366" s="12"/>
      <c r="I5366" s="12"/>
      <c r="J5366" s="12"/>
      <c r="K5366" s="12"/>
      <c r="L5366" s="15"/>
    </row>
    <row r="5367" spans="1:12">
      <c r="A5367" s="72"/>
      <c r="B5367" s="12"/>
      <c r="C5367" s="12"/>
      <c r="D5367" s="12"/>
      <c r="E5367" s="11"/>
      <c r="F5367" s="11"/>
      <c r="G5367" s="12"/>
      <c r="H5367" s="12"/>
      <c r="I5367" s="12"/>
      <c r="J5367" s="12"/>
      <c r="K5367" s="12"/>
      <c r="L5367" s="15"/>
    </row>
    <row r="5368" spans="1:12">
      <c r="A5368" s="72"/>
      <c r="B5368" s="12"/>
      <c r="C5368" s="12"/>
      <c r="D5368" s="10"/>
      <c r="E5368" s="11"/>
      <c r="F5368" s="11"/>
      <c r="G5368" s="12"/>
      <c r="H5368" s="12"/>
      <c r="I5368" s="12"/>
      <c r="J5368" s="12"/>
      <c r="K5368" s="12"/>
      <c r="L5368" s="15"/>
    </row>
    <row r="5369" spans="1:12">
      <c r="A5369" s="72"/>
      <c r="B5369" s="12"/>
      <c r="C5369" s="12"/>
      <c r="D5369" s="10"/>
      <c r="E5369" s="11"/>
      <c r="F5369" s="11"/>
      <c r="G5369" s="12"/>
      <c r="H5369" s="12"/>
      <c r="I5369" s="12"/>
      <c r="J5369" s="12"/>
      <c r="K5369" s="12"/>
      <c r="L5369" s="15"/>
    </row>
    <row r="5370" spans="1:12">
      <c r="A5370" s="72"/>
      <c r="B5370" s="12"/>
      <c r="C5370" s="12"/>
      <c r="D5370" s="12"/>
      <c r="E5370" s="11"/>
      <c r="F5370" s="11"/>
      <c r="G5370" s="12"/>
      <c r="H5370" s="12"/>
      <c r="I5370" s="12"/>
      <c r="J5370" s="12"/>
      <c r="K5370" s="12"/>
      <c r="L5370" s="15"/>
    </row>
    <row r="5371" spans="1:12">
      <c r="A5371" s="72"/>
      <c r="B5371" s="12"/>
      <c r="C5371" s="12"/>
      <c r="D5371" s="12"/>
      <c r="E5371" s="11"/>
      <c r="F5371" s="11"/>
      <c r="G5371" s="12"/>
      <c r="H5371" s="12"/>
      <c r="I5371" s="12"/>
      <c r="J5371" s="12"/>
      <c r="K5371" s="12"/>
      <c r="L5371" s="15"/>
    </row>
    <row r="5372" spans="1:12">
      <c r="A5372" s="72"/>
      <c r="B5372" s="12"/>
      <c r="C5372" s="12"/>
      <c r="D5372" s="12"/>
      <c r="E5372" s="11"/>
      <c r="F5372" s="11"/>
      <c r="G5372" s="12"/>
      <c r="H5372" s="12"/>
      <c r="I5372" s="12"/>
      <c r="J5372" s="12"/>
      <c r="K5372" s="12"/>
      <c r="L5372" s="15"/>
    </row>
    <row r="5373" spans="1:12">
      <c r="A5373" s="72"/>
      <c r="B5373" s="12"/>
      <c r="C5373" s="12"/>
      <c r="D5373" s="10"/>
      <c r="E5373" s="11"/>
      <c r="F5373" s="11"/>
      <c r="G5373" s="12"/>
      <c r="H5373" s="12"/>
      <c r="I5373" s="12"/>
      <c r="J5373" s="12"/>
      <c r="K5373" s="12"/>
      <c r="L5373" s="15"/>
    </row>
    <row r="5374" spans="1:12">
      <c r="A5374" s="72"/>
      <c r="B5374" s="12"/>
      <c r="C5374" s="12"/>
      <c r="D5374" s="12"/>
      <c r="E5374" s="11"/>
      <c r="F5374" s="11"/>
      <c r="G5374" s="12"/>
      <c r="H5374" s="12"/>
      <c r="I5374" s="12"/>
      <c r="J5374" s="12"/>
      <c r="K5374" s="12"/>
      <c r="L5374" s="15"/>
    </row>
    <row r="5375" spans="1:12">
      <c r="A5375" s="72"/>
      <c r="B5375" s="12"/>
      <c r="C5375" s="12"/>
      <c r="D5375" s="10"/>
      <c r="E5375" s="11"/>
      <c r="F5375" s="11"/>
      <c r="G5375" s="12"/>
      <c r="H5375" s="12"/>
      <c r="I5375" s="12"/>
      <c r="J5375" s="12"/>
      <c r="K5375" s="12"/>
      <c r="L5375" s="15"/>
    </row>
    <row r="5376" spans="1:12">
      <c r="A5376" s="72"/>
      <c r="B5376" s="12"/>
      <c r="C5376" s="12"/>
      <c r="D5376" s="10"/>
      <c r="E5376" s="11"/>
      <c r="F5376" s="11"/>
      <c r="G5376" s="12"/>
      <c r="H5376" s="12"/>
      <c r="I5376" s="12"/>
      <c r="J5376" s="12"/>
      <c r="K5376" s="12"/>
      <c r="L5376" s="15"/>
    </row>
    <row r="5377" spans="1:12">
      <c r="A5377" s="72"/>
      <c r="B5377" s="12"/>
      <c r="C5377" s="12"/>
      <c r="D5377" s="10"/>
      <c r="E5377" s="11"/>
      <c r="F5377" s="11"/>
      <c r="G5377" s="12"/>
      <c r="H5377" s="12"/>
      <c r="I5377" s="12"/>
      <c r="J5377" s="12"/>
      <c r="K5377" s="12"/>
      <c r="L5377" s="15"/>
    </row>
    <row r="5378" spans="1:12">
      <c r="A5378" s="72"/>
      <c r="B5378" s="12"/>
      <c r="C5378" s="12"/>
      <c r="D5378" s="12"/>
      <c r="E5378" s="11"/>
      <c r="F5378" s="11"/>
      <c r="G5378" s="12"/>
      <c r="H5378" s="12"/>
      <c r="I5378" s="12"/>
      <c r="J5378" s="12"/>
      <c r="K5378" s="12"/>
      <c r="L5378" s="15"/>
    </row>
    <row r="5379" spans="1:12">
      <c r="A5379" s="72"/>
      <c r="B5379" s="9"/>
      <c r="C5379" s="9"/>
      <c r="D5379" s="9"/>
      <c r="E5379" s="19"/>
      <c r="F5379" s="19"/>
      <c r="G5379" s="12"/>
      <c r="H5379" s="9"/>
      <c r="I5379" s="9"/>
      <c r="J5379" s="9"/>
      <c r="K5379" s="9"/>
      <c r="L5379" s="21"/>
    </row>
    <row r="5380" spans="1:12">
      <c r="A5380" s="72"/>
      <c r="B5380" s="9"/>
      <c r="C5380" s="9"/>
      <c r="D5380" s="10"/>
      <c r="E5380" s="19"/>
      <c r="F5380" s="19"/>
      <c r="G5380" s="12"/>
      <c r="H5380" s="9"/>
      <c r="I5380" s="9"/>
      <c r="J5380" s="9"/>
      <c r="K5380" s="9"/>
      <c r="L5380" s="21"/>
    </row>
    <row r="5381" spans="1:12">
      <c r="A5381" s="72"/>
      <c r="B5381" s="9"/>
      <c r="C5381" s="9"/>
      <c r="D5381" s="10"/>
      <c r="E5381" s="19"/>
      <c r="F5381" s="19"/>
      <c r="G5381" s="12"/>
      <c r="H5381" s="9"/>
      <c r="I5381" s="9"/>
      <c r="J5381" s="9"/>
      <c r="K5381" s="9"/>
      <c r="L5381" s="21"/>
    </row>
    <row r="5382" spans="1:12">
      <c r="A5382" s="72"/>
      <c r="B5382" s="9"/>
      <c r="C5382" s="9"/>
      <c r="D5382" s="9"/>
      <c r="E5382" s="19"/>
      <c r="F5382" s="19"/>
      <c r="G5382" s="12"/>
      <c r="H5382" s="9"/>
      <c r="I5382" s="9"/>
      <c r="J5382" s="9"/>
      <c r="K5382" s="9"/>
      <c r="L5382" s="21"/>
    </row>
    <row r="5383" spans="1:12">
      <c r="A5383" s="72"/>
      <c r="B5383" s="12"/>
      <c r="C5383" s="12"/>
      <c r="D5383" s="10"/>
      <c r="E5383" s="11"/>
      <c r="F5383" s="11"/>
      <c r="G5383" s="12"/>
      <c r="H5383" s="12"/>
      <c r="I5383" s="12"/>
      <c r="J5383" s="12"/>
      <c r="K5383" s="12"/>
      <c r="L5383" s="15"/>
    </row>
    <row r="5384" spans="1:12">
      <c r="A5384" s="72"/>
      <c r="B5384" s="12"/>
      <c r="C5384" s="12"/>
      <c r="D5384" s="12"/>
      <c r="E5384" s="11"/>
      <c r="F5384" s="11"/>
      <c r="G5384" s="12"/>
      <c r="H5384" s="12"/>
      <c r="I5384" s="12"/>
      <c r="J5384" s="12"/>
      <c r="K5384" s="12"/>
      <c r="L5384" s="15"/>
    </row>
    <row r="5385" spans="1:12">
      <c r="A5385" s="72"/>
      <c r="B5385" s="12"/>
      <c r="C5385" s="12"/>
      <c r="D5385" s="12"/>
      <c r="E5385" s="11"/>
      <c r="F5385" s="11"/>
      <c r="G5385" s="12"/>
      <c r="H5385" s="12"/>
      <c r="I5385" s="12"/>
      <c r="J5385" s="12"/>
      <c r="K5385" s="12"/>
      <c r="L5385" s="15"/>
    </row>
    <row r="5386" spans="1:12">
      <c r="A5386" s="72"/>
      <c r="B5386" s="12"/>
      <c r="C5386" s="12"/>
      <c r="D5386" s="12"/>
      <c r="E5386" s="11"/>
      <c r="F5386" s="11"/>
      <c r="G5386" s="12"/>
      <c r="H5386" s="12"/>
      <c r="I5386" s="12"/>
      <c r="J5386" s="12"/>
      <c r="K5386" s="12"/>
      <c r="L5386" s="15"/>
    </row>
    <row r="5387" spans="1:12">
      <c r="A5387" s="72"/>
      <c r="B5387" s="12"/>
      <c r="C5387" s="12"/>
      <c r="D5387" s="10"/>
      <c r="E5387" s="11"/>
      <c r="F5387" s="11"/>
      <c r="G5387" s="12"/>
      <c r="H5387" s="12"/>
      <c r="I5387" s="12"/>
      <c r="J5387" s="12"/>
      <c r="K5387" s="12"/>
      <c r="L5387" s="15"/>
    </row>
    <row r="5388" spans="1:12">
      <c r="A5388" s="72"/>
      <c r="B5388" s="12"/>
      <c r="C5388" s="12"/>
      <c r="D5388" s="10"/>
      <c r="E5388" s="11"/>
      <c r="F5388" s="11"/>
      <c r="G5388" s="12"/>
      <c r="H5388" s="12"/>
      <c r="I5388" s="12"/>
      <c r="J5388" s="12"/>
      <c r="K5388" s="12"/>
      <c r="L5388" s="15"/>
    </row>
    <row r="5389" spans="1:12">
      <c r="A5389" s="72"/>
      <c r="B5389" s="12"/>
      <c r="C5389" s="12"/>
      <c r="D5389" s="12"/>
      <c r="E5389" s="11"/>
      <c r="F5389" s="11"/>
      <c r="G5389" s="12"/>
      <c r="H5389" s="12"/>
      <c r="I5389" s="12"/>
      <c r="J5389" s="12"/>
      <c r="K5389" s="12"/>
      <c r="L5389" s="15"/>
    </row>
    <row r="5390" spans="1:12">
      <c r="A5390" s="72"/>
      <c r="B5390" s="12"/>
      <c r="C5390" s="12"/>
      <c r="D5390" s="10"/>
      <c r="E5390" s="11"/>
      <c r="F5390" s="11"/>
      <c r="G5390" s="12"/>
      <c r="H5390" s="12"/>
      <c r="I5390" s="12"/>
      <c r="J5390" s="12"/>
      <c r="K5390" s="12"/>
      <c r="L5390" s="15"/>
    </row>
    <row r="5391" spans="1:12">
      <c r="A5391" s="72"/>
      <c r="B5391" s="105"/>
      <c r="C5391" s="106"/>
      <c r="D5391" s="106"/>
      <c r="E5391" s="106"/>
      <c r="F5391" s="93"/>
      <c r="G5391" s="93"/>
      <c r="H5391" s="93"/>
      <c r="I5391" s="106"/>
      <c r="J5391" s="106"/>
      <c r="K5391" s="107"/>
      <c r="L5391" s="109"/>
    </row>
    <row r="5392" spans="1:12">
      <c r="A5392" s="72"/>
      <c r="B5392" s="110"/>
      <c r="C5392" s="111"/>
      <c r="D5392" s="106"/>
      <c r="E5392" s="111"/>
      <c r="F5392" s="93"/>
      <c r="G5392" s="93"/>
      <c r="H5392" s="93"/>
      <c r="I5392" s="111"/>
      <c r="J5392" s="111"/>
      <c r="K5392" s="107"/>
      <c r="L5392" s="114"/>
    </row>
    <row r="5393" spans="1:12">
      <c r="A5393" s="72"/>
      <c r="B5393" s="12"/>
      <c r="C5393" s="12"/>
      <c r="D5393" s="10"/>
      <c r="E5393" s="11"/>
      <c r="F5393" s="11"/>
      <c r="G5393" s="12"/>
      <c r="H5393" s="12"/>
      <c r="I5393" s="12"/>
      <c r="J5393" s="12"/>
      <c r="K5393" s="12"/>
      <c r="L5393" s="15"/>
    </row>
    <row r="5394" spans="1:12">
      <c r="A5394" s="72"/>
      <c r="B5394" s="12"/>
      <c r="C5394" s="12"/>
      <c r="D5394" s="10"/>
      <c r="E5394" s="11"/>
      <c r="F5394" s="11"/>
      <c r="G5394" s="12"/>
      <c r="H5394" s="12"/>
      <c r="I5394" s="12"/>
      <c r="J5394" s="12"/>
      <c r="K5394" s="12"/>
      <c r="L5394" s="15"/>
    </row>
    <row r="5395" spans="1:12">
      <c r="A5395" s="72"/>
      <c r="B5395" s="12"/>
      <c r="C5395" s="12"/>
      <c r="D5395" s="10"/>
      <c r="E5395" s="11"/>
      <c r="F5395" s="11"/>
      <c r="G5395" s="12"/>
      <c r="H5395" s="12"/>
      <c r="I5395" s="12"/>
      <c r="J5395" s="12"/>
      <c r="K5395" s="12"/>
      <c r="L5395" s="15"/>
    </row>
    <row r="5396" spans="1:12">
      <c r="A5396" s="72"/>
      <c r="B5396" s="12"/>
      <c r="C5396" s="12"/>
      <c r="D5396" s="10"/>
      <c r="E5396" s="11"/>
      <c r="F5396" s="11"/>
      <c r="G5396" s="12"/>
      <c r="H5396" s="12"/>
      <c r="I5396" s="12"/>
      <c r="J5396" s="12"/>
      <c r="K5396" s="12"/>
      <c r="L5396" s="15"/>
    </row>
    <row r="5397" spans="1:12">
      <c r="A5397" s="72"/>
      <c r="B5397" s="12"/>
      <c r="C5397" s="12"/>
      <c r="D5397" s="10"/>
      <c r="E5397" s="11"/>
      <c r="F5397" s="11"/>
      <c r="G5397" s="12"/>
      <c r="H5397" s="12"/>
      <c r="I5397" s="12"/>
      <c r="J5397" s="12"/>
      <c r="K5397" s="12"/>
      <c r="L5397" s="15"/>
    </row>
    <row r="5398" spans="1:12">
      <c r="A5398" s="72"/>
      <c r="B5398" s="12"/>
      <c r="C5398" s="12"/>
      <c r="D5398" s="10"/>
      <c r="E5398" s="11"/>
      <c r="F5398" s="11"/>
      <c r="G5398" s="12"/>
      <c r="H5398" s="12"/>
      <c r="I5398" s="12"/>
      <c r="J5398" s="12"/>
      <c r="K5398" s="12"/>
      <c r="L5398" s="15"/>
    </row>
    <row r="5399" spans="1:12">
      <c r="A5399" s="72"/>
      <c r="B5399" s="12"/>
      <c r="C5399" s="12"/>
      <c r="D5399" s="10"/>
      <c r="E5399" s="11"/>
      <c r="F5399" s="11"/>
      <c r="G5399" s="12"/>
      <c r="H5399" s="12"/>
      <c r="I5399" s="12"/>
      <c r="J5399" s="12"/>
      <c r="K5399" s="12"/>
      <c r="L5399" s="15"/>
    </row>
    <row r="5400" spans="1:12">
      <c r="A5400" s="72"/>
      <c r="B5400" s="12"/>
      <c r="C5400" s="12"/>
      <c r="D5400" s="10"/>
      <c r="E5400" s="11"/>
      <c r="F5400" s="11"/>
      <c r="G5400" s="12"/>
      <c r="H5400" s="12"/>
      <c r="I5400" s="12"/>
      <c r="J5400" s="12"/>
      <c r="K5400" s="12"/>
      <c r="L5400" s="15"/>
    </row>
    <row r="5401" spans="1:12">
      <c r="A5401" s="72"/>
      <c r="B5401" s="12"/>
      <c r="C5401" s="12"/>
      <c r="D5401" s="10"/>
      <c r="E5401" s="11"/>
      <c r="F5401" s="11"/>
      <c r="G5401" s="12"/>
      <c r="H5401" s="12"/>
      <c r="I5401" s="12"/>
      <c r="J5401" s="12"/>
      <c r="K5401" s="12"/>
      <c r="L5401" s="15"/>
    </row>
    <row r="5402" spans="1:12">
      <c r="A5402" s="72"/>
      <c r="B5402" s="12"/>
      <c r="C5402" s="12"/>
      <c r="D5402" s="10"/>
      <c r="E5402" s="19"/>
      <c r="F5402" s="19"/>
      <c r="G5402" s="12"/>
      <c r="H5402" s="9"/>
      <c r="I5402" s="12"/>
      <c r="J5402" s="12"/>
      <c r="K5402" s="12"/>
      <c r="L5402" s="21"/>
    </row>
    <row r="5403" spans="1:12">
      <c r="A5403" s="72"/>
      <c r="B5403" s="12"/>
      <c r="C5403" s="12"/>
      <c r="D5403" s="10"/>
      <c r="E5403" s="11"/>
      <c r="F5403" s="11"/>
      <c r="G5403" s="12"/>
      <c r="H5403" s="12"/>
      <c r="I5403" s="12"/>
      <c r="J5403" s="12"/>
      <c r="K5403" s="12"/>
      <c r="L5403" s="15"/>
    </row>
    <row r="5404" spans="1:12">
      <c r="A5404" s="72"/>
      <c r="B5404" s="12"/>
      <c r="C5404" s="12"/>
      <c r="D5404" s="10"/>
      <c r="E5404" s="11"/>
      <c r="F5404" s="11"/>
      <c r="G5404" s="12"/>
      <c r="H5404" s="12"/>
      <c r="I5404" s="12"/>
      <c r="J5404" s="12"/>
      <c r="K5404" s="12"/>
      <c r="L5404" s="15"/>
    </row>
    <row r="5405" spans="1:12">
      <c r="A5405" s="72"/>
      <c r="B5405" s="12"/>
      <c r="C5405" s="12"/>
      <c r="D5405" s="10"/>
      <c r="E5405" s="11"/>
      <c r="F5405" s="11"/>
      <c r="G5405" s="12"/>
      <c r="H5405" s="12"/>
      <c r="I5405" s="12"/>
      <c r="J5405" s="12"/>
      <c r="K5405" s="12"/>
      <c r="L5405" s="15"/>
    </row>
    <row r="5406" spans="1:12">
      <c r="A5406" s="72"/>
      <c r="B5406" s="12"/>
      <c r="C5406" s="12"/>
      <c r="D5406" s="10"/>
      <c r="E5406" s="11"/>
      <c r="F5406" s="11"/>
      <c r="G5406" s="12"/>
      <c r="H5406" s="12"/>
      <c r="I5406" s="12"/>
      <c r="J5406" s="12"/>
      <c r="K5406" s="12"/>
      <c r="L5406" s="15"/>
    </row>
    <row r="5407" spans="1:12">
      <c r="A5407" s="72"/>
      <c r="B5407" s="12"/>
      <c r="C5407" s="12"/>
      <c r="D5407" s="10"/>
      <c r="E5407" s="11"/>
      <c r="F5407" s="11"/>
      <c r="G5407" s="12"/>
      <c r="H5407" s="12"/>
      <c r="I5407" s="12"/>
      <c r="J5407" s="12"/>
      <c r="K5407" s="12"/>
      <c r="L5407" s="15"/>
    </row>
    <row r="5408" spans="1:12">
      <c r="A5408" s="72"/>
      <c r="B5408" s="12"/>
      <c r="C5408" s="12"/>
      <c r="D5408" s="10"/>
      <c r="E5408" s="11"/>
      <c r="F5408" s="11"/>
      <c r="G5408" s="115"/>
      <c r="H5408" s="12"/>
      <c r="I5408" s="12"/>
      <c r="J5408" s="12"/>
      <c r="K5408" s="12"/>
      <c r="L5408" s="15"/>
    </row>
    <row r="5409" spans="1:12">
      <c r="A5409" s="72"/>
      <c r="B5409" s="12"/>
      <c r="C5409" s="12"/>
      <c r="D5409" s="12"/>
      <c r="E5409" s="11"/>
      <c r="F5409" s="11"/>
      <c r="G5409" s="12"/>
      <c r="H5409" s="12"/>
      <c r="I5409" s="12"/>
      <c r="J5409" s="12"/>
      <c r="K5409" s="12"/>
      <c r="L5409" s="15"/>
    </row>
    <row r="5410" spans="1:12">
      <c r="A5410" s="72"/>
      <c r="B5410" s="12"/>
      <c r="C5410" s="12"/>
      <c r="D5410" s="10"/>
      <c r="E5410" s="11"/>
      <c r="F5410" s="11"/>
      <c r="G5410" s="12"/>
      <c r="H5410" s="12"/>
      <c r="I5410" s="12"/>
      <c r="J5410" s="12"/>
      <c r="K5410" s="12"/>
      <c r="L5410" s="15"/>
    </row>
    <row r="5411" spans="1:12">
      <c r="A5411" s="72"/>
      <c r="B5411" s="12"/>
      <c r="C5411" s="12"/>
      <c r="D5411" s="10"/>
      <c r="E5411" s="11"/>
      <c r="F5411" s="11"/>
      <c r="G5411" s="12"/>
      <c r="H5411" s="12"/>
      <c r="I5411" s="12"/>
      <c r="J5411" s="12"/>
      <c r="K5411" s="12"/>
      <c r="L5411" s="15"/>
    </row>
    <row r="5412" spans="1:12">
      <c r="A5412" s="72"/>
      <c r="B5412" s="12"/>
      <c r="C5412" s="12"/>
      <c r="D5412" s="10"/>
      <c r="E5412" s="11"/>
      <c r="F5412" s="11"/>
      <c r="G5412" s="12"/>
      <c r="H5412" s="12"/>
      <c r="I5412" s="12"/>
      <c r="J5412" s="12"/>
      <c r="K5412" s="12"/>
      <c r="L5412" s="15"/>
    </row>
    <row r="5413" spans="1:12">
      <c r="A5413" s="72"/>
      <c r="B5413" s="12"/>
      <c r="C5413" s="12"/>
      <c r="D5413" s="10"/>
      <c r="E5413" s="11"/>
      <c r="F5413" s="11"/>
      <c r="G5413" s="12"/>
      <c r="H5413" s="12"/>
      <c r="I5413" s="12"/>
      <c r="J5413" s="12"/>
      <c r="K5413" s="12"/>
      <c r="L5413" s="15"/>
    </row>
    <row r="5414" spans="1:12">
      <c r="A5414" s="72"/>
      <c r="B5414" s="12"/>
      <c r="C5414" s="12"/>
      <c r="D5414" s="10"/>
      <c r="E5414" s="11"/>
      <c r="F5414" s="11"/>
      <c r="G5414" s="12"/>
      <c r="H5414" s="12"/>
      <c r="I5414" s="12"/>
      <c r="J5414" s="12"/>
      <c r="K5414" s="12"/>
      <c r="L5414" s="15"/>
    </row>
    <row r="5415" spans="1:12">
      <c r="A5415" s="72"/>
      <c r="B5415" s="12"/>
      <c r="C5415" s="12"/>
      <c r="D5415" s="10"/>
      <c r="E5415" s="11"/>
      <c r="F5415" s="11"/>
      <c r="G5415" s="12"/>
      <c r="H5415" s="12"/>
      <c r="I5415" s="12"/>
      <c r="J5415" s="12"/>
      <c r="K5415" s="12"/>
      <c r="L5415" s="15"/>
    </row>
    <row r="5416" spans="1:12">
      <c r="A5416" s="72"/>
      <c r="B5416" s="12"/>
      <c r="C5416" s="12"/>
      <c r="D5416" s="10"/>
      <c r="E5416" s="11"/>
      <c r="F5416" s="11"/>
      <c r="G5416" s="12"/>
      <c r="H5416" s="12"/>
      <c r="I5416" s="12"/>
      <c r="J5416" s="12"/>
      <c r="K5416" s="12"/>
      <c r="L5416" s="15"/>
    </row>
    <row r="5417" spans="1:12">
      <c r="A5417" s="72"/>
      <c r="B5417" s="12"/>
      <c r="C5417" s="12"/>
      <c r="D5417" s="10"/>
      <c r="E5417" s="11"/>
      <c r="F5417" s="11"/>
      <c r="G5417" s="12"/>
      <c r="H5417" s="12"/>
      <c r="I5417" s="12"/>
      <c r="J5417" s="12"/>
      <c r="K5417" s="12"/>
      <c r="L5417" s="15"/>
    </row>
    <row r="5418" spans="1:12">
      <c r="A5418" s="72"/>
      <c r="B5418" s="12"/>
      <c r="C5418" s="12"/>
      <c r="D5418" s="10"/>
      <c r="E5418" s="11"/>
      <c r="F5418" s="11"/>
      <c r="G5418" s="12"/>
      <c r="H5418" s="12"/>
      <c r="I5418" s="12"/>
      <c r="J5418" s="12"/>
      <c r="K5418" s="12"/>
      <c r="L5418" s="15"/>
    </row>
    <row r="5419" spans="1:12">
      <c r="A5419" s="72"/>
      <c r="B5419" s="12"/>
      <c r="C5419" s="12"/>
      <c r="D5419" s="10"/>
      <c r="E5419" s="11"/>
      <c r="F5419" s="11"/>
      <c r="G5419" s="12"/>
      <c r="H5419" s="12"/>
      <c r="I5419" s="12"/>
      <c r="J5419" s="12"/>
      <c r="K5419" s="12"/>
      <c r="L5419" s="15"/>
    </row>
    <row r="5420" spans="1:12">
      <c r="A5420" s="72"/>
      <c r="B5420" s="12"/>
      <c r="C5420" s="12"/>
      <c r="D5420" s="10"/>
      <c r="E5420" s="11"/>
      <c r="F5420" s="11"/>
      <c r="G5420" s="12"/>
      <c r="H5420" s="12"/>
      <c r="I5420" s="12"/>
      <c r="J5420" s="12"/>
      <c r="K5420" s="12"/>
      <c r="L5420" s="15"/>
    </row>
    <row r="5421" spans="1:12">
      <c r="A5421" s="72"/>
      <c r="B5421" s="12"/>
      <c r="C5421" s="12"/>
      <c r="D5421" s="10"/>
      <c r="E5421" s="11"/>
      <c r="F5421" s="11"/>
      <c r="G5421" s="12"/>
      <c r="H5421" s="12"/>
      <c r="I5421" s="12"/>
      <c r="J5421" s="12"/>
      <c r="K5421" s="12"/>
      <c r="L5421" s="15"/>
    </row>
    <row r="5422" spans="1:12">
      <c r="A5422" s="72"/>
      <c r="B5422" s="9"/>
      <c r="C5422" s="9"/>
      <c r="D5422" s="10"/>
      <c r="E5422" s="22"/>
      <c r="F5422" s="22"/>
      <c r="G5422" s="12"/>
      <c r="H5422" s="9"/>
      <c r="I5422" s="9"/>
      <c r="J5422" s="9"/>
      <c r="K5422" s="9"/>
      <c r="L5422" s="41"/>
    </row>
    <row r="5423" spans="1:12">
      <c r="A5423" s="72"/>
      <c r="B5423" s="9"/>
      <c r="C5423" s="9"/>
      <c r="D5423" s="10"/>
      <c r="E5423" s="22"/>
      <c r="F5423" s="22"/>
      <c r="G5423" s="12"/>
      <c r="H5423" s="9"/>
      <c r="I5423" s="9"/>
      <c r="J5423" s="9"/>
      <c r="K5423" s="9"/>
      <c r="L5423" s="21"/>
    </row>
    <row r="5424" spans="1:12">
      <c r="A5424" s="72"/>
      <c r="B5424" s="9"/>
      <c r="C5424" s="9"/>
      <c r="D5424" s="10"/>
      <c r="E5424" s="22"/>
      <c r="F5424" s="22"/>
      <c r="G5424" s="12"/>
      <c r="H5424" s="9"/>
      <c r="I5424" s="9"/>
      <c r="J5424" s="9"/>
      <c r="K5424" s="9"/>
      <c r="L5424" s="31"/>
    </row>
    <row r="5425" spans="1:12">
      <c r="A5425" s="72"/>
      <c r="B5425" s="9"/>
      <c r="C5425" s="9"/>
      <c r="D5425" s="10"/>
      <c r="E5425" s="22"/>
      <c r="F5425" s="22"/>
      <c r="G5425" s="12"/>
      <c r="H5425" s="9"/>
      <c r="I5425" s="9"/>
      <c r="J5425" s="9"/>
      <c r="K5425" s="9"/>
      <c r="L5425" s="21"/>
    </row>
    <row r="5426" spans="1:12">
      <c r="A5426" s="72"/>
      <c r="B5426" s="9"/>
      <c r="C5426" s="9"/>
      <c r="D5426" s="10"/>
      <c r="E5426" s="22"/>
      <c r="F5426" s="22"/>
      <c r="G5426" s="12"/>
      <c r="H5426" s="9"/>
      <c r="I5426" s="9"/>
      <c r="J5426" s="9"/>
      <c r="K5426" s="9"/>
      <c r="L5426" s="21"/>
    </row>
    <row r="5427" spans="1:12">
      <c r="A5427" s="72"/>
      <c r="B5427" s="9"/>
      <c r="C5427" s="9"/>
      <c r="D5427" s="10"/>
      <c r="E5427" s="22"/>
      <c r="F5427" s="22"/>
      <c r="G5427" s="12"/>
      <c r="H5427" s="9"/>
      <c r="I5427" s="9"/>
      <c r="J5427" s="9"/>
      <c r="K5427" s="9"/>
      <c r="L5427" s="21"/>
    </row>
    <row r="5428" spans="1:12">
      <c r="A5428" s="72"/>
      <c r="B5428" s="9"/>
      <c r="C5428" s="9"/>
      <c r="D5428" s="10"/>
      <c r="E5428" s="22"/>
      <c r="F5428" s="22"/>
      <c r="G5428" s="12"/>
      <c r="H5428" s="9"/>
      <c r="I5428" s="9"/>
      <c r="J5428" s="9"/>
      <c r="K5428" s="9"/>
      <c r="L5428" s="21"/>
    </row>
    <row r="5429" spans="1:12">
      <c r="A5429" s="72"/>
      <c r="B5429" s="9"/>
      <c r="C5429" s="9"/>
      <c r="D5429" s="9"/>
      <c r="E5429" s="11"/>
      <c r="F5429" s="11"/>
      <c r="G5429" s="12"/>
      <c r="H5429" s="9"/>
      <c r="I5429" s="9"/>
      <c r="J5429" s="9"/>
      <c r="K5429" s="9"/>
      <c r="L5429" s="41"/>
    </row>
    <row r="5430" spans="1:12">
      <c r="A5430" s="72"/>
      <c r="B5430" s="13"/>
      <c r="C5430" s="13"/>
      <c r="D5430" s="10"/>
      <c r="E5430" s="22"/>
      <c r="F5430" s="22"/>
      <c r="G5430" s="12"/>
      <c r="H5430" s="13"/>
      <c r="I5430" s="13"/>
      <c r="J5430" s="13"/>
      <c r="K5430" s="13"/>
      <c r="L5430" s="31"/>
    </row>
    <row r="5431" spans="1:12">
      <c r="A5431" s="72"/>
      <c r="B5431" s="13"/>
      <c r="C5431" s="13"/>
      <c r="D5431" s="10"/>
      <c r="E5431" s="22"/>
      <c r="F5431" s="22"/>
      <c r="G5431" s="12"/>
      <c r="H5431" s="13"/>
      <c r="I5431" s="13"/>
      <c r="J5431" s="13"/>
      <c r="K5431" s="13"/>
      <c r="L5431" s="31"/>
    </row>
    <row r="5432" spans="1:12">
      <c r="A5432" s="72"/>
      <c r="B5432" s="12"/>
      <c r="C5432" s="12"/>
      <c r="D5432" s="10"/>
      <c r="E5432" s="11"/>
      <c r="F5432" s="11"/>
      <c r="G5432" s="12"/>
      <c r="H5432" s="12"/>
      <c r="I5432" s="12"/>
      <c r="J5432" s="12"/>
      <c r="K5432" s="12"/>
      <c r="L5432" s="15"/>
    </row>
    <row r="5433" spans="1:12">
      <c r="A5433" s="72"/>
      <c r="B5433" s="12"/>
      <c r="C5433" s="12"/>
      <c r="D5433" s="10"/>
      <c r="E5433" s="11"/>
      <c r="F5433" s="11"/>
      <c r="G5433" s="12"/>
      <c r="H5433" s="12"/>
      <c r="I5433" s="12"/>
      <c r="J5433" s="12"/>
      <c r="K5433" s="12"/>
      <c r="L5433" s="15"/>
    </row>
    <row r="5434" spans="1:12">
      <c r="A5434" s="72"/>
      <c r="B5434" s="12"/>
      <c r="C5434" s="12"/>
      <c r="D5434" s="12"/>
      <c r="E5434" s="11"/>
      <c r="F5434" s="11"/>
      <c r="G5434" s="12"/>
      <c r="H5434" s="12"/>
      <c r="I5434" s="12"/>
      <c r="J5434" s="12"/>
      <c r="K5434" s="12"/>
      <c r="L5434" s="15"/>
    </row>
    <row r="5435" spans="1:12">
      <c r="A5435" s="72"/>
      <c r="B5435" s="12"/>
      <c r="C5435" s="12"/>
      <c r="D5435" s="10"/>
      <c r="E5435" s="11"/>
      <c r="F5435" s="11"/>
      <c r="G5435" s="12"/>
      <c r="H5435" s="12"/>
      <c r="I5435" s="12"/>
      <c r="J5435" s="12"/>
      <c r="K5435" s="12"/>
      <c r="L5435" s="15"/>
    </row>
    <row r="5436" spans="1:12">
      <c r="A5436" s="72"/>
      <c r="B5436" s="12"/>
      <c r="C5436" s="12"/>
      <c r="D5436" s="10"/>
      <c r="E5436" s="11"/>
      <c r="F5436" s="11"/>
      <c r="G5436" s="12"/>
      <c r="H5436" s="12"/>
      <c r="I5436" s="12"/>
      <c r="J5436" s="12"/>
      <c r="K5436" s="12"/>
      <c r="L5436" s="15"/>
    </row>
    <row r="5437" spans="1:12">
      <c r="A5437" s="72"/>
      <c r="B5437" s="12"/>
      <c r="C5437" s="12"/>
      <c r="D5437" s="10"/>
      <c r="E5437" s="11"/>
      <c r="F5437" s="11"/>
      <c r="G5437" s="12"/>
      <c r="H5437" s="12"/>
      <c r="I5437" s="12"/>
      <c r="J5437" s="12"/>
      <c r="K5437" s="12"/>
      <c r="L5437" s="15"/>
    </row>
    <row r="5438" spans="1:12">
      <c r="A5438" s="72"/>
      <c r="B5438" s="12"/>
      <c r="C5438" s="12"/>
      <c r="D5438" s="12"/>
      <c r="E5438" s="11"/>
      <c r="F5438" s="11"/>
      <c r="G5438" s="12"/>
      <c r="H5438" s="12"/>
      <c r="I5438" s="12"/>
      <c r="J5438" s="12"/>
      <c r="K5438" s="12"/>
      <c r="L5438" s="15"/>
    </row>
    <row r="5439" spans="1:12">
      <c r="A5439" s="72"/>
      <c r="B5439" s="12"/>
      <c r="C5439" s="12"/>
      <c r="D5439" s="10"/>
      <c r="E5439" s="11"/>
      <c r="F5439" s="11"/>
      <c r="G5439" s="12"/>
      <c r="H5439" s="12"/>
      <c r="I5439" s="12"/>
      <c r="J5439" s="12"/>
      <c r="K5439" s="12"/>
      <c r="L5439" s="15"/>
    </row>
    <row r="5440" spans="1:12">
      <c r="A5440" s="72"/>
      <c r="B5440" s="12"/>
      <c r="C5440" s="12"/>
      <c r="D5440" s="10"/>
      <c r="E5440" s="11"/>
      <c r="F5440" s="11"/>
      <c r="G5440" s="12"/>
      <c r="H5440" s="12"/>
      <c r="I5440" s="12"/>
      <c r="J5440" s="12"/>
      <c r="K5440" s="12"/>
      <c r="L5440" s="15"/>
    </row>
    <row r="5441" spans="1:12">
      <c r="A5441" s="72"/>
      <c r="B5441" s="12"/>
      <c r="C5441" s="12"/>
      <c r="D5441" s="12"/>
      <c r="E5441" s="11"/>
      <c r="F5441" s="11"/>
      <c r="G5441" s="12"/>
      <c r="H5441" s="12"/>
      <c r="I5441" s="12"/>
      <c r="J5441" s="12"/>
      <c r="K5441" s="12"/>
      <c r="L5441" s="15"/>
    </row>
    <row r="5442" spans="1:12">
      <c r="A5442" s="72"/>
      <c r="B5442" s="12"/>
      <c r="C5442" s="12"/>
      <c r="D5442" s="12"/>
      <c r="E5442" s="11"/>
      <c r="F5442" s="11"/>
      <c r="G5442" s="12"/>
      <c r="H5442" s="12"/>
      <c r="I5442" s="12"/>
      <c r="J5442" s="12"/>
      <c r="K5442" s="12"/>
      <c r="L5442" s="15"/>
    </row>
    <row r="5443" spans="1:12">
      <c r="A5443" s="72"/>
      <c r="B5443" s="12"/>
      <c r="C5443" s="12"/>
      <c r="D5443" s="12"/>
      <c r="E5443" s="11"/>
      <c r="F5443" s="11"/>
      <c r="G5443" s="12"/>
      <c r="H5443" s="12"/>
      <c r="I5443" s="12"/>
      <c r="J5443" s="12"/>
      <c r="K5443" s="12"/>
      <c r="L5443" s="15"/>
    </row>
    <row r="5444" spans="1:12">
      <c r="A5444" s="72"/>
      <c r="B5444" s="12"/>
      <c r="C5444" s="12"/>
      <c r="D5444" s="10"/>
      <c r="E5444" s="11"/>
      <c r="F5444" s="11"/>
      <c r="G5444" s="12"/>
      <c r="H5444" s="12"/>
      <c r="I5444" s="12"/>
      <c r="J5444" s="12"/>
      <c r="K5444" s="12"/>
      <c r="L5444" s="15"/>
    </row>
    <row r="5445" spans="1:12">
      <c r="A5445" s="72"/>
      <c r="B5445" s="12"/>
      <c r="C5445" s="12"/>
      <c r="D5445" s="10"/>
      <c r="E5445" s="11"/>
      <c r="F5445" s="11"/>
      <c r="G5445" s="12"/>
      <c r="H5445" s="12"/>
      <c r="I5445" s="12"/>
      <c r="J5445" s="12"/>
      <c r="K5445" s="12"/>
      <c r="L5445" s="15"/>
    </row>
    <row r="5446" spans="1:12">
      <c r="A5446" s="72"/>
      <c r="B5446" s="12"/>
      <c r="C5446" s="12"/>
      <c r="D5446" s="10"/>
      <c r="E5446" s="11"/>
      <c r="F5446" s="11"/>
      <c r="G5446" s="12"/>
      <c r="H5446" s="12"/>
      <c r="I5446" s="12"/>
      <c r="J5446" s="12"/>
      <c r="K5446" s="12"/>
      <c r="L5446" s="15"/>
    </row>
    <row r="5447" spans="1:12">
      <c r="A5447" s="72"/>
      <c r="B5447" s="12"/>
      <c r="C5447" s="12"/>
      <c r="D5447" s="10"/>
      <c r="E5447" s="11"/>
      <c r="F5447" s="11"/>
      <c r="G5447" s="12"/>
      <c r="H5447" s="12"/>
      <c r="I5447" s="12"/>
      <c r="J5447" s="12"/>
      <c r="K5447" s="12"/>
      <c r="L5447" s="15"/>
    </row>
    <row r="5448" spans="1:12">
      <c r="A5448" s="72"/>
      <c r="B5448" s="12"/>
      <c r="C5448" s="12"/>
      <c r="D5448" s="12"/>
      <c r="E5448" s="11"/>
      <c r="F5448" s="11"/>
      <c r="G5448" s="12"/>
      <c r="H5448" s="12"/>
      <c r="I5448" s="12"/>
      <c r="J5448" s="12"/>
      <c r="K5448" s="12"/>
      <c r="L5448" s="15"/>
    </row>
    <row r="5449" spans="1:12">
      <c r="A5449" s="72"/>
      <c r="B5449" s="12"/>
      <c r="C5449" s="12"/>
      <c r="D5449" s="10"/>
      <c r="E5449" s="45"/>
      <c r="F5449" s="45"/>
      <c r="G5449" s="12"/>
      <c r="H5449" s="12"/>
      <c r="I5449" s="12"/>
      <c r="J5449" s="12"/>
      <c r="K5449" s="12"/>
      <c r="L5449" s="16"/>
    </row>
    <row r="5450" spans="1:12">
      <c r="A5450" s="72"/>
      <c r="B5450" s="12"/>
      <c r="C5450" s="12"/>
      <c r="D5450" s="10"/>
      <c r="E5450" s="45"/>
      <c r="F5450" s="45"/>
      <c r="G5450" s="12"/>
      <c r="H5450" s="12"/>
      <c r="I5450" s="12"/>
      <c r="J5450" s="12"/>
      <c r="K5450" s="12"/>
      <c r="L5450" s="16"/>
    </row>
    <row r="5451" spans="1:12">
      <c r="A5451" s="72"/>
      <c r="B5451" s="12"/>
      <c r="C5451" s="12"/>
      <c r="D5451" s="10"/>
      <c r="E5451" s="45"/>
      <c r="F5451" s="45"/>
      <c r="G5451" s="12"/>
      <c r="H5451" s="12"/>
      <c r="I5451" s="12"/>
      <c r="J5451" s="12"/>
      <c r="K5451" s="12"/>
      <c r="L5451" s="16"/>
    </row>
    <row r="5452" spans="1:12">
      <c r="A5452" s="72"/>
      <c r="B5452" s="12"/>
      <c r="C5452" s="12"/>
      <c r="D5452" s="10"/>
      <c r="E5452" s="11"/>
      <c r="F5452" s="11"/>
      <c r="G5452" s="12"/>
      <c r="H5452" s="12"/>
      <c r="I5452" s="12"/>
      <c r="J5452" s="12"/>
      <c r="K5452" s="12"/>
      <c r="L5452" s="15"/>
    </row>
    <row r="5453" spans="1:12">
      <c r="A5453" s="72"/>
      <c r="B5453" s="12"/>
      <c r="C5453" s="12"/>
      <c r="D5453" s="10"/>
      <c r="E5453" s="11"/>
      <c r="F5453" s="11"/>
      <c r="G5453" s="12"/>
      <c r="H5453" s="12"/>
      <c r="I5453" s="12"/>
      <c r="J5453" s="12"/>
      <c r="K5453" s="12"/>
      <c r="L5453" s="15"/>
    </row>
    <row r="5454" spans="1:12">
      <c r="A5454" s="72"/>
      <c r="B5454" s="12"/>
      <c r="C5454" s="12"/>
      <c r="D5454" s="12"/>
      <c r="E5454" s="11"/>
      <c r="F5454" s="11"/>
      <c r="G5454" s="12"/>
      <c r="H5454" s="12"/>
      <c r="I5454" s="12"/>
      <c r="J5454" s="12"/>
      <c r="K5454" s="12"/>
      <c r="L5454" s="15"/>
    </row>
    <row r="5455" spans="1:12">
      <c r="A5455" s="72"/>
      <c r="B5455" s="12"/>
      <c r="C5455" s="12"/>
      <c r="D5455" s="12"/>
      <c r="E5455" s="11"/>
      <c r="F5455" s="11"/>
      <c r="G5455" s="12"/>
      <c r="H5455" s="12"/>
      <c r="I5455" s="12"/>
      <c r="J5455" s="12"/>
      <c r="K5455" s="12"/>
      <c r="L5455" s="15"/>
    </row>
    <row r="5456" spans="1:12">
      <c r="A5456" s="72"/>
      <c r="B5456" s="12"/>
      <c r="C5456" s="12"/>
      <c r="D5456" s="12"/>
      <c r="E5456" s="11"/>
      <c r="F5456" s="11"/>
      <c r="G5456" s="12"/>
      <c r="H5456" s="12"/>
      <c r="I5456" s="12"/>
      <c r="J5456" s="12"/>
      <c r="K5456" s="12"/>
      <c r="L5456" s="15"/>
    </row>
    <row r="5457" spans="1:12">
      <c r="A5457" s="72"/>
      <c r="B5457" s="12"/>
      <c r="C5457" s="12"/>
      <c r="D5457" s="12"/>
      <c r="E5457" s="11"/>
      <c r="F5457" s="11"/>
      <c r="G5457" s="12"/>
      <c r="H5457" s="12"/>
      <c r="I5457" s="12"/>
      <c r="J5457" s="12"/>
      <c r="K5457" s="12"/>
      <c r="L5457" s="15"/>
    </row>
    <row r="5458" spans="1:12">
      <c r="A5458" s="72"/>
      <c r="B5458" s="12"/>
      <c r="C5458" s="12"/>
      <c r="D5458" s="10"/>
      <c r="E5458" s="45"/>
      <c r="F5458" s="45"/>
      <c r="G5458" s="12"/>
      <c r="H5458" s="12"/>
      <c r="I5458" s="12"/>
      <c r="J5458" s="12"/>
      <c r="K5458" s="12"/>
      <c r="L5458" s="16"/>
    </row>
    <row r="5459" spans="1:12">
      <c r="A5459" s="72"/>
      <c r="B5459" s="12"/>
      <c r="C5459" s="12"/>
      <c r="D5459" s="12"/>
      <c r="E5459" s="45"/>
      <c r="F5459" s="45"/>
      <c r="G5459" s="12"/>
      <c r="H5459" s="12"/>
      <c r="I5459" s="12"/>
      <c r="J5459" s="12"/>
      <c r="K5459" s="12"/>
      <c r="L5459" s="16"/>
    </row>
    <row r="5460" spans="1:12">
      <c r="A5460" s="72"/>
      <c r="B5460" s="12"/>
      <c r="C5460" s="12"/>
      <c r="D5460" s="12"/>
      <c r="E5460" s="45"/>
      <c r="F5460" s="45"/>
      <c r="G5460" s="12"/>
      <c r="H5460" s="12"/>
      <c r="I5460" s="12"/>
      <c r="J5460" s="12"/>
      <c r="K5460" s="12"/>
      <c r="L5460" s="16"/>
    </row>
    <row r="5461" spans="1:12">
      <c r="A5461" s="72"/>
      <c r="B5461" s="12"/>
      <c r="C5461" s="12"/>
      <c r="D5461" s="10"/>
      <c r="E5461" s="11"/>
      <c r="F5461" s="11"/>
      <c r="G5461" s="12"/>
      <c r="H5461" s="12"/>
      <c r="I5461" s="12"/>
      <c r="J5461" s="12"/>
      <c r="K5461" s="12"/>
      <c r="L5461" s="15"/>
    </row>
    <row r="5462" spans="1:12">
      <c r="A5462" s="72"/>
      <c r="B5462" s="12"/>
      <c r="C5462" s="12"/>
      <c r="D5462" s="12"/>
      <c r="E5462" s="11"/>
      <c r="F5462" s="11"/>
      <c r="G5462" s="12"/>
      <c r="H5462" s="12"/>
      <c r="I5462" s="12"/>
      <c r="J5462" s="12"/>
      <c r="K5462" s="12"/>
      <c r="L5462" s="15"/>
    </row>
    <row r="5463" spans="1:12">
      <c r="A5463" s="72"/>
      <c r="B5463" s="12"/>
      <c r="C5463" s="12"/>
      <c r="D5463" s="12"/>
      <c r="E5463" s="11"/>
      <c r="F5463" s="11"/>
      <c r="G5463" s="12"/>
      <c r="H5463" s="12"/>
      <c r="I5463" s="12"/>
      <c r="J5463" s="12"/>
      <c r="K5463" s="12"/>
      <c r="L5463" s="15"/>
    </row>
    <row r="5464" spans="1:12">
      <c r="A5464" s="72"/>
      <c r="B5464" s="12"/>
      <c r="C5464" s="12"/>
      <c r="D5464" s="10"/>
      <c r="E5464" s="11"/>
      <c r="F5464" s="11"/>
      <c r="G5464" s="12"/>
      <c r="H5464" s="12"/>
      <c r="I5464" s="12"/>
      <c r="J5464" s="12"/>
      <c r="K5464" s="12"/>
      <c r="L5464" s="15"/>
    </row>
    <row r="5465" spans="1:12">
      <c r="A5465" s="72"/>
      <c r="B5465" s="12"/>
      <c r="C5465" s="12"/>
      <c r="D5465" s="10"/>
      <c r="E5465" s="11"/>
      <c r="F5465" s="11"/>
      <c r="G5465" s="12"/>
      <c r="H5465" s="12"/>
      <c r="I5465" s="12"/>
      <c r="J5465" s="12"/>
      <c r="K5465" s="12"/>
      <c r="L5465" s="15"/>
    </row>
    <row r="5466" spans="1:12">
      <c r="A5466" s="72"/>
      <c r="B5466" s="12"/>
      <c r="C5466" s="12"/>
      <c r="D5466" s="10"/>
      <c r="E5466" s="11"/>
      <c r="F5466" s="11"/>
      <c r="G5466" s="12"/>
      <c r="H5466" s="12"/>
      <c r="I5466" s="12"/>
      <c r="J5466" s="12"/>
      <c r="K5466" s="12"/>
      <c r="L5466" s="16"/>
    </row>
    <row r="5467" spans="1:12">
      <c r="A5467" s="72"/>
      <c r="B5467" s="12"/>
      <c r="C5467" s="12"/>
      <c r="D5467" s="10"/>
      <c r="E5467" s="11"/>
      <c r="F5467" s="11"/>
      <c r="G5467" s="12"/>
      <c r="H5467" s="12"/>
      <c r="I5467" s="12"/>
      <c r="J5467" s="12"/>
      <c r="K5467" s="12"/>
      <c r="L5467" s="15"/>
    </row>
    <row r="5468" spans="1:12">
      <c r="A5468" s="72"/>
      <c r="B5468" s="12"/>
      <c r="C5468" s="12"/>
      <c r="D5468" s="12"/>
      <c r="E5468" s="11"/>
      <c r="F5468" s="11"/>
      <c r="G5468" s="12"/>
      <c r="H5468" s="12"/>
      <c r="I5468" s="12"/>
      <c r="J5468" s="12"/>
      <c r="K5468" s="12"/>
      <c r="L5468" s="15"/>
    </row>
    <row r="5469" spans="1:12">
      <c r="A5469" s="72"/>
      <c r="B5469" s="12"/>
      <c r="C5469" s="12"/>
      <c r="D5469" s="12"/>
      <c r="E5469" s="11"/>
      <c r="F5469" s="11"/>
      <c r="G5469" s="12"/>
      <c r="H5469" s="12"/>
      <c r="I5469" s="12"/>
      <c r="J5469" s="12"/>
      <c r="K5469" s="12"/>
      <c r="L5469" s="15"/>
    </row>
    <row r="5470" spans="1:12">
      <c r="A5470" s="295"/>
      <c r="B5470" s="71"/>
      <c r="C5470" s="71"/>
      <c r="D5470" s="65"/>
      <c r="E5470" s="70"/>
      <c r="F5470" s="70"/>
      <c r="G5470" s="71"/>
      <c r="H5470" s="71"/>
      <c r="I5470" s="71"/>
      <c r="J5470" s="71"/>
      <c r="K5470" s="71"/>
      <c r="L5470" s="293"/>
    </row>
    <row r="5471" spans="1:12">
      <c r="A5471" s="72"/>
      <c r="B5471" s="12"/>
      <c r="C5471" s="12"/>
      <c r="D5471" s="12"/>
      <c r="E5471" s="11"/>
      <c r="F5471" s="11"/>
      <c r="G5471" s="12"/>
      <c r="H5471" s="12"/>
      <c r="I5471" s="12"/>
      <c r="J5471" s="12"/>
      <c r="K5471" s="12"/>
      <c r="L5471" s="15"/>
    </row>
    <row r="5472" spans="1:12">
      <c r="A5472" s="72"/>
      <c r="B5472" s="12"/>
      <c r="C5472" s="12"/>
      <c r="D5472" s="12"/>
      <c r="E5472" s="11"/>
      <c r="F5472" s="11"/>
      <c r="G5472" s="12"/>
      <c r="H5472" s="12"/>
      <c r="I5472" s="12"/>
      <c r="J5472" s="12"/>
      <c r="K5472" s="12"/>
      <c r="L5472" s="15"/>
    </row>
    <row r="5473" spans="1:12">
      <c r="A5473" s="72"/>
      <c r="B5473" s="12"/>
      <c r="C5473" s="12"/>
      <c r="D5473" s="10"/>
      <c r="E5473" s="11"/>
      <c r="F5473" s="11"/>
      <c r="G5473" s="12"/>
      <c r="H5473" s="12"/>
      <c r="I5473" s="12"/>
      <c r="J5473" s="12"/>
      <c r="K5473" s="12"/>
      <c r="L5473" s="15"/>
    </row>
    <row r="5474" spans="1:12">
      <c r="A5474" s="72"/>
      <c r="B5474" s="12"/>
      <c r="C5474" s="12"/>
      <c r="D5474" s="12"/>
      <c r="E5474" s="11"/>
      <c r="F5474" s="11"/>
      <c r="G5474" s="12"/>
      <c r="H5474" s="12"/>
      <c r="I5474" s="12"/>
      <c r="J5474" s="12"/>
      <c r="K5474" s="12"/>
      <c r="L5474" s="15"/>
    </row>
    <row r="5475" spans="1:12">
      <c r="A5475" s="72"/>
      <c r="B5475" s="12"/>
      <c r="C5475" s="12"/>
      <c r="D5475" s="12"/>
      <c r="E5475" s="11"/>
      <c r="F5475" s="11"/>
      <c r="G5475" s="12"/>
      <c r="H5475" s="12"/>
      <c r="I5475" s="12"/>
      <c r="J5475" s="12"/>
      <c r="K5475" s="12"/>
      <c r="L5475" s="15"/>
    </row>
    <row r="5476" spans="1:12">
      <c r="A5476" s="72"/>
      <c r="B5476" s="12"/>
      <c r="C5476" s="12"/>
      <c r="D5476" s="12"/>
      <c r="E5476" s="45"/>
      <c r="F5476" s="11"/>
      <c r="G5476" s="12"/>
      <c r="H5476" s="12"/>
      <c r="I5476" s="12"/>
      <c r="J5476" s="12"/>
      <c r="K5476" s="12"/>
      <c r="L5476" s="15"/>
    </row>
    <row r="5477" spans="1:12">
      <c r="A5477" s="72"/>
      <c r="B5477" s="12"/>
      <c r="C5477" s="12"/>
      <c r="D5477" s="12"/>
      <c r="E5477" s="11"/>
      <c r="F5477" s="11"/>
      <c r="G5477" s="12"/>
      <c r="H5477" s="12"/>
      <c r="I5477" s="12"/>
      <c r="J5477" s="12"/>
      <c r="K5477" s="12"/>
      <c r="L5477" s="15"/>
    </row>
    <row r="5478" spans="1:12">
      <c r="A5478" s="72"/>
      <c r="B5478" s="12"/>
      <c r="C5478" s="12"/>
      <c r="D5478" s="12"/>
      <c r="E5478" s="11"/>
      <c r="F5478" s="11"/>
      <c r="G5478" s="12"/>
      <c r="H5478" s="12"/>
      <c r="I5478" s="12"/>
      <c r="J5478" s="12"/>
      <c r="K5478" s="12"/>
      <c r="L5478" s="16"/>
    </row>
    <row r="5479" spans="1:12">
      <c r="A5479" s="72"/>
      <c r="B5479" s="12"/>
      <c r="C5479" s="12"/>
      <c r="D5479" s="10"/>
      <c r="E5479" s="11"/>
      <c r="F5479" s="11"/>
      <c r="G5479" s="12"/>
      <c r="H5479" s="12"/>
      <c r="I5479" s="12"/>
      <c r="J5479" s="12"/>
      <c r="K5479" s="12"/>
      <c r="L5479" s="15"/>
    </row>
    <row r="5480" spans="1:12">
      <c r="A5480" s="72"/>
      <c r="B5480" s="12"/>
      <c r="C5480" s="12"/>
      <c r="D5480" s="10"/>
      <c r="E5480" s="11"/>
      <c r="F5480" s="11"/>
      <c r="G5480" s="12"/>
      <c r="H5480" s="12"/>
      <c r="I5480" s="12"/>
      <c r="J5480" s="12"/>
      <c r="K5480" s="12"/>
      <c r="L5480" s="15"/>
    </row>
    <row r="5481" spans="1:12">
      <c r="A5481" s="72"/>
      <c r="B5481" s="12"/>
      <c r="C5481" s="12"/>
      <c r="D5481" s="12"/>
      <c r="E5481" s="11"/>
      <c r="F5481" s="11"/>
      <c r="G5481" s="12"/>
      <c r="H5481" s="12"/>
      <c r="I5481" s="12"/>
      <c r="J5481" s="12"/>
      <c r="K5481" s="12"/>
      <c r="L5481" s="15"/>
    </row>
    <row r="5482" spans="1:12">
      <c r="A5482" s="72"/>
      <c r="B5482" s="12"/>
      <c r="C5482" s="12"/>
      <c r="D5482" s="12"/>
      <c r="E5482" s="11"/>
      <c r="F5482" s="11"/>
      <c r="G5482" s="12"/>
      <c r="H5482" s="12"/>
      <c r="I5482" s="12"/>
      <c r="J5482" s="12"/>
      <c r="K5482" s="12"/>
      <c r="L5482" s="15"/>
    </row>
    <row r="5483" spans="1:12">
      <c r="A5483" s="72"/>
      <c r="B5483" s="12"/>
      <c r="C5483" s="12"/>
      <c r="D5483" s="10"/>
      <c r="E5483" s="11"/>
      <c r="F5483" s="11"/>
      <c r="G5483" s="12"/>
      <c r="H5483" s="12"/>
      <c r="I5483" s="12"/>
      <c r="J5483" s="12"/>
      <c r="K5483" s="9"/>
      <c r="L5483" s="15"/>
    </row>
    <row r="5484" spans="1:12">
      <c r="A5484" s="72"/>
      <c r="B5484" s="12"/>
      <c r="C5484" s="12"/>
      <c r="D5484" s="10"/>
      <c r="E5484" s="11"/>
      <c r="F5484" s="11"/>
      <c r="G5484" s="12"/>
      <c r="H5484" s="12"/>
      <c r="I5484" s="12"/>
      <c r="J5484" s="12"/>
      <c r="K5484" s="12"/>
      <c r="L5484" s="15"/>
    </row>
    <row r="5485" spans="1:12">
      <c r="A5485" s="72"/>
      <c r="B5485" s="12"/>
      <c r="C5485" s="12"/>
      <c r="D5485" s="12"/>
      <c r="E5485" s="11"/>
      <c r="F5485" s="11"/>
      <c r="G5485" s="12"/>
      <c r="H5485" s="12"/>
      <c r="I5485" s="12"/>
      <c r="J5485" s="12"/>
      <c r="K5485" s="12"/>
      <c r="L5485" s="15"/>
    </row>
    <row r="5486" spans="1:12">
      <c r="A5486" s="72"/>
      <c r="B5486" s="12"/>
      <c r="C5486" s="12"/>
      <c r="D5486" s="10"/>
      <c r="E5486" s="11"/>
      <c r="F5486" s="11"/>
      <c r="G5486" s="12"/>
      <c r="H5486" s="12"/>
      <c r="I5486" s="12"/>
      <c r="J5486" s="12"/>
      <c r="K5486" s="12"/>
      <c r="L5486" s="15"/>
    </row>
    <row r="5487" spans="1:12">
      <c r="A5487" s="72"/>
      <c r="B5487" s="12"/>
      <c r="C5487" s="12"/>
      <c r="D5487" s="12"/>
      <c r="E5487" s="45"/>
      <c r="F5487" s="45"/>
      <c r="G5487" s="12"/>
      <c r="H5487" s="12"/>
      <c r="I5487" s="12"/>
      <c r="J5487" s="12"/>
      <c r="K5487" s="12"/>
      <c r="L5487" s="16"/>
    </row>
    <row r="5488" spans="1:12">
      <c r="A5488" s="72"/>
      <c r="B5488" s="12"/>
      <c r="C5488" s="12"/>
      <c r="D5488" s="12"/>
      <c r="E5488" s="45"/>
      <c r="F5488" s="45"/>
      <c r="G5488" s="12"/>
      <c r="H5488" s="12"/>
      <c r="I5488" s="12"/>
      <c r="J5488" s="12"/>
      <c r="K5488" s="12"/>
      <c r="L5488" s="16"/>
    </row>
    <row r="5489" spans="1:12">
      <c r="A5489" s="72"/>
      <c r="B5489" s="12"/>
      <c r="C5489" s="12"/>
      <c r="D5489" s="12"/>
      <c r="E5489" s="45"/>
      <c r="F5489" s="45"/>
      <c r="G5489" s="12"/>
      <c r="H5489" s="12"/>
      <c r="I5489" s="12"/>
      <c r="J5489" s="12"/>
      <c r="K5489" s="12"/>
      <c r="L5489" s="16"/>
    </row>
    <row r="5490" spans="1:12">
      <c r="A5490" s="72"/>
      <c r="B5490" s="12"/>
      <c r="C5490" s="12"/>
      <c r="D5490" s="10"/>
      <c r="E5490" s="11"/>
      <c r="F5490" s="11"/>
      <c r="G5490" s="12"/>
      <c r="H5490" s="12"/>
      <c r="I5490" s="12"/>
      <c r="J5490" s="12"/>
      <c r="K5490" s="12"/>
      <c r="L5490" s="15"/>
    </row>
    <row r="5491" spans="1:12">
      <c r="A5491" s="72"/>
      <c r="B5491" s="12"/>
      <c r="C5491" s="12"/>
      <c r="D5491" s="10"/>
      <c r="E5491" s="11"/>
      <c r="F5491" s="11"/>
      <c r="G5491" s="12"/>
      <c r="H5491" s="12"/>
      <c r="I5491" s="12"/>
      <c r="J5491" s="12"/>
      <c r="K5491" s="12"/>
      <c r="L5491" s="15"/>
    </row>
    <row r="5492" spans="1:12">
      <c r="A5492" s="72"/>
      <c r="B5492" s="12"/>
      <c r="C5492" s="12"/>
      <c r="D5492" s="12"/>
      <c r="E5492" s="11"/>
      <c r="F5492" s="11"/>
      <c r="G5492" s="12"/>
      <c r="H5492" s="12"/>
      <c r="I5492" s="12"/>
      <c r="J5492" s="12"/>
      <c r="K5492" s="12"/>
      <c r="L5492" s="15"/>
    </row>
    <row r="5493" spans="1:12">
      <c r="A5493" s="72"/>
      <c r="B5493" s="12"/>
      <c r="C5493" s="12"/>
      <c r="D5493" s="12"/>
      <c r="E5493" s="11"/>
      <c r="F5493" s="11"/>
      <c r="G5493" s="12"/>
      <c r="H5493" s="12"/>
      <c r="I5493" s="12"/>
      <c r="J5493" s="12"/>
      <c r="K5493" s="12"/>
      <c r="L5493" s="15"/>
    </row>
    <row r="5494" spans="1:12">
      <c r="A5494" s="72"/>
      <c r="B5494" s="12"/>
      <c r="C5494" s="12"/>
      <c r="D5494" s="12"/>
      <c r="E5494" s="11"/>
      <c r="F5494" s="11"/>
      <c r="G5494" s="12"/>
      <c r="H5494" s="12"/>
      <c r="I5494" s="12"/>
      <c r="J5494" s="12"/>
      <c r="K5494" s="12"/>
      <c r="L5494" s="15"/>
    </row>
    <row r="5495" spans="1:12">
      <c r="A5495" s="72"/>
      <c r="B5495" s="12"/>
      <c r="C5495" s="12"/>
      <c r="D5495" s="12"/>
      <c r="E5495" s="11"/>
      <c r="F5495" s="11"/>
      <c r="G5495" s="12"/>
      <c r="H5495" s="12"/>
      <c r="I5495" s="12"/>
      <c r="J5495" s="12"/>
      <c r="K5495" s="12"/>
      <c r="L5495" s="15"/>
    </row>
    <row r="5496" spans="1:12">
      <c r="A5496" s="72"/>
      <c r="B5496" s="12"/>
      <c r="C5496" s="12"/>
      <c r="D5496" s="12"/>
      <c r="E5496" s="11"/>
      <c r="F5496" s="11"/>
      <c r="G5496" s="12"/>
      <c r="H5496" s="12"/>
      <c r="I5496" s="12"/>
      <c r="J5496" s="12"/>
      <c r="K5496" s="12"/>
      <c r="L5496" s="15"/>
    </row>
    <row r="5497" spans="1:12">
      <c r="A5497" s="72"/>
      <c r="B5497" s="12"/>
      <c r="C5497" s="12"/>
      <c r="D5497" s="12"/>
      <c r="E5497" s="11"/>
      <c r="F5497" s="11"/>
      <c r="G5497" s="12"/>
      <c r="H5497" s="12"/>
      <c r="I5497" s="12"/>
      <c r="J5497" s="12"/>
      <c r="K5497" s="10"/>
      <c r="L5497" s="15"/>
    </row>
    <row r="5498" spans="1:12">
      <c r="A5498" s="72"/>
      <c r="B5498" s="12"/>
      <c r="C5498" s="12"/>
      <c r="D5498" s="12"/>
      <c r="E5498" s="11"/>
      <c r="F5498" s="11"/>
      <c r="G5498" s="12"/>
      <c r="H5498" s="12"/>
      <c r="I5498" s="12"/>
      <c r="J5498" s="12"/>
      <c r="K5498" s="10"/>
      <c r="L5498" s="16"/>
    </row>
    <row r="5499" spans="1:12">
      <c r="A5499" s="72"/>
      <c r="B5499" s="12"/>
      <c r="C5499" s="12"/>
      <c r="D5499" s="12"/>
      <c r="E5499" s="11"/>
      <c r="F5499" s="11"/>
      <c r="G5499" s="12"/>
      <c r="H5499" s="12"/>
      <c r="I5499" s="12"/>
      <c r="J5499" s="12"/>
      <c r="K5499" s="10"/>
      <c r="L5499" s="15"/>
    </row>
    <row r="5500" spans="1:12">
      <c r="A5500" s="72"/>
      <c r="B5500" s="12"/>
      <c r="C5500" s="12"/>
      <c r="D5500" s="12"/>
      <c r="E5500" s="11"/>
      <c r="F5500" s="11"/>
      <c r="G5500" s="12"/>
      <c r="H5500" s="12"/>
      <c r="I5500" s="12"/>
      <c r="J5500" s="12"/>
      <c r="K5500" s="10"/>
      <c r="L5500" s="15"/>
    </row>
    <row r="5501" spans="1:12">
      <c r="A5501" s="72"/>
      <c r="B5501" s="12"/>
      <c r="C5501" s="12"/>
      <c r="D5501" s="12"/>
      <c r="E5501" s="11"/>
      <c r="F5501" s="11"/>
      <c r="G5501" s="12"/>
      <c r="H5501" s="12"/>
      <c r="I5501" s="12"/>
      <c r="J5501" s="12"/>
      <c r="K5501" s="12"/>
      <c r="L5501" s="15"/>
    </row>
    <row r="5502" spans="1:12">
      <c r="A5502" s="72"/>
      <c r="B5502" s="12"/>
      <c r="C5502" s="12"/>
      <c r="D5502" s="12"/>
      <c r="E5502" s="11"/>
      <c r="F5502" s="11"/>
      <c r="G5502" s="12"/>
      <c r="H5502" s="12"/>
      <c r="I5502" s="12"/>
      <c r="J5502" s="12"/>
      <c r="K5502" s="12"/>
      <c r="L5502" s="15"/>
    </row>
    <row r="5503" spans="1:12">
      <c r="A5503" s="72"/>
      <c r="B5503" s="12"/>
      <c r="C5503" s="12"/>
      <c r="D5503" s="12"/>
      <c r="E5503" s="11"/>
      <c r="F5503" s="11"/>
      <c r="G5503" s="12"/>
      <c r="H5503" s="12"/>
      <c r="I5503" s="12"/>
      <c r="J5503" s="12"/>
      <c r="K5503" s="12"/>
      <c r="L5503" s="15"/>
    </row>
    <row r="5504" spans="1:12">
      <c r="A5504" s="72"/>
      <c r="B5504" s="12"/>
      <c r="C5504" s="12"/>
      <c r="D5504" s="12"/>
      <c r="E5504" s="11"/>
      <c r="F5504" s="11"/>
      <c r="G5504" s="12"/>
      <c r="H5504" s="12"/>
      <c r="I5504" s="12"/>
      <c r="J5504" s="12"/>
      <c r="K5504" s="12"/>
      <c r="L5504" s="15"/>
    </row>
    <row r="5505" spans="1:12">
      <c r="A5505" s="72"/>
      <c r="B5505" s="12"/>
      <c r="C5505" s="12"/>
      <c r="D5505" s="12"/>
      <c r="E5505" s="45"/>
      <c r="F5505" s="45"/>
      <c r="G5505" s="12"/>
      <c r="H5505" s="12"/>
      <c r="I5505" s="12"/>
      <c r="J5505" s="12"/>
      <c r="K5505" s="12"/>
      <c r="L5505" s="15"/>
    </row>
    <row r="5506" spans="1:12">
      <c r="A5506" s="72"/>
      <c r="B5506" s="12"/>
      <c r="C5506" s="12"/>
      <c r="D5506" s="12"/>
      <c r="E5506" s="45"/>
      <c r="F5506" s="45"/>
      <c r="G5506" s="12"/>
      <c r="H5506" s="12"/>
      <c r="I5506" s="12"/>
      <c r="J5506" s="12"/>
      <c r="K5506" s="12"/>
      <c r="L5506" s="15"/>
    </row>
    <row r="5507" spans="1:12">
      <c r="A5507" s="72"/>
      <c r="B5507" s="12"/>
      <c r="C5507" s="12"/>
      <c r="D5507" s="12"/>
      <c r="E5507" s="11"/>
      <c r="F5507" s="11"/>
      <c r="G5507" s="12"/>
      <c r="H5507" s="12"/>
      <c r="I5507" s="12"/>
      <c r="J5507" s="12"/>
      <c r="K5507" s="12"/>
      <c r="L5507" s="15"/>
    </row>
    <row r="5508" spans="1:12">
      <c r="A5508" s="72"/>
      <c r="B5508" s="12"/>
      <c r="C5508" s="12"/>
      <c r="D5508" s="12"/>
      <c r="E5508" s="11"/>
      <c r="F5508" s="11"/>
      <c r="G5508" s="12"/>
      <c r="H5508" s="12"/>
      <c r="I5508" s="12"/>
      <c r="J5508" s="12"/>
      <c r="K5508" s="12"/>
      <c r="L5508" s="15"/>
    </row>
    <row r="5509" spans="1:12">
      <c r="A5509" s="72"/>
      <c r="B5509" s="12"/>
      <c r="C5509" s="12"/>
      <c r="D5509" s="10"/>
      <c r="E5509" s="45"/>
      <c r="F5509" s="45"/>
      <c r="G5509" s="12"/>
      <c r="H5509" s="12"/>
      <c r="I5509" s="12"/>
      <c r="J5509" s="12"/>
      <c r="K5509" s="12"/>
      <c r="L5509" s="16"/>
    </row>
    <row r="5510" spans="1:12">
      <c r="A5510" s="72"/>
      <c r="B5510" s="12"/>
      <c r="C5510" s="12"/>
      <c r="D5510" s="10"/>
      <c r="E5510" s="45"/>
      <c r="F5510" s="45"/>
      <c r="G5510" s="12"/>
      <c r="H5510" s="12"/>
      <c r="I5510" s="12"/>
      <c r="J5510" s="12"/>
      <c r="K5510" s="12"/>
      <c r="L5510" s="16"/>
    </row>
    <row r="5511" spans="1:12">
      <c r="A5511" s="72"/>
      <c r="B5511" s="12"/>
      <c r="C5511" s="12"/>
      <c r="D5511" s="10"/>
      <c r="E5511" s="45"/>
      <c r="F5511" s="45"/>
      <c r="G5511" s="12"/>
      <c r="H5511" s="12"/>
      <c r="I5511" s="12"/>
      <c r="J5511" s="12"/>
      <c r="K5511" s="12"/>
      <c r="L5511" s="16"/>
    </row>
    <row r="5512" spans="1:12">
      <c r="A5512" s="72"/>
      <c r="B5512" s="12"/>
      <c r="C5512" s="12"/>
      <c r="D5512" s="10"/>
      <c r="E5512" s="45"/>
      <c r="F5512" s="45"/>
      <c r="G5512" s="12"/>
      <c r="H5512" s="12"/>
      <c r="I5512" s="12"/>
      <c r="J5512" s="12"/>
      <c r="K5512" s="12"/>
      <c r="L5512" s="16"/>
    </row>
    <row r="5513" spans="1:12">
      <c r="A5513" s="72"/>
      <c r="B5513" s="12"/>
      <c r="C5513" s="12"/>
      <c r="D5513" s="10"/>
      <c r="E5513" s="45"/>
      <c r="F5513" s="45"/>
      <c r="G5513" s="12"/>
      <c r="H5513" s="12"/>
      <c r="I5513" s="12"/>
      <c r="J5513" s="12"/>
      <c r="K5513" s="12"/>
      <c r="L5513" s="16"/>
    </row>
    <row r="5514" spans="1:12">
      <c r="A5514" s="72"/>
      <c r="B5514" s="12"/>
      <c r="C5514" s="12"/>
      <c r="D5514" s="10"/>
      <c r="E5514" s="45"/>
      <c r="F5514" s="45"/>
      <c r="G5514" s="12"/>
      <c r="H5514" s="12"/>
      <c r="I5514" s="12"/>
      <c r="J5514" s="12"/>
      <c r="K5514" s="12"/>
      <c r="L5514" s="16"/>
    </row>
    <row r="5515" spans="1:12">
      <c r="A5515" s="72"/>
      <c r="B5515" s="12"/>
      <c r="C5515" s="12"/>
      <c r="D5515" s="10"/>
      <c r="E5515" s="11"/>
      <c r="F5515" s="11"/>
      <c r="G5515" s="12"/>
      <c r="H5515" s="12"/>
      <c r="I5515" s="12"/>
      <c r="J5515" s="12"/>
      <c r="K5515" s="12"/>
      <c r="L5515" s="15"/>
    </row>
    <row r="5516" spans="1:12">
      <c r="A5516" s="72"/>
      <c r="B5516" s="12"/>
      <c r="C5516" s="12"/>
      <c r="D5516" s="10"/>
      <c r="E5516" s="45"/>
      <c r="F5516" s="45"/>
      <c r="G5516" s="12"/>
      <c r="H5516" s="12"/>
      <c r="I5516" s="12"/>
      <c r="J5516" s="12"/>
      <c r="K5516" s="12"/>
      <c r="L5516" s="15"/>
    </row>
    <row r="5517" spans="1:12">
      <c r="A5517" s="72"/>
      <c r="B5517" s="12"/>
      <c r="C5517" s="12"/>
      <c r="D5517" s="10"/>
      <c r="E5517" s="11"/>
      <c r="F5517" s="11"/>
      <c r="G5517" s="12"/>
      <c r="H5517" s="12"/>
      <c r="I5517" s="12"/>
      <c r="J5517" s="12"/>
      <c r="K5517" s="12"/>
      <c r="L5517" s="15"/>
    </row>
    <row r="5518" spans="1:12">
      <c r="A5518" s="72"/>
      <c r="B5518" s="12"/>
      <c r="C5518" s="12"/>
      <c r="D5518" s="10"/>
      <c r="E5518" s="11"/>
      <c r="F5518" s="11"/>
      <c r="G5518" s="12"/>
      <c r="H5518" s="12"/>
      <c r="I5518" s="12"/>
      <c r="J5518" s="12"/>
      <c r="K5518" s="12"/>
      <c r="L5518" s="15"/>
    </row>
    <row r="5519" spans="1:12">
      <c r="A5519" s="72"/>
      <c r="B5519" s="12"/>
      <c r="C5519" s="12"/>
      <c r="D5519" s="10"/>
      <c r="E5519" s="11"/>
      <c r="F5519" s="11"/>
      <c r="G5519" s="12"/>
      <c r="H5519" s="12"/>
      <c r="I5519" s="12"/>
      <c r="J5519" s="12"/>
      <c r="K5519" s="12"/>
      <c r="L5519" s="15"/>
    </row>
    <row r="5520" spans="1:12">
      <c r="A5520" s="72"/>
      <c r="B5520" s="12"/>
      <c r="C5520" s="12"/>
      <c r="D5520" s="12"/>
      <c r="E5520" s="45"/>
      <c r="F5520" s="45"/>
      <c r="G5520" s="12"/>
      <c r="H5520" s="12"/>
      <c r="I5520" s="12"/>
      <c r="J5520" s="12"/>
      <c r="K5520" s="12"/>
      <c r="L5520" s="16"/>
    </row>
    <row r="5521" spans="1:12">
      <c r="A5521" s="72"/>
      <c r="B5521" s="12"/>
      <c r="C5521" s="12"/>
      <c r="D5521" s="12"/>
      <c r="E5521" s="45"/>
      <c r="F5521" s="45"/>
      <c r="G5521" s="12"/>
      <c r="H5521" s="12"/>
      <c r="I5521" s="12"/>
      <c r="J5521" s="12"/>
      <c r="K5521" s="12"/>
      <c r="L5521" s="16"/>
    </row>
    <row r="5522" spans="1:12">
      <c r="A5522" s="72"/>
      <c r="B5522" s="12"/>
      <c r="C5522" s="12"/>
      <c r="D5522" s="12"/>
      <c r="E5522" s="45"/>
      <c r="F5522" s="11"/>
      <c r="G5522" s="12"/>
      <c r="H5522" s="12"/>
      <c r="I5522" s="12"/>
      <c r="J5522" s="12"/>
      <c r="K5522" s="12"/>
      <c r="L5522" s="15"/>
    </row>
    <row r="5523" spans="1:12">
      <c r="A5523" s="72"/>
      <c r="B5523" s="12"/>
      <c r="C5523" s="12"/>
      <c r="D5523" s="47"/>
      <c r="E5523" s="11"/>
      <c r="F5523" s="11"/>
      <c r="G5523" s="12"/>
      <c r="H5523" s="12"/>
      <c r="I5523" s="12"/>
      <c r="J5523" s="12"/>
      <c r="K5523" s="12"/>
      <c r="L5523" s="15"/>
    </row>
    <row r="5524" spans="1:12">
      <c r="A5524" s="72"/>
      <c r="B5524" s="12"/>
      <c r="C5524" s="12"/>
      <c r="D5524" s="12"/>
      <c r="E5524" s="45"/>
      <c r="F5524" s="11"/>
      <c r="G5524" s="12"/>
      <c r="H5524" s="12"/>
      <c r="I5524" s="12"/>
      <c r="J5524" s="12"/>
      <c r="K5524" s="12"/>
      <c r="L5524" s="15"/>
    </row>
    <row r="5525" spans="1:12">
      <c r="A5525" s="72"/>
      <c r="B5525" s="12"/>
      <c r="C5525" s="12"/>
      <c r="D5525" s="12"/>
      <c r="E5525" s="11"/>
      <c r="F5525" s="11"/>
      <c r="G5525" s="12"/>
      <c r="H5525" s="12"/>
      <c r="I5525" s="12"/>
      <c r="J5525" s="12"/>
      <c r="K5525" s="12"/>
      <c r="L5525" s="15"/>
    </row>
    <row r="5526" spans="1:12">
      <c r="A5526" s="72"/>
      <c r="B5526" s="12"/>
      <c r="C5526" s="12"/>
      <c r="D5526" s="10"/>
      <c r="E5526" s="11"/>
      <c r="F5526" s="11"/>
      <c r="G5526" s="12"/>
      <c r="H5526" s="12"/>
      <c r="I5526" s="12"/>
      <c r="J5526" s="12"/>
      <c r="K5526" s="12"/>
      <c r="L5526" s="15"/>
    </row>
    <row r="5527" spans="1:12">
      <c r="A5527" s="72"/>
      <c r="B5527" s="12"/>
      <c r="C5527" s="12"/>
      <c r="D5527" s="10"/>
      <c r="E5527" s="11"/>
      <c r="F5527" s="11"/>
      <c r="G5527" s="12"/>
      <c r="H5527" s="12"/>
      <c r="I5527" s="12"/>
      <c r="J5527" s="12"/>
      <c r="K5527" s="12"/>
      <c r="L5527" s="15"/>
    </row>
    <row r="5528" spans="1:12">
      <c r="A5528" s="72"/>
      <c r="B5528" s="12"/>
      <c r="C5528" s="12"/>
      <c r="D5528" s="10"/>
      <c r="E5528" s="11"/>
      <c r="F5528" s="11"/>
      <c r="G5528" s="12"/>
      <c r="H5528" s="12"/>
      <c r="I5528" s="12"/>
      <c r="J5528" s="12"/>
      <c r="K5528" s="12"/>
      <c r="L5528" s="15"/>
    </row>
    <row r="5529" spans="1:12">
      <c r="A5529" s="72"/>
      <c r="B5529" s="12"/>
      <c r="C5529" s="12"/>
      <c r="D5529" s="10"/>
      <c r="E5529" s="11"/>
      <c r="F5529" s="11"/>
      <c r="G5529" s="12"/>
      <c r="H5529" s="12"/>
      <c r="I5529" s="12"/>
      <c r="J5529" s="12"/>
      <c r="K5529" s="12"/>
      <c r="L5529" s="15"/>
    </row>
    <row r="5530" spans="1:12">
      <c r="A5530" s="72"/>
      <c r="B5530" s="12"/>
      <c r="C5530" s="12"/>
      <c r="D5530" s="10"/>
      <c r="E5530" s="11"/>
      <c r="F5530" s="11"/>
      <c r="G5530" s="12"/>
      <c r="H5530" s="12"/>
      <c r="I5530" s="12"/>
      <c r="J5530" s="12"/>
      <c r="K5530" s="12"/>
      <c r="L5530" s="15"/>
    </row>
    <row r="5531" spans="1:12">
      <c r="A5531" s="72"/>
      <c r="B5531" s="12"/>
      <c r="C5531" s="12"/>
      <c r="D5531" s="10"/>
      <c r="E5531" s="45"/>
      <c r="F5531" s="11"/>
      <c r="G5531" s="12"/>
      <c r="H5531" s="12"/>
      <c r="I5531" s="12"/>
      <c r="J5531" s="12"/>
      <c r="K5531" s="12"/>
      <c r="L5531" s="15"/>
    </row>
    <row r="5532" spans="1:12">
      <c r="A5532" s="72"/>
      <c r="B5532" s="12"/>
      <c r="C5532" s="12"/>
      <c r="D5532" s="10"/>
      <c r="E5532" s="45"/>
      <c r="F5532" s="45"/>
      <c r="G5532" s="12"/>
      <c r="H5532" s="12"/>
      <c r="I5532" s="12"/>
      <c r="J5532" s="12"/>
      <c r="K5532" s="12"/>
      <c r="L5532" s="15"/>
    </row>
    <row r="5533" spans="1:12">
      <c r="A5533" s="72"/>
      <c r="B5533" s="12"/>
      <c r="C5533" s="12"/>
      <c r="D5533" s="10"/>
      <c r="E5533" s="11"/>
      <c r="F5533" s="45"/>
      <c r="G5533" s="12"/>
      <c r="H5533" s="12"/>
      <c r="I5533" s="12"/>
      <c r="J5533" s="12"/>
      <c r="K5533" s="12"/>
      <c r="L5533" s="15"/>
    </row>
    <row r="5534" spans="1:12">
      <c r="A5534" s="72"/>
      <c r="B5534" s="12"/>
      <c r="C5534" s="12"/>
      <c r="D5534" s="10"/>
      <c r="E5534" s="11"/>
      <c r="F5534" s="45"/>
      <c r="G5534" s="12"/>
      <c r="H5534" s="12"/>
      <c r="I5534" s="12"/>
      <c r="J5534" s="12"/>
      <c r="K5534" s="12"/>
      <c r="L5534" s="15"/>
    </row>
    <row r="5535" spans="1:12">
      <c r="A5535" s="72"/>
      <c r="B5535" s="9"/>
      <c r="C5535" s="9"/>
      <c r="D5535" s="10"/>
      <c r="E5535" s="19"/>
      <c r="F5535" s="19"/>
      <c r="G5535" s="12"/>
      <c r="H5535" s="9"/>
      <c r="I5535" s="9"/>
      <c r="J5535" s="9"/>
      <c r="K5535" s="9"/>
      <c r="L5535" s="21"/>
    </row>
    <row r="5536" spans="1:12">
      <c r="A5536" s="72"/>
      <c r="B5536" s="9"/>
      <c r="C5536" s="9"/>
      <c r="D5536" s="10"/>
      <c r="E5536" s="11"/>
      <c r="F5536" s="11"/>
      <c r="G5536" s="12"/>
      <c r="H5536" s="9"/>
      <c r="I5536" s="9"/>
      <c r="J5536" s="9"/>
      <c r="K5536" s="9"/>
      <c r="L5536" s="15"/>
    </row>
    <row r="5537" spans="1:12">
      <c r="A5537" s="72"/>
      <c r="B5537" s="9"/>
      <c r="C5537" s="9"/>
      <c r="D5537" s="10"/>
      <c r="E5537" s="19"/>
      <c r="F5537" s="19"/>
      <c r="G5537" s="12"/>
      <c r="H5537" s="9"/>
      <c r="I5537" s="9"/>
      <c r="J5537" s="9"/>
      <c r="K5537" s="9"/>
      <c r="L5537" s="21"/>
    </row>
    <row r="5538" spans="1:12">
      <c r="A5538" s="72"/>
      <c r="B5538" s="9"/>
      <c r="C5538" s="9"/>
      <c r="D5538" s="10"/>
      <c r="E5538" s="19"/>
      <c r="F5538" s="19"/>
      <c r="G5538" s="12"/>
      <c r="H5538" s="9"/>
      <c r="I5538" s="9"/>
      <c r="J5538" s="9"/>
      <c r="K5538" s="9"/>
      <c r="L5538" s="21"/>
    </row>
    <row r="5539" spans="1:12">
      <c r="A5539" s="72"/>
      <c r="B5539" s="9"/>
      <c r="C5539" s="9"/>
      <c r="D5539" s="10"/>
      <c r="E5539" s="19"/>
      <c r="F5539" s="19"/>
      <c r="G5539" s="12"/>
      <c r="H5539" s="9"/>
      <c r="I5539" s="9"/>
      <c r="J5539" s="9"/>
      <c r="K5539" s="9"/>
      <c r="L5539" s="21"/>
    </row>
    <row r="5540" spans="1:12">
      <c r="A5540" s="72"/>
      <c r="B5540" s="9"/>
      <c r="C5540" s="9"/>
      <c r="D5540" s="10"/>
      <c r="E5540" s="11"/>
      <c r="F5540" s="11"/>
      <c r="G5540" s="12"/>
      <c r="H5540" s="9"/>
      <c r="I5540" s="9"/>
      <c r="J5540" s="9"/>
      <c r="K5540" s="9"/>
      <c r="L5540" s="21"/>
    </row>
    <row r="5541" spans="1:12">
      <c r="A5541" s="72"/>
      <c r="B5541" s="9"/>
      <c r="C5541" s="9"/>
      <c r="D5541" s="9"/>
      <c r="E5541" s="19"/>
      <c r="F5541" s="19"/>
      <c r="G5541" s="12"/>
      <c r="H5541" s="9"/>
      <c r="I5541" s="9"/>
      <c r="J5541" s="9"/>
      <c r="K5541" s="9"/>
      <c r="L5541" s="21"/>
    </row>
    <row r="5542" spans="1:12">
      <c r="A5542" s="72"/>
      <c r="B5542" s="9"/>
      <c r="C5542" s="9"/>
      <c r="D5542" s="10"/>
      <c r="E5542" s="11"/>
      <c r="F5542" s="19"/>
      <c r="G5542" s="12"/>
      <c r="H5542" s="9"/>
      <c r="I5542" s="9"/>
      <c r="J5542" s="9"/>
      <c r="K5542" s="9"/>
      <c r="L5542" s="21"/>
    </row>
    <row r="5543" spans="1:12">
      <c r="A5543" s="72"/>
      <c r="B5543" s="12"/>
      <c r="C5543" s="12"/>
      <c r="D5543" s="12"/>
      <c r="E5543" s="11"/>
      <c r="F5543" s="11"/>
      <c r="G5543" s="12"/>
      <c r="H5543" s="12"/>
      <c r="I5543" s="12"/>
      <c r="J5543" s="12"/>
      <c r="K5543" s="12"/>
      <c r="L5543" s="15"/>
    </row>
    <row r="5544" spans="1:12">
      <c r="A5544" s="72"/>
      <c r="B5544" s="12"/>
      <c r="C5544" s="12"/>
      <c r="D5544" s="12"/>
      <c r="E5544" s="11"/>
      <c r="F5544" s="11"/>
      <c r="G5544" s="12"/>
      <c r="H5544" s="12"/>
      <c r="I5544" s="12"/>
      <c r="J5544" s="12"/>
      <c r="K5544" s="12"/>
      <c r="L5544" s="15"/>
    </row>
    <row r="5545" spans="1:12">
      <c r="A5545" s="72"/>
      <c r="B5545" s="12"/>
      <c r="C5545" s="12"/>
      <c r="D5545" s="12"/>
      <c r="E5545" s="11"/>
      <c r="F5545" s="11"/>
      <c r="G5545" s="12"/>
      <c r="H5545" s="12"/>
      <c r="I5545" s="12"/>
      <c r="J5545" s="12"/>
      <c r="K5545" s="12"/>
      <c r="L5545" s="15"/>
    </row>
    <row r="5546" spans="1:12">
      <c r="A5546" s="72"/>
      <c r="B5546" s="12"/>
      <c r="C5546" s="12"/>
      <c r="D5546" s="12"/>
      <c r="E5546" s="11"/>
      <c r="F5546" s="11"/>
      <c r="G5546" s="12"/>
      <c r="H5546" s="12"/>
      <c r="I5546" s="12"/>
      <c r="J5546" s="12"/>
      <c r="K5546" s="12"/>
      <c r="L5546" s="15"/>
    </row>
    <row r="5547" spans="1:12">
      <c r="A5547" s="72"/>
      <c r="B5547" s="12"/>
      <c r="C5547" s="12"/>
      <c r="D5547" s="12"/>
      <c r="E5547" s="11"/>
      <c r="F5547" s="11"/>
      <c r="G5547" s="12"/>
      <c r="H5547" s="12"/>
      <c r="I5547" s="12"/>
      <c r="J5547" s="12"/>
      <c r="K5547" s="12"/>
      <c r="L5547" s="15"/>
    </row>
    <row r="5548" spans="1:12">
      <c r="A5548" s="72"/>
      <c r="B5548" s="12"/>
      <c r="C5548" s="12"/>
      <c r="D5548" s="12"/>
      <c r="E5548" s="11"/>
      <c r="F5548" s="11"/>
      <c r="G5548" s="12"/>
      <c r="H5548" s="12"/>
      <c r="I5548" s="12"/>
      <c r="J5548" s="12"/>
      <c r="K5548" s="12"/>
      <c r="L5548" s="15"/>
    </row>
    <row r="5549" spans="1:12">
      <c r="A5549" s="72"/>
      <c r="B5549" s="12"/>
      <c r="C5549" s="12"/>
      <c r="D5549" s="10"/>
      <c r="E5549" s="11"/>
      <c r="F5549" s="11"/>
      <c r="G5549" s="12"/>
      <c r="H5549" s="12"/>
      <c r="I5549" s="12"/>
      <c r="J5549" s="12"/>
      <c r="K5549" s="12"/>
      <c r="L5549" s="16"/>
    </row>
    <row r="5550" spans="1:12">
      <c r="A5550" s="72"/>
      <c r="B5550" s="12"/>
      <c r="C5550" s="12"/>
      <c r="D5550" s="12"/>
      <c r="E5550" s="45"/>
      <c r="F5550" s="45"/>
      <c r="G5550" s="12"/>
      <c r="H5550" s="12"/>
      <c r="I5550" s="12"/>
      <c r="J5550" s="12"/>
      <c r="K5550" s="12"/>
      <c r="L5550" s="15"/>
    </row>
    <row r="5551" spans="1:12">
      <c r="A5551" s="72"/>
      <c r="B5551" s="12"/>
      <c r="C5551" s="12"/>
      <c r="D5551" s="12"/>
      <c r="E5551" s="11"/>
      <c r="F5551" s="45"/>
      <c r="G5551" s="12"/>
      <c r="H5551" s="12"/>
      <c r="I5551" s="12"/>
      <c r="J5551" s="12"/>
      <c r="K5551" s="12"/>
      <c r="L5551" s="15"/>
    </row>
    <row r="5552" spans="1:12">
      <c r="A5552" s="72"/>
      <c r="B5552" s="12"/>
      <c r="C5552" s="12"/>
      <c r="D5552" s="10"/>
      <c r="E5552" s="11"/>
      <c r="F5552" s="45"/>
      <c r="G5552" s="12"/>
      <c r="H5552" s="12"/>
      <c r="I5552" s="12"/>
      <c r="J5552" s="12"/>
      <c r="K5552" s="12"/>
      <c r="L5552" s="15"/>
    </row>
    <row r="5553" spans="1:12">
      <c r="A5553" s="72"/>
      <c r="B5553" s="12"/>
      <c r="C5553" s="12"/>
      <c r="D5553" s="10"/>
      <c r="E5553" s="11"/>
      <c r="F5553" s="45"/>
      <c r="G5553" s="12"/>
      <c r="H5553" s="12"/>
      <c r="I5553" s="12"/>
      <c r="J5553" s="12"/>
      <c r="K5553" s="12"/>
      <c r="L5553" s="15"/>
    </row>
    <row r="5554" spans="1:12">
      <c r="A5554" s="72"/>
      <c r="B5554" s="12"/>
      <c r="C5554" s="12"/>
      <c r="D5554" s="10"/>
      <c r="E5554" s="11"/>
      <c r="F5554" s="45"/>
      <c r="G5554" s="12"/>
      <c r="H5554" s="12"/>
      <c r="I5554" s="12"/>
      <c r="J5554" s="12"/>
      <c r="K5554" s="12"/>
      <c r="L5554" s="15"/>
    </row>
    <row r="5555" spans="1:12">
      <c r="A5555" s="72"/>
      <c r="B5555" s="12"/>
      <c r="C5555" s="12"/>
      <c r="D5555" s="10"/>
      <c r="E5555" s="11"/>
      <c r="F5555" s="45"/>
      <c r="G5555" s="12"/>
      <c r="H5555" s="12"/>
      <c r="I5555" s="12"/>
      <c r="J5555" s="12"/>
      <c r="K5555" s="12"/>
      <c r="L5555" s="15"/>
    </row>
    <row r="5556" spans="1:12">
      <c r="A5556" s="72"/>
      <c r="B5556" s="12"/>
      <c r="C5556" s="12"/>
      <c r="D5556" s="10"/>
      <c r="E5556" s="11"/>
      <c r="F5556" s="45"/>
      <c r="G5556" s="12"/>
      <c r="H5556" s="12"/>
      <c r="I5556" s="12"/>
      <c r="J5556" s="12"/>
      <c r="K5556" s="12"/>
      <c r="L5556" s="15"/>
    </row>
    <row r="5557" spans="1:12">
      <c r="A5557" s="72"/>
      <c r="B5557" s="12"/>
      <c r="C5557" s="12"/>
      <c r="D5557" s="10"/>
      <c r="E5557" s="11"/>
      <c r="F5557" s="45"/>
      <c r="G5557" s="12"/>
      <c r="H5557" s="12"/>
      <c r="I5557" s="12"/>
      <c r="J5557" s="12"/>
      <c r="K5557" s="12"/>
      <c r="L5557" s="15"/>
    </row>
    <row r="5558" spans="1:12">
      <c r="A5558" s="72"/>
      <c r="B5558" s="12"/>
      <c r="C5558" s="12"/>
      <c r="D5558" s="10"/>
      <c r="E5558" s="11"/>
      <c r="F5558" s="45"/>
      <c r="G5558" s="12"/>
      <c r="H5558" s="12"/>
      <c r="I5558" s="12"/>
      <c r="J5558" s="12"/>
      <c r="K5558" s="12"/>
      <c r="L5558" s="15"/>
    </row>
    <row r="5559" spans="1:12">
      <c r="A5559" s="72"/>
      <c r="B5559" s="12"/>
      <c r="C5559" s="12"/>
      <c r="D5559" s="10"/>
      <c r="E5559" s="11"/>
      <c r="F5559" s="45"/>
      <c r="G5559" s="12"/>
      <c r="H5559" s="12"/>
      <c r="I5559" s="12"/>
      <c r="J5559" s="12"/>
      <c r="K5559" s="12"/>
      <c r="L5559" s="15"/>
    </row>
    <row r="5560" spans="1:12">
      <c r="A5560" s="72"/>
      <c r="B5560" s="12"/>
      <c r="C5560" s="12"/>
      <c r="D5560" s="12"/>
      <c r="E5560" s="11"/>
      <c r="F5560" s="45"/>
      <c r="G5560" s="12"/>
      <c r="H5560" s="12"/>
      <c r="I5560" s="12"/>
      <c r="J5560" s="12"/>
      <c r="K5560" s="12"/>
      <c r="L5560" s="15"/>
    </row>
    <row r="5561" spans="1:12">
      <c r="A5561" s="72"/>
      <c r="B5561" s="12"/>
      <c r="C5561" s="12"/>
      <c r="D5561" s="12"/>
      <c r="E5561" s="11"/>
      <c r="F5561" s="45"/>
      <c r="G5561" s="12"/>
      <c r="H5561" s="12"/>
      <c r="I5561" s="12"/>
      <c r="J5561" s="12"/>
      <c r="K5561" s="12"/>
      <c r="L5561" s="15"/>
    </row>
    <row r="5562" spans="1:12">
      <c r="A5562" s="72"/>
      <c r="B5562" s="12"/>
      <c r="C5562" s="12"/>
      <c r="D5562" s="10"/>
      <c r="E5562" s="11"/>
      <c r="F5562" s="45"/>
      <c r="G5562" s="12"/>
      <c r="H5562" s="12"/>
      <c r="I5562" s="12"/>
      <c r="J5562" s="12"/>
      <c r="K5562" s="12"/>
      <c r="L5562" s="15"/>
    </row>
    <row r="5563" spans="1:12">
      <c r="A5563" s="72"/>
      <c r="B5563" s="12"/>
      <c r="C5563" s="12"/>
      <c r="D5563" s="10"/>
      <c r="E5563" s="11"/>
      <c r="F5563" s="45"/>
      <c r="G5563" s="12"/>
      <c r="H5563" s="12"/>
      <c r="I5563" s="12"/>
      <c r="J5563" s="12"/>
      <c r="K5563" s="12"/>
      <c r="L5563" s="15"/>
    </row>
    <row r="5564" spans="1:12">
      <c r="A5564" s="72"/>
      <c r="B5564" s="12"/>
      <c r="C5564" s="12"/>
      <c r="D5564" s="10"/>
      <c r="E5564" s="11"/>
      <c r="F5564" s="45"/>
      <c r="G5564" s="12"/>
      <c r="H5564" s="12"/>
      <c r="I5564" s="12"/>
      <c r="J5564" s="12"/>
      <c r="K5564" s="12"/>
      <c r="L5564" s="15"/>
    </row>
    <row r="5565" spans="1:12">
      <c r="A5565" s="72"/>
      <c r="B5565" s="12"/>
      <c r="C5565" s="12"/>
      <c r="D5565" s="10"/>
      <c r="E5565" s="11"/>
      <c r="F5565" s="45"/>
      <c r="G5565" s="12"/>
      <c r="H5565" s="12"/>
      <c r="I5565" s="12"/>
      <c r="J5565" s="12"/>
      <c r="K5565" s="12"/>
      <c r="L5565" s="15"/>
    </row>
    <row r="5566" spans="1:12">
      <c r="A5566" s="72"/>
      <c r="B5566" s="12"/>
      <c r="C5566" s="12"/>
      <c r="D5566" s="12"/>
      <c r="E5566" s="11"/>
      <c r="F5566" s="45"/>
      <c r="G5566" s="12"/>
      <c r="H5566" s="12"/>
      <c r="I5566" s="12"/>
      <c r="J5566" s="12"/>
      <c r="K5566" s="12"/>
      <c r="L5566" s="15"/>
    </row>
    <row r="5567" spans="1:12">
      <c r="A5567" s="72"/>
      <c r="B5567" s="12"/>
      <c r="C5567" s="12"/>
      <c r="D5567" s="10"/>
      <c r="E5567" s="11"/>
      <c r="F5567" s="45"/>
      <c r="G5567" s="12"/>
      <c r="H5567" s="12"/>
      <c r="I5567" s="12"/>
      <c r="J5567" s="12"/>
      <c r="K5567" s="12"/>
      <c r="L5567" s="15"/>
    </row>
    <row r="5568" spans="1:12">
      <c r="A5568" s="72"/>
      <c r="B5568" s="12"/>
      <c r="C5568" s="12"/>
      <c r="D5568" s="10"/>
      <c r="E5568" s="11"/>
      <c r="F5568" s="45"/>
      <c r="G5568" s="12"/>
      <c r="H5568" s="12"/>
      <c r="I5568" s="12"/>
      <c r="J5568" s="12"/>
      <c r="K5568" s="12"/>
      <c r="L5568" s="15"/>
    </row>
    <row r="5569" spans="1:12">
      <c r="A5569" s="72"/>
      <c r="B5569" s="12"/>
      <c r="C5569" s="12"/>
      <c r="D5569" s="10"/>
      <c r="E5569" s="11"/>
      <c r="F5569" s="45"/>
      <c r="G5569" s="12"/>
      <c r="H5569" s="12"/>
      <c r="I5569" s="12"/>
      <c r="J5569" s="12"/>
      <c r="K5569" s="12"/>
      <c r="L5569" s="15"/>
    </row>
    <row r="5570" spans="1:12">
      <c r="A5570" s="72"/>
      <c r="B5570" s="12"/>
      <c r="C5570" s="12"/>
      <c r="D5570" s="10"/>
      <c r="E5570" s="11"/>
      <c r="F5570" s="45"/>
      <c r="G5570" s="12"/>
      <c r="H5570" s="12"/>
      <c r="I5570" s="12"/>
      <c r="J5570" s="12"/>
      <c r="K5570" s="12"/>
      <c r="L5570" s="15"/>
    </row>
    <row r="5571" spans="1:12">
      <c r="A5571" s="295"/>
      <c r="B5571" s="71"/>
      <c r="C5571" s="65"/>
      <c r="D5571" s="71"/>
      <c r="E5571" s="70"/>
      <c r="F5571" s="70"/>
      <c r="G5571" s="71"/>
      <c r="H5571" s="71"/>
      <c r="I5571" s="65"/>
      <c r="J5571" s="71"/>
      <c r="K5571" s="71"/>
      <c r="L5571" s="293"/>
    </row>
    <row r="5572" spans="1:12">
      <c r="A5572" s="295"/>
      <c r="B5572" s="71"/>
      <c r="C5572" s="65"/>
      <c r="D5572" s="71"/>
      <c r="E5572" s="70"/>
      <c r="F5572" s="70"/>
      <c r="G5572" s="71"/>
      <c r="H5572" s="71"/>
      <c r="I5572" s="65"/>
      <c r="J5572" s="71"/>
      <c r="K5572" s="71"/>
      <c r="L5572" s="293"/>
    </row>
    <row r="5573" spans="1:12">
      <c r="A5573" s="72"/>
      <c r="B5573" s="9"/>
      <c r="C5573" s="10"/>
      <c r="D5573" s="12"/>
      <c r="E5573" s="11"/>
      <c r="F5573" s="11"/>
      <c r="G5573" s="12"/>
      <c r="H5573" s="12"/>
      <c r="I5573" s="10"/>
      <c r="J5573" s="12"/>
      <c r="K5573" s="12"/>
      <c r="L5573" s="15"/>
    </row>
    <row r="5574" spans="1:12">
      <c r="A5574" s="72"/>
      <c r="B5574" s="9"/>
      <c r="C5574" s="13"/>
      <c r="D5574" s="12"/>
      <c r="E5574" s="38"/>
      <c r="F5574" s="38"/>
      <c r="G5574" s="12"/>
      <c r="H5574" s="9"/>
      <c r="I5574" s="10"/>
      <c r="J5574" s="9"/>
      <c r="K5574" s="9"/>
      <c r="L5574" s="41"/>
    </row>
    <row r="5575" spans="1:12">
      <c r="A5575" s="72"/>
      <c r="B5575" s="9"/>
      <c r="C5575" s="12"/>
      <c r="D5575" s="12"/>
      <c r="E5575" s="11"/>
      <c r="F5575" s="11"/>
      <c r="G5575" s="12"/>
      <c r="H5575" s="12"/>
      <c r="I5575" s="10"/>
      <c r="J5575" s="12"/>
      <c r="K5575" s="12"/>
      <c r="L5575" s="15"/>
    </row>
    <row r="5576" spans="1:12">
      <c r="A5576" s="72"/>
      <c r="B5576" s="9"/>
      <c r="C5576" s="12"/>
      <c r="D5576" s="12"/>
      <c r="E5576" s="11"/>
      <c r="F5576" s="11"/>
      <c r="G5576" s="12"/>
      <c r="H5576" s="12"/>
      <c r="I5576" s="10"/>
      <c r="J5576" s="12"/>
      <c r="K5576" s="12"/>
      <c r="L5576" s="15"/>
    </row>
    <row r="5577" spans="1:12">
      <c r="A5577" s="72"/>
      <c r="B5577" s="9"/>
      <c r="C5577" s="13"/>
      <c r="D5577" s="12"/>
      <c r="E5577" s="38"/>
      <c r="F5577" s="38"/>
      <c r="G5577" s="9"/>
      <c r="H5577" s="9"/>
      <c r="I5577" s="13"/>
      <c r="J5577" s="9"/>
      <c r="K5577" s="9"/>
      <c r="L5577" s="41"/>
    </row>
    <row r="5578" spans="1:12">
      <c r="A5578" s="72"/>
      <c r="B5578" s="9"/>
      <c r="C5578" s="13"/>
      <c r="D5578" s="12"/>
      <c r="E5578" s="38"/>
      <c r="F5578" s="38"/>
      <c r="G5578" s="9"/>
      <c r="H5578" s="9"/>
      <c r="I5578" s="13"/>
      <c r="J5578" s="9"/>
      <c r="K5578" s="9"/>
      <c r="L5578" s="41"/>
    </row>
    <row r="5579" spans="1:12">
      <c r="A5579" s="72"/>
      <c r="B5579" s="9"/>
      <c r="C5579" s="13"/>
      <c r="D5579" s="12"/>
      <c r="E5579" s="116"/>
      <c r="F5579" s="38"/>
      <c r="G5579" s="9"/>
      <c r="H5579" s="13"/>
      <c r="I5579" s="13"/>
      <c r="J5579" s="6"/>
      <c r="K5579" s="13"/>
      <c r="L5579" s="98"/>
    </row>
    <row r="5580" spans="1:12">
      <c r="A5580" s="72"/>
      <c r="B5580" s="9"/>
      <c r="C5580" s="13"/>
      <c r="D5580" s="12"/>
      <c r="E5580" s="116"/>
      <c r="F5580" s="38"/>
      <c r="G5580" s="9"/>
      <c r="H5580" s="13"/>
      <c r="I5580" s="13"/>
      <c r="J5580" s="6"/>
      <c r="K5580" s="13"/>
      <c r="L5580" s="98"/>
    </row>
    <row r="5581" spans="1:12">
      <c r="A5581" s="72"/>
      <c r="B5581" s="9"/>
      <c r="C5581" s="13"/>
      <c r="D5581" s="12"/>
      <c r="E5581" s="116"/>
      <c r="F5581" s="38"/>
      <c r="G5581" s="9"/>
      <c r="H5581" s="13"/>
      <c r="I5581" s="13"/>
      <c r="J5581" s="6"/>
      <c r="K5581" s="13"/>
      <c r="L5581" s="98"/>
    </row>
    <row r="5582" spans="1:12">
      <c r="A5582" s="72"/>
      <c r="B5582" s="9"/>
      <c r="C5582" s="13"/>
      <c r="D5582" s="12"/>
      <c r="E5582" s="116"/>
      <c r="F5582" s="38"/>
      <c r="G5582" s="9"/>
      <c r="H5582" s="13"/>
      <c r="I5582" s="13"/>
      <c r="J5582" s="6"/>
      <c r="K5582" s="13"/>
      <c r="L5582" s="98"/>
    </row>
    <row r="5583" spans="1:12">
      <c r="A5583" s="72"/>
      <c r="B5583" s="9"/>
      <c r="C5583" s="13"/>
      <c r="D5583" s="12"/>
      <c r="E5583" s="38"/>
      <c r="F5583" s="38"/>
      <c r="G5583" s="9"/>
      <c r="H5583" s="9"/>
      <c r="I5583" s="13"/>
      <c r="J5583" s="6"/>
      <c r="K5583" s="9"/>
      <c r="L5583" s="41"/>
    </row>
    <row r="5584" spans="1:12">
      <c r="A5584" s="72"/>
      <c r="B5584" s="9"/>
      <c r="C5584" s="13"/>
      <c r="D5584" s="12"/>
      <c r="E5584" s="38"/>
      <c r="F5584" s="38"/>
      <c r="G5584" s="9"/>
      <c r="H5584" s="9"/>
      <c r="I5584" s="13"/>
      <c r="J5584" s="6"/>
      <c r="K5584" s="9"/>
      <c r="L5584" s="41"/>
    </row>
    <row r="5585" spans="1:12">
      <c r="A5585" s="72"/>
      <c r="B5585" s="9"/>
      <c r="C5585" s="13"/>
      <c r="D5585" s="12"/>
      <c r="E5585" s="38"/>
      <c r="F5585" s="38"/>
      <c r="G5585" s="9"/>
      <c r="H5585" s="9"/>
      <c r="I5585" s="13"/>
      <c r="J5585" s="6"/>
      <c r="K5585" s="9"/>
      <c r="L5585" s="41"/>
    </row>
    <row r="5586" spans="1:12">
      <c r="A5586" s="72"/>
      <c r="B5586" s="9"/>
      <c r="C5586" s="13"/>
      <c r="D5586" s="12"/>
      <c r="E5586" s="38"/>
      <c r="F5586" s="38"/>
      <c r="G5586" s="9"/>
      <c r="H5586" s="9"/>
      <c r="I5586" s="13"/>
      <c r="J5586" s="6"/>
      <c r="K5586" s="9"/>
      <c r="L5586" s="41"/>
    </row>
    <row r="5587" spans="1:12">
      <c r="A5587" s="72"/>
      <c r="B5587" s="9"/>
      <c r="C5587" s="13"/>
      <c r="D5587" s="12"/>
      <c r="E5587" s="38"/>
      <c r="F5587" s="38"/>
      <c r="G5587" s="9"/>
      <c r="H5587" s="9"/>
      <c r="I5587" s="13"/>
      <c r="J5587" s="6"/>
      <c r="K5587" s="9"/>
      <c r="L5587" s="41"/>
    </row>
    <row r="5588" spans="1:12">
      <c r="A5588" s="72"/>
      <c r="B5588" s="9"/>
      <c r="C5588" s="13"/>
      <c r="D5588" s="12"/>
      <c r="E5588" s="38"/>
      <c r="F5588" s="38"/>
      <c r="G5588" s="9"/>
      <c r="H5588" s="9"/>
      <c r="I5588" s="13"/>
      <c r="J5588" s="6"/>
      <c r="K5588" s="9"/>
      <c r="L5588" s="41"/>
    </row>
    <row r="5589" spans="1:12">
      <c r="A5589" s="72"/>
      <c r="B5589" s="9"/>
      <c r="C5589" s="13"/>
      <c r="D5589" s="12"/>
      <c r="E5589" s="38"/>
      <c r="F5589" s="38"/>
      <c r="G5589" s="9"/>
      <c r="H5589" s="9"/>
      <c r="I5589" s="13"/>
      <c r="J5589" s="6"/>
      <c r="K5589" s="9"/>
      <c r="L5589" s="41"/>
    </row>
    <row r="5590" spans="1:12">
      <c r="A5590" s="72"/>
      <c r="B5590" s="9"/>
      <c r="C5590" s="13"/>
      <c r="D5590" s="12"/>
      <c r="E5590" s="38"/>
      <c r="F5590" s="38"/>
      <c r="G5590" s="9"/>
      <c r="H5590" s="9"/>
      <c r="I5590" s="13"/>
      <c r="J5590" s="6"/>
      <c r="K5590" s="9"/>
      <c r="L5590" s="41"/>
    </row>
    <row r="5591" spans="1:12">
      <c r="A5591" s="72"/>
      <c r="B5591" s="9"/>
      <c r="C5591" s="9"/>
      <c r="D5591" s="12"/>
      <c r="E5591" s="38"/>
      <c r="F5591" s="38"/>
      <c r="G5591" s="9"/>
      <c r="H5591" s="9"/>
      <c r="I5591" s="13"/>
      <c r="J5591" s="6"/>
      <c r="K5591" s="9"/>
      <c r="L5591" s="41"/>
    </row>
    <row r="5592" spans="1:12">
      <c r="A5592" s="72"/>
      <c r="B5592" s="9"/>
      <c r="C5592" s="9"/>
      <c r="D5592" s="12"/>
      <c r="E5592" s="38"/>
      <c r="F5592" s="38"/>
      <c r="G5592" s="9"/>
      <c r="H5592" s="9"/>
      <c r="I5592" s="13"/>
      <c r="J5592" s="6"/>
      <c r="K5592" s="9"/>
      <c r="L5592" s="41"/>
    </row>
    <row r="5593" spans="1:12">
      <c r="A5593" s="72"/>
      <c r="B5593" s="9"/>
      <c r="C5593" s="9"/>
      <c r="D5593" s="12"/>
      <c r="E5593" s="38"/>
      <c r="F5593" s="38"/>
      <c r="G5593" s="9"/>
      <c r="H5593" s="9"/>
      <c r="I5593" s="13"/>
      <c r="J5593" s="6"/>
      <c r="K5593" s="9"/>
      <c r="L5593" s="41"/>
    </row>
    <row r="5594" spans="1:12">
      <c r="A5594" s="72"/>
      <c r="B5594" s="9"/>
      <c r="C5594" s="9"/>
      <c r="D5594" s="12"/>
      <c r="E5594" s="38"/>
      <c r="F5594" s="38"/>
      <c r="G5594" s="9"/>
      <c r="H5594" s="9"/>
      <c r="I5594" s="13"/>
      <c r="J5594" s="6"/>
      <c r="K5594" s="9"/>
      <c r="L5594" s="41"/>
    </row>
    <row r="5595" spans="1:12">
      <c r="A5595" s="72"/>
      <c r="B5595" s="9"/>
      <c r="C5595" s="13"/>
      <c r="D5595" s="12"/>
      <c r="E5595" s="116"/>
      <c r="F5595" s="38"/>
      <c r="G5595" s="9"/>
      <c r="H5595" s="13"/>
      <c r="I5595" s="13"/>
      <c r="J5595" s="6"/>
      <c r="K5595" s="13"/>
      <c r="L5595" s="98"/>
    </row>
    <row r="5596" spans="1:12">
      <c r="A5596" s="72"/>
      <c r="B5596" s="9"/>
      <c r="C5596" s="13"/>
      <c r="D5596" s="12"/>
      <c r="E5596" s="116"/>
      <c r="F5596" s="38"/>
      <c r="G5596" s="9"/>
      <c r="H5596" s="13"/>
      <c r="I5596" s="13"/>
      <c r="J5596" s="6"/>
      <c r="K5596" s="13"/>
      <c r="L5596" s="98"/>
    </row>
    <row r="5597" spans="1:12">
      <c r="A5597" s="72"/>
      <c r="B5597" s="9"/>
      <c r="C5597" s="9"/>
      <c r="D5597" s="12"/>
      <c r="E5597" s="38"/>
      <c r="F5597" s="38"/>
      <c r="G5597" s="9"/>
      <c r="H5597" s="9"/>
      <c r="I5597" s="13"/>
      <c r="J5597" s="6"/>
      <c r="K5597" s="9"/>
      <c r="L5597" s="41"/>
    </row>
    <row r="5598" spans="1:12">
      <c r="A5598" s="72"/>
      <c r="B5598" s="9"/>
      <c r="C5598" s="9"/>
      <c r="D5598" s="12"/>
      <c r="E5598" s="38"/>
      <c r="F5598" s="38"/>
      <c r="G5598" s="9"/>
      <c r="H5598" s="9"/>
      <c r="I5598" s="13"/>
      <c r="J5598" s="6"/>
      <c r="K5598" s="9"/>
      <c r="L5598" s="41"/>
    </row>
    <row r="5599" spans="1:12">
      <c r="A5599" s="72"/>
      <c r="B5599" s="9"/>
      <c r="C5599" s="13"/>
      <c r="D5599" s="12"/>
      <c r="E5599" s="38"/>
      <c r="F5599" s="38"/>
      <c r="G5599" s="9"/>
      <c r="H5599" s="9"/>
      <c r="I5599" s="13"/>
      <c r="J5599" s="6"/>
      <c r="K5599" s="9"/>
      <c r="L5599" s="41"/>
    </row>
    <row r="5600" spans="1:12">
      <c r="A5600" s="72"/>
      <c r="B5600" s="9"/>
      <c r="C5600" s="13"/>
      <c r="D5600" s="12"/>
      <c r="E5600" s="38"/>
      <c r="F5600" s="38"/>
      <c r="G5600" s="9"/>
      <c r="H5600" s="9"/>
      <c r="I5600" s="13"/>
      <c r="J5600" s="6"/>
      <c r="K5600" s="9"/>
      <c r="L5600" s="41"/>
    </row>
    <row r="5601" spans="1:12">
      <c r="A5601" s="72"/>
      <c r="B5601" s="9"/>
      <c r="C5601" s="9"/>
      <c r="D5601" s="12"/>
      <c r="E5601" s="38"/>
      <c r="F5601" s="38"/>
      <c r="G5601" s="9"/>
      <c r="H5601" s="9"/>
      <c r="I5601" s="13"/>
      <c r="J5601" s="6"/>
      <c r="K5601" s="9"/>
      <c r="L5601" s="41"/>
    </row>
    <row r="5602" spans="1:12">
      <c r="A5602" s="72"/>
      <c r="B5602" s="9"/>
      <c r="C5602" s="9"/>
      <c r="D5602" s="12"/>
      <c r="E5602" s="38"/>
      <c r="F5602" s="38"/>
      <c r="G5602" s="9"/>
      <c r="H5602" s="9"/>
      <c r="I5602" s="13"/>
      <c r="J5602" s="6"/>
      <c r="K5602" s="9"/>
      <c r="L5602" s="41"/>
    </row>
    <row r="5603" spans="1:12">
      <c r="A5603" s="72"/>
      <c r="B5603" s="9"/>
      <c r="C5603" s="13"/>
      <c r="D5603" s="12"/>
      <c r="E5603" s="116"/>
      <c r="F5603" s="38"/>
      <c r="G5603" s="9"/>
      <c r="H5603" s="13"/>
      <c r="I5603" s="13"/>
      <c r="J5603" s="6"/>
      <c r="K5603" s="13"/>
      <c r="L5603" s="98"/>
    </row>
    <row r="5604" spans="1:12">
      <c r="A5604" s="72"/>
      <c r="B5604" s="9"/>
      <c r="C5604" s="13"/>
      <c r="D5604" s="12"/>
      <c r="E5604" s="116"/>
      <c r="F5604" s="38"/>
      <c r="G5604" s="9"/>
      <c r="H5604" s="13"/>
      <c r="I5604" s="13"/>
      <c r="J5604" s="6"/>
      <c r="K5604" s="13"/>
      <c r="L5604" s="98"/>
    </row>
    <row r="5605" spans="1:12">
      <c r="A5605" s="72"/>
      <c r="B5605" s="9"/>
      <c r="C5605" s="13"/>
      <c r="D5605" s="12"/>
      <c r="E5605" s="116"/>
      <c r="F5605" s="38"/>
      <c r="G5605" s="9"/>
      <c r="H5605" s="9"/>
      <c r="I5605" s="13"/>
      <c r="J5605" s="6"/>
      <c r="K5605" s="9"/>
      <c r="L5605" s="41"/>
    </row>
    <row r="5606" spans="1:12">
      <c r="A5606" s="72"/>
      <c r="B5606" s="9"/>
      <c r="C5606" s="13"/>
      <c r="D5606" s="12"/>
      <c r="E5606" s="116"/>
      <c r="F5606" s="38"/>
      <c r="G5606" s="9"/>
      <c r="H5606" s="9"/>
      <c r="I5606" s="13"/>
      <c r="J5606" s="6"/>
      <c r="K5606" s="9"/>
      <c r="L5606" s="41"/>
    </row>
    <row r="5607" spans="1:12">
      <c r="A5607" s="72"/>
      <c r="B5607" s="9"/>
      <c r="C5607" s="13"/>
      <c r="D5607" s="12"/>
      <c r="E5607" s="116"/>
      <c r="F5607" s="38"/>
      <c r="G5607" s="9"/>
      <c r="H5607" s="9"/>
      <c r="I5607" s="13"/>
      <c r="J5607" s="6"/>
      <c r="K5607" s="9"/>
      <c r="L5607" s="41"/>
    </row>
    <row r="5608" spans="1:12">
      <c r="A5608" s="72"/>
      <c r="B5608" s="9"/>
      <c r="C5608" s="13"/>
      <c r="D5608" s="12"/>
      <c r="E5608" s="116"/>
      <c r="F5608" s="38"/>
      <c r="G5608" s="9"/>
      <c r="H5608" s="9"/>
      <c r="I5608" s="13"/>
      <c r="J5608" s="6"/>
      <c r="K5608" s="9"/>
      <c r="L5608" s="41"/>
    </row>
    <row r="5609" spans="1:12">
      <c r="A5609" s="72"/>
      <c r="B5609" s="9"/>
      <c r="C5609" s="13"/>
      <c r="D5609" s="12"/>
      <c r="E5609" s="38"/>
      <c r="F5609" s="38"/>
      <c r="G5609" s="9"/>
      <c r="H5609" s="9"/>
      <c r="I5609" s="13"/>
      <c r="J5609" s="6"/>
      <c r="K5609" s="9"/>
      <c r="L5609" s="41"/>
    </row>
    <row r="5610" spans="1:12">
      <c r="A5610" s="72"/>
      <c r="B5610" s="9"/>
      <c r="C5610" s="13"/>
      <c r="D5610" s="12"/>
      <c r="E5610" s="38"/>
      <c r="F5610" s="38"/>
      <c r="G5610" s="9"/>
      <c r="H5610" s="9"/>
      <c r="I5610" s="13"/>
      <c r="J5610" s="6"/>
      <c r="K5610" s="9"/>
      <c r="L5610" s="41"/>
    </row>
    <row r="5611" spans="1:12">
      <c r="A5611" s="72"/>
      <c r="B5611" s="12"/>
      <c r="C5611" s="12"/>
      <c r="D5611" s="10"/>
      <c r="E5611" s="11"/>
      <c r="F5611" s="11"/>
      <c r="G5611" s="9"/>
      <c r="H5611" s="12"/>
      <c r="I5611" s="12"/>
      <c r="J5611" s="12"/>
      <c r="K5611" s="12"/>
      <c r="L5611" s="15"/>
    </row>
    <row r="5612" spans="1:12">
      <c r="A5612" s="72"/>
      <c r="B5612" s="12"/>
      <c r="C5612" s="12"/>
      <c r="D5612" s="10"/>
      <c r="E5612" s="11"/>
      <c r="F5612" s="11"/>
      <c r="G5612" s="9"/>
      <c r="H5612" s="12"/>
      <c r="I5612" s="12"/>
      <c r="J5612" s="12"/>
      <c r="K5612" s="12"/>
      <c r="L5612" s="15"/>
    </row>
    <row r="5613" spans="1:12">
      <c r="A5613" s="72"/>
      <c r="B5613" s="12"/>
      <c r="C5613" s="12"/>
      <c r="D5613" s="10"/>
      <c r="E5613" s="11"/>
      <c r="F5613" s="11"/>
      <c r="G5613" s="9"/>
      <c r="H5613" s="12"/>
      <c r="I5613" s="12"/>
      <c r="J5613" s="12"/>
      <c r="K5613" s="12"/>
      <c r="L5613" s="15"/>
    </row>
    <row r="5614" spans="1:12">
      <c r="A5614" s="72"/>
      <c r="B5614" s="12"/>
      <c r="C5614" s="12"/>
      <c r="D5614" s="10"/>
      <c r="E5614" s="45"/>
      <c r="F5614" s="45"/>
      <c r="G5614" s="9"/>
      <c r="H5614" s="12"/>
      <c r="I5614" s="12"/>
      <c r="J5614" s="12"/>
      <c r="K5614" s="12"/>
      <c r="L5614" s="15"/>
    </row>
    <row r="5615" spans="1:12">
      <c r="A5615" s="72"/>
      <c r="B5615" s="12"/>
      <c r="C5615" s="12"/>
      <c r="D5615" s="10"/>
      <c r="E5615" s="11"/>
      <c r="F5615" s="11"/>
      <c r="G5615" s="9"/>
      <c r="H5615" s="12"/>
      <c r="I5615" s="12"/>
      <c r="J5615" s="12"/>
      <c r="K5615" s="12"/>
      <c r="L5615" s="15"/>
    </row>
    <row r="5616" spans="1:12">
      <c r="A5616" s="72"/>
      <c r="B5616" s="12"/>
      <c r="C5616" s="12"/>
      <c r="D5616" s="10"/>
      <c r="E5616" s="11"/>
      <c r="F5616" s="11"/>
      <c r="G5616" s="9"/>
      <c r="H5616" s="12"/>
      <c r="I5616" s="12"/>
      <c r="J5616" s="12"/>
      <c r="K5616" s="12"/>
      <c r="L5616" s="15"/>
    </row>
    <row r="5617" spans="1:12">
      <c r="A5617" s="72"/>
      <c r="B5617" s="12"/>
      <c r="C5617" s="12"/>
      <c r="D5617" s="10"/>
      <c r="E5617" s="45"/>
      <c r="F5617" s="11"/>
      <c r="G5617" s="9"/>
      <c r="H5617" s="12"/>
      <c r="I5617" s="12"/>
      <c r="J5617" s="12"/>
      <c r="K5617" s="12"/>
      <c r="L5617" s="15"/>
    </row>
    <row r="5618" spans="1:12">
      <c r="A5618" s="72"/>
      <c r="B5618" s="12"/>
      <c r="C5618" s="12"/>
      <c r="D5618" s="10"/>
      <c r="E5618" s="11"/>
      <c r="F5618" s="11"/>
      <c r="G5618" s="9"/>
      <c r="H5618" s="12"/>
      <c r="I5618" s="12"/>
      <c r="J5618" s="12"/>
      <c r="K5618" s="12"/>
      <c r="L5618" s="15"/>
    </row>
    <row r="5619" spans="1:12">
      <c r="A5619" s="72"/>
      <c r="B5619" s="12"/>
      <c r="C5619" s="12"/>
      <c r="D5619" s="10"/>
      <c r="E5619" s="11"/>
      <c r="F5619" s="11"/>
      <c r="G5619" s="9"/>
      <c r="H5619" s="12"/>
      <c r="I5619" s="12"/>
      <c r="J5619" s="12"/>
      <c r="K5619" s="12"/>
      <c r="L5619" s="15"/>
    </row>
    <row r="5620" spans="1:12">
      <c r="A5620" s="72"/>
      <c r="B5620" s="12"/>
      <c r="C5620" s="12"/>
      <c r="D5620" s="10"/>
      <c r="E5620" s="11"/>
      <c r="F5620" s="11"/>
      <c r="G5620" s="9"/>
      <c r="H5620" s="12"/>
      <c r="I5620" s="12"/>
      <c r="J5620" s="12"/>
      <c r="K5620" s="12"/>
      <c r="L5620" s="15"/>
    </row>
    <row r="5621" spans="1:12">
      <c r="A5621" s="72"/>
      <c r="B5621" s="12"/>
      <c r="C5621" s="12"/>
      <c r="D5621" s="10"/>
      <c r="E5621" s="11"/>
      <c r="F5621" s="11"/>
      <c r="G5621" s="9"/>
      <c r="H5621" s="12"/>
      <c r="I5621" s="12"/>
      <c r="J5621" s="12"/>
      <c r="K5621" s="12"/>
      <c r="L5621" s="15"/>
    </row>
    <row r="5622" spans="1:12">
      <c r="A5622" s="72"/>
      <c r="B5622" s="12"/>
      <c r="C5622" s="12"/>
      <c r="D5622" s="10"/>
      <c r="E5622" s="11"/>
      <c r="F5622" s="11"/>
      <c r="G5622" s="9"/>
      <c r="H5622" s="12"/>
      <c r="I5622" s="12"/>
      <c r="J5622" s="12"/>
      <c r="K5622" s="12"/>
      <c r="L5622" s="15"/>
    </row>
    <row r="5623" spans="1:12">
      <c r="A5623" s="72"/>
      <c r="B5623" s="12"/>
      <c r="C5623" s="12"/>
      <c r="D5623" s="10"/>
      <c r="E5623" s="11"/>
      <c r="F5623" s="11"/>
      <c r="G5623" s="9"/>
      <c r="H5623" s="12"/>
      <c r="I5623" s="12"/>
      <c r="J5623" s="12"/>
      <c r="K5623" s="12"/>
      <c r="L5623" s="15"/>
    </row>
    <row r="5624" spans="1:12">
      <c r="A5624" s="72"/>
      <c r="B5624" s="12"/>
      <c r="C5624" s="12"/>
      <c r="D5624" s="10"/>
      <c r="E5624" s="11"/>
      <c r="F5624" s="11"/>
      <c r="G5624" s="9"/>
      <c r="H5624" s="12"/>
      <c r="I5624" s="12"/>
      <c r="J5624" s="12"/>
      <c r="K5624" s="12"/>
      <c r="L5624" s="15"/>
    </row>
    <row r="5625" spans="1:12">
      <c r="A5625" s="72"/>
      <c r="B5625" s="12"/>
      <c r="C5625" s="12"/>
      <c r="D5625" s="10"/>
      <c r="E5625" s="11"/>
      <c r="F5625" s="11"/>
      <c r="G5625" s="9"/>
      <c r="H5625" s="12"/>
      <c r="I5625" s="12"/>
      <c r="J5625" s="12"/>
      <c r="K5625" s="12"/>
      <c r="L5625" s="41"/>
    </row>
    <row r="5626" spans="1:12">
      <c r="A5626" s="72"/>
      <c r="B5626" s="12"/>
      <c r="C5626" s="12"/>
      <c r="D5626" s="10"/>
      <c r="E5626" s="11"/>
      <c r="F5626" s="11"/>
      <c r="G5626" s="9"/>
      <c r="H5626" s="12"/>
      <c r="I5626" s="12"/>
      <c r="J5626" s="12"/>
      <c r="K5626" s="12"/>
      <c r="L5626" s="15"/>
    </row>
    <row r="5627" spans="1:12">
      <c r="A5627" s="72"/>
      <c r="B5627" s="12"/>
      <c r="C5627" s="12"/>
      <c r="D5627" s="10"/>
      <c r="E5627" s="11"/>
      <c r="F5627" s="11"/>
      <c r="G5627" s="9"/>
      <c r="H5627" s="12"/>
      <c r="I5627" s="12"/>
      <c r="J5627" s="12"/>
      <c r="K5627" s="12"/>
      <c r="L5627" s="15"/>
    </row>
    <row r="5628" spans="1:12">
      <c r="A5628" s="72"/>
      <c r="B5628" s="12"/>
      <c r="C5628" s="12"/>
      <c r="D5628" s="10"/>
      <c r="E5628" s="11"/>
      <c r="F5628" s="11"/>
      <c r="G5628" s="9"/>
      <c r="H5628" s="12"/>
      <c r="I5628" s="12"/>
      <c r="J5628" s="12"/>
      <c r="K5628" s="12"/>
      <c r="L5628" s="15"/>
    </row>
    <row r="5629" spans="1:12">
      <c r="A5629" s="72"/>
      <c r="B5629" s="12"/>
      <c r="C5629" s="12"/>
      <c r="D5629" s="10"/>
      <c r="E5629" s="11"/>
      <c r="F5629" s="11"/>
      <c r="G5629" s="9"/>
      <c r="H5629" s="12"/>
      <c r="I5629" s="12"/>
      <c r="J5629" s="12"/>
      <c r="K5629" s="12"/>
      <c r="L5629" s="15"/>
    </row>
    <row r="5630" spans="1:12">
      <c r="A5630" s="72"/>
      <c r="B5630" s="12"/>
      <c r="C5630" s="12"/>
      <c r="D5630" s="10"/>
      <c r="E5630" s="11"/>
      <c r="F5630" s="11"/>
      <c r="G5630" s="9"/>
      <c r="H5630" s="12"/>
      <c r="I5630" s="12"/>
      <c r="J5630" s="12"/>
      <c r="K5630" s="12"/>
      <c r="L5630" s="15"/>
    </row>
    <row r="5631" spans="1:12">
      <c r="A5631" s="72"/>
      <c r="B5631" s="12"/>
      <c r="C5631" s="12"/>
      <c r="D5631" s="10"/>
      <c r="E5631" s="11"/>
      <c r="F5631" s="22"/>
      <c r="G5631" s="9"/>
      <c r="H5631" s="12"/>
      <c r="I5631" s="12"/>
      <c r="J5631" s="12"/>
      <c r="K5631" s="12"/>
      <c r="L5631" s="15"/>
    </row>
    <row r="5632" spans="1:12">
      <c r="A5632" s="72"/>
      <c r="B5632" s="12"/>
      <c r="C5632" s="12"/>
      <c r="D5632" s="10"/>
      <c r="E5632" s="11"/>
      <c r="F5632" s="11"/>
      <c r="G5632" s="9"/>
      <c r="H5632" s="12"/>
      <c r="I5632" s="12"/>
      <c r="J5632" s="12"/>
      <c r="K5632" s="12"/>
      <c r="L5632" s="15"/>
    </row>
    <row r="5633" spans="1:12">
      <c r="A5633" s="72"/>
      <c r="B5633" s="12"/>
      <c r="C5633" s="12"/>
      <c r="D5633" s="10"/>
      <c r="E5633" s="11"/>
      <c r="F5633" s="11"/>
      <c r="G5633" s="9"/>
      <c r="H5633" s="12"/>
      <c r="I5633" s="12"/>
      <c r="J5633" s="12"/>
      <c r="K5633" s="12"/>
      <c r="L5633" s="15"/>
    </row>
    <row r="5634" spans="1:12">
      <c r="A5634" s="72"/>
      <c r="B5634" s="12"/>
      <c r="C5634" s="12"/>
      <c r="D5634" s="10"/>
      <c r="E5634" s="11"/>
      <c r="F5634" s="11"/>
      <c r="G5634" s="9"/>
      <c r="H5634" s="12"/>
      <c r="I5634" s="12"/>
      <c r="J5634" s="12"/>
      <c r="K5634" s="12"/>
      <c r="L5634" s="15"/>
    </row>
    <row r="5635" spans="1:12">
      <c r="A5635" s="72"/>
      <c r="B5635" s="12"/>
      <c r="C5635" s="12"/>
      <c r="D5635" s="10"/>
      <c r="E5635" s="11"/>
      <c r="F5635" s="11"/>
      <c r="G5635" s="9"/>
      <c r="H5635" s="12"/>
      <c r="I5635" s="12"/>
      <c r="J5635" s="12"/>
      <c r="K5635" s="12"/>
      <c r="L5635" s="15"/>
    </row>
    <row r="5636" spans="1:12">
      <c r="A5636" s="72"/>
      <c r="B5636" s="12"/>
      <c r="C5636" s="12"/>
      <c r="D5636" s="10"/>
      <c r="E5636" s="11"/>
      <c r="F5636" s="11"/>
      <c r="G5636" s="9"/>
      <c r="H5636" s="12"/>
      <c r="I5636" s="12"/>
      <c r="J5636" s="12"/>
      <c r="K5636" s="12"/>
      <c r="L5636" s="15"/>
    </row>
    <row r="5637" spans="1:12">
      <c r="A5637" s="72"/>
      <c r="B5637" s="12"/>
      <c r="C5637" s="12"/>
      <c r="D5637" s="10"/>
      <c r="E5637" s="11"/>
      <c r="F5637" s="11"/>
      <c r="G5637" s="9"/>
      <c r="H5637" s="12"/>
      <c r="I5637" s="12"/>
      <c r="J5637" s="12"/>
      <c r="K5637" s="12"/>
      <c r="L5637" s="15"/>
    </row>
    <row r="5638" spans="1:12">
      <c r="A5638" s="72"/>
      <c r="B5638" s="12"/>
      <c r="C5638" s="12"/>
      <c r="D5638" s="10"/>
      <c r="E5638" s="11"/>
      <c r="F5638" s="11"/>
      <c r="G5638" s="9"/>
      <c r="H5638" s="12"/>
      <c r="I5638" s="12"/>
      <c r="J5638" s="12"/>
      <c r="K5638" s="12"/>
      <c r="L5638" s="15"/>
    </row>
    <row r="5639" spans="1:12">
      <c r="A5639" s="72"/>
      <c r="B5639" s="12"/>
      <c r="C5639" s="12"/>
      <c r="D5639" s="10"/>
      <c r="E5639" s="11"/>
      <c r="F5639" s="11"/>
      <c r="G5639" s="9"/>
      <c r="H5639" s="12"/>
      <c r="I5639" s="12"/>
      <c r="J5639" s="12"/>
      <c r="K5639" s="12"/>
      <c r="L5639" s="15"/>
    </row>
    <row r="5640" spans="1:12">
      <c r="A5640" s="72"/>
      <c r="B5640" s="12"/>
      <c r="C5640" s="12"/>
      <c r="D5640" s="10"/>
      <c r="E5640" s="11"/>
      <c r="F5640" s="11"/>
      <c r="G5640" s="9"/>
      <c r="H5640" s="12"/>
      <c r="I5640" s="12"/>
      <c r="J5640" s="12"/>
      <c r="K5640" s="12"/>
      <c r="L5640" s="15"/>
    </row>
    <row r="5641" spans="1:12">
      <c r="A5641" s="72"/>
      <c r="B5641" s="12"/>
      <c r="C5641" s="12"/>
      <c r="D5641" s="10"/>
      <c r="E5641" s="11"/>
      <c r="F5641" s="11"/>
      <c r="G5641" s="9"/>
      <c r="H5641" s="12"/>
      <c r="I5641" s="12"/>
      <c r="J5641" s="12"/>
      <c r="K5641" s="12"/>
      <c r="L5641" s="15"/>
    </row>
    <row r="5642" spans="1:12">
      <c r="A5642" s="72"/>
      <c r="B5642" s="12"/>
      <c r="C5642" s="12"/>
      <c r="D5642" s="10"/>
      <c r="E5642" s="11"/>
      <c r="F5642" s="11"/>
      <c r="G5642" s="9"/>
      <c r="H5642" s="12"/>
      <c r="I5642" s="12"/>
      <c r="J5642" s="12"/>
      <c r="K5642" s="12"/>
      <c r="L5642" s="15"/>
    </row>
    <row r="5643" spans="1:12">
      <c r="A5643" s="72"/>
      <c r="B5643" s="12"/>
      <c r="C5643" s="12"/>
      <c r="D5643" s="10"/>
      <c r="E5643" s="11"/>
      <c r="F5643" s="81"/>
      <c r="G5643" s="9"/>
      <c r="H5643" s="12"/>
      <c r="I5643" s="12"/>
      <c r="J5643" s="12"/>
      <c r="K5643" s="12"/>
      <c r="L5643" s="15"/>
    </row>
    <row r="5644" spans="1:12">
      <c r="A5644" s="72"/>
      <c r="B5644" s="12"/>
      <c r="C5644" s="12"/>
      <c r="D5644" s="10"/>
      <c r="E5644" s="11"/>
      <c r="F5644" s="11"/>
      <c r="G5644" s="9"/>
      <c r="H5644" s="12"/>
      <c r="I5644" s="12"/>
      <c r="J5644" s="12"/>
      <c r="K5644" s="12"/>
      <c r="L5644" s="15"/>
    </row>
    <row r="5645" spans="1:12">
      <c r="A5645" s="72"/>
      <c r="B5645" s="12"/>
      <c r="C5645" s="12"/>
      <c r="D5645" s="10"/>
      <c r="E5645" s="11"/>
      <c r="F5645" s="11"/>
      <c r="G5645" s="9"/>
      <c r="H5645" s="12"/>
      <c r="I5645" s="12"/>
      <c r="J5645" s="12"/>
      <c r="K5645" s="12"/>
      <c r="L5645" s="15"/>
    </row>
    <row r="5646" spans="1:12">
      <c r="A5646" s="72"/>
      <c r="B5646" s="12"/>
      <c r="C5646" s="12"/>
      <c r="D5646" s="10"/>
      <c r="E5646" s="11"/>
      <c r="F5646" s="11"/>
      <c r="G5646" s="9"/>
      <c r="H5646" s="12"/>
      <c r="I5646" s="12"/>
      <c r="J5646" s="12"/>
      <c r="K5646" s="12"/>
      <c r="L5646" s="15"/>
    </row>
    <row r="5647" spans="1:12">
      <c r="A5647" s="72"/>
      <c r="B5647" s="12"/>
      <c r="C5647" s="12"/>
      <c r="D5647" s="10"/>
      <c r="E5647" s="11"/>
      <c r="F5647" s="11"/>
      <c r="G5647" s="9"/>
      <c r="H5647" s="12"/>
      <c r="I5647" s="12"/>
      <c r="J5647" s="12"/>
      <c r="K5647" s="12"/>
      <c r="L5647" s="15"/>
    </row>
    <row r="5648" spans="1:12">
      <c r="A5648" s="72"/>
      <c r="B5648" s="12"/>
      <c r="C5648" s="12"/>
      <c r="D5648" s="10"/>
      <c r="E5648" s="11"/>
      <c r="F5648" s="11"/>
      <c r="G5648" s="9"/>
      <c r="H5648" s="12"/>
      <c r="I5648" s="12"/>
      <c r="J5648" s="12"/>
      <c r="K5648" s="12"/>
      <c r="L5648" s="15"/>
    </row>
    <row r="5649" spans="1:12">
      <c r="A5649" s="72"/>
      <c r="B5649" s="12"/>
      <c r="C5649" s="12"/>
      <c r="D5649" s="10"/>
      <c r="E5649" s="11"/>
      <c r="F5649" s="11"/>
      <c r="G5649" s="9"/>
      <c r="H5649" s="12"/>
      <c r="I5649" s="12"/>
      <c r="J5649" s="12"/>
      <c r="K5649" s="12"/>
      <c r="L5649" s="15"/>
    </row>
    <row r="5650" spans="1:12">
      <c r="A5650" s="72"/>
      <c r="B5650" s="12"/>
      <c r="C5650" s="12"/>
      <c r="D5650" s="10"/>
      <c r="E5650" s="11"/>
      <c r="F5650" s="45"/>
      <c r="G5650" s="9"/>
      <c r="H5650" s="12"/>
      <c r="I5650" s="12"/>
      <c r="J5650" s="12"/>
      <c r="K5650" s="12"/>
      <c r="L5650" s="15"/>
    </row>
    <row r="5651" spans="1:12">
      <c r="A5651" s="72"/>
      <c r="B5651" s="12"/>
      <c r="C5651" s="12"/>
      <c r="D5651" s="10"/>
      <c r="E5651" s="11"/>
      <c r="F5651" s="45"/>
      <c r="G5651" s="9"/>
      <c r="H5651" s="12"/>
      <c r="I5651" s="12"/>
      <c r="J5651" s="12"/>
      <c r="K5651" s="12"/>
      <c r="L5651" s="15"/>
    </row>
    <row r="5652" spans="1:12">
      <c r="A5652" s="72"/>
      <c r="B5652" s="12"/>
      <c r="C5652" s="12"/>
      <c r="D5652" s="10"/>
      <c r="E5652" s="11"/>
      <c r="F5652" s="45"/>
      <c r="G5652" s="9"/>
      <c r="H5652" s="12"/>
      <c r="I5652" s="12"/>
      <c r="J5652" s="12"/>
      <c r="K5652" s="12"/>
      <c r="L5652" s="15"/>
    </row>
    <row r="5653" spans="1:12">
      <c r="A5653" s="72"/>
      <c r="B5653" s="12"/>
      <c r="C5653" s="12"/>
      <c r="D5653" s="10"/>
      <c r="E5653" s="11"/>
      <c r="F5653" s="45"/>
      <c r="G5653" s="9"/>
      <c r="H5653" s="12"/>
      <c r="I5653" s="12"/>
      <c r="J5653" s="12"/>
      <c r="K5653" s="12"/>
      <c r="L5653" s="15"/>
    </row>
    <row r="5654" spans="1:12">
      <c r="A5654" s="72"/>
      <c r="B5654" s="12"/>
      <c r="C5654" s="12"/>
      <c r="D5654" s="10"/>
      <c r="E5654" s="11"/>
      <c r="F5654" s="11"/>
      <c r="G5654" s="9"/>
      <c r="H5654" s="12"/>
      <c r="I5654" s="12"/>
      <c r="J5654" s="12"/>
      <c r="K5654" s="12"/>
      <c r="L5654" s="15"/>
    </row>
    <row r="5655" spans="1:12">
      <c r="A5655" s="72"/>
      <c r="B5655" s="9"/>
      <c r="C5655" s="13"/>
      <c r="D5655" s="12"/>
      <c r="E5655" s="38"/>
      <c r="F5655" s="38"/>
      <c r="G5655" s="9"/>
      <c r="H5655" s="9"/>
      <c r="I5655" s="12"/>
      <c r="J5655" s="12"/>
      <c r="K5655" s="9"/>
      <c r="L5655" s="41"/>
    </row>
    <row r="5656" spans="1:12">
      <c r="A5656" s="72"/>
      <c r="B5656" s="9"/>
      <c r="C5656" s="13"/>
      <c r="D5656" s="12"/>
      <c r="E5656" s="38"/>
      <c r="F5656" s="38"/>
      <c r="G5656" s="9"/>
      <c r="H5656" s="9"/>
      <c r="I5656" s="12"/>
      <c r="J5656" s="12"/>
      <c r="K5656" s="9"/>
      <c r="L5656" s="41"/>
    </row>
    <row r="5657" spans="1:12">
      <c r="A5657" s="72"/>
      <c r="B5657" s="9"/>
      <c r="C5657" s="9"/>
      <c r="D5657" s="12"/>
      <c r="E5657" s="38"/>
      <c r="F5657" s="38"/>
      <c r="G5657" s="9"/>
      <c r="H5657" s="9"/>
      <c r="I5657" s="12"/>
      <c r="J5657" s="6"/>
      <c r="K5657" s="9"/>
      <c r="L5657" s="41"/>
    </row>
    <row r="5658" spans="1:12">
      <c r="A5658" s="72"/>
      <c r="B5658" s="9"/>
      <c r="C5658" s="9"/>
      <c r="D5658" s="12"/>
      <c r="E5658" s="38"/>
      <c r="F5658" s="38"/>
      <c r="G5658" s="9"/>
      <c r="H5658" s="9"/>
      <c r="I5658" s="12"/>
      <c r="J5658" s="6"/>
      <c r="K5658" s="9"/>
      <c r="L5658" s="41"/>
    </row>
    <row r="5659" spans="1:12">
      <c r="A5659" s="72"/>
      <c r="B5659" s="9"/>
      <c r="C5659" s="9"/>
      <c r="D5659" s="117"/>
      <c r="E5659" s="116"/>
      <c r="F5659" s="38"/>
      <c r="G5659" s="9"/>
      <c r="H5659" s="9"/>
      <c r="I5659" s="12"/>
      <c r="J5659" s="6"/>
      <c r="K5659" s="9"/>
      <c r="L5659" s="41"/>
    </row>
    <row r="5660" spans="1:12">
      <c r="A5660" s="72"/>
      <c r="B5660" s="9"/>
      <c r="C5660" s="9"/>
      <c r="D5660" s="12"/>
      <c r="E5660" s="116"/>
      <c r="F5660" s="38"/>
      <c r="G5660" s="9"/>
      <c r="H5660" s="9"/>
      <c r="I5660" s="12"/>
      <c r="J5660" s="6"/>
      <c r="K5660" s="9"/>
      <c r="L5660" s="41"/>
    </row>
    <row r="5661" spans="1:12">
      <c r="A5661" s="72"/>
      <c r="B5661" s="9"/>
      <c r="C5661" s="13"/>
      <c r="D5661" s="13"/>
      <c r="E5661" s="38"/>
      <c r="F5661" s="38"/>
      <c r="G5661" s="9"/>
      <c r="H5661" s="9"/>
      <c r="I5661" s="12"/>
      <c r="J5661" s="6"/>
      <c r="K5661" s="9"/>
      <c r="L5661" s="41"/>
    </row>
    <row r="5662" spans="1:12">
      <c r="A5662" s="72"/>
      <c r="B5662" s="9"/>
      <c r="C5662" s="13"/>
      <c r="D5662" s="13"/>
      <c r="E5662" s="38"/>
      <c r="F5662" s="38"/>
      <c r="G5662" s="9"/>
      <c r="H5662" s="9"/>
      <c r="I5662" s="12"/>
      <c r="J5662" s="6"/>
      <c r="K5662" s="9"/>
      <c r="L5662" s="41"/>
    </row>
    <row r="5663" spans="1:12">
      <c r="A5663" s="72"/>
      <c r="B5663" s="9"/>
      <c r="C5663" s="9"/>
      <c r="D5663" s="9"/>
      <c r="E5663" s="38"/>
      <c r="F5663" s="38"/>
      <c r="G5663" s="9"/>
      <c r="H5663" s="9"/>
      <c r="I5663" s="12"/>
      <c r="J5663" s="6"/>
      <c r="K5663" s="9"/>
      <c r="L5663" s="41"/>
    </row>
    <row r="5664" spans="1:12">
      <c r="A5664" s="72"/>
      <c r="B5664" s="9"/>
      <c r="C5664" s="9"/>
      <c r="D5664" s="9"/>
      <c r="E5664" s="38"/>
      <c r="F5664" s="38"/>
      <c r="G5664" s="9"/>
      <c r="H5664" s="9"/>
      <c r="I5664" s="12"/>
      <c r="J5664" s="6"/>
      <c r="K5664" s="9"/>
      <c r="L5664" s="41"/>
    </row>
    <row r="5665" spans="1:12">
      <c r="A5665" s="72"/>
      <c r="B5665" s="9"/>
      <c r="C5665" s="13"/>
      <c r="D5665" s="12"/>
      <c r="E5665" s="38"/>
      <c r="F5665" s="38"/>
      <c r="G5665" s="9"/>
      <c r="H5665" s="9"/>
      <c r="I5665" s="12"/>
      <c r="J5665" s="6"/>
      <c r="K5665" s="13"/>
      <c r="L5665" s="98"/>
    </row>
    <row r="5666" spans="1:12">
      <c r="A5666" s="72"/>
      <c r="B5666" s="9"/>
      <c r="C5666" s="13"/>
      <c r="D5666" s="13"/>
      <c r="E5666" s="38"/>
      <c r="F5666" s="38"/>
      <c r="G5666" s="9"/>
      <c r="H5666" s="9"/>
      <c r="I5666" s="12"/>
      <c r="J5666" s="6"/>
      <c r="K5666" s="13"/>
      <c r="L5666" s="98"/>
    </row>
    <row r="5667" spans="1:12">
      <c r="A5667" s="72"/>
      <c r="B5667" s="9"/>
      <c r="C5667" s="13"/>
      <c r="D5667" s="13"/>
      <c r="E5667" s="38"/>
      <c r="F5667" s="38"/>
      <c r="G5667" s="9"/>
      <c r="H5667" s="9"/>
      <c r="I5667" s="12"/>
      <c r="J5667" s="6"/>
      <c r="K5667" s="9"/>
      <c r="L5667" s="41"/>
    </row>
    <row r="5668" spans="1:12">
      <c r="A5668" s="72"/>
      <c r="B5668" s="9"/>
      <c r="C5668" s="13"/>
      <c r="D5668" s="13"/>
      <c r="E5668" s="38"/>
      <c r="F5668" s="38"/>
      <c r="G5668" s="9"/>
      <c r="H5668" s="9"/>
      <c r="I5668" s="12"/>
      <c r="J5668" s="6"/>
      <c r="K5668" s="9"/>
      <c r="L5668" s="41"/>
    </row>
    <row r="5669" spans="1:12">
      <c r="A5669" s="72"/>
      <c r="B5669" s="9"/>
      <c r="C5669" s="13"/>
      <c r="D5669" s="13"/>
      <c r="E5669" s="38"/>
      <c r="F5669" s="38"/>
      <c r="G5669" s="9"/>
      <c r="H5669" s="9"/>
      <c r="I5669" s="12"/>
      <c r="J5669" s="6"/>
      <c r="K5669" s="9"/>
      <c r="L5669" s="41"/>
    </row>
    <row r="5670" spans="1:12">
      <c r="A5670" s="72"/>
      <c r="B5670" s="9"/>
      <c r="C5670" s="13"/>
      <c r="D5670" s="13"/>
      <c r="E5670" s="38"/>
      <c r="F5670" s="38"/>
      <c r="G5670" s="9"/>
      <c r="H5670" s="9"/>
      <c r="I5670" s="12"/>
      <c r="J5670" s="6"/>
      <c r="K5670" s="9"/>
      <c r="L5670" s="41"/>
    </row>
    <row r="5671" spans="1:12">
      <c r="A5671" s="72"/>
      <c r="B5671" s="9"/>
      <c r="C5671" s="13"/>
      <c r="D5671" s="12"/>
      <c r="E5671" s="38"/>
      <c r="F5671" s="38"/>
      <c r="G5671" s="9"/>
      <c r="H5671" s="9"/>
      <c r="I5671" s="12"/>
      <c r="J5671" s="6"/>
      <c r="K5671" s="13"/>
      <c r="L5671" s="98"/>
    </row>
    <row r="5672" spans="1:12">
      <c r="A5672" s="72"/>
      <c r="B5672" s="9"/>
      <c r="C5672" s="13"/>
      <c r="D5672" s="12"/>
      <c r="E5672" s="38"/>
      <c r="F5672" s="38"/>
      <c r="G5672" s="9"/>
      <c r="H5672" s="9"/>
      <c r="I5672" s="12"/>
      <c r="J5672" s="6"/>
      <c r="K5672" s="13"/>
      <c r="L5672" s="98"/>
    </row>
    <row r="5673" spans="1:12">
      <c r="A5673" s="72"/>
      <c r="B5673" s="9"/>
      <c r="C5673" s="13"/>
      <c r="D5673" s="12"/>
      <c r="E5673" s="38"/>
      <c r="F5673" s="38"/>
      <c r="G5673" s="9"/>
      <c r="H5673" s="9"/>
      <c r="I5673" s="12"/>
      <c r="J5673" s="6"/>
      <c r="K5673" s="9"/>
      <c r="L5673" s="41"/>
    </row>
    <row r="5674" spans="1:12">
      <c r="A5674" s="72"/>
      <c r="B5674" s="9"/>
      <c r="C5674" s="13"/>
      <c r="D5674" s="12"/>
      <c r="E5674" s="38"/>
      <c r="F5674" s="38"/>
      <c r="G5674" s="9"/>
      <c r="H5674" s="9"/>
      <c r="I5674" s="12"/>
      <c r="J5674" s="6"/>
      <c r="K5674" s="9"/>
      <c r="L5674" s="41"/>
    </row>
    <row r="5675" spans="1:12">
      <c r="A5675" s="72"/>
      <c r="B5675" s="9"/>
      <c r="C5675" s="13"/>
      <c r="D5675" s="12"/>
      <c r="E5675" s="38"/>
      <c r="F5675" s="38"/>
      <c r="G5675" s="9"/>
      <c r="H5675" s="9"/>
      <c r="I5675" s="12"/>
      <c r="J5675" s="6"/>
      <c r="K5675" s="9"/>
      <c r="L5675" s="41"/>
    </row>
    <row r="5676" spans="1:12">
      <c r="A5676" s="72"/>
      <c r="B5676" s="9"/>
      <c r="C5676" s="13"/>
      <c r="D5676" s="12"/>
      <c r="E5676" s="38"/>
      <c r="F5676" s="38"/>
      <c r="G5676" s="9"/>
      <c r="H5676" s="9"/>
      <c r="I5676" s="12"/>
      <c r="J5676" s="6"/>
      <c r="K5676" s="9"/>
      <c r="L5676" s="41"/>
    </row>
    <row r="5677" spans="1:12">
      <c r="A5677" s="72"/>
      <c r="B5677" s="9"/>
      <c r="C5677" s="9"/>
      <c r="D5677" s="12"/>
      <c r="E5677" s="38"/>
      <c r="F5677" s="38"/>
      <c r="G5677" s="9"/>
      <c r="H5677" s="9"/>
      <c r="I5677" s="13"/>
      <c r="J5677" s="6"/>
      <c r="K5677" s="9"/>
      <c r="L5677" s="41"/>
    </row>
    <row r="5678" spans="1:12">
      <c r="A5678" s="72"/>
      <c r="B5678" s="9"/>
      <c r="C5678" s="9"/>
      <c r="D5678" s="12"/>
      <c r="E5678" s="38"/>
      <c r="F5678" s="38"/>
      <c r="G5678" s="9"/>
      <c r="H5678" s="9"/>
      <c r="I5678" s="13"/>
      <c r="J5678" s="6"/>
      <c r="K5678" s="9"/>
      <c r="L5678" s="41"/>
    </row>
    <row r="5679" spans="1:12">
      <c r="A5679" s="72"/>
      <c r="B5679" s="9"/>
      <c r="C5679" s="13"/>
      <c r="D5679" s="12"/>
      <c r="E5679" s="38"/>
      <c r="F5679" s="38"/>
      <c r="G5679" s="9"/>
      <c r="H5679" s="9"/>
      <c r="I5679" s="13"/>
      <c r="J5679" s="6"/>
      <c r="K5679" s="9"/>
      <c r="L5679" s="41"/>
    </row>
    <row r="5680" spans="1:12">
      <c r="A5680" s="72"/>
      <c r="B5680" s="9"/>
      <c r="C5680" s="13"/>
      <c r="D5680" s="12"/>
      <c r="E5680" s="38"/>
      <c r="F5680" s="38"/>
      <c r="G5680" s="9"/>
      <c r="H5680" s="9"/>
      <c r="I5680" s="13"/>
      <c r="J5680" s="6"/>
      <c r="K5680" s="9"/>
      <c r="L5680" s="41"/>
    </row>
    <row r="5681" spans="1:12">
      <c r="A5681" s="72"/>
      <c r="B5681" s="9"/>
      <c r="C5681" s="9"/>
      <c r="D5681" s="12"/>
      <c r="E5681" s="116"/>
      <c r="F5681" s="38"/>
      <c r="G5681" s="9"/>
      <c r="H5681" s="9"/>
      <c r="I5681" s="13"/>
      <c r="J5681" s="6"/>
      <c r="K5681" s="13"/>
      <c r="L5681" s="98"/>
    </row>
    <row r="5682" spans="1:12">
      <c r="A5682" s="72"/>
      <c r="B5682" s="9"/>
      <c r="C5682" s="9"/>
      <c r="D5682" s="12"/>
      <c r="E5682" s="116"/>
      <c r="F5682" s="38"/>
      <c r="G5682" s="9"/>
      <c r="H5682" s="9"/>
      <c r="I5682" s="13"/>
      <c r="J5682" s="6"/>
      <c r="K5682" s="13"/>
      <c r="L5682" s="98"/>
    </row>
    <row r="5683" spans="1:12">
      <c r="A5683" s="72"/>
      <c r="B5683" s="9"/>
      <c r="C5683" s="9"/>
      <c r="D5683" s="12"/>
      <c r="E5683" s="38"/>
      <c r="F5683" s="38"/>
      <c r="G5683" s="9"/>
      <c r="H5683" s="9"/>
      <c r="I5683" s="13"/>
      <c r="J5683" s="6"/>
      <c r="K5683" s="9"/>
      <c r="L5683" s="41"/>
    </row>
    <row r="5684" spans="1:12">
      <c r="A5684" s="72"/>
      <c r="B5684" s="9"/>
      <c r="C5684" s="9"/>
      <c r="D5684" s="12"/>
      <c r="E5684" s="38"/>
      <c r="F5684" s="38"/>
      <c r="G5684" s="9"/>
      <c r="H5684" s="9"/>
      <c r="I5684" s="13"/>
      <c r="J5684" s="6"/>
      <c r="K5684" s="9"/>
      <c r="L5684" s="41"/>
    </row>
    <row r="5685" spans="1:12">
      <c r="A5685" s="72"/>
      <c r="B5685" s="9"/>
      <c r="C5685" s="13"/>
      <c r="D5685" s="12"/>
      <c r="E5685" s="38"/>
      <c r="F5685" s="38"/>
      <c r="G5685" s="9"/>
      <c r="H5685" s="9"/>
      <c r="I5685" s="13"/>
      <c r="J5685" s="6"/>
      <c r="K5685" s="9"/>
      <c r="L5685" s="41"/>
    </row>
    <row r="5686" spans="1:12">
      <c r="A5686" s="72"/>
      <c r="B5686" s="9"/>
      <c r="C5686" s="13"/>
      <c r="D5686" s="12"/>
      <c r="E5686" s="38"/>
      <c r="F5686" s="38"/>
      <c r="G5686" s="9"/>
      <c r="H5686" s="9"/>
      <c r="I5686" s="13"/>
      <c r="J5686" s="6"/>
      <c r="K5686" s="9"/>
      <c r="L5686" s="41"/>
    </row>
    <row r="5687" spans="1:12">
      <c r="A5687" s="72"/>
      <c r="B5687" s="9"/>
      <c r="C5687" s="13"/>
      <c r="D5687" s="12"/>
      <c r="E5687" s="38"/>
      <c r="F5687" s="38"/>
      <c r="G5687" s="9"/>
      <c r="H5687" s="9"/>
      <c r="I5687" s="13"/>
      <c r="J5687" s="6"/>
      <c r="K5687" s="9"/>
      <c r="L5687" s="41"/>
    </row>
    <row r="5688" spans="1:12">
      <c r="A5688" s="72"/>
      <c r="B5688" s="9"/>
      <c r="C5688" s="13"/>
      <c r="D5688" s="12"/>
      <c r="E5688" s="38"/>
      <c r="F5688" s="38"/>
      <c r="G5688" s="9"/>
      <c r="H5688" s="9"/>
      <c r="I5688" s="13"/>
      <c r="J5688" s="6"/>
      <c r="K5688" s="9"/>
      <c r="L5688" s="41"/>
    </row>
    <row r="5689" spans="1:12">
      <c r="A5689" s="72"/>
      <c r="B5689" s="9"/>
      <c r="C5689" s="13"/>
      <c r="D5689" s="12"/>
      <c r="E5689" s="38"/>
      <c r="F5689" s="38"/>
      <c r="G5689" s="9"/>
      <c r="H5689" s="9"/>
      <c r="I5689" s="13"/>
      <c r="J5689" s="6"/>
      <c r="K5689" s="9"/>
      <c r="L5689" s="41"/>
    </row>
    <row r="5690" spans="1:12">
      <c r="A5690" s="72"/>
      <c r="B5690" s="9"/>
      <c r="C5690" s="13"/>
      <c r="D5690" s="12"/>
      <c r="E5690" s="38"/>
      <c r="F5690" s="38"/>
      <c r="G5690" s="9"/>
      <c r="H5690" s="9"/>
      <c r="I5690" s="13"/>
      <c r="J5690" s="6"/>
      <c r="K5690" s="9"/>
      <c r="L5690" s="41"/>
    </row>
    <row r="5691" spans="1:12">
      <c r="A5691" s="72"/>
      <c r="B5691" s="9"/>
      <c r="C5691" s="13"/>
      <c r="D5691" s="12"/>
      <c r="E5691" s="38"/>
      <c r="F5691" s="38"/>
      <c r="G5691" s="9"/>
      <c r="H5691" s="9"/>
      <c r="I5691" s="13"/>
      <c r="J5691" s="6"/>
      <c r="K5691" s="9"/>
      <c r="L5691" s="41"/>
    </row>
    <row r="5692" spans="1:12">
      <c r="A5692" s="72"/>
      <c r="B5692" s="9"/>
      <c r="C5692" s="13"/>
      <c r="D5692" s="12"/>
      <c r="E5692" s="38"/>
      <c r="F5692" s="38"/>
      <c r="G5692" s="9"/>
      <c r="H5692" s="9"/>
      <c r="I5692" s="13"/>
      <c r="J5692" s="6"/>
      <c r="K5692" s="9"/>
      <c r="L5692" s="41"/>
    </row>
    <row r="5693" spans="1:12">
      <c r="A5693" s="72"/>
      <c r="B5693" s="9"/>
      <c r="C5693" s="13"/>
      <c r="D5693" s="12"/>
      <c r="E5693" s="38"/>
      <c r="F5693" s="38"/>
      <c r="G5693" s="9"/>
      <c r="H5693" s="9"/>
      <c r="I5693" s="13"/>
      <c r="J5693" s="6"/>
      <c r="K5693" s="9"/>
      <c r="L5693" s="41"/>
    </row>
    <row r="5694" spans="1:12">
      <c r="A5694" s="72"/>
      <c r="B5694" s="9"/>
      <c r="C5694" s="13"/>
      <c r="D5694" s="12"/>
      <c r="E5694" s="38"/>
      <c r="F5694" s="38"/>
      <c r="G5694" s="9"/>
      <c r="H5694" s="9"/>
      <c r="I5694" s="13"/>
      <c r="J5694" s="6"/>
      <c r="K5694" s="9"/>
      <c r="L5694" s="41"/>
    </row>
    <row r="5695" spans="1:12">
      <c r="A5695" s="72"/>
      <c r="B5695" s="9"/>
      <c r="C5695" s="13"/>
      <c r="D5695" s="12"/>
      <c r="E5695" s="38"/>
      <c r="F5695" s="38"/>
      <c r="G5695" s="9"/>
      <c r="H5695" s="9"/>
      <c r="I5695" s="13"/>
      <c r="J5695" s="6"/>
      <c r="K5695" s="13"/>
      <c r="L5695" s="98"/>
    </row>
    <row r="5696" spans="1:12">
      <c r="A5696" s="72"/>
      <c r="B5696" s="9"/>
      <c r="C5696" s="13"/>
      <c r="D5696" s="12"/>
      <c r="E5696" s="38"/>
      <c r="F5696" s="38"/>
      <c r="G5696" s="9"/>
      <c r="H5696" s="9"/>
      <c r="I5696" s="13"/>
      <c r="J5696" s="6"/>
      <c r="K5696" s="13"/>
      <c r="L5696" s="98"/>
    </row>
    <row r="5697" spans="1:12">
      <c r="A5697" s="72"/>
      <c r="B5697" s="9"/>
      <c r="C5697" s="13"/>
      <c r="D5697" s="12"/>
      <c r="E5697" s="38"/>
      <c r="F5697" s="38"/>
      <c r="G5697" s="9"/>
      <c r="H5697" s="9"/>
      <c r="I5697" s="13"/>
      <c r="J5697" s="6"/>
      <c r="K5697" s="13"/>
      <c r="L5697" s="98"/>
    </row>
    <row r="5698" spans="1:12">
      <c r="A5698" s="72"/>
      <c r="B5698" s="9"/>
      <c r="C5698" s="13"/>
      <c r="D5698" s="12"/>
      <c r="E5698" s="38"/>
      <c r="F5698" s="38"/>
      <c r="G5698" s="9"/>
      <c r="H5698" s="9"/>
      <c r="I5698" s="13"/>
      <c r="J5698" s="6"/>
      <c r="K5698" s="13"/>
      <c r="L5698" s="98"/>
    </row>
    <row r="5699" spans="1:12">
      <c r="A5699" s="72"/>
      <c r="B5699" s="9"/>
      <c r="C5699" s="13"/>
      <c r="D5699" s="12"/>
      <c r="E5699" s="38"/>
      <c r="F5699" s="38"/>
      <c r="G5699" s="9"/>
      <c r="H5699" s="9"/>
      <c r="I5699" s="13"/>
      <c r="J5699" s="6"/>
      <c r="K5699" s="13"/>
      <c r="L5699" s="98"/>
    </row>
    <row r="5700" spans="1:12">
      <c r="A5700" s="72"/>
      <c r="B5700" s="9"/>
      <c r="C5700" s="13"/>
      <c r="D5700" s="12"/>
      <c r="E5700" s="38"/>
      <c r="F5700" s="38"/>
      <c r="G5700" s="9"/>
      <c r="H5700" s="9"/>
      <c r="I5700" s="13"/>
      <c r="J5700" s="6"/>
      <c r="K5700" s="13"/>
      <c r="L5700" s="98"/>
    </row>
    <row r="5701" spans="1:12">
      <c r="A5701" s="72"/>
      <c r="B5701" s="9"/>
      <c r="C5701" s="13"/>
      <c r="D5701" s="12"/>
      <c r="E5701" s="38"/>
      <c r="F5701" s="38"/>
      <c r="G5701" s="9"/>
      <c r="H5701" s="9"/>
      <c r="I5701" s="13"/>
      <c r="J5701" s="6"/>
      <c r="K5701" s="9"/>
      <c r="L5701" s="41"/>
    </row>
    <row r="5702" spans="1:12">
      <c r="A5702" s="72"/>
      <c r="B5702" s="9"/>
      <c r="C5702" s="13"/>
      <c r="D5702" s="12"/>
      <c r="E5702" s="38"/>
      <c r="F5702" s="38"/>
      <c r="G5702" s="9"/>
      <c r="H5702" s="9"/>
      <c r="I5702" s="13"/>
      <c r="J5702" s="6"/>
      <c r="K5702" s="9"/>
      <c r="L5702" s="41"/>
    </row>
    <row r="5703" spans="1:12">
      <c r="A5703" s="72"/>
      <c r="B5703" s="13"/>
      <c r="C5703" s="13"/>
      <c r="D5703" s="12"/>
      <c r="E5703" s="116"/>
      <c r="F5703" s="38"/>
      <c r="G5703" s="9"/>
      <c r="H5703" s="13"/>
      <c r="I5703" s="13"/>
      <c r="J5703" s="6"/>
      <c r="K5703" s="13"/>
      <c r="L5703" s="98"/>
    </row>
    <row r="5704" spans="1:12">
      <c r="A5704" s="72"/>
      <c r="B5704" s="13"/>
      <c r="C5704" s="13"/>
      <c r="D5704" s="12"/>
      <c r="E5704" s="116"/>
      <c r="F5704" s="38"/>
      <c r="G5704" s="9"/>
      <c r="H5704" s="13"/>
      <c r="I5704" s="13"/>
      <c r="J5704" s="6"/>
      <c r="K5704" s="13"/>
      <c r="L5704" s="98"/>
    </row>
    <row r="5705" spans="1:12">
      <c r="A5705" s="72"/>
      <c r="B5705" s="9"/>
      <c r="C5705" s="13"/>
      <c r="D5705" s="12"/>
      <c r="E5705" s="38"/>
      <c r="F5705" s="38"/>
      <c r="G5705" s="9"/>
      <c r="H5705" s="9"/>
      <c r="I5705" s="13"/>
      <c r="J5705" s="6"/>
      <c r="K5705" s="9"/>
      <c r="L5705" s="41"/>
    </row>
    <row r="5706" spans="1:12">
      <c r="A5706" s="72"/>
      <c r="B5706" s="9"/>
      <c r="C5706" s="13"/>
      <c r="D5706" s="12"/>
      <c r="E5706" s="38"/>
      <c r="F5706" s="38"/>
      <c r="G5706" s="9"/>
      <c r="H5706" s="9"/>
      <c r="I5706" s="13"/>
      <c r="J5706" s="6"/>
      <c r="K5706" s="9"/>
      <c r="L5706" s="41"/>
    </row>
    <row r="5707" spans="1:12">
      <c r="A5707" s="72"/>
      <c r="B5707" s="9"/>
      <c r="C5707" s="13"/>
      <c r="D5707" s="12"/>
      <c r="E5707" s="38"/>
      <c r="F5707" s="38"/>
      <c r="G5707" s="9"/>
      <c r="H5707" s="9"/>
      <c r="I5707" s="13"/>
      <c r="J5707" s="6"/>
      <c r="K5707" s="13"/>
      <c r="L5707" s="98"/>
    </row>
    <row r="5708" spans="1:12">
      <c r="A5708" s="72"/>
      <c r="B5708" s="9"/>
      <c r="C5708" s="13"/>
      <c r="D5708" s="12"/>
      <c r="E5708" s="38"/>
      <c r="F5708" s="38"/>
      <c r="G5708" s="9"/>
      <c r="H5708" s="9"/>
      <c r="I5708" s="13"/>
      <c r="J5708" s="6"/>
      <c r="K5708" s="13"/>
      <c r="L5708" s="98"/>
    </row>
    <row r="5709" spans="1:12">
      <c r="A5709" s="72"/>
      <c r="B5709" s="9"/>
      <c r="C5709" s="13"/>
      <c r="D5709" s="12"/>
      <c r="E5709" s="38"/>
      <c r="F5709" s="38"/>
      <c r="G5709" s="9"/>
      <c r="H5709" s="9"/>
      <c r="I5709" s="13"/>
      <c r="J5709" s="6"/>
      <c r="K5709" s="13"/>
      <c r="L5709" s="98"/>
    </row>
    <row r="5710" spans="1:12">
      <c r="A5710" s="72"/>
      <c r="B5710" s="9"/>
      <c r="C5710" s="13"/>
      <c r="D5710" s="12"/>
      <c r="E5710" s="38"/>
      <c r="F5710" s="38"/>
      <c r="G5710" s="9"/>
      <c r="H5710" s="9"/>
      <c r="I5710" s="13"/>
      <c r="J5710" s="6"/>
      <c r="K5710" s="13"/>
      <c r="L5710" s="98"/>
    </row>
    <row r="5711" spans="1:12">
      <c r="A5711" s="72"/>
      <c r="B5711" s="9"/>
      <c r="C5711" s="13"/>
      <c r="D5711" s="12"/>
      <c r="E5711" s="38"/>
      <c r="F5711" s="38"/>
      <c r="G5711" s="9"/>
      <c r="H5711" s="9"/>
      <c r="I5711" s="13"/>
      <c r="J5711" s="6"/>
      <c r="K5711" s="9"/>
      <c r="L5711" s="41"/>
    </row>
    <row r="5712" spans="1:12">
      <c r="A5712" s="72"/>
      <c r="B5712" s="9"/>
      <c r="C5712" s="13"/>
      <c r="D5712" s="12"/>
      <c r="E5712" s="38"/>
      <c r="F5712" s="38"/>
      <c r="G5712" s="9"/>
      <c r="H5712" s="9"/>
      <c r="I5712" s="13"/>
      <c r="J5712" s="6"/>
      <c r="K5712" s="9"/>
      <c r="L5712" s="41"/>
    </row>
    <row r="5713" spans="1:12">
      <c r="A5713" s="72"/>
      <c r="B5713" s="12"/>
      <c r="C5713" s="12"/>
      <c r="D5713" s="10"/>
      <c r="E5713" s="11"/>
      <c r="F5713" s="11"/>
      <c r="G5713" s="9"/>
      <c r="H5713" s="12"/>
      <c r="I5713" s="12"/>
      <c r="J5713" s="12"/>
      <c r="K5713" s="12"/>
      <c r="L5713" s="16"/>
    </row>
    <row r="5714" spans="1:12">
      <c r="A5714" s="72"/>
      <c r="B5714" s="12"/>
      <c r="C5714" s="12"/>
      <c r="D5714" s="10"/>
      <c r="E5714" s="11"/>
      <c r="F5714" s="11"/>
      <c r="G5714" s="9"/>
      <c r="H5714" s="12"/>
      <c r="I5714" s="12"/>
      <c r="J5714" s="12"/>
      <c r="K5714" s="12"/>
      <c r="L5714" s="15"/>
    </row>
    <row r="5715" spans="1:12">
      <c r="A5715" s="72"/>
      <c r="B5715" s="9"/>
      <c r="C5715" s="13"/>
      <c r="D5715" s="12"/>
      <c r="E5715" s="38"/>
      <c r="F5715" s="38"/>
      <c r="G5715" s="9"/>
      <c r="H5715" s="9"/>
      <c r="I5715" s="13"/>
      <c r="J5715" s="6"/>
      <c r="K5715" s="9"/>
      <c r="L5715" s="41"/>
    </row>
    <row r="5716" spans="1:12">
      <c r="A5716" s="72"/>
      <c r="B5716" s="9"/>
      <c r="C5716" s="13"/>
      <c r="D5716" s="12"/>
      <c r="E5716" s="38"/>
      <c r="F5716" s="38"/>
      <c r="G5716" s="9"/>
      <c r="H5716" s="9"/>
      <c r="I5716" s="13"/>
      <c r="J5716" s="6"/>
      <c r="K5716" s="9"/>
      <c r="L5716" s="41"/>
    </row>
    <row r="5717" spans="1:12">
      <c r="A5717" s="72"/>
      <c r="B5717" s="9"/>
      <c r="C5717" s="13"/>
      <c r="D5717" s="13"/>
      <c r="E5717" s="38"/>
      <c r="F5717" s="38"/>
      <c r="G5717" s="9"/>
      <c r="H5717" s="9"/>
      <c r="I5717" s="13"/>
      <c r="J5717" s="6"/>
      <c r="K5717" s="9"/>
      <c r="L5717" s="41"/>
    </row>
    <row r="5718" spans="1:12">
      <c r="A5718" s="72"/>
      <c r="B5718" s="9"/>
      <c r="C5718" s="13"/>
      <c r="D5718" s="13"/>
      <c r="E5718" s="38"/>
      <c r="F5718" s="38"/>
      <c r="G5718" s="9"/>
      <c r="H5718" s="9"/>
      <c r="I5718" s="13"/>
      <c r="J5718" s="6"/>
      <c r="K5718" s="9"/>
      <c r="L5718" s="41"/>
    </row>
    <row r="5719" spans="1:12">
      <c r="A5719" s="72"/>
      <c r="B5719" s="9"/>
      <c r="C5719" s="13"/>
      <c r="D5719" s="12"/>
      <c r="E5719" s="38"/>
      <c r="F5719" s="38"/>
      <c r="G5719" s="9"/>
      <c r="H5719" s="12"/>
      <c r="I5719" s="13"/>
      <c r="J5719" s="6"/>
      <c r="K5719" s="13"/>
      <c r="L5719" s="98"/>
    </row>
    <row r="5720" spans="1:12">
      <c r="A5720" s="72"/>
      <c r="B5720" s="9"/>
      <c r="C5720" s="13"/>
      <c r="D5720" s="12"/>
      <c r="E5720" s="38"/>
      <c r="F5720" s="38"/>
      <c r="G5720" s="9"/>
      <c r="H5720" s="12"/>
      <c r="I5720" s="13"/>
      <c r="J5720" s="6"/>
      <c r="K5720" s="13"/>
      <c r="L5720" s="98"/>
    </row>
    <row r="5721" spans="1:12">
      <c r="A5721" s="72"/>
      <c r="B5721" s="9"/>
      <c r="C5721" s="13"/>
      <c r="D5721" s="12"/>
      <c r="E5721" s="38"/>
      <c r="F5721" s="38"/>
      <c r="G5721" s="9"/>
      <c r="H5721" s="12"/>
      <c r="I5721" s="13"/>
      <c r="J5721" s="6"/>
      <c r="K5721" s="13"/>
      <c r="L5721" s="98"/>
    </row>
    <row r="5722" spans="1:12">
      <c r="A5722" s="72"/>
      <c r="B5722" s="9"/>
      <c r="C5722" s="13"/>
      <c r="D5722" s="12"/>
      <c r="E5722" s="38"/>
      <c r="F5722" s="38"/>
      <c r="G5722" s="9"/>
      <c r="H5722" s="9"/>
      <c r="I5722" s="13"/>
      <c r="J5722" s="6"/>
      <c r="K5722" s="9"/>
      <c r="L5722" s="41"/>
    </row>
    <row r="5723" spans="1:12">
      <c r="A5723" s="72"/>
      <c r="B5723" s="9"/>
      <c r="C5723" s="13"/>
      <c r="D5723" s="12"/>
      <c r="E5723" s="38"/>
      <c r="F5723" s="38"/>
      <c r="G5723" s="9"/>
      <c r="H5723" s="9"/>
      <c r="I5723" s="13"/>
      <c r="J5723" s="6"/>
      <c r="K5723" s="9"/>
      <c r="L5723" s="41"/>
    </row>
    <row r="5724" spans="1:12">
      <c r="A5724" s="72"/>
      <c r="B5724" s="9"/>
      <c r="C5724" s="13"/>
      <c r="D5724" s="12"/>
      <c r="E5724" s="38"/>
      <c r="F5724" s="38"/>
      <c r="G5724" s="9"/>
      <c r="H5724" s="9"/>
      <c r="I5724" s="13"/>
      <c r="J5724" s="6"/>
      <c r="K5724" s="9"/>
      <c r="L5724" s="41"/>
    </row>
    <row r="5725" spans="1:12">
      <c r="A5725" s="72"/>
      <c r="B5725" s="9"/>
      <c r="C5725" s="13"/>
      <c r="D5725" s="12"/>
      <c r="E5725" s="38"/>
      <c r="F5725" s="38"/>
      <c r="G5725" s="9"/>
      <c r="H5725" s="9"/>
      <c r="I5725" s="13"/>
      <c r="J5725" s="6"/>
      <c r="K5725" s="9"/>
      <c r="L5725" s="41"/>
    </row>
    <row r="5726" spans="1:12">
      <c r="A5726" s="72"/>
      <c r="B5726" s="9"/>
      <c r="C5726" s="13"/>
      <c r="D5726" s="12"/>
      <c r="E5726" s="38"/>
      <c r="F5726" s="38"/>
      <c r="G5726" s="9"/>
      <c r="H5726" s="9"/>
      <c r="I5726" s="13"/>
      <c r="J5726" s="6"/>
      <c r="K5726" s="9"/>
      <c r="L5726" s="41"/>
    </row>
    <row r="5727" spans="1:12">
      <c r="A5727" s="72"/>
      <c r="B5727" s="9"/>
      <c r="C5727" s="13"/>
      <c r="D5727" s="12"/>
      <c r="E5727" s="38"/>
      <c r="F5727" s="38"/>
      <c r="G5727" s="9"/>
      <c r="H5727" s="9"/>
      <c r="I5727" s="13"/>
      <c r="J5727" s="6"/>
      <c r="K5727" s="9"/>
      <c r="L5727" s="41"/>
    </row>
    <row r="5728" spans="1:12">
      <c r="A5728" s="72"/>
      <c r="B5728" s="9"/>
      <c r="C5728" s="13"/>
      <c r="D5728" s="13"/>
      <c r="E5728" s="38"/>
      <c r="F5728" s="38"/>
      <c r="G5728" s="9"/>
      <c r="H5728" s="9"/>
      <c r="I5728" s="13"/>
      <c r="J5728" s="6"/>
      <c r="K5728" s="9"/>
      <c r="L5728" s="41"/>
    </row>
    <row r="5729" spans="1:12">
      <c r="A5729" s="72"/>
      <c r="B5729" s="9"/>
      <c r="C5729" s="13"/>
      <c r="D5729" s="12"/>
      <c r="E5729" s="38"/>
      <c r="F5729" s="38"/>
      <c r="G5729" s="9"/>
      <c r="H5729" s="9"/>
      <c r="I5729" s="13"/>
      <c r="J5729" s="6"/>
      <c r="K5729" s="9"/>
      <c r="L5729" s="41"/>
    </row>
    <row r="5730" spans="1:12">
      <c r="A5730" s="72"/>
      <c r="B5730" s="9"/>
      <c r="C5730" s="13"/>
      <c r="D5730" s="12"/>
      <c r="E5730" s="38"/>
      <c r="F5730" s="38"/>
      <c r="G5730" s="9"/>
      <c r="H5730" s="9"/>
      <c r="I5730" s="13"/>
      <c r="J5730" s="6"/>
      <c r="K5730" s="9"/>
      <c r="L5730" s="41"/>
    </row>
    <row r="5731" spans="1:12">
      <c r="A5731" s="72"/>
      <c r="B5731" s="9"/>
      <c r="C5731" s="13"/>
      <c r="D5731" s="13"/>
      <c r="E5731" s="38"/>
      <c r="F5731" s="38"/>
      <c r="G5731" s="9"/>
      <c r="H5731" s="9"/>
      <c r="I5731" s="13"/>
      <c r="J5731" s="6"/>
      <c r="K5731" s="9"/>
      <c r="L5731" s="41"/>
    </row>
    <row r="5732" spans="1:12">
      <c r="A5732" s="72"/>
      <c r="B5732" s="9"/>
      <c r="C5732" s="13"/>
      <c r="D5732" s="12"/>
      <c r="E5732" s="38"/>
      <c r="F5732" s="38"/>
      <c r="G5732" s="9"/>
      <c r="H5732" s="9"/>
      <c r="I5732" s="13"/>
      <c r="J5732" s="6"/>
      <c r="K5732" s="9"/>
      <c r="L5732" s="41"/>
    </row>
    <row r="5733" spans="1:12">
      <c r="A5733" s="72"/>
      <c r="B5733" s="9"/>
      <c r="C5733" s="13"/>
      <c r="D5733" s="12"/>
      <c r="E5733" s="38"/>
      <c r="F5733" s="38"/>
      <c r="G5733" s="9"/>
      <c r="H5733" s="9"/>
      <c r="I5733" s="13"/>
      <c r="J5733" s="6"/>
      <c r="K5733" s="9"/>
      <c r="L5733" s="41"/>
    </row>
    <row r="5734" spans="1:12">
      <c r="A5734" s="72"/>
      <c r="B5734" s="9"/>
      <c r="C5734" s="10"/>
      <c r="D5734" s="12"/>
      <c r="E5734" s="11"/>
      <c r="F5734" s="11"/>
      <c r="G5734" s="12"/>
      <c r="H5734" s="12"/>
      <c r="I5734" s="10"/>
      <c r="J5734" s="5"/>
      <c r="K5734" s="12"/>
      <c r="L5734" s="15"/>
    </row>
    <row r="5735" spans="1:12">
      <c r="A5735" s="72"/>
      <c r="B5735" s="9"/>
      <c r="C5735" s="10"/>
      <c r="D5735" s="12"/>
      <c r="E5735" s="11"/>
      <c r="F5735" s="11"/>
      <c r="G5735" s="12"/>
      <c r="H5735" s="12"/>
      <c r="I5735" s="10"/>
      <c r="J5735" s="5"/>
      <c r="K5735" s="12"/>
      <c r="L5735" s="15"/>
    </row>
    <row r="5736" spans="1:12">
      <c r="A5736" s="72"/>
      <c r="B5736" s="9"/>
      <c r="C5736" s="13"/>
      <c r="D5736" s="12"/>
      <c r="E5736" s="38"/>
      <c r="F5736" s="38"/>
      <c r="G5736" s="9"/>
      <c r="H5736" s="9"/>
      <c r="I5736" s="13"/>
      <c r="J5736" s="6"/>
      <c r="K5736" s="9"/>
      <c r="L5736" s="41"/>
    </row>
    <row r="5737" spans="1:12">
      <c r="A5737" s="94"/>
      <c r="B5737" s="118"/>
      <c r="C5737" s="118"/>
      <c r="D5737" s="119"/>
      <c r="E5737" s="120"/>
      <c r="F5737" s="120"/>
      <c r="G5737" s="9"/>
      <c r="H5737" s="9"/>
      <c r="I5737" s="13"/>
      <c r="J5737" s="6"/>
      <c r="K5737" s="9"/>
      <c r="L5737" s="41"/>
    </row>
    <row r="5738" spans="1:12">
      <c r="A5738" s="72"/>
      <c r="B5738" s="9"/>
      <c r="C5738" s="13"/>
      <c r="D5738" s="12"/>
      <c r="E5738" s="38"/>
      <c r="F5738" s="38"/>
      <c r="G5738" s="9"/>
      <c r="H5738" s="9"/>
      <c r="I5738" s="13"/>
      <c r="J5738" s="6"/>
      <c r="K5738" s="9"/>
      <c r="L5738" s="41"/>
    </row>
    <row r="5739" spans="1:12">
      <c r="A5739" s="72"/>
      <c r="B5739" s="9"/>
      <c r="C5739" s="13"/>
      <c r="D5739" s="13"/>
      <c r="E5739" s="38"/>
      <c r="F5739" s="38"/>
      <c r="G5739" s="9"/>
      <c r="H5739" s="9"/>
      <c r="I5739" s="13"/>
      <c r="J5739" s="6"/>
      <c r="K5739" s="9"/>
      <c r="L5739" s="41"/>
    </row>
    <row r="5740" spans="1:12">
      <c r="A5740" s="72"/>
      <c r="B5740" s="9"/>
      <c r="C5740" s="13"/>
      <c r="D5740" s="12"/>
      <c r="E5740" s="38"/>
      <c r="F5740" s="38"/>
      <c r="G5740" s="9"/>
      <c r="H5740" s="9"/>
      <c r="I5740" s="13"/>
      <c r="J5740" s="6"/>
      <c r="K5740" s="9"/>
      <c r="L5740" s="41"/>
    </row>
    <row r="5741" spans="1:12">
      <c r="A5741" s="72"/>
      <c r="B5741" s="9"/>
      <c r="C5741" s="13"/>
      <c r="D5741" s="12"/>
      <c r="E5741" s="38"/>
      <c r="F5741" s="38"/>
      <c r="G5741" s="9"/>
      <c r="H5741" s="9"/>
      <c r="I5741" s="13"/>
      <c r="J5741" s="6"/>
      <c r="K5741" s="9"/>
      <c r="L5741" s="41"/>
    </row>
    <row r="5742" spans="1:12">
      <c r="A5742" s="72"/>
      <c r="B5742" s="9"/>
      <c r="C5742" s="13"/>
      <c r="D5742" s="12"/>
      <c r="E5742" s="38"/>
      <c r="F5742" s="38"/>
      <c r="G5742" s="9"/>
      <c r="H5742" s="9"/>
      <c r="I5742" s="13"/>
      <c r="J5742" s="6"/>
      <c r="K5742" s="9"/>
      <c r="L5742" s="41"/>
    </row>
    <row r="5743" spans="1:12">
      <c r="A5743" s="72"/>
      <c r="B5743" s="9"/>
      <c r="C5743" s="13"/>
      <c r="D5743" s="12"/>
      <c r="E5743" s="38"/>
      <c r="F5743" s="38"/>
      <c r="G5743" s="9"/>
      <c r="H5743" s="9"/>
      <c r="I5743" s="13"/>
      <c r="J5743" s="6"/>
      <c r="K5743" s="9"/>
      <c r="L5743" s="41"/>
    </row>
    <row r="5744" spans="1:12">
      <c r="A5744" s="72"/>
      <c r="B5744" s="9"/>
      <c r="C5744" s="13"/>
      <c r="D5744" s="12"/>
      <c r="E5744" s="38"/>
      <c r="F5744" s="38"/>
      <c r="G5744" s="9"/>
      <c r="H5744" s="9"/>
      <c r="I5744" s="13"/>
      <c r="J5744" s="6"/>
      <c r="K5744" s="9"/>
      <c r="L5744" s="41"/>
    </row>
    <row r="5745" spans="1:12">
      <c r="A5745" s="72"/>
      <c r="B5745" s="9"/>
      <c r="C5745" s="13"/>
      <c r="D5745" s="12"/>
      <c r="E5745" s="38"/>
      <c r="F5745" s="38"/>
      <c r="G5745" s="9"/>
      <c r="H5745" s="9"/>
      <c r="I5745" s="13"/>
      <c r="J5745" s="6"/>
      <c r="K5745" s="9"/>
      <c r="L5745" s="41"/>
    </row>
    <row r="5746" spans="1:12">
      <c r="A5746" s="72"/>
      <c r="B5746" s="9"/>
      <c r="C5746" s="13"/>
      <c r="D5746" s="12"/>
      <c r="E5746" s="38"/>
      <c r="F5746" s="38"/>
      <c r="G5746" s="9"/>
      <c r="H5746" s="9"/>
      <c r="I5746" s="13"/>
      <c r="J5746" s="6"/>
      <c r="K5746" s="9"/>
      <c r="L5746" s="41"/>
    </row>
    <row r="5747" spans="1:12">
      <c r="A5747" s="72"/>
      <c r="B5747" s="9"/>
      <c r="C5747" s="13"/>
      <c r="D5747" s="12"/>
      <c r="E5747" s="38"/>
      <c r="F5747" s="38"/>
      <c r="G5747" s="9"/>
      <c r="H5747" s="9"/>
      <c r="I5747" s="13"/>
      <c r="J5747" s="6"/>
      <c r="K5747" s="9"/>
      <c r="L5747" s="41"/>
    </row>
    <row r="5748" spans="1:12">
      <c r="A5748" s="72"/>
      <c r="B5748" s="9"/>
      <c r="C5748" s="13"/>
      <c r="D5748" s="12"/>
      <c r="E5748" s="38"/>
      <c r="F5748" s="38"/>
      <c r="G5748" s="9"/>
      <c r="H5748" s="9"/>
      <c r="I5748" s="13"/>
      <c r="J5748" s="6"/>
      <c r="K5748" s="9"/>
      <c r="L5748" s="41"/>
    </row>
    <row r="5749" spans="1:12">
      <c r="A5749" s="72"/>
      <c r="B5749" s="9"/>
      <c r="C5749" s="13"/>
      <c r="D5749" s="12"/>
      <c r="E5749" s="38"/>
      <c r="F5749" s="38"/>
      <c r="G5749" s="9"/>
      <c r="H5749" s="9"/>
      <c r="I5749" s="13"/>
      <c r="J5749" s="6"/>
      <c r="K5749" s="9"/>
      <c r="L5749" s="41"/>
    </row>
    <row r="5750" spans="1:12">
      <c r="A5750" s="72"/>
      <c r="B5750" s="12"/>
      <c r="C5750" s="12"/>
      <c r="D5750" s="10"/>
      <c r="E5750" s="11"/>
      <c r="F5750" s="45"/>
      <c r="G5750" s="9"/>
      <c r="H5750" s="12"/>
      <c r="I5750" s="12"/>
      <c r="J5750" s="12"/>
      <c r="K5750" s="12"/>
      <c r="L5750" s="15"/>
    </row>
    <row r="5751" spans="1:12">
      <c r="A5751" s="72"/>
      <c r="B5751" s="12"/>
      <c r="C5751" s="12"/>
      <c r="D5751" s="10"/>
      <c r="E5751" s="11"/>
      <c r="F5751" s="45"/>
      <c r="G5751" s="9"/>
      <c r="H5751" s="12"/>
      <c r="I5751" s="12"/>
      <c r="J5751" s="12"/>
      <c r="K5751" s="12"/>
      <c r="L5751" s="15"/>
    </row>
    <row r="5752" spans="1:12">
      <c r="A5752" s="72"/>
      <c r="B5752" s="12"/>
      <c r="C5752" s="12"/>
      <c r="D5752" s="10"/>
      <c r="E5752" s="11"/>
      <c r="F5752" s="11"/>
      <c r="G5752" s="9"/>
      <c r="H5752" s="12"/>
      <c r="I5752" s="12"/>
      <c r="J5752" s="12"/>
      <c r="K5752" s="12"/>
      <c r="L5752" s="15"/>
    </row>
    <row r="5753" spans="1:12">
      <c r="A5753" s="72"/>
      <c r="B5753" s="12"/>
      <c r="C5753" s="12"/>
      <c r="D5753" s="10"/>
      <c r="E5753" s="11"/>
      <c r="F5753" s="11"/>
      <c r="G5753" s="9"/>
      <c r="H5753" s="12"/>
      <c r="I5753" s="12"/>
      <c r="J5753" s="12"/>
      <c r="K5753" s="12"/>
      <c r="L5753" s="15"/>
    </row>
    <row r="5754" spans="1:12">
      <c r="A5754" s="72"/>
      <c r="B5754" s="12"/>
      <c r="C5754" s="12"/>
      <c r="D5754" s="10"/>
      <c r="E5754" s="11"/>
      <c r="F5754" s="11"/>
      <c r="G5754" s="9"/>
      <c r="H5754" s="12"/>
      <c r="I5754" s="12"/>
      <c r="J5754" s="12"/>
      <c r="K5754" s="12"/>
      <c r="L5754" s="15"/>
    </row>
    <row r="5755" spans="1:12">
      <c r="A5755" s="72"/>
      <c r="B5755" s="12"/>
      <c r="C5755" s="12"/>
      <c r="D5755" s="10"/>
      <c r="E5755" s="11"/>
      <c r="F5755" s="11"/>
      <c r="G5755" s="9"/>
      <c r="H5755" s="12"/>
      <c r="I5755" s="12"/>
      <c r="J5755" s="12"/>
      <c r="K5755" s="12"/>
      <c r="L5755" s="15"/>
    </row>
    <row r="5756" spans="1:12">
      <c r="A5756" s="72"/>
      <c r="B5756" s="12"/>
      <c r="C5756" s="12"/>
      <c r="D5756" s="10"/>
      <c r="E5756" s="11"/>
      <c r="F5756" s="11"/>
      <c r="G5756" s="9"/>
      <c r="H5756" s="12"/>
      <c r="I5756" s="12"/>
      <c r="J5756" s="12"/>
      <c r="K5756" s="12"/>
      <c r="L5756" s="16"/>
    </row>
    <row r="5757" spans="1:12">
      <c r="A5757" s="72"/>
      <c r="B5757" s="12"/>
      <c r="C5757" s="12"/>
      <c r="D5757" s="10"/>
      <c r="E5757" s="11"/>
      <c r="F5757" s="11"/>
      <c r="G5757" s="9"/>
      <c r="H5757" s="12"/>
      <c r="I5757" s="12"/>
      <c r="J5757" s="12"/>
      <c r="K5757" s="12"/>
      <c r="L5757" s="15"/>
    </row>
    <row r="5758" spans="1:12">
      <c r="A5758" s="72"/>
      <c r="B5758" s="12"/>
      <c r="C5758" s="12"/>
      <c r="D5758" s="10"/>
      <c r="E5758" s="11"/>
      <c r="F5758" s="11"/>
      <c r="G5758" s="9"/>
      <c r="H5758" s="12"/>
      <c r="I5758" s="12"/>
      <c r="J5758" s="12"/>
      <c r="K5758" s="12"/>
      <c r="L5758" s="15"/>
    </row>
    <row r="5759" spans="1:12">
      <c r="A5759" s="72"/>
      <c r="B5759" s="12"/>
      <c r="C5759" s="12"/>
      <c r="D5759" s="10"/>
      <c r="E5759" s="11"/>
      <c r="F5759" s="11"/>
      <c r="G5759" s="9"/>
      <c r="H5759" s="12"/>
      <c r="I5759" s="12"/>
      <c r="J5759" s="12"/>
      <c r="K5759" s="12"/>
      <c r="L5759" s="15"/>
    </row>
    <row r="5760" spans="1:12">
      <c r="A5760" s="72"/>
      <c r="B5760" s="12"/>
      <c r="C5760" s="12"/>
      <c r="D5760" s="121"/>
      <c r="E5760" s="11"/>
      <c r="F5760" s="11"/>
      <c r="G5760" s="9"/>
      <c r="H5760" s="12"/>
      <c r="I5760" s="12"/>
      <c r="J5760" s="12"/>
      <c r="K5760" s="12"/>
      <c r="L5760" s="15"/>
    </row>
    <row r="5761" spans="1:12">
      <c r="A5761" s="72"/>
      <c r="B5761" s="12"/>
      <c r="C5761" s="12"/>
      <c r="D5761" s="10"/>
      <c r="E5761" s="11"/>
      <c r="F5761" s="11"/>
      <c r="G5761" s="9"/>
      <c r="H5761" s="12"/>
      <c r="I5761" s="12"/>
      <c r="J5761" s="12"/>
      <c r="K5761" s="12"/>
      <c r="L5761" s="15"/>
    </row>
    <row r="5762" spans="1:12">
      <c r="A5762" s="72"/>
      <c r="B5762" s="12"/>
      <c r="C5762" s="12"/>
      <c r="D5762" s="10"/>
      <c r="E5762" s="11"/>
      <c r="F5762" s="11"/>
      <c r="G5762" s="9"/>
      <c r="H5762" s="12"/>
      <c r="I5762" s="12"/>
      <c r="J5762" s="12"/>
      <c r="K5762" s="12"/>
      <c r="L5762" s="15"/>
    </row>
    <row r="5763" spans="1:12">
      <c r="A5763" s="72"/>
      <c r="B5763" s="12"/>
      <c r="C5763" s="12"/>
      <c r="D5763" s="10"/>
      <c r="E5763" s="11"/>
      <c r="F5763" s="11"/>
      <c r="G5763" s="9"/>
      <c r="H5763" s="12"/>
      <c r="I5763" s="12"/>
      <c r="J5763" s="12"/>
      <c r="K5763" s="12"/>
      <c r="L5763" s="15"/>
    </row>
    <row r="5764" spans="1:12">
      <c r="A5764" s="72"/>
      <c r="B5764" s="12"/>
      <c r="C5764" s="12"/>
      <c r="D5764" s="10"/>
      <c r="E5764" s="11"/>
      <c r="F5764" s="11"/>
      <c r="G5764" s="9"/>
      <c r="H5764" s="12"/>
      <c r="I5764" s="12"/>
      <c r="J5764" s="12"/>
      <c r="K5764" s="12"/>
      <c r="L5764" s="15"/>
    </row>
    <row r="5765" spans="1:12">
      <c r="A5765" s="72"/>
      <c r="B5765" s="12"/>
      <c r="C5765" s="12"/>
      <c r="D5765" s="10"/>
      <c r="E5765" s="11"/>
      <c r="F5765" s="11"/>
      <c r="G5765" s="9"/>
      <c r="H5765" s="12"/>
      <c r="I5765" s="12"/>
      <c r="J5765" s="12"/>
      <c r="K5765" s="12"/>
      <c r="L5765" s="15"/>
    </row>
    <row r="5766" spans="1:12">
      <c r="A5766" s="72"/>
      <c r="B5766" s="12"/>
      <c r="C5766" s="12"/>
      <c r="D5766" s="10"/>
      <c r="E5766" s="11"/>
      <c r="F5766" s="11"/>
      <c r="G5766" s="9"/>
      <c r="H5766" s="12"/>
      <c r="I5766" s="12"/>
      <c r="J5766" s="12"/>
      <c r="K5766" s="12"/>
      <c r="L5766" s="15"/>
    </row>
    <row r="5767" spans="1:12">
      <c r="A5767" s="72"/>
      <c r="B5767" s="9"/>
      <c r="C5767" s="9"/>
      <c r="D5767" s="12"/>
      <c r="E5767" s="38"/>
      <c r="F5767" s="38"/>
      <c r="G5767" s="9"/>
      <c r="H5767" s="9"/>
      <c r="I5767" s="12"/>
      <c r="J5767" s="6"/>
      <c r="K5767" s="9"/>
      <c r="L5767" s="41"/>
    </row>
    <row r="5768" spans="1:12">
      <c r="A5768" s="72"/>
      <c r="B5768" s="9"/>
      <c r="C5768" s="9"/>
      <c r="D5768" s="12"/>
      <c r="E5768" s="38"/>
      <c r="F5768" s="38"/>
      <c r="G5768" s="9"/>
      <c r="H5768" s="9"/>
      <c r="I5768" s="12"/>
      <c r="J5768" s="6"/>
      <c r="K5768" s="9"/>
      <c r="L5768" s="41"/>
    </row>
    <row r="5769" spans="1:12">
      <c r="A5769" s="72"/>
      <c r="B5769" s="9"/>
      <c r="C5769" s="13"/>
      <c r="D5769" s="12"/>
      <c r="E5769" s="38"/>
      <c r="F5769" s="38"/>
      <c r="G5769" s="9"/>
      <c r="H5769" s="9"/>
      <c r="I5769" s="12"/>
      <c r="J5769" s="6"/>
      <c r="K5769" s="9"/>
      <c r="L5769" s="41"/>
    </row>
    <row r="5770" spans="1:12">
      <c r="A5770" s="72"/>
      <c r="B5770" s="9"/>
      <c r="C5770" s="13"/>
      <c r="D5770" s="12"/>
      <c r="E5770" s="38"/>
      <c r="F5770" s="38"/>
      <c r="G5770" s="9"/>
      <c r="H5770" s="9"/>
      <c r="I5770" s="12"/>
      <c r="J5770" s="6"/>
      <c r="K5770" s="9"/>
      <c r="L5770" s="41"/>
    </row>
    <row r="5771" spans="1:12">
      <c r="A5771" s="72"/>
      <c r="B5771" s="9"/>
      <c r="C5771" s="13"/>
      <c r="D5771" s="12"/>
      <c r="E5771" s="38"/>
      <c r="F5771" s="38"/>
      <c r="G5771" s="9"/>
      <c r="H5771" s="9"/>
      <c r="I5771" s="12"/>
      <c r="J5771" s="6"/>
      <c r="K5771" s="13"/>
      <c r="L5771" s="98"/>
    </row>
    <row r="5772" spans="1:12">
      <c r="A5772" s="72"/>
      <c r="B5772" s="9"/>
      <c r="C5772" s="13"/>
      <c r="D5772" s="12"/>
      <c r="E5772" s="38"/>
      <c r="F5772" s="38"/>
      <c r="G5772" s="9"/>
      <c r="H5772" s="9"/>
      <c r="I5772" s="12"/>
      <c r="J5772" s="6"/>
      <c r="K5772" s="13"/>
      <c r="L5772" s="98"/>
    </row>
    <row r="5773" spans="1:12">
      <c r="A5773" s="72"/>
      <c r="B5773" s="9"/>
      <c r="C5773" s="13"/>
      <c r="D5773" s="12"/>
      <c r="E5773" s="38"/>
      <c r="F5773" s="38"/>
      <c r="G5773" s="9"/>
      <c r="H5773" s="9"/>
      <c r="I5773" s="13"/>
      <c r="J5773" s="6"/>
      <c r="K5773" s="13"/>
      <c r="L5773" s="98"/>
    </row>
    <row r="5774" spans="1:12">
      <c r="A5774" s="72"/>
      <c r="B5774" s="9"/>
      <c r="C5774" s="13"/>
      <c r="D5774" s="12"/>
      <c r="E5774" s="38"/>
      <c r="F5774" s="38"/>
      <c r="G5774" s="9"/>
      <c r="H5774" s="9"/>
      <c r="I5774" s="13"/>
      <c r="J5774" s="6"/>
      <c r="K5774" s="13"/>
      <c r="L5774" s="98"/>
    </row>
    <row r="5775" spans="1:12">
      <c r="A5775" s="72"/>
      <c r="B5775" s="9"/>
      <c r="C5775" s="9"/>
      <c r="D5775" s="12"/>
      <c r="E5775" s="38"/>
      <c r="F5775" s="38"/>
      <c r="G5775" s="9"/>
      <c r="H5775" s="9"/>
      <c r="I5775" s="13"/>
      <c r="J5775" s="6"/>
      <c r="K5775" s="9"/>
      <c r="L5775" s="41"/>
    </row>
    <row r="5776" spans="1:12">
      <c r="A5776" s="72"/>
      <c r="B5776" s="9"/>
      <c r="C5776" s="9"/>
      <c r="D5776" s="12"/>
      <c r="E5776" s="38"/>
      <c r="F5776" s="38"/>
      <c r="G5776" s="9"/>
      <c r="H5776" s="9"/>
      <c r="I5776" s="13"/>
      <c r="J5776" s="6"/>
      <c r="K5776" s="9"/>
      <c r="L5776" s="41"/>
    </row>
    <row r="5777" spans="1:12">
      <c r="A5777" s="72"/>
      <c r="B5777" s="9"/>
      <c r="C5777" s="13"/>
      <c r="D5777" s="12"/>
      <c r="E5777" s="38"/>
      <c r="F5777" s="38"/>
      <c r="G5777" s="9"/>
      <c r="H5777" s="9"/>
      <c r="I5777" s="13"/>
      <c r="J5777" s="6"/>
      <c r="K5777" s="9"/>
      <c r="L5777" s="41"/>
    </row>
    <row r="5778" spans="1:12">
      <c r="A5778" s="72"/>
      <c r="B5778" s="9"/>
      <c r="C5778" s="13"/>
      <c r="D5778" s="12"/>
      <c r="E5778" s="38"/>
      <c r="F5778" s="38"/>
      <c r="G5778" s="9"/>
      <c r="H5778" s="9"/>
      <c r="I5778" s="13"/>
      <c r="J5778" s="6"/>
      <c r="K5778" s="9"/>
      <c r="L5778" s="41"/>
    </row>
    <row r="5779" spans="1:12">
      <c r="A5779" s="72"/>
      <c r="B5779" s="9"/>
      <c r="C5779" s="13"/>
      <c r="D5779" s="12"/>
      <c r="E5779" s="38"/>
      <c r="F5779" s="38"/>
      <c r="G5779" s="9"/>
      <c r="H5779" s="9"/>
      <c r="I5779" s="13"/>
      <c r="J5779" s="6"/>
      <c r="K5779" s="9"/>
      <c r="L5779" s="41"/>
    </row>
    <row r="5780" spans="1:12">
      <c r="A5780" s="72"/>
      <c r="B5780" s="9"/>
      <c r="C5780" s="13"/>
      <c r="D5780" s="12"/>
      <c r="E5780" s="38"/>
      <c r="F5780" s="38"/>
      <c r="G5780" s="9"/>
      <c r="H5780" s="9"/>
      <c r="I5780" s="13"/>
      <c r="J5780" s="6"/>
      <c r="K5780" s="9"/>
      <c r="L5780" s="41"/>
    </row>
    <row r="5781" spans="1:12">
      <c r="A5781" s="72"/>
      <c r="B5781" s="9"/>
      <c r="C5781" s="13"/>
      <c r="D5781" s="12"/>
      <c r="E5781" s="38"/>
      <c r="F5781" s="38"/>
      <c r="G5781" s="9"/>
      <c r="H5781" s="9"/>
      <c r="I5781" s="13"/>
      <c r="J5781" s="6"/>
      <c r="K5781" s="9"/>
      <c r="L5781" s="41"/>
    </row>
    <row r="5782" spans="1:12">
      <c r="A5782" s="72"/>
      <c r="B5782" s="9"/>
      <c r="C5782" s="13"/>
      <c r="D5782" s="12"/>
      <c r="E5782" s="38"/>
      <c r="F5782" s="38"/>
      <c r="G5782" s="9"/>
      <c r="H5782" s="9"/>
      <c r="I5782" s="13"/>
      <c r="J5782" s="6"/>
      <c r="K5782" s="9"/>
      <c r="L5782" s="41"/>
    </row>
    <row r="5783" spans="1:12">
      <c r="A5783" s="72"/>
      <c r="B5783" s="9"/>
      <c r="C5783" s="13"/>
      <c r="D5783" s="12"/>
      <c r="E5783" s="38"/>
      <c r="F5783" s="38"/>
      <c r="G5783" s="9"/>
      <c r="H5783" s="9"/>
      <c r="I5783" s="13"/>
      <c r="J5783" s="6"/>
      <c r="K5783" s="9"/>
      <c r="L5783" s="41"/>
    </row>
    <row r="5784" spans="1:12">
      <c r="A5784" s="72"/>
      <c r="B5784" s="9"/>
      <c r="C5784" s="13"/>
      <c r="D5784" s="12"/>
      <c r="E5784" s="38"/>
      <c r="F5784" s="38"/>
      <c r="G5784" s="9"/>
      <c r="H5784" s="9"/>
      <c r="I5784" s="13"/>
      <c r="J5784" s="6"/>
      <c r="K5784" s="9"/>
      <c r="L5784" s="41"/>
    </row>
    <row r="5785" spans="1:12">
      <c r="A5785" s="72"/>
      <c r="B5785" s="12"/>
      <c r="C5785" s="12"/>
      <c r="D5785" s="10"/>
      <c r="E5785" s="11"/>
      <c r="F5785" s="11"/>
      <c r="G5785" s="12"/>
      <c r="H5785" s="12"/>
      <c r="I5785" s="12"/>
      <c r="J5785" s="12"/>
      <c r="K5785" s="12"/>
      <c r="L5785" s="15"/>
    </row>
    <row r="5786" spans="1:12">
      <c r="A5786" s="72"/>
      <c r="B5786" s="12"/>
      <c r="C5786" s="12"/>
      <c r="D5786" s="10"/>
      <c r="E5786" s="11"/>
      <c r="F5786" s="11"/>
      <c r="G5786" s="12"/>
      <c r="H5786" s="12"/>
      <c r="I5786" s="12"/>
      <c r="J5786" s="12"/>
      <c r="K5786" s="12"/>
      <c r="L5786" s="15"/>
    </row>
    <row r="5787" spans="1:12">
      <c r="A5787" s="72"/>
      <c r="B5787" s="12"/>
      <c r="C5787" s="12"/>
      <c r="D5787" s="10"/>
      <c r="E5787" s="11"/>
      <c r="F5787" s="11"/>
      <c r="G5787" s="12"/>
      <c r="H5787" s="12"/>
      <c r="I5787" s="12"/>
      <c r="J5787" s="12"/>
      <c r="K5787" s="12"/>
      <c r="L5787" s="15"/>
    </row>
    <row r="5788" spans="1:12">
      <c r="A5788" s="72"/>
      <c r="B5788" s="12"/>
      <c r="C5788" s="12"/>
      <c r="D5788" s="10"/>
      <c r="E5788" s="11"/>
      <c r="F5788" s="11"/>
      <c r="G5788" s="12"/>
      <c r="H5788" s="12"/>
      <c r="I5788" s="12"/>
      <c r="J5788" s="12"/>
      <c r="K5788" s="12"/>
      <c r="L5788" s="15"/>
    </row>
    <row r="5789" spans="1:12">
      <c r="A5789" s="72"/>
      <c r="B5789" s="12"/>
      <c r="C5789" s="12"/>
      <c r="D5789" s="10"/>
      <c r="E5789" s="11"/>
      <c r="F5789" s="11"/>
      <c r="G5789" s="12"/>
      <c r="H5789" s="12"/>
      <c r="I5789" s="12"/>
      <c r="J5789" s="12"/>
      <c r="K5789" s="12"/>
      <c r="L5789" s="15"/>
    </row>
    <row r="5790" spans="1:12">
      <c r="A5790" s="72"/>
      <c r="B5790" s="12"/>
      <c r="C5790" s="12"/>
      <c r="D5790" s="10"/>
      <c r="E5790" s="11"/>
      <c r="F5790" s="11"/>
      <c r="G5790" s="12"/>
      <c r="H5790" s="12"/>
      <c r="I5790" s="12"/>
      <c r="J5790" s="12"/>
      <c r="K5790" s="12"/>
      <c r="L5790" s="15"/>
    </row>
    <row r="5791" spans="1:12">
      <c r="A5791" s="72"/>
      <c r="B5791" s="9"/>
      <c r="C5791" s="13"/>
      <c r="D5791" s="12"/>
      <c r="E5791" s="38"/>
      <c r="F5791" s="38"/>
      <c r="G5791" s="12"/>
      <c r="H5791" s="9"/>
      <c r="I5791" s="13"/>
      <c r="J5791" s="6"/>
      <c r="K5791" s="9"/>
      <c r="L5791" s="41"/>
    </row>
    <row r="5792" spans="1:12">
      <c r="A5792" s="72"/>
      <c r="B5792" s="9"/>
      <c r="C5792" s="13"/>
      <c r="D5792" s="12"/>
      <c r="E5792" s="38"/>
      <c r="F5792" s="38"/>
      <c r="G5792" s="12"/>
      <c r="H5792" s="9"/>
      <c r="I5792" s="13"/>
      <c r="J5792" s="6"/>
      <c r="K5792" s="9"/>
      <c r="L5792" s="41"/>
    </row>
    <row r="5793" spans="1:12">
      <c r="A5793" s="72"/>
      <c r="B5793" s="9"/>
      <c r="C5793" s="13"/>
      <c r="D5793" s="12"/>
      <c r="E5793" s="38"/>
      <c r="F5793" s="38"/>
      <c r="G5793" s="12"/>
      <c r="H5793" s="9"/>
      <c r="I5793" s="13"/>
      <c r="J5793" s="6"/>
      <c r="K5793" s="9"/>
      <c r="L5793" s="41"/>
    </row>
    <row r="5794" spans="1:12">
      <c r="A5794" s="72"/>
      <c r="B5794" s="9"/>
      <c r="C5794" s="13"/>
      <c r="D5794" s="12"/>
      <c r="E5794" s="38"/>
      <c r="F5794" s="38"/>
      <c r="G5794" s="12"/>
      <c r="H5794" s="9"/>
      <c r="I5794" s="13"/>
      <c r="J5794" s="6"/>
      <c r="K5794" s="13"/>
      <c r="L5794" s="98"/>
    </row>
    <row r="5795" spans="1:12">
      <c r="A5795" s="72"/>
      <c r="B5795" s="9"/>
      <c r="C5795" s="13"/>
      <c r="D5795" s="12"/>
      <c r="E5795" s="38"/>
      <c r="F5795" s="38"/>
      <c r="G5795" s="12"/>
      <c r="H5795" s="9"/>
      <c r="I5795" s="13"/>
      <c r="J5795" s="6"/>
      <c r="K5795" s="13"/>
      <c r="L5795" s="98"/>
    </row>
    <row r="5796" spans="1:12">
      <c r="A5796" s="72"/>
      <c r="B5796" s="9"/>
      <c r="C5796" s="9"/>
      <c r="D5796" s="12"/>
      <c r="E5796" s="38"/>
      <c r="F5796" s="38"/>
      <c r="G5796" s="12"/>
      <c r="H5796" s="9"/>
      <c r="I5796" s="13"/>
      <c r="J5796" s="6"/>
      <c r="K5796" s="9"/>
      <c r="L5796" s="41"/>
    </row>
    <row r="5797" spans="1:12">
      <c r="A5797" s="72"/>
      <c r="B5797" s="9"/>
      <c r="C5797" s="9"/>
      <c r="D5797" s="12"/>
      <c r="E5797" s="38"/>
      <c r="F5797" s="38"/>
      <c r="G5797" s="12"/>
      <c r="H5797" s="9"/>
      <c r="I5797" s="13"/>
      <c r="J5797" s="6"/>
      <c r="K5797" s="9"/>
      <c r="L5797" s="41"/>
    </row>
    <row r="5798" spans="1:12">
      <c r="A5798" s="72"/>
      <c r="B5798" s="9"/>
      <c r="C5798" s="9"/>
      <c r="D5798" s="12"/>
      <c r="E5798" s="38"/>
      <c r="F5798" s="38"/>
      <c r="G5798" s="12"/>
      <c r="H5798" s="57"/>
      <c r="I5798" s="13"/>
      <c r="J5798" s="6"/>
      <c r="K5798" s="9"/>
      <c r="L5798" s="41"/>
    </row>
    <row r="5799" spans="1:12">
      <c r="A5799" s="72"/>
      <c r="B5799" s="9"/>
      <c r="C5799" s="9"/>
      <c r="D5799" s="12"/>
      <c r="E5799" s="38"/>
      <c r="F5799" s="38"/>
      <c r="G5799" s="12"/>
      <c r="H5799" s="57"/>
      <c r="I5799" s="13"/>
      <c r="J5799" s="6"/>
      <c r="K5799" s="9"/>
      <c r="L5799" s="41"/>
    </row>
    <row r="5800" spans="1:12">
      <c r="A5800" s="72"/>
      <c r="B5800" s="9"/>
      <c r="C5800" s="13"/>
      <c r="D5800" s="12"/>
      <c r="E5800" s="38"/>
      <c r="F5800" s="38"/>
      <c r="G5800" s="12"/>
      <c r="H5800" s="9"/>
      <c r="I5800" s="13"/>
      <c r="J5800" s="6"/>
      <c r="K5800" s="9"/>
      <c r="L5800" s="41"/>
    </row>
    <row r="5801" spans="1:12">
      <c r="A5801" s="72"/>
      <c r="B5801" s="9"/>
      <c r="C5801" s="13"/>
      <c r="D5801" s="12"/>
      <c r="E5801" s="38"/>
      <c r="F5801" s="38"/>
      <c r="G5801" s="12"/>
      <c r="H5801" s="9"/>
      <c r="I5801" s="13"/>
      <c r="J5801" s="6"/>
      <c r="K5801" s="9"/>
      <c r="L5801" s="41"/>
    </row>
    <row r="5802" spans="1:12">
      <c r="A5802" s="72"/>
      <c r="B5802" s="9"/>
      <c r="C5802" s="9"/>
      <c r="D5802" s="12"/>
      <c r="E5802" s="38"/>
      <c r="F5802" s="38"/>
      <c r="G5802" s="12"/>
      <c r="H5802" s="9"/>
      <c r="I5802" s="13"/>
      <c r="J5802" s="6"/>
      <c r="K5802" s="9"/>
      <c r="L5802" s="41"/>
    </row>
    <row r="5803" spans="1:12">
      <c r="A5803" s="72"/>
      <c r="B5803" s="9"/>
      <c r="C5803" s="9"/>
      <c r="D5803" s="12"/>
      <c r="E5803" s="38"/>
      <c r="F5803" s="38"/>
      <c r="G5803" s="12"/>
      <c r="H5803" s="9"/>
      <c r="I5803" s="13"/>
      <c r="J5803" s="6"/>
      <c r="K5803" s="9"/>
      <c r="L5803" s="41"/>
    </row>
    <row r="5804" spans="1:12">
      <c r="A5804" s="72"/>
      <c r="B5804" s="9"/>
      <c r="C5804" s="9"/>
      <c r="D5804" s="12"/>
      <c r="E5804" s="38"/>
      <c r="F5804" s="38"/>
      <c r="G5804" s="12"/>
      <c r="H5804" s="9"/>
      <c r="I5804" s="13"/>
      <c r="J5804" s="6"/>
      <c r="K5804" s="9"/>
      <c r="L5804" s="41"/>
    </row>
    <row r="5805" spans="1:12">
      <c r="A5805" s="72"/>
      <c r="B5805" s="9"/>
      <c r="C5805" s="9"/>
      <c r="D5805" s="12"/>
      <c r="E5805" s="38"/>
      <c r="F5805" s="38"/>
      <c r="G5805" s="12"/>
      <c r="H5805" s="9"/>
      <c r="I5805" s="13"/>
      <c r="J5805" s="6"/>
      <c r="K5805" s="9"/>
      <c r="L5805" s="41"/>
    </row>
    <row r="5806" spans="1:12">
      <c r="A5806" s="72"/>
      <c r="B5806" s="9"/>
      <c r="C5806" s="13"/>
      <c r="D5806" s="12"/>
      <c r="E5806" s="38"/>
      <c r="F5806" s="38"/>
      <c r="G5806" s="12"/>
      <c r="H5806" s="9"/>
      <c r="I5806" s="13"/>
      <c r="J5806" s="6"/>
      <c r="K5806" s="9"/>
      <c r="L5806" s="41"/>
    </row>
    <row r="5807" spans="1:12">
      <c r="A5807" s="72"/>
      <c r="B5807" s="9"/>
      <c r="C5807" s="13"/>
      <c r="D5807" s="12"/>
      <c r="E5807" s="38"/>
      <c r="F5807" s="38"/>
      <c r="G5807" s="12"/>
      <c r="H5807" s="9"/>
      <c r="I5807" s="13"/>
      <c r="J5807" s="6"/>
      <c r="K5807" s="9"/>
      <c r="L5807" s="41"/>
    </row>
    <row r="5808" spans="1:12">
      <c r="A5808" s="72"/>
      <c r="B5808" s="9"/>
      <c r="C5808" s="13"/>
      <c r="D5808" s="12"/>
      <c r="E5808" s="38"/>
      <c r="F5808" s="38"/>
      <c r="G5808" s="12"/>
      <c r="H5808" s="9"/>
      <c r="I5808" s="13"/>
      <c r="J5808" s="6"/>
      <c r="K5808" s="9"/>
      <c r="L5808" s="41"/>
    </row>
    <row r="5809" spans="1:12">
      <c r="A5809" s="72"/>
      <c r="B5809" s="9"/>
      <c r="C5809" s="13"/>
      <c r="D5809" s="12"/>
      <c r="E5809" s="38"/>
      <c r="F5809" s="38"/>
      <c r="G5809" s="12"/>
      <c r="H5809" s="9"/>
      <c r="I5809" s="13"/>
      <c r="J5809" s="6"/>
      <c r="K5809" s="9"/>
      <c r="L5809" s="41"/>
    </row>
    <row r="5810" spans="1:12">
      <c r="A5810" s="72"/>
      <c r="B5810" s="9"/>
      <c r="C5810" s="13"/>
      <c r="D5810" s="12"/>
      <c r="E5810" s="38"/>
      <c r="F5810" s="38"/>
      <c r="G5810" s="12"/>
      <c r="H5810" s="9"/>
      <c r="I5810" s="13"/>
      <c r="J5810" s="6"/>
      <c r="K5810" s="9"/>
      <c r="L5810" s="41"/>
    </row>
    <row r="5811" spans="1:12">
      <c r="A5811" s="72"/>
      <c r="B5811" s="9"/>
      <c r="C5811" s="13"/>
      <c r="D5811" s="12"/>
      <c r="E5811" s="38"/>
      <c r="F5811" s="38"/>
      <c r="G5811" s="12"/>
      <c r="H5811" s="9"/>
      <c r="I5811" s="13"/>
      <c r="J5811" s="6"/>
      <c r="K5811" s="9"/>
      <c r="L5811" s="41"/>
    </row>
    <row r="5812" spans="1:12">
      <c r="A5812" s="72"/>
      <c r="B5812" s="9"/>
      <c r="C5812" s="13"/>
      <c r="D5812" s="12"/>
      <c r="E5812" s="38"/>
      <c r="F5812" s="38"/>
      <c r="G5812" s="12"/>
      <c r="H5812" s="9"/>
      <c r="I5812" s="13"/>
      <c r="J5812" s="6"/>
      <c r="K5812" s="9"/>
      <c r="L5812" s="41"/>
    </row>
    <row r="5813" spans="1:12">
      <c r="A5813" s="72"/>
      <c r="B5813" s="9"/>
      <c r="C5813" s="13"/>
      <c r="D5813" s="12"/>
      <c r="E5813" s="38"/>
      <c r="F5813" s="38"/>
      <c r="G5813" s="12"/>
      <c r="H5813" s="9"/>
      <c r="I5813" s="13"/>
      <c r="J5813" s="6"/>
      <c r="K5813" s="9"/>
      <c r="L5813" s="41"/>
    </row>
    <row r="5814" spans="1:12">
      <c r="A5814" s="72"/>
      <c r="B5814" s="9"/>
      <c r="C5814" s="13"/>
      <c r="D5814" s="12"/>
      <c r="E5814" s="38"/>
      <c r="F5814" s="38"/>
      <c r="G5814" s="12"/>
      <c r="H5814" s="9"/>
      <c r="I5814" s="13"/>
      <c r="J5814" s="6"/>
      <c r="K5814" s="9"/>
      <c r="L5814" s="41"/>
    </row>
    <row r="5815" spans="1:12">
      <c r="A5815" s="72"/>
      <c r="B5815" s="9"/>
      <c r="C5815" s="13"/>
      <c r="D5815" s="12"/>
      <c r="E5815" s="38"/>
      <c r="F5815" s="38"/>
      <c r="G5815" s="12"/>
      <c r="H5815" s="9"/>
      <c r="I5815" s="13"/>
      <c r="J5815" s="6"/>
      <c r="K5815" s="9"/>
      <c r="L5815" s="41"/>
    </row>
    <row r="5816" spans="1:12">
      <c r="A5816" s="72"/>
      <c r="B5816" s="9"/>
      <c r="C5816" s="13"/>
      <c r="D5816" s="12"/>
      <c r="E5816" s="38"/>
      <c r="F5816" s="38"/>
      <c r="G5816" s="12"/>
      <c r="H5816" s="9"/>
      <c r="I5816" s="13"/>
      <c r="J5816" s="6"/>
      <c r="K5816" s="9"/>
      <c r="L5816" s="41"/>
    </row>
    <row r="5817" spans="1:12">
      <c r="A5817" s="72"/>
      <c r="B5817" s="9"/>
      <c r="C5817" s="13"/>
      <c r="D5817" s="12"/>
      <c r="E5817" s="38"/>
      <c r="F5817" s="38"/>
      <c r="G5817" s="12"/>
      <c r="H5817" s="9"/>
      <c r="I5817" s="13"/>
      <c r="J5817" s="6"/>
      <c r="K5817" s="9"/>
      <c r="L5817" s="41"/>
    </row>
    <row r="5818" spans="1:12">
      <c r="A5818" s="72"/>
      <c r="B5818" s="9"/>
      <c r="C5818" s="9"/>
      <c r="D5818" s="12"/>
      <c r="E5818" s="38"/>
      <c r="F5818" s="38"/>
      <c r="G5818" s="12"/>
      <c r="H5818" s="9"/>
      <c r="I5818" s="13"/>
      <c r="J5818" s="6"/>
      <c r="K5818" s="9"/>
      <c r="L5818" s="41"/>
    </row>
    <row r="5819" spans="1:12">
      <c r="A5819" s="72"/>
      <c r="B5819" s="9"/>
      <c r="C5819" s="9"/>
      <c r="D5819" s="12"/>
      <c r="E5819" s="38"/>
      <c r="F5819" s="38"/>
      <c r="G5819" s="12"/>
      <c r="H5819" s="9"/>
      <c r="I5819" s="13"/>
      <c r="J5819" s="6"/>
      <c r="K5819" s="9"/>
      <c r="L5819" s="41"/>
    </row>
    <row r="5820" spans="1:12">
      <c r="A5820" s="72"/>
      <c r="B5820" s="9"/>
      <c r="C5820" s="13"/>
      <c r="D5820" s="12"/>
      <c r="E5820" s="38"/>
      <c r="F5820" s="38"/>
      <c r="G5820" s="12"/>
      <c r="H5820" s="9"/>
      <c r="I5820" s="13"/>
      <c r="J5820" s="6"/>
      <c r="K5820" s="9"/>
      <c r="L5820" s="41"/>
    </row>
    <row r="5821" spans="1:12">
      <c r="A5821" s="72"/>
      <c r="B5821" s="9"/>
      <c r="C5821" s="13"/>
      <c r="D5821" s="12"/>
      <c r="E5821" s="38"/>
      <c r="F5821" s="38"/>
      <c r="G5821" s="12"/>
      <c r="H5821" s="9"/>
      <c r="I5821" s="13"/>
      <c r="J5821" s="6"/>
      <c r="K5821" s="9"/>
      <c r="L5821" s="41"/>
    </row>
    <row r="5822" spans="1:12">
      <c r="A5822" s="72"/>
      <c r="B5822" s="9"/>
      <c r="C5822" s="9"/>
      <c r="D5822" s="12"/>
      <c r="E5822" s="38"/>
      <c r="F5822" s="38"/>
      <c r="G5822" s="12"/>
      <c r="H5822" s="9"/>
      <c r="I5822" s="13"/>
      <c r="J5822" s="6"/>
      <c r="K5822" s="9"/>
      <c r="L5822" s="41"/>
    </row>
    <row r="5823" spans="1:12">
      <c r="A5823" s="72"/>
      <c r="B5823" s="9"/>
      <c r="C5823" s="9"/>
      <c r="D5823" s="12"/>
      <c r="E5823" s="38"/>
      <c r="F5823" s="38"/>
      <c r="G5823" s="12"/>
      <c r="H5823" s="9"/>
      <c r="I5823" s="13"/>
      <c r="J5823" s="6"/>
      <c r="K5823" s="9"/>
      <c r="L5823" s="41"/>
    </row>
    <row r="5824" spans="1:12">
      <c r="A5824" s="72"/>
      <c r="B5824" s="9"/>
      <c r="C5824" s="9"/>
      <c r="D5824" s="12"/>
      <c r="E5824" s="38"/>
      <c r="F5824" s="38"/>
      <c r="G5824" s="12"/>
      <c r="H5824" s="9"/>
      <c r="I5824" s="13"/>
      <c r="J5824" s="6"/>
      <c r="K5824" s="9"/>
      <c r="L5824" s="41"/>
    </row>
    <row r="5825" spans="1:12">
      <c r="A5825" s="72"/>
      <c r="B5825" s="9"/>
      <c r="C5825" s="9"/>
      <c r="D5825" s="12"/>
      <c r="E5825" s="38"/>
      <c r="F5825" s="38"/>
      <c r="G5825" s="12"/>
      <c r="H5825" s="9"/>
      <c r="I5825" s="13"/>
      <c r="J5825" s="6"/>
      <c r="K5825" s="9"/>
      <c r="L5825" s="41"/>
    </row>
    <row r="5826" spans="1:12">
      <c r="A5826" s="72"/>
      <c r="B5826" s="9"/>
      <c r="C5826" s="13"/>
      <c r="D5826" s="12"/>
      <c r="E5826" s="38"/>
      <c r="F5826" s="38"/>
      <c r="G5826" s="12"/>
      <c r="H5826" s="9"/>
      <c r="I5826" s="13"/>
      <c r="J5826" s="6"/>
      <c r="K5826" s="13"/>
      <c r="L5826" s="98"/>
    </row>
    <row r="5827" spans="1:12">
      <c r="A5827" s="72"/>
      <c r="B5827" s="9"/>
      <c r="C5827" s="13"/>
      <c r="D5827" s="12"/>
      <c r="E5827" s="38"/>
      <c r="F5827" s="38"/>
      <c r="G5827" s="12"/>
      <c r="H5827" s="9"/>
      <c r="I5827" s="13"/>
      <c r="J5827" s="6"/>
      <c r="K5827" s="13"/>
      <c r="L5827" s="98"/>
    </row>
    <row r="5828" spans="1:12">
      <c r="A5828" s="72"/>
      <c r="B5828" s="12"/>
      <c r="C5828" s="12"/>
      <c r="D5828" s="10"/>
      <c r="E5828" s="11"/>
      <c r="F5828" s="11"/>
      <c r="G5828" s="12"/>
      <c r="H5828" s="12"/>
      <c r="I5828" s="12"/>
      <c r="J5828" s="12"/>
      <c r="K5828" s="12"/>
      <c r="L5828" s="15"/>
    </row>
    <row r="5829" spans="1:12">
      <c r="A5829" s="72"/>
      <c r="B5829" s="12"/>
      <c r="C5829" s="12"/>
      <c r="D5829" s="10"/>
      <c r="E5829" s="11"/>
      <c r="F5829" s="11"/>
      <c r="G5829" s="12"/>
      <c r="H5829" s="12"/>
      <c r="I5829" s="12"/>
      <c r="J5829" s="12"/>
      <c r="K5829" s="12"/>
      <c r="L5829" s="15"/>
    </row>
    <row r="5830" spans="1:12">
      <c r="A5830" s="72"/>
      <c r="B5830" s="12"/>
      <c r="C5830" s="12"/>
      <c r="D5830" s="10"/>
      <c r="E5830" s="11"/>
      <c r="F5830" s="11"/>
      <c r="G5830" s="12"/>
      <c r="H5830" s="12"/>
      <c r="I5830" s="12"/>
      <c r="J5830" s="12"/>
      <c r="K5830" s="12"/>
      <c r="L5830" s="15"/>
    </row>
    <row r="5831" spans="1:12">
      <c r="A5831" s="72"/>
      <c r="B5831" s="12"/>
      <c r="C5831" s="12"/>
      <c r="D5831" s="10"/>
      <c r="E5831" s="11"/>
      <c r="F5831" s="11"/>
      <c r="G5831" s="12"/>
      <c r="H5831" s="12"/>
      <c r="I5831" s="12"/>
      <c r="J5831" s="12"/>
      <c r="K5831" s="12"/>
      <c r="L5831" s="15"/>
    </row>
    <row r="5832" spans="1:12">
      <c r="A5832" s="72"/>
      <c r="B5832" s="12"/>
      <c r="C5832" s="12"/>
      <c r="D5832" s="10"/>
      <c r="E5832" s="11"/>
      <c r="F5832" s="11"/>
      <c r="G5832" s="12"/>
      <c r="H5832" s="12"/>
      <c r="I5832" s="12"/>
      <c r="J5832" s="12"/>
      <c r="K5832" s="12"/>
      <c r="L5832" s="16"/>
    </row>
    <row r="5833" spans="1:12">
      <c r="A5833" s="72"/>
      <c r="B5833" s="12"/>
      <c r="C5833" s="12"/>
      <c r="D5833" s="10"/>
      <c r="E5833" s="11"/>
      <c r="F5833" s="11"/>
      <c r="G5833" s="12"/>
      <c r="H5833" s="12"/>
      <c r="I5833" s="12"/>
      <c r="J5833" s="12"/>
      <c r="K5833" s="12"/>
      <c r="L5833" s="15"/>
    </row>
    <row r="5834" spans="1:12">
      <c r="A5834" s="72"/>
      <c r="B5834" s="12"/>
      <c r="C5834" s="12"/>
      <c r="D5834" s="10"/>
      <c r="E5834" s="11"/>
      <c r="F5834" s="11"/>
      <c r="G5834" s="12"/>
      <c r="H5834" s="12"/>
      <c r="I5834" s="12"/>
      <c r="J5834" s="12"/>
      <c r="K5834" s="12"/>
      <c r="L5834" s="15"/>
    </row>
    <row r="5835" spans="1:12">
      <c r="A5835" s="72"/>
      <c r="B5835" s="12"/>
      <c r="C5835" s="12"/>
      <c r="D5835" s="10"/>
      <c r="E5835" s="11"/>
      <c r="F5835" s="11"/>
      <c r="G5835" s="12"/>
      <c r="H5835" s="12"/>
      <c r="I5835" s="12"/>
      <c r="J5835" s="12"/>
      <c r="K5835" s="12"/>
      <c r="L5835" s="15"/>
    </row>
    <row r="5836" spans="1:12">
      <c r="A5836" s="72"/>
      <c r="B5836" s="12"/>
      <c r="C5836" s="12"/>
      <c r="D5836" s="10"/>
      <c r="E5836" s="11"/>
      <c r="F5836" s="11"/>
      <c r="G5836" s="12"/>
      <c r="H5836" s="12"/>
      <c r="I5836" s="12"/>
      <c r="J5836" s="12"/>
      <c r="K5836" s="12"/>
      <c r="L5836" s="15"/>
    </row>
    <row r="5837" spans="1:12">
      <c r="A5837" s="72"/>
      <c r="B5837" s="12"/>
      <c r="C5837" s="12"/>
      <c r="D5837" s="10"/>
      <c r="E5837" s="11"/>
      <c r="F5837" s="11"/>
      <c r="G5837" s="12"/>
      <c r="H5837" s="12"/>
      <c r="I5837" s="12"/>
      <c r="J5837" s="12"/>
      <c r="K5837" s="12"/>
      <c r="L5837" s="15"/>
    </row>
    <row r="5838" spans="1:12">
      <c r="A5838" s="72"/>
      <c r="B5838" s="12"/>
      <c r="C5838" s="12"/>
      <c r="D5838" s="10"/>
      <c r="E5838" s="11"/>
      <c r="F5838" s="11"/>
      <c r="G5838" s="12"/>
      <c r="H5838" s="12"/>
      <c r="I5838" s="12"/>
      <c r="J5838" s="12"/>
      <c r="K5838" s="12"/>
      <c r="L5838" s="15"/>
    </row>
    <row r="5839" spans="1:12">
      <c r="A5839" s="72"/>
      <c r="B5839" s="12"/>
      <c r="C5839" s="12"/>
      <c r="D5839" s="10"/>
      <c r="E5839" s="11"/>
      <c r="F5839" s="11"/>
      <c r="G5839" s="12"/>
      <c r="H5839" s="12"/>
      <c r="I5839" s="12"/>
      <c r="J5839" s="12"/>
      <c r="K5839" s="12"/>
      <c r="L5839" s="15"/>
    </row>
    <row r="5840" spans="1:12">
      <c r="A5840" s="72"/>
      <c r="B5840" s="12"/>
      <c r="C5840" s="12"/>
      <c r="D5840" s="10"/>
      <c r="E5840" s="11"/>
      <c r="F5840" s="11"/>
      <c r="G5840" s="12"/>
      <c r="H5840" s="12"/>
      <c r="I5840" s="12"/>
      <c r="J5840" s="12"/>
      <c r="K5840" s="12"/>
      <c r="L5840" s="15"/>
    </row>
    <row r="5841" spans="1:12">
      <c r="A5841" s="72"/>
      <c r="B5841" s="12"/>
      <c r="C5841" s="12"/>
      <c r="D5841" s="10"/>
      <c r="E5841" s="11"/>
      <c r="F5841" s="11"/>
      <c r="G5841" s="12"/>
      <c r="H5841" s="12"/>
      <c r="I5841" s="12"/>
      <c r="J5841" s="12"/>
      <c r="K5841" s="12"/>
      <c r="L5841" s="15"/>
    </row>
    <row r="5842" spans="1:12">
      <c r="A5842" s="72"/>
      <c r="B5842" s="12"/>
      <c r="C5842" s="12"/>
      <c r="D5842" s="10"/>
      <c r="E5842" s="11"/>
      <c r="F5842" s="11"/>
      <c r="G5842" s="12"/>
      <c r="H5842" s="12"/>
      <c r="I5842" s="12"/>
      <c r="J5842" s="12"/>
      <c r="K5842" s="12"/>
      <c r="L5842" s="15"/>
    </row>
    <row r="5843" spans="1:12">
      <c r="A5843" s="72"/>
      <c r="B5843" s="12"/>
      <c r="C5843" s="12"/>
      <c r="D5843" s="10"/>
      <c r="E5843" s="11"/>
      <c r="F5843" s="11"/>
      <c r="G5843" s="12"/>
      <c r="H5843" s="12"/>
      <c r="I5843" s="12"/>
      <c r="J5843" s="12"/>
      <c r="K5843" s="12"/>
      <c r="L5843" s="15"/>
    </row>
    <row r="5844" spans="1:12">
      <c r="A5844" s="72"/>
      <c r="B5844" s="9"/>
      <c r="C5844" s="9"/>
      <c r="D5844" s="10"/>
      <c r="E5844" s="32"/>
      <c r="F5844" s="32"/>
      <c r="G5844" s="9"/>
      <c r="H5844" s="12"/>
      <c r="I5844" s="9"/>
      <c r="J5844" s="9"/>
      <c r="K5844" s="10"/>
      <c r="L5844" s="15"/>
    </row>
    <row r="5845" spans="1:12">
      <c r="A5845" s="72"/>
      <c r="B5845" s="9"/>
      <c r="C5845" s="9"/>
      <c r="D5845" s="10"/>
      <c r="E5845" s="11"/>
      <c r="F5845" s="11"/>
      <c r="G5845" s="9"/>
      <c r="H5845" s="12"/>
      <c r="I5845" s="9"/>
      <c r="J5845" s="9"/>
      <c r="K5845" s="9"/>
      <c r="L5845" s="21"/>
    </row>
    <row r="5846" spans="1:12">
      <c r="A5846" s="72"/>
      <c r="B5846" s="9"/>
      <c r="C5846" s="9"/>
      <c r="D5846" s="10"/>
      <c r="E5846" s="11"/>
      <c r="F5846" s="11"/>
      <c r="G5846" s="9"/>
      <c r="H5846" s="9"/>
      <c r="I5846" s="9"/>
      <c r="J5846" s="9"/>
      <c r="K5846" s="9"/>
      <c r="L5846" s="21"/>
    </row>
    <row r="5847" spans="1:12">
      <c r="A5847" s="72"/>
      <c r="B5847" s="9"/>
      <c r="C5847" s="9"/>
      <c r="D5847" s="10"/>
      <c r="E5847" s="11"/>
      <c r="F5847" s="11"/>
      <c r="G5847" s="9"/>
      <c r="H5847" s="9"/>
      <c r="I5847" s="9"/>
      <c r="J5847" s="9"/>
      <c r="K5847" s="9"/>
      <c r="L5847" s="21"/>
    </row>
    <row r="5848" spans="1:12">
      <c r="A5848" s="72"/>
      <c r="B5848" s="9"/>
      <c r="C5848" s="9"/>
      <c r="D5848" s="10"/>
      <c r="E5848" s="19"/>
      <c r="F5848" s="19"/>
      <c r="G5848" s="9"/>
      <c r="H5848" s="9"/>
      <c r="I5848" s="9"/>
      <c r="J5848" s="9"/>
      <c r="K5848" s="9"/>
      <c r="L5848" s="15"/>
    </row>
    <row r="5849" spans="1:12">
      <c r="A5849" s="72"/>
      <c r="B5849" s="9"/>
      <c r="C5849" s="9"/>
      <c r="D5849" s="10"/>
      <c r="E5849" s="11"/>
      <c r="F5849" s="11"/>
      <c r="G5849" s="9"/>
      <c r="H5849" s="9"/>
      <c r="I5849" s="9"/>
      <c r="J5849" s="9"/>
      <c r="K5849" s="9"/>
      <c r="L5849" s="21"/>
    </row>
    <row r="5850" spans="1:12">
      <c r="A5850" s="72"/>
      <c r="B5850" s="9"/>
      <c r="C5850" s="9"/>
      <c r="D5850" s="10"/>
      <c r="E5850" s="11"/>
      <c r="F5850" s="11"/>
      <c r="G5850" s="9"/>
      <c r="H5850" s="9"/>
      <c r="I5850" s="9"/>
      <c r="J5850" s="9"/>
      <c r="K5850" s="9"/>
      <c r="L5850" s="21"/>
    </row>
    <row r="5851" spans="1:12">
      <c r="A5851" s="72"/>
      <c r="B5851" s="9"/>
      <c r="C5851" s="9"/>
      <c r="D5851" s="10"/>
      <c r="E5851" s="11"/>
      <c r="F5851" s="11"/>
      <c r="G5851" s="9"/>
      <c r="H5851" s="12"/>
      <c r="I5851" s="9"/>
      <c r="J5851" s="9"/>
      <c r="K5851" s="9"/>
      <c r="L5851" s="21"/>
    </row>
    <row r="5852" spans="1:12">
      <c r="A5852" s="72"/>
      <c r="B5852" s="9"/>
      <c r="C5852" s="9"/>
      <c r="D5852" s="10"/>
      <c r="E5852" s="11"/>
      <c r="F5852" s="11"/>
      <c r="G5852" s="9"/>
      <c r="H5852" s="12"/>
      <c r="I5852" s="9"/>
      <c r="J5852" s="9"/>
      <c r="K5852" s="9"/>
      <c r="L5852" s="21"/>
    </row>
    <row r="5853" spans="1:12">
      <c r="A5853" s="72"/>
      <c r="B5853" s="9"/>
      <c r="C5853" s="9"/>
      <c r="D5853" s="10"/>
      <c r="E5853" s="11"/>
      <c r="F5853" s="11"/>
      <c r="G5853" s="9"/>
      <c r="H5853" s="9"/>
      <c r="I5853" s="9"/>
      <c r="J5853" s="9"/>
      <c r="K5853" s="9"/>
      <c r="L5853" s="21"/>
    </row>
    <row r="5854" spans="1:12">
      <c r="A5854" s="72"/>
      <c r="B5854" s="11"/>
      <c r="C5854" s="12"/>
      <c r="D5854" s="10"/>
      <c r="E5854" s="11"/>
      <c r="F5854" s="45"/>
      <c r="G5854" s="12"/>
      <c r="H5854" s="12"/>
      <c r="I5854" s="12"/>
      <c r="J5854" s="12"/>
      <c r="K5854" s="12"/>
      <c r="L5854" s="15"/>
    </row>
    <row r="5855" spans="1:12">
      <c r="A5855" s="72"/>
      <c r="B5855" s="12"/>
      <c r="C5855" s="12"/>
      <c r="D5855" s="10"/>
      <c r="E5855" s="11"/>
      <c r="F5855" s="11"/>
      <c r="G5855" s="12"/>
      <c r="H5855" s="12"/>
      <c r="I5855" s="12"/>
      <c r="J5855" s="12"/>
      <c r="K5855" s="12"/>
      <c r="L5855" s="15"/>
    </row>
    <row r="5856" spans="1:12">
      <c r="A5856" s="72"/>
      <c r="B5856" s="9"/>
      <c r="C5856" s="13"/>
      <c r="D5856" s="10"/>
      <c r="E5856" s="38"/>
      <c r="F5856" s="38"/>
      <c r="G5856" s="9"/>
      <c r="H5856" s="9"/>
      <c r="I5856" s="13"/>
      <c r="J5856" s="6"/>
      <c r="K5856" s="9"/>
      <c r="L5856" s="41"/>
    </row>
    <row r="5857" spans="1:12">
      <c r="A5857" s="72"/>
      <c r="B5857" s="9"/>
      <c r="C5857" s="13"/>
      <c r="D5857" s="10"/>
      <c r="E5857" s="38"/>
      <c r="F5857" s="38"/>
      <c r="G5857" s="9"/>
      <c r="H5857" s="9"/>
      <c r="I5857" s="13"/>
      <c r="J5857" s="6"/>
      <c r="K5857" s="9"/>
      <c r="L5857" s="41"/>
    </row>
    <row r="5858" spans="1:12">
      <c r="A5858" s="72"/>
      <c r="B5858" s="9"/>
      <c r="C5858" s="9"/>
      <c r="D5858" s="10"/>
      <c r="E5858" s="38"/>
      <c r="F5858" s="38"/>
      <c r="G5858" s="9"/>
      <c r="H5858" s="9"/>
      <c r="I5858" s="13"/>
      <c r="J5858" s="6"/>
      <c r="K5858" s="9"/>
      <c r="L5858" s="41"/>
    </row>
    <row r="5859" spans="1:12">
      <c r="A5859" s="72"/>
      <c r="B5859" s="9"/>
      <c r="C5859" s="9"/>
      <c r="D5859" s="10"/>
      <c r="E5859" s="38"/>
      <c r="F5859" s="38"/>
      <c r="G5859" s="9"/>
      <c r="H5859" s="9"/>
      <c r="I5859" s="13"/>
      <c r="J5859" s="6"/>
      <c r="K5859" s="9"/>
      <c r="L5859" s="41"/>
    </row>
    <row r="5860" spans="1:12">
      <c r="A5860" s="72"/>
      <c r="B5860" s="9"/>
      <c r="C5860" s="9"/>
      <c r="D5860" s="10"/>
      <c r="E5860" s="38"/>
      <c r="F5860" s="38"/>
      <c r="G5860" s="9"/>
      <c r="H5860" s="9"/>
      <c r="I5860" s="13"/>
      <c r="J5860" s="6"/>
      <c r="K5860" s="9"/>
      <c r="L5860" s="41"/>
    </row>
    <row r="5861" spans="1:12">
      <c r="A5861" s="72"/>
      <c r="B5861" s="9"/>
      <c r="C5861" s="9"/>
      <c r="D5861" s="10"/>
      <c r="E5861" s="38"/>
      <c r="F5861" s="38"/>
      <c r="G5861" s="9"/>
      <c r="H5861" s="9"/>
      <c r="I5861" s="13"/>
      <c r="J5861" s="6"/>
      <c r="K5861" s="9"/>
      <c r="L5861" s="41"/>
    </row>
    <row r="5862" spans="1:12">
      <c r="A5862" s="72"/>
      <c r="B5862" s="9"/>
      <c r="C5862" s="9"/>
      <c r="D5862" s="10"/>
      <c r="E5862" s="38"/>
      <c r="F5862" s="38"/>
      <c r="G5862" s="9"/>
      <c r="H5862" s="9"/>
      <c r="I5862" s="13"/>
      <c r="J5862" s="6"/>
      <c r="K5862" s="9"/>
      <c r="L5862" s="41"/>
    </row>
    <row r="5863" spans="1:12">
      <c r="A5863" s="72"/>
      <c r="B5863" s="9"/>
      <c r="C5863" s="9"/>
      <c r="D5863" s="10"/>
      <c r="E5863" s="38"/>
      <c r="F5863" s="38"/>
      <c r="G5863" s="9"/>
      <c r="H5863" s="9"/>
      <c r="I5863" s="13"/>
      <c r="J5863" s="6"/>
      <c r="K5863" s="9"/>
      <c r="L5863" s="41"/>
    </row>
    <row r="5864" spans="1:12">
      <c r="A5864" s="72"/>
      <c r="B5864" s="9"/>
      <c r="C5864" s="9"/>
      <c r="D5864" s="10"/>
      <c r="E5864" s="38"/>
      <c r="F5864" s="38"/>
      <c r="G5864" s="9"/>
      <c r="H5864" s="9"/>
      <c r="I5864" s="13"/>
      <c r="J5864" s="6"/>
      <c r="K5864" s="9"/>
      <c r="L5864" s="41"/>
    </row>
    <row r="5865" spans="1:12">
      <c r="A5865" s="72"/>
      <c r="B5865" s="9"/>
      <c r="C5865" s="9"/>
      <c r="D5865" s="10"/>
      <c r="E5865" s="38"/>
      <c r="F5865" s="38"/>
      <c r="G5865" s="9"/>
      <c r="H5865" s="9"/>
      <c r="I5865" s="13"/>
      <c r="J5865" s="6"/>
      <c r="K5865" s="9"/>
      <c r="L5865" s="41"/>
    </row>
    <row r="5866" spans="1:12">
      <c r="A5866" s="72"/>
      <c r="B5866" s="9"/>
      <c r="C5866" s="9"/>
      <c r="D5866" s="10"/>
      <c r="E5866" s="38"/>
      <c r="F5866" s="38"/>
      <c r="G5866" s="9"/>
      <c r="H5866" s="9"/>
      <c r="I5866" s="13"/>
      <c r="J5866" s="6"/>
      <c r="K5866" s="9"/>
      <c r="L5866" s="41"/>
    </row>
    <row r="5867" spans="1:12">
      <c r="A5867" s="72"/>
      <c r="B5867" s="9"/>
      <c r="C5867" s="9"/>
      <c r="D5867" s="10"/>
      <c r="E5867" s="38"/>
      <c r="F5867" s="38"/>
      <c r="G5867" s="9"/>
      <c r="H5867" s="9"/>
      <c r="I5867" s="13"/>
      <c r="J5867" s="6"/>
      <c r="K5867" s="9"/>
      <c r="L5867" s="41"/>
    </row>
    <row r="5868" spans="1:12">
      <c r="A5868" s="72"/>
      <c r="B5868" s="9"/>
      <c r="C5868" s="13"/>
      <c r="D5868" s="10"/>
      <c r="E5868" s="116"/>
      <c r="F5868" s="38"/>
      <c r="G5868" s="9"/>
      <c r="H5868" s="13"/>
      <c r="I5868" s="13"/>
      <c r="J5868" s="6"/>
      <c r="K5868" s="13"/>
      <c r="L5868" s="98"/>
    </row>
    <row r="5869" spans="1:12">
      <c r="A5869" s="72"/>
      <c r="B5869" s="9"/>
      <c r="C5869" s="13"/>
      <c r="D5869" s="10"/>
      <c r="E5869" s="116"/>
      <c r="F5869" s="38"/>
      <c r="G5869" s="9"/>
      <c r="H5869" s="13"/>
      <c r="I5869" s="13"/>
      <c r="J5869" s="6"/>
      <c r="K5869" s="13"/>
      <c r="L5869" s="98"/>
    </row>
    <row r="5870" spans="1:12">
      <c r="A5870" s="72"/>
      <c r="B5870" s="9"/>
      <c r="C5870" s="13"/>
      <c r="D5870" s="10"/>
      <c r="E5870" s="38"/>
      <c r="F5870" s="38"/>
      <c r="G5870" s="9"/>
      <c r="H5870" s="9"/>
      <c r="I5870" s="13"/>
      <c r="J5870" s="6"/>
      <c r="K5870" s="9"/>
      <c r="L5870" s="41"/>
    </row>
    <row r="5871" spans="1:12">
      <c r="A5871" s="72"/>
      <c r="B5871" s="9"/>
      <c r="C5871" s="13"/>
      <c r="D5871" s="10"/>
      <c r="E5871" s="38"/>
      <c r="F5871" s="38"/>
      <c r="G5871" s="9"/>
      <c r="H5871" s="9"/>
      <c r="I5871" s="13"/>
      <c r="J5871" s="6"/>
      <c r="K5871" s="9"/>
      <c r="L5871" s="41"/>
    </row>
    <row r="5872" spans="1:12">
      <c r="A5872" s="72"/>
      <c r="B5872" s="9"/>
      <c r="C5872" s="13"/>
      <c r="D5872" s="10"/>
      <c r="E5872" s="38"/>
      <c r="F5872" s="38"/>
      <c r="G5872" s="9"/>
      <c r="H5872" s="9"/>
      <c r="I5872" s="13"/>
      <c r="J5872" s="6"/>
      <c r="K5872" s="9"/>
      <c r="L5872" s="41"/>
    </row>
    <row r="5873" spans="1:12">
      <c r="A5873" s="72"/>
      <c r="B5873" s="9"/>
      <c r="C5873" s="13"/>
      <c r="D5873" s="10"/>
      <c r="E5873" s="38"/>
      <c r="F5873" s="38"/>
      <c r="G5873" s="9"/>
      <c r="H5873" s="9"/>
      <c r="I5873" s="13"/>
      <c r="J5873" s="6"/>
      <c r="K5873" s="9"/>
      <c r="L5873" s="41"/>
    </row>
    <row r="5874" spans="1:12">
      <c r="A5874" s="72"/>
      <c r="B5874" s="9"/>
      <c r="C5874" s="10"/>
      <c r="D5874" s="10"/>
      <c r="E5874" s="11"/>
      <c r="F5874" s="11"/>
      <c r="G5874" s="12"/>
      <c r="H5874" s="12"/>
      <c r="I5874" s="10"/>
      <c r="J5874" s="122"/>
      <c r="K5874" s="12"/>
      <c r="L5874" s="15"/>
    </row>
    <row r="5875" spans="1:12">
      <c r="A5875" s="72"/>
      <c r="B5875" s="9"/>
      <c r="C5875" s="13"/>
      <c r="D5875" s="13"/>
      <c r="E5875" s="38"/>
      <c r="F5875" s="38"/>
      <c r="G5875" s="9"/>
      <c r="H5875" s="9"/>
      <c r="I5875" s="13"/>
      <c r="J5875" s="123"/>
      <c r="K5875" s="9"/>
      <c r="L5875" s="41"/>
    </row>
    <row r="5876" spans="1:12">
      <c r="A5876" s="72"/>
      <c r="B5876" s="9"/>
      <c r="C5876" s="10"/>
      <c r="D5876" s="10"/>
      <c r="E5876" s="11"/>
      <c r="F5876" s="11"/>
      <c r="G5876" s="12"/>
      <c r="H5876" s="12"/>
      <c r="I5876" s="10"/>
      <c r="J5876" s="122"/>
      <c r="K5876" s="12"/>
      <c r="L5876" s="15"/>
    </row>
    <row r="5877" spans="1:12">
      <c r="A5877" s="72"/>
      <c r="B5877" s="9"/>
      <c r="C5877" s="10"/>
      <c r="D5877" s="10"/>
      <c r="E5877" s="11"/>
      <c r="F5877" s="11"/>
      <c r="G5877" s="12"/>
      <c r="H5877" s="12"/>
      <c r="I5877" s="10"/>
      <c r="J5877" s="122"/>
      <c r="K5877" s="12"/>
      <c r="L5877" s="15"/>
    </row>
    <row r="5878" spans="1:12">
      <c r="A5878" s="72"/>
      <c r="B5878" s="9"/>
      <c r="C5878" s="12"/>
      <c r="D5878" s="12"/>
      <c r="E5878" s="45"/>
      <c r="F5878" s="11"/>
      <c r="G5878" s="12"/>
      <c r="H5878" s="12"/>
      <c r="I5878" s="10"/>
      <c r="J5878" s="122"/>
      <c r="K5878" s="12"/>
      <c r="L5878" s="15"/>
    </row>
    <row r="5879" spans="1:12">
      <c r="A5879" s="72"/>
      <c r="B5879" s="9"/>
      <c r="C5879" s="12"/>
      <c r="D5879" s="12"/>
      <c r="E5879" s="45"/>
      <c r="F5879" s="11"/>
      <c r="G5879" s="12"/>
      <c r="H5879" s="12"/>
      <c r="I5879" s="10"/>
      <c r="J5879" s="122"/>
      <c r="K5879" s="12"/>
      <c r="L5879" s="15"/>
    </row>
    <row r="5880" spans="1:12">
      <c r="A5880" s="72"/>
      <c r="B5880" s="9"/>
      <c r="C5880" s="10"/>
      <c r="D5880" s="10"/>
      <c r="E5880" s="11"/>
      <c r="F5880" s="11"/>
      <c r="G5880" s="12"/>
      <c r="H5880" s="12"/>
      <c r="I5880" s="10"/>
      <c r="J5880" s="122"/>
      <c r="K5880" s="12"/>
      <c r="L5880" s="15"/>
    </row>
    <row r="5881" spans="1:12">
      <c r="A5881" s="72"/>
      <c r="B5881" s="9"/>
      <c r="C5881" s="10"/>
      <c r="D5881" s="10"/>
      <c r="E5881" s="11"/>
      <c r="F5881" s="11"/>
      <c r="G5881" s="12"/>
      <c r="H5881" s="12"/>
      <c r="I5881" s="10"/>
      <c r="J5881" s="122"/>
      <c r="K5881" s="12"/>
      <c r="L5881" s="15"/>
    </row>
    <row r="5882" spans="1:12">
      <c r="A5882" s="72"/>
      <c r="B5882" s="9"/>
      <c r="C5882" s="10"/>
      <c r="D5882" s="10"/>
      <c r="E5882" s="25"/>
      <c r="F5882" s="11"/>
      <c r="G5882" s="12"/>
      <c r="H5882" s="26"/>
      <c r="I5882" s="10"/>
      <c r="J5882" s="122"/>
      <c r="K5882" s="12"/>
      <c r="L5882" s="15"/>
    </row>
    <row r="5883" spans="1:12">
      <c r="A5883" s="72"/>
      <c r="B5883" s="9"/>
      <c r="C5883" s="10"/>
      <c r="D5883" s="10"/>
      <c r="E5883" s="25"/>
      <c r="F5883" s="11"/>
      <c r="G5883" s="12"/>
      <c r="H5883" s="26"/>
      <c r="I5883" s="10"/>
      <c r="J5883" s="122"/>
      <c r="K5883" s="12"/>
      <c r="L5883" s="15"/>
    </row>
    <row r="5884" spans="1:12">
      <c r="A5884" s="72"/>
      <c r="B5884" s="9"/>
      <c r="C5884" s="10"/>
      <c r="D5884" s="10"/>
      <c r="E5884" s="46"/>
      <c r="F5884" s="11"/>
      <c r="G5884" s="12"/>
      <c r="H5884" s="10"/>
      <c r="I5884" s="10"/>
      <c r="J5884" s="122"/>
      <c r="K5884" s="10"/>
      <c r="L5884" s="23"/>
    </row>
    <row r="5885" spans="1:12">
      <c r="A5885" s="72"/>
      <c r="B5885" s="9"/>
      <c r="C5885" s="10"/>
      <c r="D5885" s="10"/>
      <c r="E5885" s="46"/>
      <c r="F5885" s="11"/>
      <c r="G5885" s="12"/>
      <c r="H5885" s="10"/>
      <c r="I5885" s="10"/>
      <c r="J5885" s="122"/>
      <c r="K5885" s="10"/>
      <c r="L5885" s="23"/>
    </row>
    <row r="5886" spans="1:12">
      <c r="A5886" s="72"/>
      <c r="B5886" s="9"/>
      <c r="C5886" s="10"/>
      <c r="D5886" s="10"/>
      <c r="E5886" s="11"/>
      <c r="F5886" s="11"/>
      <c r="G5886" s="12"/>
      <c r="H5886" s="12"/>
      <c r="I5886" s="10"/>
      <c r="J5886" s="122"/>
      <c r="K5886" s="12"/>
      <c r="L5886" s="15"/>
    </row>
    <row r="5887" spans="1:12">
      <c r="A5887" s="72"/>
      <c r="B5887" s="9"/>
      <c r="C5887" s="10"/>
      <c r="D5887" s="10"/>
      <c r="E5887" s="11"/>
      <c r="F5887" s="11"/>
      <c r="G5887" s="12"/>
      <c r="H5887" s="12"/>
      <c r="I5887" s="10"/>
      <c r="J5887" s="122"/>
      <c r="K5887" s="12"/>
      <c r="L5887" s="15"/>
    </row>
    <row r="5888" spans="1:12">
      <c r="A5888" s="72"/>
      <c r="B5888" s="9"/>
      <c r="C5888" s="10"/>
      <c r="D5888" s="10"/>
      <c r="E5888" s="11"/>
      <c r="F5888" s="11"/>
      <c r="G5888" s="12"/>
      <c r="H5888" s="12"/>
      <c r="I5888" s="10"/>
      <c r="J5888" s="122"/>
      <c r="K5888" s="12"/>
      <c r="L5888" s="15"/>
    </row>
    <row r="5889" spans="1:12">
      <c r="A5889" s="72"/>
      <c r="B5889" s="9"/>
      <c r="C5889" s="13"/>
      <c r="D5889" s="13"/>
      <c r="E5889" s="38"/>
      <c r="F5889" s="38"/>
      <c r="G5889" s="9"/>
      <c r="H5889" s="9"/>
      <c r="I5889" s="13"/>
      <c r="J5889" s="123"/>
      <c r="K5889" s="9"/>
      <c r="L5889" s="41"/>
    </row>
    <row r="5890" spans="1:12">
      <c r="A5890" s="72"/>
      <c r="B5890" s="9"/>
      <c r="C5890" s="10"/>
      <c r="D5890" s="10"/>
      <c r="E5890" s="11"/>
      <c r="F5890" s="11"/>
      <c r="G5890" s="12"/>
      <c r="H5890" s="12"/>
      <c r="I5890" s="10"/>
      <c r="J5890" s="122"/>
      <c r="K5890" s="12"/>
      <c r="L5890" s="15"/>
    </row>
    <row r="5891" spans="1:12">
      <c r="A5891" s="72"/>
      <c r="B5891" s="9"/>
      <c r="C5891" s="10"/>
      <c r="D5891" s="10"/>
      <c r="E5891" s="11"/>
      <c r="F5891" s="11"/>
      <c r="G5891" s="12"/>
      <c r="H5891" s="12"/>
      <c r="I5891" s="10"/>
      <c r="J5891" s="122"/>
      <c r="K5891" s="12"/>
      <c r="L5891" s="15"/>
    </row>
    <row r="5892" spans="1:12">
      <c r="A5892" s="72"/>
      <c r="B5892" s="9"/>
      <c r="C5892" s="10"/>
      <c r="D5892" s="10"/>
      <c r="E5892" s="11"/>
      <c r="F5892" s="11"/>
      <c r="G5892" s="12"/>
      <c r="H5892" s="12"/>
      <c r="I5892" s="10"/>
      <c r="J5892" s="122"/>
      <c r="K5892" s="12"/>
      <c r="L5892" s="15"/>
    </row>
    <row r="5893" spans="1:12">
      <c r="A5893" s="72"/>
      <c r="B5893" s="9"/>
      <c r="C5893" s="13"/>
      <c r="D5893" s="13"/>
      <c r="E5893" s="38"/>
      <c r="F5893" s="38"/>
      <c r="G5893" s="9"/>
      <c r="H5893" s="9"/>
      <c r="I5893" s="13"/>
      <c r="J5893" s="123"/>
      <c r="K5893" s="9"/>
      <c r="L5893" s="41"/>
    </row>
    <row r="5894" spans="1:12">
      <c r="A5894" s="72"/>
      <c r="B5894" s="9"/>
      <c r="C5894" s="10"/>
      <c r="D5894" s="10"/>
      <c r="E5894" s="11"/>
      <c r="F5894" s="11"/>
      <c r="G5894" s="12"/>
      <c r="H5894" s="12"/>
      <c r="I5894" s="10"/>
      <c r="J5894" s="122"/>
      <c r="K5894" s="12"/>
      <c r="L5894" s="15"/>
    </row>
    <row r="5895" spans="1:12">
      <c r="A5895" s="72"/>
      <c r="B5895" s="9"/>
      <c r="C5895" s="10"/>
      <c r="D5895" s="10"/>
      <c r="E5895" s="11"/>
      <c r="F5895" s="11"/>
      <c r="G5895" s="12"/>
      <c r="H5895" s="12"/>
      <c r="I5895" s="10"/>
      <c r="J5895" s="122"/>
      <c r="K5895" s="12"/>
      <c r="L5895" s="15"/>
    </row>
    <row r="5896" spans="1:12">
      <c r="A5896" s="72"/>
      <c r="B5896" s="9"/>
      <c r="C5896" s="10"/>
      <c r="D5896" s="10"/>
      <c r="E5896" s="11"/>
      <c r="F5896" s="11"/>
      <c r="G5896" s="12"/>
      <c r="H5896" s="12"/>
      <c r="I5896" s="10"/>
      <c r="J5896" s="122"/>
      <c r="K5896" s="9"/>
      <c r="L5896" s="15"/>
    </row>
    <row r="5897" spans="1:12">
      <c r="A5897" s="72"/>
      <c r="B5897" s="9"/>
      <c r="C5897" s="10"/>
      <c r="D5897" s="10"/>
      <c r="E5897" s="11"/>
      <c r="F5897" s="11"/>
      <c r="G5897" s="12"/>
      <c r="H5897" s="12"/>
      <c r="I5897" s="10"/>
      <c r="J5897" s="122"/>
      <c r="K5897" s="9"/>
      <c r="L5897" s="15"/>
    </row>
    <row r="5898" spans="1:12">
      <c r="A5898" s="72"/>
      <c r="B5898" s="9"/>
      <c r="C5898" s="10"/>
      <c r="D5898" s="10"/>
      <c r="E5898" s="11"/>
      <c r="F5898" s="11"/>
      <c r="G5898" s="12"/>
      <c r="H5898" s="12"/>
      <c r="I5898" s="10"/>
      <c r="J5898" s="122"/>
      <c r="K5898" s="9"/>
      <c r="L5898" s="15"/>
    </row>
    <row r="5899" spans="1:12">
      <c r="A5899" s="72"/>
      <c r="B5899" s="9"/>
      <c r="C5899" s="10"/>
      <c r="D5899" s="10"/>
      <c r="E5899" s="11"/>
      <c r="F5899" s="11"/>
      <c r="G5899" s="12"/>
      <c r="H5899" s="12"/>
      <c r="I5899" s="10"/>
      <c r="J5899" s="122"/>
      <c r="K5899" s="9"/>
      <c r="L5899" s="15"/>
    </row>
    <row r="5900" spans="1:12">
      <c r="A5900" s="72"/>
      <c r="B5900" s="9"/>
      <c r="C5900" s="13"/>
      <c r="D5900" s="13"/>
      <c r="E5900" s="38"/>
      <c r="F5900" s="38"/>
      <c r="G5900" s="9"/>
      <c r="H5900" s="9"/>
      <c r="I5900" s="13"/>
      <c r="J5900" s="123"/>
      <c r="K5900" s="9"/>
      <c r="L5900" s="41"/>
    </row>
    <row r="5901" spans="1:12">
      <c r="A5901" s="72"/>
      <c r="B5901" s="9"/>
      <c r="C5901" s="13"/>
      <c r="D5901" s="13"/>
      <c r="E5901" s="38"/>
      <c r="F5901" s="38"/>
      <c r="G5901" s="9"/>
      <c r="H5901" s="9"/>
      <c r="I5901" s="13"/>
      <c r="J5901" s="123"/>
      <c r="K5901" s="9"/>
      <c r="L5901" s="41"/>
    </row>
    <row r="5902" spans="1:12">
      <c r="A5902" s="72"/>
      <c r="B5902" s="9"/>
      <c r="C5902" s="13"/>
      <c r="D5902" s="13"/>
      <c r="E5902" s="38"/>
      <c r="F5902" s="38"/>
      <c r="G5902" s="9"/>
      <c r="H5902" s="9"/>
      <c r="I5902" s="13"/>
      <c r="J5902" s="123"/>
      <c r="K5902" s="9"/>
      <c r="L5902" s="41"/>
    </row>
    <row r="5903" spans="1:12">
      <c r="A5903" s="72"/>
      <c r="B5903" s="9"/>
      <c r="C5903" s="13"/>
      <c r="D5903" s="13"/>
      <c r="E5903" s="38"/>
      <c r="F5903" s="38"/>
      <c r="G5903" s="9"/>
      <c r="H5903" s="9"/>
      <c r="I5903" s="13"/>
      <c r="J5903" s="123"/>
      <c r="K5903" s="9"/>
      <c r="L5903" s="41"/>
    </row>
    <row r="5904" spans="1:12">
      <c r="A5904" s="72"/>
      <c r="B5904" s="9"/>
      <c r="C5904" s="13"/>
      <c r="D5904" s="13"/>
      <c r="E5904" s="38"/>
      <c r="F5904" s="38"/>
      <c r="G5904" s="9"/>
      <c r="H5904" s="9"/>
      <c r="I5904" s="13"/>
      <c r="J5904" s="123"/>
      <c r="K5904" s="9"/>
      <c r="L5904" s="41"/>
    </row>
    <row r="5905" spans="1:12">
      <c r="A5905" s="72"/>
      <c r="B5905" s="9"/>
      <c r="C5905" s="13"/>
      <c r="D5905" s="13"/>
      <c r="E5905" s="38"/>
      <c r="F5905" s="38"/>
      <c r="G5905" s="9"/>
      <c r="H5905" s="9"/>
      <c r="I5905" s="13"/>
      <c r="J5905" s="123"/>
      <c r="K5905" s="9"/>
      <c r="L5905" s="41"/>
    </row>
    <row r="5906" spans="1:12">
      <c r="A5906" s="72"/>
      <c r="B5906" s="9"/>
      <c r="C5906" s="13"/>
      <c r="D5906" s="13"/>
      <c r="E5906" s="38"/>
      <c r="F5906" s="38"/>
      <c r="G5906" s="9"/>
      <c r="H5906" s="9"/>
      <c r="I5906" s="13"/>
      <c r="J5906" s="123"/>
      <c r="K5906" s="9"/>
      <c r="L5906" s="41"/>
    </row>
    <row r="5907" spans="1:12">
      <c r="A5907" s="72"/>
      <c r="B5907" s="9"/>
      <c r="C5907" s="13"/>
      <c r="D5907" s="13"/>
      <c r="E5907" s="38"/>
      <c r="F5907" s="38"/>
      <c r="G5907" s="9"/>
      <c r="H5907" s="9"/>
      <c r="I5907" s="13"/>
      <c r="J5907" s="123"/>
      <c r="K5907" s="9"/>
      <c r="L5907" s="41"/>
    </row>
    <row r="5908" spans="1:12">
      <c r="A5908" s="72"/>
      <c r="B5908" s="9"/>
      <c r="C5908" s="13"/>
      <c r="D5908" s="13"/>
      <c r="E5908" s="38"/>
      <c r="F5908" s="38"/>
      <c r="G5908" s="9"/>
      <c r="H5908" s="9"/>
      <c r="I5908" s="13"/>
      <c r="J5908" s="123"/>
      <c r="K5908" s="9"/>
      <c r="L5908" s="41"/>
    </row>
    <row r="5909" spans="1:12">
      <c r="A5909" s="72"/>
      <c r="B5909" s="9"/>
      <c r="C5909" s="13"/>
      <c r="D5909" s="13"/>
      <c r="E5909" s="38"/>
      <c r="F5909" s="38"/>
      <c r="G5909" s="9"/>
      <c r="H5909" s="9"/>
      <c r="I5909" s="13"/>
      <c r="J5909" s="123"/>
      <c r="K5909" s="9"/>
      <c r="L5909" s="41"/>
    </row>
    <row r="5910" spans="1:12">
      <c r="A5910" s="72"/>
      <c r="B5910" s="9"/>
      <c r="C5910" s="13"/>
      <c r="D5910" s="13"/>
      <c r="E5910" s="38"/>
      <c r="F5910" s="38"/>
      <c r="G5910" s="9"/>
      <c r="H5910" s="9"/>
      <c r="I5910" s="13"/>
      <c r="J5910" s="123"/>
      <c r="K5910" s="9"/>
      <c r="L5910" s="41"/>
    </row>
    <row r="5911" spans="1:12">
      <c r="A5911" s="72"/>
      <c r="B5911" s="9"/>
      <c r="C5911" s="13"/>
      <c r="D5911" s="13"/>
      <c r="E5911" s="38"/>
      <c r="F5911" s="38"/>
      <c r="G5911" s="9"/>
      <c r="H5911" s="9"/>
      <c r="I5911" s="13"/>
      <c r="J5911" s="123"/>
      <c r="K5911" s="9"/>
      <c r="L5911" s="41"/>
    </row>
    <row r="5912" spans="1:12">
      <c r="A5912" s="72"/>
      <c r="B5912" s="9"/>
      <c r="C5912" s="13"/>
      <c r="D5912" s="13"/>
      <c r="E5912" s="38"/>
      <c r="F5912" s="38"/>
      <c r="G5912" s="9"/>
      <c r="H5912" s="9"/>
      <c r="I5912" s="13"/>
      <c r="J5912" s="123"/>
      <c r="K5912" s="9"/>
      <c r="L5912" s="41"/>
    </row>
    <row r="5913" spans="1:12">
      <c r="A5913" s="72"/>
      <c r="B5913" s="9"/>
      <c r="C5913" s="13"/>
      <c r="D5913" s="13"/>
      <c r="E5913" s="38"/>
      <c r="F5913" s="38"/>
      <c r="G5913" s="9"/>
      <c r="H5913" s="9"/>
      <c r="I5913" s="13"/>
      <c r="J5913" s="123"/>
      <c r="K5913" s="9"/>
      <c r="L5913" s="41"/>
    </row>
    <row r="5914" spans="1:12">
      <c r="A5914" s="72"/>
      <c r="B5914" s="9"/>
      <c r="C5914" s="13"/>
      <c r="D5914" s="12"/>
      <c r="E5914" s="38"/>
      <c r="F5914" s="38"/>
      <c r="G5914" s="9"/>
      <c r="H5914" s="9"/>
      <c r="I5914" s="13"/>
      <c r="J5914" s="123"/>
      <c r="K5914" s="9"/>
      <c r="L5914" s="41"/>
    </row>
    <row r="5915" spans="1:12">
      <c r="A5915" s="72"/>
      <c r="B5915" s="9"/>
      <c r="C5915" s="13"/>
      <c r="D5915" s="12"/>
      <c r="E5915" s="38"/>
      <c r="F5915" s="38"/>
      <c r="G5915" s="9"/>
      <c r="H5915" s="9"/>
      <c r="I5915" s="13"/>
      <c r="J5915" s="123"/>
      <c r="K5915" s="9"/>
      <c r="L5915" s="41"/>
    </row>
    <row r="5916" spans="1:12">
      <c r="A5916" s="72"/>
      <c r="B5916" s="9"/>
      <c r="C5916" s="9"/>
      <c r="D5916" s="9"/>
      <c r="E5916" s="38"/>
      <c r="F5916" s="38"/>
      <c r="G5916" s="9"/>
      <c r="H5916" s="9"/>
      <c r="I5916" s="13"/>
      <c r="J5916" s="123"/>
      <c r="K5916" s="9"/>
      <c r="L5916" s="41"/>
    </row>
    <row r="5917" spans="1:12">
      <c r="A5917" s="72"/>
      <c r="B5917" s="9"/>
      <c r="C5917" s="9"/>
      <c r="D5917" s="9"/>
      <c r="E5917" s="38"/>
      <c r="F5917" s="38"/>
      <c r="G5917" s="9"/>
      <c r="H5917" s="9"/>
      <c r="I5917" s="13"/>
      <c r="J5917" s="123"/>
      <c r="K5917" s="9"/>
      <c r="L5917" s="41"/>
    </row>
    <row r="5918" spans="1:12">
      <c r="A5918" s="72"/>
      <c r="B5918" s="12"/>
      <c r="C5918" s="12"/>
      <c r="D5918" s="10"/>
      <c r="E5918" s="11"/>
      <c r="F5918" s="11"/>
      <c r="G5918" s="12"/>
      <c r="H5918" s="12"/>
      <c r="I5918" s="10"/>
      <c r="J5918" s="122"/>
      <c r="K5918" s="12"/>
      <c r="L5918" s="16"/>
    </row>
    <row r="5919" spans="1:12">
      <c r="A5919" s="72"/>
      <c r="B5919" s="12"/>
      <c r="C5919" s="12"/>
      <c r="D5919" s="10"/>
      <c r="E5919" s="11"/>
      <c r="F5919" s="11"/>
      <c r="G5919" s="12"/>
      <c r="H5919" s="12"/>
      <c r="I5919" s="10"/>
      <c r="J5919" s="122"/>
      <c r="K5919" s="12"/>
      <c r="L5919" s="16"/>
    </row>
    <row r="5920" spans="1:12">
      <c r="A5920" s="72"/>
      <c r="B5920" s="9"/>
      <c r="C5920" s="13"/>
      <c r="D5920" s="13"/>
      <c r="E5920" s="38"/>
      <c r="F5920" s="38"/>
      <c r="G5920" s="9"/>
      <c r="H5920" s="9"/>
      <c r="I5920" s="13"/>
      <c r="J5920" s="123"/>
      <c r="K5920" s="9"/>
      <c r="L5920" s="41"/>
    </row>
    <row r="5921" spans="1:12">
      <c r="A5921" s="72"/>
      <c r="B5921" s="9"/>
      <c r="C5921" s="13"/>
      <c r="D5921" s="13"/>
      <c r="E5921" s="38"/>
      <c r="F5921" s="38"/>
      <c r="G5921" s="9"/>
      <c r="H5921" s="9"/>
      <c r="I5921" s="13"/>
      <c r="J5921" s="123"/>
      <c r="K5921" s="9"/>
      <c r="L5921" s="41"/>
    </row>
    <row r="5922" spans="1:12">
      <c r="A5922" s="72"/>
      <c r="B5922" s="9"/>
      <c r="C5922" s="13"/>
      <c r="D5922" s="13"/>
      <c r="E5922" s="38"/>
      <c r="F5922" s="38"/>
      <c r="G5922" s="9"/>
      <c r="H5922" s="9"/>
      <c r="I5922" s="13"/>
      <c r="J5922" s="123"/>
      <c r="K5922" s="9"/>
      <c r="L5922" s="41"/>
    </row>
    <row r="5923" spans="1:12">
      <c r="A5923" s="72"/>
      <c r="B5923" s="9"/>
      <c r="C5923" s="13"/>
      <c r="D5923" s="13"/>
      <c r="E5923" s="38"/>
      <c r="F5923" s="38"/>
      <c r="G5923" s="9"/>
      <c r="H5923" s="9"/>
      <c r="I5923" s="13"/>
      <c r="J5923" s="123"/>
      <c r="K5923" s="9"/>
      <c r="L5923" s="41"/>
    </row>
    <row r="5924" spans="1:12">
      <c r="A5924" s="72"/>
      <c r="B5924" s="9"/>
      <c r="C5924" s="13"/>
      <c r="D5924" s="13"/>
      <c r="E5924" s="38"/>
      <c r="F5924" s="38"/>
      <c r="G5924" s="9"/>
      <c r="H5924" s="9"/>
      <c r="I5924" s="13"/>
      <c r="J5924" s="123"/>
      <c r="K5924" s="9"/>
      <c r="L5924" s="41"/>
    </row>
    <row r="5925" spans="1:12">
      <c r="A5925" s="72"/>
      <c r="B5925" s="9"/>
      <c r="C5925" s="13"/>
      <c r="D5925" s="13"/>
      <c r="E5925" s="38"/>
      <c r="F5925" s="38"/>
      <c r="G5925" s="9"/>
      <c r="H5925" s="9"/>
      <c r="I5925" s="13"/>
      <c r="J5925" s="123"/>
      <c r="K5925" s="9"/>
      <c r="L5925" s="41"/>
    </row>
    <row r="5926" spans="1:12">
      <c r="A5926" s="72"/>
      <c r="B5926" s="9"/>
      <c r="C5926" s="13"/>
      <c r="D5926" s="13"/>
      <c r="E5926" s="116"/>
      <c r="F5926" s="38"/>
      <c r="G5926" s="9"/>
      <c r="H5926" s="9"/>
      <c r="I5926" s="13"/>
      <c r="J5926" s="123"/>
      <c r="K5926" s="13"/>
      <c r="L5926" s="98"/>
    </row>
    <row r="5927" spans="1:12">
      <c r="A5927" s="72"/>
      <c r="B5927" s="9"/>
      <c r="C5927" s="13"/>
      <c r="D5927" s="13"/>
      <c r="E5927" s="116"/>
      <c r="F5927" s="38"/>
      <c r="G5927" s="9"/>
      <c r="H5927" s="9"/>
      <c r="I5927" s="13"/>
      <c r="J5927" s="123"/>
      <c r="K5927" s="13"/>
      <c r="L5927" s="98"/>
    </row>
    <row r="5928" spans="1:12">
      <c r="A5928" s="72"/>
      <c r="B5928" s="9"/>
      <c r="C5928" s="13"/>
      <c r="D5928" s="13"/>
      <c r="E5928" s="38"/>
      <c r="F5928" s="38"/>
      <c r="G5928" s="9"/>
      <c r="H5928" s="9"/>
      <c r="I5928" s="13"/>
      <c r="J5928" s="123"/>
      <c r="K5928" s="9"/>
      <c r="L5928" s="41"/>
    </row>
    <row r="5929" spans="1:12">
      <c r="A5929" s="72"/>
      <c r="B5929" s="9"/>
      <c r="C5929" s="13"/>
      <c r="D5929" s="13"/>
      <c r="E5929" s="38"/>
      <c r="F5929" s="38"/>
      <c r="G5929" s="9"/>
      <c r="H5929" s="9"/>
      <c r="I5929" s="13"/>
      <c r="J5929" s="123"/>
      <c r="K5929" s="9"/>
      <c r="L5929" s="41"/>
    </row>
    <row r="5930" spans="1:12">
      <c r="A5930" s="72"/>
      <c r="B5930" s="9"/>
      <c r="C5930" s="9"/>
      <c r="D5930" s="13"/>
      <c r="E5930" s="38"/>
      <c r="F5930" s="38"/>
      <c r="G5930" s="9"/>
      <c r="H5930" s="9"/>
      <c r="I5930" s="13"/>
      <c r="J5930" s="123"/>
      <c r="K5930" s="9"/>
      <c r="L5930" s="41"/>
    </row>
    <row r="5931" spans="1:12">
      <c r="A5931" s="72"/>
      <c r="B5931" s="9"/>
      <c r="C5931" s="9"/>
      <c r="D5931" s="13"/>
      <c r="E5931" s="38"/>
      <c r="F5931" s="38"/>
      <c r="G5931" s="9"/>
      <c r="H5931" s="9"/>
      <c r="I5931" s="13"/>
      <c r="J5931" s="123"/>
      <c r="K5931" s="9"/>
      <c r="L5931" s="41"/>
    </row>
    <row r="5932" spans="1:12">
      <c r="A5932" s="72"/>
      <c r="B5932" s="9"/>
      <c r="C5932" s="13"/>
      <c r="D5932" s="13"/>
      <c r="E5932" s="38"/>
      <c r="F5932" s="38"/>
      <c r="G5932" s="9"/>
      <c r="H5932" s="9"/>
      <c r="I5932" s="13"/>
      <c r="J5932" s="124"/>
      <c r="K5932" s="9"/>
      <c r="L5932" s="41"/>
    </row>
    <row r="5933" spans="1:12">
      <c r="A5933" s="72"/>
      <c r="B5933" s="9"/>
      <c r="C5933" s="13"/>
      <c r="D5933" s="13"/>
      <c r="E5933" s="38"/>
      <c r="F5933" s="38"/>
      <c r="G5933" s="9"/>
      <c r="H5933" s="9"/>
      <c r="I5933" s="13"/>
      <c r="J5933" s="124"/>
      <c r="K5933" s="9"/>
      <c r="L5933" s="41"/>
    </row>
    <row r="5934" spans="1:12">
      <c r="A5934" s="72"/>
      <c r="B5934" s="9"/>
      <c r="C5934" s="13"/>
      <c r="D5934" s="13"/>
      <c r="E5934" s="116"/>
      <c r="F5934" s="38"/>
      <c r="G5934" s="9"/>
      <c r="H5934" s="9"/>
      <c r="I5934" s="13"/>
      <c r="J5934" s="123"/>
      <c r="K5934" s="13"/>
      <c r="L5934" s="98"/>
    </row>
    <row r="5935" spans="1:12">
      <c r="A5935" s="72"/>
      <c r="B5935" s="9"/>
      <c r="C5935" s="13"/>
      <c r="D5935" s="13"/>
      <c r="E5935" s="116"/>
      <c r="F5935" s="38"/>
      <c r="G5935" s="9"/>
      <c r="H5935" s="9"/>
      <c r="I5935" s="13"/>
      <c r="J5935" s="123"/>
      <c r="K5935" s="13"/>
      <c r="L5935" s="98"/>
    </row>
    <row r="5936" spans="1:12">
      <c r="A5936" s="72"/>
      <c r="B5936" s="9"/>
      <c r="C5936" s="9"/>
      <c r="D5936" s="9"/>
      <c r="E5936" s="38"/>
      <c r="F5936" s="38"/>
      <c r="G5936" s="12"/>
      <c r="H5936" s="9"/>
      <c r="I5936" s="13"/>
      <c r="J5936" s="123"/>
      <c r="K5936" s="9"/>
      <c r="L5936" s="41"/>
    </row>
    <row r="5937" spans="1:12">
      <c r="A5937" s="72"/>
      <c r="B5937" s="9"/>
      <c r="C5937" s="9"/>
      <c r="D5937" s="9"/>
      <c r="E5937" s="38"/>
      <c r="F5937" s="38"/>
      <c r="G5937" s="12"/>
      <c r="H5937" s="9"/>
      <c r="I5937" s="13"/>
      <c r="J5937" s="123"/>
      <c r="K5937" s="9"/>
      <c r="L5937" s="41"/>
    </row>
    <row r="5938" spans="1:12">
      <c r="A5938" s="125"/>
      <c r="B5938" s="11"/>
      <c r="C5938" s="11"/>
      <c r="D5938" s="12"/>
      <c r="E5938" s="11"/>
      <c r="F5938" s="11"/>
      <c r="G5938" s="11"/>
      <c r="H5938" s="11"/>
      <c r="I5938" s="11"/>
      <c r="J5938" s="11"/>
      <c r="K5938" s="11"/>
      <c r="L5938" s="15"/>
    </row>
    <row r="5939" spans="1:12">
      <c r="A5939" s="125"/>
      <c r="B5939" s="11"/>
      <c r="C5939" s="11"/>
      <c r="D5939" s="12"/>
      <c r="E5939" s="11"/>
      <c r="F5939" s="11"/>
      <c r="G5939" s="11"/>
      <c r="H5939" s="11"/>
      <c r="I5939" s="11"/>
      <c r="J5939" s="11"/>
      <c r="K5939" s="11"/>
      <c r="L5939" s="15"/>
    </row>
    <row r="5940" spans="1:12">
      <c r="A5940" s="125"/>
      <c r="B5940" s="11"/>
      <c r="C5940" s="11"/>
      <c r="D5940" s="12"/>
      <c r="E5940" s="11"/>
      <c r="F5940" s="11"/>
      <c r="G5940" s="11"/>
      <c r="H5940" s="11"/>
      <c r="I5940" s="11"/>
      <c r="J5940" s="11"/>
      <c r="K5940" s="11"/>
      <c r="L5940" s="15"/>
    </row>
    <row r="5941" spans="1:12">
      <c r="A5941" s="125"/>
      <c r="B5941" s="11"/>
      <c r="C5941" s="11"/>
      <c r="D5941" s="12"/>
      <c r="E5941" s="11"/>
      <c r="F5941" s="11"/>
      <c r="G5941" s="11"/>
      <c r="H5941" s="11"/>
      <c r="I5941" s="11"/>
      <c r="J5941" s="11"/>
      <c r="K5941" s="11"/>
      <c r="L5941" s="15"/>
    </row>
    <row r="5942" spans="1:12">
      <c r="A5942" s="72"/>
      <c r="B5942" s="22"/>
      <c r="C5942" s="11"/>
      <c r="D5942" s="12"/>
      <c r="E5942" s="11"/>
      <c r="F5942" s="11"/>
      <c r="G5942" s="11"/>
      <c r="H5942" s="11"/>
      <c r="I5942" s="11"/>
      <c r="J5942" s="11"/>
      <c r="K5942" s="11"/>
      <c r="L5942" s="15"/>
    </row>
    <row r="5943" spans="1:12">
      <c r="A5943" s="125"/>
      <c r="B5943" s="22"/>
      <c r="C5943" s="11"/>
      <c r="D5943" s="12"/>
      <c r="E5943" s="11"/>
      <c r="F5943" s="11"/>
      <c r="G5943" s="11"/>
      <c r="H5943" s="11"/>
      <c r="I5943" s="11"/>
      <c r="J5943" s="11"/>
      <c r="K5943" s="11"/>
      <c r="L5943" s="15"/>
    </row>
    <row r="5944" spans="1:12">
      <c r="A5944" s="125"/>
      <c r="B5944" s="22"/>
      <c r="C5944" s="11"/>
      <c r="D5944" s="12"/>
      <c r="E5944" s="11"/>
      <c r="F5944" s="11"/>
      <c r="G5944" s="11"/>
      <c r="H5944" s="11"/>
      <c r="I5944" s="11"/>
      <c r="J5944" s="11"/>
      <c r="K5944" s="11"/>
      <c r="L5944" s="15"/>
    </row>
    <row r="5945" spans="1:12">
      <c r="A5945" s="125"/>
      <c r="B5945" s="22"/>
      <c r="C5945" s="11"/>
      <c r="D5945" s="12"/>
      <c r="E5945" s="11"/>
      <c r="F5945" s="11"/>
      <c r="G5945" s="11"/>
      <c r="H5945" s="11"/>
      <c r="I5945" s="11"/>
      <c r="J5945" s="11"/>
      <c r="K5945" s="11"/>
      <c r="L5945" s="15"/>
    </row>
    <row r="5946" spans="1:12">
      <c r="A5946" s="125"/>
      <c r="B5946" s="22"/>
      <c r="C5946" s="11"/>
      <c r="D5946" s="12"/>
      <c r="E5946" s="11"/>
      <c r="F5946" s="11"/>
      <c r="G5946" s="11"/>
      <c r="H5946" s="11"/>
      <c r="I5946" s="11"/>
      <c r="J5946" s="11"/>
      <c r="K5946" s="11"/>
      <c r="L5946" s="15"/>
    </row>
    <row r="5947" spans="1:12">
      <c r="A5947" s="125"/>
      <c r="B5947" s="22"/>
      <c r="C5947" s="11"/>
      <c r="D5947" s="12"/>
      <c r="E5947" s="11"/>
      <c r="F5947" s="11"/>
      <c r="G5947" s="11"/>
      <c r="H5947" s="11"/>
      <c r="I5947" s="11"/>
      <c r="J5947" s="11"/>
      <c r="K5947" s="11"/>
      <c r="L5947" s="15"/>
    </row>
    <row r="5948" spans="1:12">
      <c r="A5948" s="125"/>
      <c r="B5948" s="22"/>
      <c r="C5948" s="11"/>
      <c r="D5948" s="12"/>
      <c r="E5948" s="11"/>
      <c r="F5948" s="11"/>
      <c r="G5948" s="11"/>
      <c r="H5948" s="11"/>
      <c r="I5948" s="11"/>
      <c r="J5948" s="11"/>
      <c r="K5948" s="11"/>
      <c r="L5948" s="15"/>
    </row>
    <row r="5949" spans="1:12">
      <c r="A5949" s="72"/>
      <c r="B5949" s="10"/>
      <c r="C5949" s="10"/>
      <c r="D5949" s="10"/>
      <c r="E5949" s="22"/>
      <c r="F5949" s="22"/>
      <c r="G5949" s="73"/>
      <c r="H5949" s="10"/>
      <c r="I5949" s="10"/>
      <c r="J5949" s="79"/>
      <c r="K5949" s="10"/>
      <c r="L5949" s="23"/>
    </row>
    <row r="5950" spans="1:12">
      <c r="A5950" s="72"/>
      <c r="B5950" s="12"/>
      <c r="C5950" s="12"/>
      <c r="D5950" s="12"/>
      <c r="E5950" s="11"/>
      <c r="F5950" s="11"/>
      <c r="G5950" s="73"/>
      <c r="H5950" s="12"/>
      <c r="I5950" s="12"/>
      <c r="J5950" s="33"/>
      <c r="K5950" s="12"/>
      <c r="L5950" s="15"/>
    </row>
    <row r="5951" spans="1:12">
      <c r="A5951" s="72"/>
      <c r="B5951" s="12"/>
      <c r="C5951" s="12"/>
      <c r="D5951" s="12"/>
      <c r="E5951" s="11"/>
      <c r="F5951" s="11"/>
      <c r="G5951" s="73"/>
      <c r="H5951" s="12"/>
      <c r="I5951" s="12"/>
      <c r="J5951" s="33"/>
      <c r="K5951" s="12"/>
      <c r="L5951" s="15"/>
    </row>
    <row r="5952" spans="1:12">
      <c r="A5952" s="72"/>
      <c r="B5952" s="12"/>
      <c r="C5952" s="12"/>
      <c r="D5952" s="12"/>
      <c r="E5952" s="11"/>
      <c r="F5952" s="11"/>
      <c r="G5952" s="73"/>
      <c r="H5952" s="12"/>
      <c r="I5952" s="12"/>
      <c r="J5952" s="33"/>
      <c r="K5952" s="12"/>
      <c r="L5952" s="15"/>
    </row>
    <row r="5953" spans="1:12">
      <c r="A5953" s="72"/>
      <c r="B5953" s="12"/>
      <c r="C5953" s="12"/>
      <c r="D5953" s="12"/>
      <c r="E5953" s="11"/>
      <c r="F5953" s="11"/>
      <c r="G5953" s="73"/>
      <c r="H5953" s="12"/>
      <c r="I5953" s="12"/>
      <c r="J5953" s="33"/>
      <c r="K5953" s="12"/>
      <c r="L5953" s="15"/>
    </row>
    <row r="5954" spans="1:12">
      <c r="A5954" s="72"/>
      <c r="B5954" s="12"/>
      <c r="C5954" s="12"/>
      <c r="D5954" s="12"/>
      <c r="E5954" s="11"/>
      <c r="F5954" s="11"/>
      <c r="G5954" s="73"/>
      <c r="H5954" s="12"/>
      <c r="I5954" s="12"/>
      <c r="J5954" s="33"/>
      <c r="K5954" s="12"/>
      <c r="L5954" s="15"/>
    </row>
    <row r="5955" spans="1:12">
      <c r="A5955" s="72"/>
      <c r="B5955" s="12"/>
      <c r="C5955" s="12"/>
      <c r="D5955" s="12"/>
      <c r="E5955" s="11"/>
      <c r="F5955" s="11"/>
      <c r="G5955" s="73"/>
      <c r="H5955" s="12"/>
      <c r="I5955" s="12"/>
      <c r="J5955" s="33"/>
      <c r="K5955" s="12"/>
      <c r="L5955" s="15"/>
    </row>
    <row r="5956" spans="1:12">
      <c r="A5956" s="72"/>
      <c r="B5956" s="12"/>
      <c r="C5956" s="12"/>
      <c r="D5956" s="12"/>
      <c r="E5956" s="11"/>
      <c r="F5956" s="11"/>
      <c r="G5956" s="73"/>
      <c r="H5956" s="12"/>
      <c r="I5956" s="12"/>
      <c r="J5956" s="33"/>
      <c r="K5956" s="12"/>
      <c r="L5956" s="15"/>
    </row>
    <row r="5957" spans="1:12">
      <c r="A5957" s="72"/>
      <c r="B5957" s="12"/>
      <c r="C5957" s="12"/>
      <c r="D5957" s="12"/>
      <c r="E5957" s="11"/>
      <c r="F5957" s="11"/>
      <c r="G5957" s="73"/>
      <c r="H5957" s="12"/>
      <c r="I5957" s="12"/>
      <c r="J5957" s="33"/>
      <c r="K5957" s="12"/>
      <c r="L5957" s="15"/>
    </row>
    <row r="5958" spans="1:12">
      <c r="A5958" s="72"/>
      <c r="B5958" s="12"/>
      <c r="C5958" s="12"/>
      <c r="D5958" s="12"/>
      <c r="E5958" s="11"/>
      <c r="F5958" s="11"/>
      <c r="G5958" s="73"/>
      <c r="H5958" s="12"/>
      <c r="I5958" s="12"/>
      <c r="J5958" s="33"/>
      <c r="K5958" s="12"/>
      <c r="L5958" s="15"/>
    </row>
    <row r="5959" spans="1:12">
      <c r="A5959" s="72"/>
      <c r="B5959" s="12"/>
      <c r="C5959" s="12"/>
      <c r="D5959" s="12"/>
      <c r="E5959" s="11"/>
      <c r="F5959" s="11"/>
      <c r="G5959" s="73"/>
      <c r="H5959" s="12"/>
      <c r="I5959" s="12"/>
      <c r="J5959" s="33"/>
      <c r="K5959" s="12"/>
      <c r="L5959" s="15"/>
    </row>
    <row r="5960" spans="1:12">
      <c r="A5960" s="72"/>
      <c r="B5960" s="12"/>
      <c r="C5960" s="12"/>
      <c r="D5960" s="12"/>
      <c r="E5960" s="11"/>
      <c r="F5960" s="11"/>
      <c r="G5960" s="73"/>
      <c r="H5960" s="12"/>
      <c r="I5960" s="12"/>
      <c r="J5960" s="33"/>
      <c r="K5960" s="12"/>
      <c r="L5960" s="15"/>
    </row>
    <row r="5961" spans="1:12">
      <c r="A5961" s="72"/>
      <c r="B5961" s="12"/>
      <c r="C5961" s="12"/>
      <c r="D5961" s="12"/>
      <c r="E5961" s="11"/>
      <c r="F5961" s="11"/>
      <c r="G5961" s="73"/>
      <c r="H5961" s="12"/>
      <c r="I5961" s="12"/>
      <c r="J5961" s="33"/>
      <c r="K5961" s="12"/>
      <c r="L5961" s="15"/>
    </row>
    <row r="5962" spans="1:12">
      <c r="A5962" s="72"/>
      <c r="B5962" s="12"/>
      <c r="C5962" s="12"/>
      <c r="D5962" s="12"/>
      <c r="E5962" s="11"/>
      <c r="F5962" s="11"/>
      <c r="G5962" s="73"/>
      <c r="H5962" s="12"/>
      <c r="I5962" s="12"/>
      <c r="J5962" s="33"/>
      <c r="K5962" s="12"/>
      <c r="L5962" s="15"/>
    </row>
    <row r="5963" spans="1:12">
      <c r="A5963" s="72"/>
      <c r="B5963" s="12"/>
      <c r="C5963" s="12"/>
      <c r="D5963" s="12"/>
      <c r="E5963" s="11"/>
      <c r="F5963" s="11"/>
      <c r="G5963" s="73"/>
      <c r="H5963" s="12"/>
      <c r="I5963" s="12"/>
      <c r="J5963" s="33"/>
      <c r="K5963" s="12"/>
      <c r="L5963" s="15"/>
    </row>
    <row r="5964" spans="1:12">
      <c r="A5964" s="72"/>
      <c r="B5964" s="12"/>
      <c r="C5964" s="12"/>
      <c r="D5964" s="12"/>
      <c r="E5964" s="11"/>
      <c r="F5964" s="11"/>
      <c r="G5964" s="73"/>
      <c r="H5964" s="12"/>
      <c r="I5964" s="12"/>
      <c r="J5964" s="33"/>
      <c r="K5964" s="12"/>
      <c r="L5964" s="15"/>
    </row>
    <row r="5965" spans="1:12">
      <c r="A5965" s="72"/>
      <c r="B5965" s="12"/>
      <c r="C5965" s="12"/>
      <c r="D5965" s="12"/>
      <c r="E5965" s="11"/>
      <c r="F5965" s="11"/>
      <c r="G5965" s="73"/>
      <c r="H5965" s="12"/>
      <c r="I5965" s="12"/>
      <c r="J5965" s="33"/>
      <c r="K5965" s="12"/>
      <c r="L5965" s="15"/>
    </row>
    <row r="5966" spans="1:12">
      <c r="A5966" s="72"/>
      <c r="B5966" s="12"/>
      <c r="C5966" s="12"/>
      <c r="D5966" s="12"/>
      <c r="E5966" s="11"/>
      <c r="F5966" s="11"/>
      <c r="G5966" s="73"/>
      <c r="H5966" s="12"/>
      <c r="I5966" s="12"/>
      <c r="J5966" s="33"/>
      <c r="K5966" s="12"/>
      <c r="L5966" s="15"/>
    </row>
    <row r="5967" spans="1:12">
      <c r="A5967" s="72"/>
      <c r="B5967" s="12"/>
      <c r="C5967" s="12"/>
      <c r="D5967" s="12"/>
      <c r="E5967" s="11"/>
      <c r="F5967" s="11"/>
      <c r="G5967" s="73"/>
      <c r="H5967" s="12"/>
      <c r="I5967" s="12"/>
      <c r="J5967" s="33"/>
      <c r="K5967" s="12"/>
      <c r="L5967" s="15"/>
    </row>
    <row r="5968" spans="1:12">
      <c r="A5968" s="72"/>
      <c r="B5968" s="12"/>
      <c r="C5968" s="12"/>
      <c r="D5968" s="12"/>
      <c r="E5968" s="11"/>
      <c r="F5968" s="11"/>
      <c r="G5968" s="73"/>
      <c r="H5968" s="12"/>
      <c r="I5968" s="12"/>
      <c r="J5968" s="33"/>
      <c r="K5968" s="12"/>
      <c r="L5968" s="15"/>
    </row>
    <row r="5969" spans="1:12">
      <c r="A5969" s="72"/>
      <c r="B5969" s="12"/>
      <c r="C5969" s="12"/>
      <c r="D5969" s="12"/>
      <c r="E5969" s="11"/>
      <c r="F5969" s="11"/>
      <c r="G5969" s="73"/>
      <c r="H5969" s="12"/>
      <c r="I5969" s="12"/>
      <c r="J5969" s="33"/>
      <c r="K5969" s="12"/>
      <c r="L5969" s="15"/>
    </row>
    <row r="5970" spans="1:12">
      <c r="A5970" s="72"/>
      <c r="B5970" s="12"/>
      <c r="C5970" s="12"/>
      <c r="D5970" s="12"/>
      <c r="E5970" s="11"/>
      <c r="F5970" s="11"/>
      <c r="G5970" s="73"/>
      <c r="H5970" s="12"/>
      <c r="I5970" s="12"/>
      <c r="J5970" s="33"/>
      <c r="K5970" s="12"/>
      <c r="L5970" s="15"/>
    </row>
    <row r="5971" spans="1:12">
      <c r="A5971" s="72"/>
      <c r="B5971" s="12"/>
      <c r="C5971" s="12"/>
      <c r="D5971" s="12"/>
      <c r="E5971" s="11"/>
      <c r="F5971" s="11"/>
      <c r="G5971" s="73"/>
      <c r="H5971" s="12"/>
      <c r="I5971" s="12"/>
      <c r="J5971" s="33"/>
      <c r="K5971" s="12"/>
      <c r="L5971" s="15"/>
    </row>
    <row r="5972" spans="1:12">
      <c r="A5972" s="72"/>
      <c r="B5972" s="12"/>
      <c r="C5972" s="12"/>
      <c r="D5972" s="12"/>
      <c r="E5972" s="11"/>
      <c r="F5972" s="11"/>
      <c r="G5972" s="73"/>
      <c r="H5972" s="12"/>
      <c r="I5972" s="12"/>
      <c r="J5972" s="33"/>
      <c r="K5972" s="12"/>
      <c r="L5972" s="15"/>
    </row>
    <row r="5973" spans="1:12">
      <c r="A5973" s="72"/>
      <c r="B5973" s="12"/>
      <c r="C5973" s="12"/>
      <c r="D5973" s="12"/>
      <c r="E5973" s="11"/>
      <c r="F5973" s="11"/>
      <c r="G5973" s="73"/>
      <c r="H5973" s="12"/>
      <c r="I5973" s="12"/>
      <c r="J5973" s="33"/>
      <c r="K5973" s="12"/>
      <c r="L5973" s="15"/>
    </row>
    <row r="5974" spans="1:12">
      <c r="A5974" s="72"/>
      <c r="B5974" s="12"/>
      <c r="C5974" s="12"/>
      <c r="D5974" s="12"/>
      <c r="E5974" s="11"/>
      <c r="F5974" s="11"/>
      <c r="G5974" s="73"/>
      <c r="H5974" s="12"/>
      <c r="I5974" s="12"/>
      <c r="J5974" s="33"/>
      <c r="K5974" s="12"/>
      <c r="L5974" s="15"/>
    </row>
    <row r="5975" spans="1:12">
      <c r="A5975" s="72"/>
      <c r="B5975" s="12"/>
      <c r="C5975" s="12"/>
      <c r="D5975" s="12"/>
      <c r="E5975" s="11"/>
      <c r="F5975" s="11"/>
      <c r="G5975" s="73"/>
      <c r="H5975" s="12"/>
      <c r="I5975" s="12"/>
      <c r="J5975" s="33"/>
      <c r="K5975" s="12"/>
      <c r="L5975" s="15"/>
    </row>
    <row r="5976" spans="1:12">
      <c r="A5976" s="72"/>
      <c r="B5976" s="12"/>
      <c r="C5976" s="12"/>
      <c r="D5976" s="12"/>
      <c r="E5976" s="11"/>
      <c r="F5976" s="11"/>
      <c r="G5976" s="73"/>
      <c r="H5976" s="12"/>
      <c r="I5976" s="12"/>
      <c r="J5976" s="33"/>
      <c r="K5976" s="12"/>
      <c r="L5976" s="15"/>
    </row>
    <row r="5977" spans="1:12">
      <c r="A5977" s="72"/>
      <c r="B5977" s="12"/>
      <c r="C5977" s="12"/>
      <c r="D5977" s="12"/>
      <c r="E5977" s="11"/>
      <c r="F5977" s="11"/>
      <c r="G5977" s="73"/>
      <c r="H5977" s="12"/>
      <c r="I5977" s="12"/>
      <c r="J5977" s="33"/>
      <c r="K5977" s="12"/>
      <c r="L5977" s="15"/>
    </row>
    <row r="5978" spans="1:12">
      <c r="A5978" s="72"/>
      <c r="B5978" s="12"/>
      <c r="C5978" s="12"/>
      <c r="D5978" s="12"/>
      <c r="E5978" s="11"/>
      <c r="F5978" s="11"/>
      <c r="G5978" s="73"/>
      <c r="H5978" s="12"/>
      <c r="I5978" s="12"/>
      <c r="J5978" s="33"/>
      <c r="K5978" s="12"/>
      <c r="L5978" s="15"/>
    </row>
    <row r="5979" spans="1:12">
      <c r="A5979" s="72"/>
      <c r="B5979" s="12"/>
      <c r="C5979" s="12"/>
      <c r="D5979" s="12"/>
      <c r="E5979" s="11"/>
      <c r="F5979" s="11"/>
      <c r="G5979" s="73"/>
      <c r="H5979" s="12"/>
      <c r="I5979" s="12"/>
      <c r="J5979" s="33"/>
      <c r="K5979" s="12"/>
      <c r="L5979" s="15"/>
    </row>
    <row r="5980" spans="1:12">
      <c r="A5980" s="72"/>
      <c r="B5980" s="12"/>
      <c r="C5980" s="12"/>
      <c r="D5980" s="12"/>
      <c r="E5980" s="11"/>
      <c r="F5980" s="11"/>
      <c r="G5980" s="73"/>
      <c r="H5980" s="12"/>
      <c r="I5980" s="12"/>
      <c r="J5980" s="33"/>
      <c r="K5980" s="12"/>
      <c r="L5980" s="15"/>
    </row>
    <row r="5981" spans="1:12">
      <c r="A5981" s="72"/>
      <c r="B5981" s="12"/>
      <c r="C5981" s="12"/>
      <c r="D5981" s="12"/>
      <c r="E5981" s="11"/>
      <c r="F5981" s="11"/>
      <c r="G5981" s="73"/>
      <c r="H5981" s="12"/>
      <c r="I5981" s="12"/>
      <c r="J5981" s="33"/>
      <c r="K5981" s="12"/>
      <c r="L5981" s="15"/>
    </row>
    <row r="5982" spans="1:12">
      <c r="A5982" s="72"/>
      <c r="B5982" s="12"/>
      <c r="C5982" s="12"/>
      <c r="D5982" s="12"/>
      <c r="E5982" s="11"/>
      <c r="F5982" s="11"/>
      <c r="G5982" s="73"/>
      <c r="H5982" s="12"/>
      <c r="I5982" s="12"/>
      <c r="J5982" s="33"/>
      <c r="K5982" s="12"/>
      <c r="L5982" s="15"/>
    </row>
    <row r="5983" spans="1:12">
      <c r="A5983" s="72"/>
      <c r="B5983" s="12"/>
      <c r="C5983" s="12"/>
      <c r="D5983" s="12"/>
      <c r="E5983" s="11"/>
      <c r="F5983" s="11"/>
      <c r="G5983" s="73"/>
      <c r="H5983" s="12"/>
      <c r="I5983" s="12"/>
      <c r="J5983" s="33"/>
      <c r="K5983" s="12"/>
      <c r="L5983" s="15"/>
    </row>
    <row r="5984" spans="1:12">
      <c r="A5984" s="72"/>
      <c r="B5984" s="12"/>
      <c r="C5984" s="12"/>
      <c r="D5984" s="12"/>
      <c r="E5984" s="11"/>
      <c r="F5984" s="11"/>
      <c r="G5984" s="73"/>
      <c r="H5984" s="12"/>
      <c r="I5984" s="12"/>
      <c r="J5984" s="33"/>
      <c r="K5984" s="12"/>
      <c r="L5984" s="15"/>
    </row>
    <row r="5985" spans="1:12">
      <c r="A5985" s="72"/>
      <c r="B5985" s="12"/>
      <c r="C5985" s="12"/>
      <c r="D5985" s="12"/>
      <c r="E5985" s="11"/>
      <c r="F5985" s="11"/>
      <c r="G5985" s="73"/>
      <c r="H5985" s="12"/>
      <c r="I5985" s="12"/>
      <c r="J5985" s="33"/>
      <c r="K5985" s="12"/>
      <c r="L5985" s="15"/>
    </row>
    <row r="5986" spans="1:12">
      <c r="A5986" s="72"/>
      <c r="B5986" s="12"/>
      <c r="C5986" s="12"/>
      <c r="D5986" s="12"/>
      <c r="E5986" s="11"/>
      <c r="F5986" s="11"/>
      <c r="G5986" s="73"/>
      <c r="H5986" s="12"/>
      <c r="I5986" s="12"/>
      <c r="J5986" s="33"/>
      <c r="K5986" s="12"/>
      <c r="L5986" s="15"/>
    </row>
    <row r="5987" spans="1:12">
      <c r="A5987" s="72"/>
      <c r="B5987" s="12"/>
      <c r="C5987" s="12"/>
      <c r="D5987" s="12"/>
      <c r="E5987" s="11"/>
      <c r="F5987" s="11"/>
      <c r="G5987" s="73"/>
      <c r="H5987" s="12"/>
      <c r="I5987" s="12"/>
      <c r="J5987" s="33"/>
      <c r="K5987" s="12"/>
      <c r="L5987" s="15"/>
    </row>
    <row r="5988" spans="1:12">
      <c r="A5988" s="72"/>
      <c r="B5988" s="12"/>
      <c r="C5988" s="12"/>
      <c r="D5988" s="12"/>
      <c r="E5988" s="11"/>
      <c r="F5988" s="11"/>
      <c r="G5988" s="73"/>
      <c r="H5988" s="12"/>
      <c r="I5988" s="12"/>
      <c r="J5988" s="33"/>
      <c r="K5988" s="12"/>
      <c r="L5988" s="15"/>
    </row>
    <row r="5989" spans="1:12">
      <c r="A5989" s="72"/>
      <c r="B5989" s="12"/>
      <c r="C5989" s="12"/>
      <c r="D5989" s="12"/>
      <c r="E5989" s="11"/>
      <c r="F5989" s="11"/>
      <c r="G5989" s="73"/>
      <c r="H5989" s="12"/>
      <c r="I5989" s="12"/>
      <c r="J5989" s="33"/>
      <c r="K5989" s="12"/>
      <c r="L5989" s="15"/>
    </row>
    <row r="5990" spans="1:12">
      <c r="A5990" s="72"/>
      <c r="B5990" s="12"/>
      <c r="C5990" s="12"/>
      <c r="D5990" s="12"/>
      <c r="E5990" s="11"/>
      <c r="F5990" s="11"/>
      <c r="G5990" s="73"/>
      <c r="H5990" s="12"/>
      <c r="I5990" s="12"/>
      <c r="J5990" s="33"/>
      <c r="K5990" s="12"/>
      <c r="L5990" s="15"/>
    </row>
    <row r="5991" spans="1:12">
      <c r="A5991" s="72"/>
      <c r="B5991" s="12"/>
      <c r="C5991" s="12"/>
      <c r="D5991" s="12"/>
      <c r="E5991" s="11"/>
      <c r="F5991" s="11"/>
      <c r="G5991" s="73"/>
      <c r="H5991" s="12"/>
      <c r="I5991" s="12"/>
      <c r="J5991" s="33"/>
      <c r="K5991" s="12"/>
      <c r="L5991" s="15"/>
    </row>
    <row r="5992" spans="1:12">
      <c r="A5992" s="72"/>
      <c r="B5992" s="12"/>
      <c r="C5992" s="12"/>
      <c r="D5992" s="12"/>
      <c r="E5992" s="11"/>
      <c r="F5992" s="11"/>
      <c r="G5992" s="73"/>
      <c r="H5992" s="12"/>
      <c r="I5992" s="12"/>
      <c r="J5992" s="33"/>
      <c r="K5992" s="12"/>
      <c r="L5992" s="15"/>
    </row>
    <row r="5993" spans="1:12">
      <c r="A5993" s="72"/>
      <c r="B5993" s="12"/>
      <c r="C5993" s="12"/>
      <c r="D5993" s="12"/>
      <c r="E5993" s="11"/>
      <c r="F5993" s="11"/>
      <c r="G5993" s="73"/>
      <c r="H5993" s="12"/>
      <c r="I5993" s="12"/>
      <c r="J5993" s="33"/>
      <c r="K5993" s="12"/>
      <c r="L5993" s="15"/>
    </row>
    <row r="5994" spans="1:12">
      <c r="A5994" s="72"/>
      <c r="B5994" s="12"/>
      <c r="C5994" s="12"/>
      <c r="D5994" s="12"/>
      <c r="E5994" s="11"/>
      <c r="F5994" s="11"/>
      <c r="G5994" s="73"/>
      <c r="H5994" s="12"/>
      <c r="I5994" s="12"/>
      <c r="J5994" s="33"/>
      <c r="K5994" s="12"/>
      <c r="L5994" s="15"/>
    </row>
    <row r="5995" spans="1:12">
      <c r="A5995" s="72"/>
      <c r="B5995" s="12"/>
      <c r="C5995" s="12"/>
      <c r="D5995" s="12"/>
      <c r="E5995" s="11"/>
      <c r="F5995" s="11"/>
      <c r="G5995" s="73"/>
      <c r="H5995" s="12"/>
      <c r="I5995" s="12"/>
      <c r="J5995" s="33"/>
      <c r="K5995" s="12"/>
      <c r="L5995" s="15"/>
    </row>
    <row r="5996" spans="1:12">
      <c r="A5996" s="72"/>
      <c r="B5996" s="12"/>
      <c r="C5996" s="12"/>
      <c r="D5996" s="12"/>
      <c r="E5996" s="11"/>
      <c r="F5996" s="11"/>
      <c r="G5996" s="73"/>
      <c r="H5996" s="12"/>
      <c r="I5996" s="12"/>
      <c r="J5996" s="33"/>
      <c r="K5996" s="12"/>
      <c r="L5996" s="15"/>
    </row>
    <row r="5997" spans="1:12">
      <c r="A5997" s="72"/>
      <c r="B5997" s="12"/>
      <c r="C5997" s="12"/>
      <c r="D5997" s="12"/>
      <c r="E5997" s="11"/>
      <c r="F5997" s="11"/>
      <c r="G5997" s="73"/>
      <c r="H5997" s="12"/>
      <c r="I5997" s="12"/>
      <c r="J5997" s="33"/>
      <c r="K5997" s="12"/>
      <c r="L5997" s="15"/>
    </row>
    <row r="5998" spans="1:12">
      <c r="A5998" s="72"/>
      <c r="B5998" s="12"/>
      <c r="C5998" s="12"/>
      <c r="D5998" s="12"/>
      <c r="E5998" s="11"/>
      <c r="F5998" s="11"/>
      <c r="G5998" s="73"/>
      <c r="H5998" s="12"/>
      <c r="I5998" s="12"/>
      <c r="J5998" s="33"/>
      <c r="K5998" s="12"/>
      <c r="L5998" s="15"/>
    </row>
    <row r="5999" spans="1:12">
      <c r="A5999" s="72"/>
      <c r="B5999" s="12"/>
      <c r="C5999" s="12"/>
      <c r="D5999" s="12"/>
      <c r="E5999" s="11"/>
      <c r="F5999" s="11"/>
      <c r="G5999" s="73"/>
      <c r="H5999" s="12"/>
      <c r="I5999" s="12"/>
      <c r="J5999" s="33"/>
      <c r="K5999" s="12"/>
      <c r="L5999" s="15"/>
    </row>
    <row r="6000" spans="1:12">
      <c r="A6000" s="72"/>
      <c r="B6000" s="12"/>
      <c r="C6000" s="12"/>
      <c r="D6000" s="12"/>
      <c r="E6000" s="11"/>
      <c r="F6000" s="11"/>
      <c r="G6000" s="73"/>
      <c r="H6000" s="12"/>
      <c r="I6000" s="12"/>
      <c r="J6000" s="33"/>
      <c r="K6000" s="12"/>
      <c r="L6000" s="15"/>
    </row>
    <row r="6001" spans="1:12">
      <c r="A6001" s="72"/>
      <c r="B6001" s="12"/>
      <c r="C6001" s="12"/>
      <c r="D6001" s="12"/>
      <c r="E6001" s="11"/>
      <c r="F6001" s="11"/>
      <c r="G6001" s="73"/>
      <c r="H6001" s="12"/>
      <c r="I6001" s="12"/>
      <c r="J6001" s="33"/>
      <c r="K6001" s="12"/>
      <c r="L6001" s="15"/>
    </row>
    <row r="6002" spans="1:12">
      <c r="A6002" s="72"/>
      <c r="B6002" s="12"/>
      <c r="C6002" s="12"/>
      <c r="D6002" s="12"/>
      <c r="E6002" s="11"/>
      <c r="F6002" s="11"/>
      <c r="G6002" s="73"/>
      <c r="H6002" s="12"/>
      <c r="I6002" s="12"/>
      <c r="J6002" s="33"/>
      <c r="K6002" s="12"/>
      <c r="L6002" s="15"/>
    </row>
    <row r="6003" spans="1:12">
      <c r="A6003" s="72"/>
      <c r="B6003" s="12"/>
      <c r="C6003" s="12"/>
      <c r="D6003" s="12"/>
      <c r="E6003" s="11"/>
      <c r="F6003" s="11"/>
      <c r="G6003" s="73"/>
      <c r="H6003" s="12"/>
      <c r="I6003" s="12"/>
      <c r="J6003" s="33"/>
      <c r="K6003" s="12"/>
      <c r="L6003" s="15"/>
    </row>
    <row r="6004" spans="1:12">
      <c r="A6004" s="72"/>
      <c r="B6004" s="12"/>
      <c r="C6004" s="12"/>
      <c r="D6004" s="12"/>
      <c r="E6004" s="11"/>
      <c r="F6004" s="11"/>
      <c r="G6004" s="73"/>
      <c r="H6004" s="12"/>
      <c r="I6004" s="12"/>
      <c r="J6004" s="33"/>
      <c r="K6004" s="12"/>
      <c r="L6004" s="15"/>
    </row>
    <row r="6005" spans="1:12">
      <c r="A6005" s="72"/>
      <c r="B6005" s="12"/>
      <c r="C6005" s="12"/>
      <c r="D6005" s="12"/>
      <c r="E6005" s="11"/>
      <c r="F6005" s="11"/>
      <c r="G6005" s="73"/>
      <c r="H6005" s="12"/>
      <c r="I6005" s="12"/>
      <c r="J6005" s="33"/>
      <c r="K6005" s="12"/>
      <c r="L6005" s="15"/>
    </row>
    <row r="6006" spans="1:12">
      <c r="A6006" s="72"/>
      <c r="B6006" s="12"/>
      <c r="C6006" s="12"/>
      <c r="D6006" s="12"/>
      <c r="E6006" s="11"/>
      <c r="F6006" s="11"/>
      <c r="G6006" s="73"/>
      <c r="H6006" s="12"/>
      <c r="I6006" s="12"/>
      <c r="J6006" s="33"/>
      <c r="K6006" s="12"/>
      <c r="L6006" s="15"/>
    </row>
    <row r="6007" spans="1:12">
      <c r="A6007" s="72"/>
      <c r="B6007" s="12"/>
      <c r="C6007" s="12"/>
      <c r="D6007" s="12"/>
      <c r="E6007" s="11"/>
      <c r="F6007" s="11"/>
      <c r="G6007" s="73"/>
      <c r="H6007" s="12"/>
      <c r="I6007" s="12"/>
      <c r="J6007" s="33"/>
      <c r="K6007" s="12"/>
      <c r="L6007" s="15"/>
    </row>
    <row r="6008" spans="1:12">
      <c r="A6008" s="72"/>
      <c r="B6008" s="12"/>
      <c r="C6008" s="12"/>
      <c r="D6008" s="12"/>
      <c r="E6008" s="11"/>
      <c r="F6008" s="11"/>
      <c r="G6008" s="73"/>
      <c r="H6008" s="12"/>
      <c r="I6008" s="12"/>
      <c r="J6008" s="33"/>
      <c r="K6008" s="12"/>
      <c r="L6008" s="15"/>
    </row>
    <row r="6009" spans="1:12">
      <c r="A6009" s="72"/>
      <c r="B6009" s="12"/>
      <c r="C6009" s="12"/>
      <c r="D6009" s="12"/>
      <c r="E6009" s="11"/>
      <c r="F6009" s="11"/>
      <c r="G6009" s="73"/>
      <c r="H6009" s="12"/>
      <c r="I6009" s="12"/>
      <c r="J6009" s="33"/>
      <c r="K6009" s="12"/>
      <c r="L6009" s="15"/>
    </row>
    <row r="6010" spans="1:12">
      <c r="A6010" s="72"/>
      <c r="B6010" s="12"/>
      <c r="C6010" s="12"/>
      <c r="D6010" s="12"/>
      <c r="E6010" s="11"/>
      <c r="F6010" s="11"/>
      <c r="G6010" s="73"/>
      <c r="H6010" s="12"/>
      <c r="I6010" s="12"/>
      <c r="J6010" s="33"/>
      <c r="K6010" s="12"/>
      <c r="L6010" s="15"/>
    </row>
    <row r="6011" spans="1:12">
      <c r="A6011" s="72"/>
      <c r="B6011" s="12"/>
      <c r="C6011" s="12"/>
      <c r="D6011" s="12"/>
      <c r="E6011" s="11"/>
      <c r="F6011" s="11"/>
      <c r="G6011" s="73"/>
      <c r="H6011" s="12"/>
      <c r="I6011" s="12"/>
      <c r="J6011" s="33"/>
      <c r="K6011" s="12"/>
      <c r="L6011" s="15"/>
    </row>
    <row r="6012" spans="1:12">
      <c r="A6012" s="72"/>
      <c r="B6012" s="12"/>
      <c r="C6012" s="12"/>
      <c r="D6012" s="12"/>
      <c r="E6012" s="11"/>
      <c r="F6012" s="11"/>
      <c r="G6012" s="73"/>
      <c r="H6012" s="12"/>
      <c r="I6012" s="12"/>
      <c r="J6012" s="33"/>
      <c r="K6012" s="12"/>
      <c r="L6012" s="15"/>
    </row>
    <row r="6013" spans="1:12">
      <c r="A6013" s="72"/>
      <c r="B6013" s="12"/>
      <c r="C6013" s="12"/>
      <c r="D6013" s="12"/>
      <c r="E6013" s="11"/>
      <c r="F6013" s="11"/>
      <c r="G6013" s="73"/>
      <c r="H6013" s="12"/>
      <c r="I6013" s="12"/>
      <c r="J6013" s="33"/>
      <c r="K6013" s="12"/>
      <c r="L6013" s="15"/>
    </row>
    <row r="6014" spans="1:12">
      <c r="A6014" s="72"/>
      <c r="B6014" s="12"/>
      <c r="C6014" s="12"/>
      <c r="D6014" s="12"/>
      <c r="E6014" s="11"/>
      <c r="F6014" s="11"/>
      <c r="G6014" s="73"/>
      <c r="H6014" s="12"/>
      <c r="I6014" s="12"/>
      <c r="J6014" s="33"/>
      <c r="K6014" s="12"/>
      <c r="L6014" s="15"/>
    </row>
    <row r="6015" spans="1:12">
      <c r="A6015" s="72"/>
      <c r="B6015" s="12"/>
      <c r="C6015" s="12"/>
      <c r="D6015" s="12"/>
      <c r="E6015" s="11"/>
      <c r="F6015" s="11"/>
      <c r="G6015" s="73"/>
      <c r="H6015" s="12"/>
      <c r="I6015" s="12"/>
      <c r="J6015" s="33"/>
      <c r="K6015" s="12"/>
      <c r="L6015" s="15"/>
    </row>
    <row r="6016" spans="1:12">
      <c r="A6016" s="72"/>
      <c r="B6016" s="12"/>
      <c r="C6016" s="12"/>
      <c r="D6016" s="12"/>
      <c r="E6016" s="11"/>
      <c r="F6016" s="11"/>
      <c r="G6016" s="73"/>
      <c r="H6016" s="12"/>
      <c r="I6016" s="12"/>
      <c r="J6016" s="33"/>
      <c r="K6016" s="12"/>
      <c r="L6016" s="15"/>
    </row>
    <row r="6017" spans="1:12">
      <c r="A6017" s="72"/>
      <c r="B6017" s="12"/>
      <c r="C6017" s="12"/>
      <c r="D6017" s="12"/>
      <c r="E6017" s="11"/>
      <c r="F6017" s="11"/>
      <c r="G6017" s="73"/>
      <c r="H6017" s="12"/>
      <c r="I6017" s="12"/>
      <c r="J6017" s="33"/>
      <c r="K6017" s="12"/>
      <c r="L6017" s="15"/>
    </row>
    <row r="6018" spans="1:12">
      <c r="A6018" s="72"/>
      <c r="B6018" s="12"/>
      <c r="C6018" s="12"/>
      <c r="D6018" s="12"/>
      <c r="E6018" s="11"/>
      <c r="F6018" s="11"/>
      <c r="G6018" s="73"/>
      <c r="H6018" s="12"/>
      <c r="I6018" s="12"/>
      <c r="J6018" s="33"/>
      <c r="K6018" s="12"/>
      <c r="L6018" s="15"/>
    </row>
    <row r="6019" spans="1:12">
      <c r="A6019" s="72"/>
      <c r="B6019" s="12"/>
      <c r="C6019" s="12"/>
      <c r="D6019" s="12"/>
      <c r="E6019" s="11"/>
      <c r="F6019" s="11"/>
      <c r="G6019" s="73"/>
      <c r="H6019" s="12"/>
      <c r="I6019" s="12"/>
      <c r="J6019" s="33"/>
      <c r="K6019" s="12"/>
      <c r="L6019" s="15"/>
    </row>
    <row r="6020" spans="1:12">
      <c r="A6020" s="72"/>
      <c r="B6020" s="12"/>
      <c r="C6020" s="12"/>
      <c r="D6020" s="12"/>
      <c r="E6020" s="11"/>
      <c r="F6020" s="11"/>
      <c r="G6020" s="73"/>
      <c r="H6020" s="12"/>
      <c r="I6020" s="12"/>
      <c r="J6020" s="33"/>
      <c r="K6020" s="12"/>
      <c r="L6020" s="15"/>
    </row>
    <row r="6021" spans="1:12">
      <c r="A6021" s="72"/>
      <c r="B6021" s="12"/>
      <c r="C6021" s="12"/>
      <c r="D6021" s="100"/>
      <c r="E6021" s="11"/>
      <c r="F6021" s="11"/>
      <c r="G6021" s="73"/>
      <c r="H6021" s="12"/>
      <c r="I6021" s="12"/>
      <c r="J6021" s="33"/>
      <c r="K6021" s="12"/>
      <c r="L6021" s="15"/>
    </row>
    <row r="6022" spans="1:12">
      <c r="A6022" s="72"/>
      <c r="B6022" s="12"/>
      <c r="C6022" s="12"/>
      <c r="D6022" s="100"/>
      <c r="E6022" s="11"/>
      <c r="F6022" s="11"/>
      <c r="G6022" s="73"/>
      <c r="H6022" s="12"/>
      <c r="I6022" s="12"/>
      <c r="J6022" s="33"/>
      <c r="K6022" s="12"/>
      <c r="L6022" s="15"/>
    </row>
    <row r="6023" spans="1:12">
      <c r="A6023" s="72"/>
      <c r="B6023" s="12"/>
      <c r="C6023" s="12"/>
      <c r="D6023" s="12"/>
      <c r="E6023" s="11"/>
      <c r="F6023" s="11"/>
      <c r="G6023" s="73"/>
      <c r="H6023" s="12"/>
      <c r="I6023" s="12"/>
      <c r="J6023" s="33"/>
      <c r="K6023" s="12"/>
      <c r="L6023" s="15"/>
    </row>
    <row r="6024" spans="1:12">
      <c r="A6024" s="72"/>
      <c r="B6024" s="12"/>
      <c r="C6024" s="12"/>
      <c r="D6024" s="12"/>
      <c r="E6024" s="11"/>
      <c r="F6024" s="11"/>
      <c r="G6024" s="73"/>
      <c r="H6024" s="12"/>
      <c r="I6024" s="12"/>
      <c r="J6024" s="33"/>
      <c r="K6024" s="12"/>
      <c r="L6024" s="15"/>
    </row>
    <row r="6025" spans="1:12">
      <c r="A6025" s="72"/>
      <c r="B6025" s="12"/>
      <c r="C6025" s="12"/>
      <c r="D6025" s="12"/>
      <c r="E6025" s="11"/>
      <c r="F6025" s="11"/>
      <c r="G6025" s="73"/>
      <c r="H6025" s="12"/>
      <c r="I6025" s="12"/>
      <c r="J6025" s="33"/>
      <c r="K6025" s="12"/>
      <c r="L6025" s="15"/>
    </row>
    <row r="6026" spans="1:12">
      <c r="A6026" s="72"/>
      <c r="B6026" s="12"/>
      <c r="C6026" s="12"/>
      <c r="D6026" s="12"/>
      <c r="E6026" s="11"/>
      <c r="F6026" s="11"/>
      <c r="G6026" s="73"/>
      <c r="H6026" s="12"/>
      <c r="I6026" s="12"/>
      <c r="J6026" s="33"/>
      <c r="K6026" s="12"/>
      <c r="L6026" s="15"/>
    </row>
    <row r="6027" spans="1:12">
      <c r="A6027" s="72"/>
      <c r="B6027" s="12"/>
      <c r="C6027" s="12"/>
      <c r="D6027" s="126"/>
      <c r="E6027" s="11"/>
      <c r="F6027" s="11"/>
      <c r="G6027" s="73"/>
      <c r="H6027" s="12"/>
      <c r="I6027" s="12"/>
      <c r="J6027" s="33"/>
      <c r="K6027" s="12"/>
      <c r="L6027" s="15"/>
    </row>
    <row r="6028" spans="1:12">
      <c r="A6028" s="72"/>
      <c r="B6028" s="12"/>
      <c r="C6028" s="12"/>
      <c r="D6028" s="12"/>
      <c r="E6028" s="11"/>
      <c r="F6028" s="11"/>
      <c r="G6028" s="73"/>
      <c r="H6028" s="12"/>
      <c r="I6028" s="12"/>
      <c r="J6028" s="33"/>
      <c r="K6028" s="12"/>
      <c r="L6028" s="15"/>
    </row>
    <row r="6029" spans="1:12">
      <c r="A6029" s="72"/>
      <c r="B6029" s="12"/>
      <c r="C6029" s="12"/>
      <c r="D6029" s="12"/>
      <c r="E6029" s="11"/>
      <c r="F6029" s="11"/>
      <c r="G6029" s="73"/>
      <c r="H6029" s="12"/>
      <c r="I6029" s="12"/>
      <c r="J6029" s="33"/>
      <c r="K6029" s="12"/>
      <c r="L6029" s="15"/>
    </row>
    <row r="6030" spans="1:12">
      <c r="A6030" s="72"/>
      <c r="B6030" s="12"/>
      <c r="C6030" s="12"/>
      <c r="D6030" s="12"/>
      <c r="E6030" s="11"/>
      <c r="F6030" s="11"/>
      <c r="G6030" s="73"/>
      <c r="H6030" s="12"/>
      <c r="I6030" s="12"/>
      <c r="J6030" s="33"/>
      <c r="K6030" s="12"/>
      <c r="L6030" s="15"/>
    </row>
    <row r="6031" spans="1:12">
      <c r="A6031" s="72"/>
      <c r="B6031" s="12"/>
      <c r="C6031" s="12"/>
      <c r="D6031" s="12"/>
      <c r="E6031" s="11"/>
      <c r="F6031" s="11"/>
      <c r="G6031" s="73"/>
      <c r="H6031" s="12"/>
      <c r="I6031" s="12"/>
      <c r="J6031" s="33"/>
      <c r="K6031" s="12"/>
      <c r="L6031" s="15"/>
    </row>
    <row r="6032" spans="1:12">
      <c r="A6032" s="72"/>
      <c r="B6032" s="12"/>
      <c r="C6032" s="12"/>
      <c r="D6032" s="12"/>
      <c r="E6032" s="11"/>
      <c r="F6032" s="11"/>
      <c r="G6032" s="73"/>
      <c r="H6032" s="12"/>
      <c r="I6032" s="12"/>
      <c r="J6032" s="33"/>
      <c r="K6032" s="12"/>
      <c r="L6032" s="15"/>
    </row>
    <row r="6033" spans="1:12">
      <c r="A6033" s="72"/>
      <c r="B6033" s="12"/>
      <c r="C6033" s="12"/>
      <c r="D6033" s="12"/>
      <c r="E6033" s="11"/>
      <c r="F6033" s="11"/>
      <c r="G6033" s="73"/>
      <c r="H6033" s="12"/>
      <c r="I6033" s="12"/>
      <c r="J6033" s="33"/>
      <c r="K6033" s="12"/>
      <c r="L6033" s="15"/>
    </row>
    <row r="6034" spans="1:12">
      <c r="A6034" s="72"/>
      <c r="B6034" s="12"/>
      <c r="C6034" s="12"/>
      <c r="D6034" s="12"/>
      <c r="E6034" s="11"/>
      <c r="F6034" s="11"/>
      <c r="G6034" s="73"/>
      <c r="H6034" s="12"/>
      <c r="I6034" s="12"/>
      <c r="J6034" s="33"/>
      <c r="K6034" s="12"/>
      <c r="L6034" s="15"/>
    </row>
    <row r="6035" spans="1:12">
      <c r="A6035" s="72"/>
      <c r="B6035" s="12"/>
      <c r="C6035" s="12"/>
      <c r="D6035" s="12"/>
      <c r="E6035" s="11"/>
      <c r="F6035" s="11"/>
      <c r="G6035" s="73"/>
      <c r="H6035" s="12"/>
      <c r="I6035" s="12"/>
      <c r="J6035" s="33"/>
      <c r="K6035" s="12"/>
      <c r="L6035" s="15"/>
    </row>
    <row r="6036" spans="1:12">
      <c r="A6036" s="72"/>
      <c r="B6036" s="12"/>
      <c r="C6036" s="12"/>
      <c r="D6036" s="12"/>
      <c r="E6036" s="11"/>
      <c r="F6036" s="11"/>
      <c r="G6036" s="73"/>
      <c r="H6036" s="12"/>
      <c r="I6036" s="12"/>
      <c r="J6036" s="33"/>
      <c r="K6036" s="12"/>
      <c r="L6036" s="15"/>
    </row>
    <row r="6037" spans="1:12">
      <c r="A6037" s="72"/>
      <c r="B6037" s="12"/>
      <c r="C6037" s="12"/>
      <c r="D6037" s="12"/>
      <c r="E6037" s="11"/>
      <c r="F6037" s="11"/>
      <c r="G6037" s="73"/>
      <c r="H6037" s="12"/>
      <c r="I6037" s="12"/>
      <c r="J6037" s="33"/>
      <c r="K6037" s="12"/>
      <c r="L6037" s="15"/>
    </row>
    <row r="6038" spans="1:12">
      <c r="A6038" s="72"/>
      <c r="B6038" s="12"/>
      <c r="C6038" s="12"/>
      <c r="D6038" s="12"/>
      <c r="E6038" s="11"/>
      <c r="F6038" s="11"/>
      <c r="G6038" s="73"/>
      <c r="H6038" s="12"/>
      <c r="I6038" s="12"/>
      <c r="J6038" s="33"/>
      <c r="K6038" s="12"/>
      <c r="L6038" s="15"/>
    </row>
    <row r="6039" spans="1:12">
      <c r="A6039" s="72"/>
      <c r="B6039" s="12"/>
      <c r="C6039" s="12"/>
      <c r="D6039" s="12"/>
      <c r="E6039" s="11"/>
      <c r="F6039" s="11"/>
      <c r="G6039" s="73"/>
      <c r="H6039" s="12"/>
      <c r="I6039" s="12"/>
      <c r="J6039" s="33"/>
      <c r="K6039" s="12"/>
      <c r="L6039" s="15"/>
    </row>
    <row r="6040" spans="1:12">
      <c r="A6040" s="72"/>
      <c r="B6040" s="12"/>
      <c r="C6040" s="12"/>
      <c r="D6040" s="12"/>
      <c r="E6040" s="11"/>
      <c r="F6040" s="11"/>
      <c r="G6040" s="73"/>
      <c r="H6040" s="12"/>
      <c r="I6040" s="12"/>
      <c r="J6040" s="33"/>
      <c r="K6040" s="12"/>
      <c r="L6040" s="15"/>
    </row>
    <row r="6041" spans="1:12">
      <c r="A6041" s="72"/>
      <c r="B6041" s="12"/>
      <c r="C6041" s="12"/>
      <c r="D6041" s="12"/>
      <c r="E6041" s="11"/>
      <c r="F6041" s="11"/>
      <c r="G6041" s="73"/>
      <c r="H6041" s="12"/>
      <c r="I6041" s="12"/>
      <c r="J6041" s="33"/>
      <c r="K6041" s="12"/>
      <c r="L6041" s="15"/>
    </row>
    <row r="6042" spans="1:12">
      <c r="A6042" s="72"/>
      <c r="B6042" s="12"/>
      <c r="C6042" s="12"/>
      <c r="D6042" s="12"/>
      <c r="E6042" s="11"/>
      <c r="F6042" s="11"/>
      <c r="G6042" s="73"/>
      <c r="H6042" s="12"/>
      <c r="I6042" s="12"/>
      <c r="J6042" s="33"/>
      <c r="K6042" s="12"/>
      <c r="L6042" s="15"/>
    </row>
    <row r="6043" spans="1:12">
      <c r="A6043" s="72"/>
      <c r="B6043" s="12"/>
      <c r="C6043" s="12"/>
      <c r="D6043" s="12"/>
      <c r="E6043" s="11"/>
      <c r="F6043" s="11"/>
      <c r="G6043" s="73"/>
      <c r="H6043" s="12"/>
      <c r="I6043" s="12"/>
      <c r="J6043" s="33"/>
      <c r="K6043" s="12"/>
      <c r="L6043" s="15"/>
    </row>
    <row r="6044" spans="1:12">
      <c r="A6044" s="72"/>
      <c r="B6044" s="12"/>
      <c r="C6044" s="12"/>
      <c r="D6044" s="12"/>
      <c r="E6044" s="11"/>
      <c r="F6044" s="11"/>
      <c r="G6044" s="73"/>
      <c r="H6044" s="12"/>
      <c r="I6044" s="12"/>
      <c r="J6044" s="33"/>
      <c r="K6044" s="12"/>
      <c r="L6044" s="15"/>
    </row>
    <row r="6045" spans="1:12">
      <c r="A6045" s="72"/>
      <c r="B6045" s="12"/>
      <c r="C6045" s="12"/>
      <c r="D6045" s="12"/>
      <c r="E6045" s="11"/>
      <c r="F6045" s="11"/>
      <c r="G6045" s="73"/>
      <c r="H6045" s="12"/>
      <c r="I6045" s="12"/>
      <c r="J6045" s="33"/>
      <c r="K6045" s="12"/>
      <c r="L6045" s="15"/>
    </row>
    <row r="6046" spans="1:12">
      <c r="A6046" s="72"/>
      <c r="B6046" s="12"/>
      <c r="C6046" s="12"/>
      <c r="D6046" s="12"/>
      <c r="E6046" s="11"/>
      <c r="F6046" s="11"/>
      <c r="G6046" s="73"/>
      <c r="H6046" s="12"/>
      <c r="I6046" s="12"/>
      <c r="J6046" s="33"/>
      <c r="K6046" s="12"/>
      <c r="L6046" s="15"/>
    </row>
    <row r="6047" spans="1:12">
      <c r="A6047" s="72"/>
      <c r="B6047" s="12"/>
      <c r="C6047" s="12"/>
      <c r="D6047" s="12"/>
      <c r="E6047" s="11"/>
      <c r="F6047" s="11"/>
      <c r="G6047" s="73"/>
      <c r="H6047" s="12"/>
      <c r="I6047" s="12"/>
      <c r="J6047" s="33"/>
      <c r="K6047" s="12"/>
      <c r="L6047" s="15"/>
    </row>
    <row r="6048" spans="1:12">
      <c r="A6048" s="72"/>
      <c r="B6048" s="12"/>
      <c r="C6048" s="12"/>
      <c r="D6048" s="12"/>
      <c r="E6048" s="11"/>
      <c r="F6048" s="11"/>
      <c r="G6048" s="73"/>
      <c r="H6048" s="12"/>
      <c r="I6048" s="12"/>
      <c r="J6048" s="33"/>
      <c r="K6048" s="12"/>
      <c r="L6048" s="15"/>
    </row>
    <row r="6049" spans="1:12">
      <c r="A6049" s="72"/>
      <c r="B6049" s="12"/>
      <c r="C6049" s="12"/>
      <c r="D6049" s="12"/>
      <c r="E6049" s="11"/>
      <c r="F6049" s="11"/>
      <c r="G6049" s="73"/>
      <c r="H6049" s="12"/>
      <c r="I6049" s="12"/>
      <c r="J6049" s="33"/>
      <c r="K6049" s="12"/>
      <c r="L6049" s="15"/>
    </row>
    <row r="6050" spans="1:12">
      <c r="A6050" s="72"/>
      <c r="B6050" s="12"/>
      <c r="C6050" s="12"/>
      <c r="D6050" s="12"/>
      <c r="E6050" s="11"/>
      <c r="F6050" s="11"/>
      <c r="G6050" s="73"/>
      <c r="H6050" s="12"/>
      <c r="I6050" s="12"/>
      <c r="J6050" s="33"/>
      <c r="K6050" s="12"/>
      <c r="L6050" s="15"/>
    </row>
    <row r="6051" spans="1:12">
      <c r="A6051" s="72"/>
      <c r="B6051" s="12"/>
      <c r="C6051" s="12"/>
      <c r="D6051" s="12"/>
      <c r="E6051" s="11"/>
      <c r="F6051" s="11"/>
      <c r="G6051" s="73"/>
      <c r="H6051" s="12"/>
      <c r="I6051" s="12"/>
      <c r="J6051" s="33"/>
      <c r="K6051" s="12"/>
      <c r="L6051" s="15"/>
    </row>
    <row r="6052" spans="1:12">
      <c r="A6052" s="72"/>
      <c r="B6052" s="12"/>
      <c r="C6052" s="12"/>
      <c r="D6052" s="12"/>
      <c r="E6052" s="11"/>
      <c r="F6052" s="11"/>
      <c r="G6052" s="73"/>
      <c r="H6052" s="12"/>
      <c r="I6052" s="12"/>
      <c r="J6052" s="33"/>
      <c r="K6052" s="12"/>
      <c r="L6052" s="15"/>
    </row>
    <row r="6053" spans="1:12">
      <c r="A6053" s="72"/>
      <c r="B6053" s="12"/>
      <c r="C6053" s="12"/>
      <c r="D6053" s="12"/>
      <c r="E6053" s="11"/>
      <c r="F6053" s="11"/>
      <c r="G6053" s="73"/>
      <c r="H6053" s="12"/>
      <c r="I6053" s="12"/>
      <c r="J6053" s="33"/>
      <c r="K6053" s="12"/>
      <c r="L6053" s="15"/>
    </row>
    <row r="6054" spans="1:12">
      <c r="A6054" s="72"/>
      <c r="B6054" s="12"/>
      <c r="C6054" s="12"/>
      <c r="D6054" s="12"/>
      <c r="E6054" s="11"/>
      <c r="F6054" s="11"/>
      <c r="G6054" s="73"/>
      <c r="H6054" s="12"/>
      <c r="I6054" s="12"/>
      <c r="J6054" s="33"/>
      <c r="K6054" s="12"/>
      <c r="L6054" s="15"/>
    </row>
    <row r="6055" spans="1:12">
      <c r="A6055" s="72"/>
      <c r="B6055" s="12"/>
      <c r="C6055" s="12"/>
      <c r="D6055" s="12"/>
      <c r="E6055" s="11"/>
      <c r="F6055" s="11"/>
      <c r="G6055" s="73"/>
      <c r="H6055" s="12"/>
      <c r="I6055" s="12"/>
      <c r="J6055" s="33"/>
      <c r="K6055" s="12"/>
      <c r="L6055" s="15"/>
    </row>
    <row r="6056" spans="1:12">
      <c r="A6056" s="72"/>
      <c r="B6056" s="12"/>
      <c r="C6056" s="12"/>
      <c r="D6056" s="12"/>
      <c r="E6056" s="11"/>
      <c r="F6056" s="11"/>
      <c r="G6056" s="73"/>
      <c r="H6056" s="12"/>
      <c r="I6056" s="12"/>
      <c r="J6056" s="33"/>
      <c r="K6056" s="12"/>
      <c r="L6056" s="15"/>
    </row>
    <row r="6057" spans="1:12">
      <c r="A6057" s="72"/>
      <c r="B6057" s="12"/>
      <c r="C6057" s="12"/>
      <c r="D6057" s="12"/>
      <c r="E6057" s="11"/>
      <c r="F6057" s="11"/>
      <c r="G6057" s="73"/>
      <c r="H6057" s="12"/>
      <c r="I6057" s="12"/>
      <c r="J6057" s="33"/>
      <c r="K6057" s="12"/>
      <c r="L6057" s="15"/>
    </row>
    <row r="6058" spans="1:12">
      <c r="A6058" s="72"/>
      <c r="B6058" s="12"/>
      <c r="C6058" s="12"/>
      <c r="D6058" s="12"/>
      <c r="E6058" s="11"/>
      <c r="F6058" s="11"/>
      <c r="G6058" s="73"/>
      <c r="H6058" s="12"/>
      <c r="I6058" s="12"/>
      <c r="J6058" s="33"/>
      <c r="K6058" s="12"/>
      <c r="L6058" s="15"/>
    </row>
    <row r="6059" spans="1:12">
      <c r="A6059" s="72"/>
      <c r="B6059" s="12"/>
      <c r="C6059" s="12"/>
      <c r="D6059" s="12"/>
      <c r="E6059" s="11"/>
      <c r="F6059" s="11"/>
      <c r="G6059" s="73"/>
      <c r="H6059" s="12"/>
      <c r="I6059" s="12"/>
      <c r="J6059" s="33"/>
      <c r="K6059" s="12"/>
      <c r="L6059" s="15"/>
    </row>
    <row r="6060" spans="1:12">
      <c r="A6060" s="72"/>
      <c r="B6060" s="12"/>
      <c r="C6060" s="12"/>
      <c r="D6060" s="12"/>
      <c r="E6060" s="11"/>
      <c r="F6060" s="11"/>
      <c r="G6060" s="73"/>
      <c r="H6060" s="12"/>
      <c r="I6060" s="12"/>
      <c r="J6060" s="33"/>
      <c r="K6060" s="12"/>
      <c r="L6060" s="15"/>
    </row>
    <row r="6061" spans="1:12">
      <c r="A6061" s="72"/>
      <c r="B6061" s="12"/>
      <c r="C6061" s="12"/>
      <c r="D6061" s="12"/>
      <c r="E6061" s="11"/>
      <c r="F6061" s="11"/>
      <c r="G6061" s="73"/>
      <c r="H6061" s="12"/>
      <c r="I6061" s="12"/>
      <c r="J6061" s="33"/>
      <c r="K6061" s="12"/>
      <c r="L6061" s="15"/>
    </row>
    <row r="6062" spans="1:12">
      <c r="A6062" s="72"/>
      <c r="B6062" s="12"/>
      <c r="C6062" s="12"/>
      <c r="D6062" s="12"/>
      <c r="E6062" s="11"/>
      <c r="F6062" s="11"/>
      <c r="G6062" s="73"/>
      <c r="H6062" s="12"/>
      <c r="I6062" s="12"/>
      <c r="J6062" s="33"/>
      <c r="K6062" s="12"/>
      <c r="L6062" s="15"/>
    </row>
    <row r="6063" spans="1:12">
      <c r="A6063" s="72"/>
      <c r="B6063" s="12"/>
      <c r="C6063" s="12"/>
      <c r="D6063" s="12"/>
      <c r="E6063" s="11"/>
      <c r="F6063" s="11"/>
      <c r="G6063" s="73"/>
      <c r="H6063" s="12"/>
      <c r="I6063" s="12"/>
      <c r="J6063" s="33"/>
      <c r="K6063" s="12"/>
      <c r="L6063" s="15"/>
    </row>
    <row r="6064" spans="1:12">
      <c r="A6064" s="72"/>
      <c r="B6064" s="12"/>
      <c r="C6064" s="12"/>
      <c r="D6064" s="12"/>
      <c r="E6064" s="11"/>
      <c r="F6064" s="11"/>
      <c r="G6064" s="73"/>
      <c r="H6064" s="12"/>
      <c r="I6064" s="12"/>
      <c r="J6064" s="33"/>
      <c r="K6064" s="12"/>
      <c r="L6064" s="15"/>
    </row>
    <row r="6065" spans="1:12">
      <c r="A6065" s="72"/>
      <c r="B6065" s="12"/>
      <c r="C6065" s="12"/>
      <c r="D6065" s="12"/>
      <c r="E6065" s="11"/>
      <c r="F6065" s="11"/>
      <c r="G6065" s="73"/>
      <c r="H6065" s="12"/>
      <c r="I6065" s="12"/>
      <c r="J6065" s="33"/>
      <c r="K6065" s="12"/>
      <c r="L6065" s="15"/>
    </row>
    <row r="6066" spans="1:12">
      <c r="A6066" s="72"/>
      <c r="B6066" s="12"/>
      <c r="C6066" s="12"/>
      <c r="D6066" s="12"/>
      <c r="E6066" s="11"/>
      <c r="F6066" s="11"/>
      <c r="G6066" s="73"/>
      <c r="H6066" s="12"/>
      <c r="I6066" s="12"/>
      <c r="J6066" s="33"/>
      <c r="K6066" s="12"/>
      <c r="L6066" s="15"/>
    </row>
    <row r="6067" spans="1:12">
      <c r="A6067" s="72"/>
      <c r="B6067" s="12"/>
      <c r="C6067" s="12"/>
      <c r="D6067" s="12"/>
      <c r="E6067" s="11"/>
      <c r="F6067" s="11"/>
      <c r="G6067" s="73"/>
      <c r="H6067" s="12"/>
      <c r="I6067" s="12"/>
      <c r="J6067" s="33"/>
      <c r="K6067" s="12"/>
      <c r="L6067" s="15"/>
    </row>
    <row r="6068" spans="1:12">
      <c r="A6068" s="72"/>
      <c r="B6068" s="12"/>
      <c r="C6068" s="12"/>
      <c r="D6068" s="12"/>
      <c r="E6068" s="11"/>
      <c r="F6068" s="11"/>
      <c r="G6068" s="73"/>
      <c r="H6068" s="12"/>
      <c r="I6068" s="12"/>
      <c r="J6068" s="33"/>
      <c r="K6068" s="12"/>
      <c r="L6068" s="15"/>
    </row>
    <row r="6069" spans="1:12">
      <c r="A6069" s="72"/>
      <c r="B6069" s="12"/>
      <c r="C6069" s="12"/>
      <c r="D6069" s="12"/>
      <c r="E6069" s="11"/>
      <c r="F6069" s="11"/>
      <c r="G6069" s="73"/>
      <c r="H6069" s="12"/>
      <c r="I6069" s="12"/>
      <c r="J6069" s="33"/>
      <c r="K6069" s="12"/>
      <c r="L6069" s="15"/>
    </row>
    <row r="6070" spans="1:12">
      <c r="A6070" s="72"/>
      <c r="B6070" s="12"/>
      <c r="C6070" s="12"/>
      <c r="D6070" s="12"/>
      <c r="E6070" s="11"/>
      <c r="F6070" s="11"/>
      <c r="G6070" s="73"/>
      <c r="H6070" s="12"/>
      <c r="I6070" s="12"/>
      <c r="J6070" s="33"/>
      <c r="K6070" s="12"/>
      <c r="L6070" s="15"/>
    </row>
    <row r="6071" spans="1:12">
      <c r="A6071" s="72"/>
      <c r="B6071" s="12"/>
      <c r="C6071" s="12"/>
      <c r="D6071" s="12"/>
      <c r="E6071" s="11"/>
      <c r="F6071" s="11"/>
      <c r="G6071" s="73"/>
      <c r="H6071" s="12"/>
      <c r="I6071" s="12"/>
      <c r="J6071" s="33"/>
      <c r="K6071" s="12"/>
      <c r="L6071" s="15"/>
    </row>
    <row r="6072" spans="1:12">
      <c r="A6072" s="72"/>
      <c r="B6072" s="12"/>
      <c r="C6072" s="12"/>
      <c r="D6072" s="12"/>
      <c r="E6072" s="11"/>
      <c r="F6072" s="11"/>
      <c r="G6072" s="73"/>
      <c r="H6072" s="12"/>
      <c r="I6072" s="12"/>
      <c r="J6072" s="33"/>
      <c r="K6072" s="12"/>
      <c r="L6072" s="15"/>
    </row>
    <row r="6073" spans="1:12">
      <c r="A6073" s="72"/>
      <c r="B6073" s="12"/>
      <c r="C6073" s="12"/>
      <c r="D6073" s="12"/>
      <c r="E6073" s="11"/>
      <c r="F6073" s="11"/>
      <c r="G6073" s="73"/>
      <c r="H6073" s="12"/>
      <c r="I6073" s="12"/>
      <c r="J6073" s="33"/>
      <c r="K6073" s="12"/>
      <c r="L6073" s="15"/>
    </row>
    <row r="6074" spans="1:12">
      <c r="A6074" s="72"/>
      <c r="B6074" s="12"/>
      <c r="C6074" s="12"/>
      <c r="D6074" s="12"/>
      <c r="E6074" s="11"/>
      <c r="F6074" s="11"/>
      <c r="G6074" s="73"/>
      <c r="H6074" s="12"/>
      <c r="I6074" s="12"/>
      <c r="J6074" s="33"/>
      <c r="K6074" s="12"/>
      <c r="L6074" s="15"/>
    </row>
    <row r="6075" spans="1:12">
      <c r="A6075" s="72"/>
      <c r="B6075" s="12"/>
      <c r="C6075" s="12"/>
      <c r="D6075" s="12"/>
      <c r="E6075" s="11"/>
      <c r="F6075" s="11"/>
      <c r="G6075" s="73"/>
      <c r="H6075" s="12"/>
      <c r="I6075" s="12"/>
      <c r="J6075" s="33"/>
      <c r="K6075" s="12"/>
      <c r="L6075" s="15"/>
    </row>
    <row r="6076" spans="1:12">
      <c r="A6076" s="72"/>
      <c r="B6076" s="12"/>
      <c r="C6076" s="12"/>
      <c r="D6076" s="12"/>
      <c r="E6076" s="11"/>
      <c r="F6076" s="11"/>
      <c r="G6076" s="73"/>
      <c r="H6076" s="12"/>
      <c r="I6076" s="12"/>
      <c r="J6076" s="33"/>
      <c r="K6076" s="12"/>
      <c r="L6076" s="15"/>
    </row>
    <row r="6077" spans="1:12">
      <c r="A6077" s="72"/>
      <c r="B6077" s="12"/>
      <c r="C6077" s="12"/>
      <c r="D6077" s="12"/>
      <c r="E6077" s="11"/>
      <c r="F6077" s="11"/>
      <c r="G6077" s="73"/>
      <c r="H6077" s="12"/>
      <c r="I6077" s="12"/>
      <c r="J6077" s="33"/>
      <c r="K6077" s="12"/>
      <c r="L6077" s="15"/>
    </row>
    <row r="6078" spans="1:12">
      <c r="A6078" s="72"/>
      <c r="B6078" s="12"/>
      <c r="C6078" s="12"/>
      <c r="D6078" s="12"/>
      <c r="E6078" s="11"/>
      <c r="F6078" s="11"/>
      <c r="G6078" s="73"/>
      <c r="H6078" s="12"/>
      <c r="I6078" s="12"/>
      <c r="J6078" s="33"/>
      <c r="K6078" s="12"/>
      <c r="L6078" s="15"/>
    </row>
    <row r="6079" spans="1:12">
      <c r="A6079" s="72"/>
      <c r="B6079" s="12"/>
      <c r="C6079" s="12"/>
      <c r="D6079" s="12"/>
      <c r="E6079" s="11"/>
      <c r="F6079" s="11"/>
      <c r="G6079" s="73"/>
      <c r="H6079" s="12"/>
      <c r="I6079" s="12"/>
      <c r="J6079" s="33"/>
      <c r="K6079" s="12"/>
      <c r="L6079" s="15"/>
    </row>
    <row r="6080" spans="1:12">
      <c r="A6080" s="72"/>
      <c r="B6080" s="12"/>
      <c r="C6080" s="12"/>
      <c r="D6080" s="12"/>
      <c r="E6080" s="11"/>
      <c r="F6080" s="11"/>
      <c r="G6080" s="73"/>
      <c r="H6080" s="12"/>
      <c r="I6080" s="12"/>
      <c r="J6080" s="33"/>
      <c r="K6080" s="12"/>
      <c r="L6080" s="15"/>
    </row>
    <row r="6081" spans="1:12">
      <c r="A6081" s="72"/>
      <c r="B6081" s="12"/>
      <c r="C6081" s="12"/>
      <c r="D6081" s="12"/>
      <c r="E6081" s="11"/>
      <c r="F6081" s="11"/>
      <c r="G6081" s="73"/>
      <c r="H6081" s="12"/>
      <c r="I6081" s="12"/>
      <c r="J6081" s="33"/>
      <c r="K6081" s="12"/>
      <c r="L6081" s="15"/>
    </row>
    <row r="6082" spans="1:12">
      <c r="A6082" s="72"/>
      <c r="B6082" s="12"/>
      <c r="C6082" s="12"/>
      <c r="D6082" s="12"/>
      <c r="E6082" s="11"/>
      <c r="F6082" s="11"/>
      <c r="G6082" s="73"/>
      <c r="H6082" s="12"/>
      <c r="I6082" s="12"/>
      <c r="J6082" s="33"/>
      <c r="K6082" s="12"/>
      <c r="L6082" s="15"/>
    </row>
    <row r="6083" spans="1:12">
      <c r="A6083" s="72"/>
      <c r="B6083" s="12"/>
      <c r="C6083" s="12"/>
      <c r="D6083" s="12"/>
      <c r="E6083" s="127"/>
      <c r="F6083" s="11"/>
      <c r="G6083" s="73"/>
      <c r="H6083" s="12"/>
      <c r="I6083" s="12"/>
      <c r="J6083" s="33"/>
      <c r="K6083" s="12"/>
      <c r="L6083" s="15"/>
    </row>
    <row r="6084" spans="1:12">
      <c r="A6084" s="72"/>
      <c r="B6084" s="12"/>
      <c r="C6084" s="12"/>
      <c r="D6084" s="12"/>
      <c r="E6084" s="127"/>
      <c r="F6084" s="11"/>
      <c r="G6084" s="73"/>
      <c r="H6084" s="12"/>
      <c r="I6084" s="12"/>
      <c r="J6084" s="33"/>
      <c r="K6084" s="12"/>
      <c r="L6084" s="15"/>
    </row>
    <row r="6085" spans="1:12">
      <c r="A6085" s="72"/>
      <c r="B6085" s="12"/>
      <c r="C6085" s="12"/>
      <c r="D6085" s="12"/>
      <c r="E6085" s="127"/>
      <c r="F6085" s="11"/>
      <c r="G6085" s="73"/>
      <c r="H6085" s="12"/>
      <c r="I6085" s="12"/>
      <c r="J6085" s="33"/>
      <c r="K6085" s="12"/>
      <c r="L6085" s="15"/>
    </row>
    <row r="6086" spans="1:12">
      <c r="A6086" s="72"/>
      <c r="B6086" s="12"/>
      <c r="C6086" s="12"/>
      <c r="D6086" s="12"/>
      <c r="E6086" s="127"/>
      <c r="F6086" s="11"/>
      <c r="G6086" s="73"/>
      <c r="H6086" s="12"/>
      <c r="I6086" s="12"/>
      <c r="J6086" s="33"/>
      <c r="K6086" s="12"/>
      <c r="L6086" s="15"/>
    </row>
    <row r="6087" spans="1:12">
      <c r="A6087" s="72"/>
      <c r="B6087" s="12"/>
      <c r="C6087" s="12"/>
      <c r="D6087" s="12"/>
      <c r="E6087" s="11"/>
      <c r="F6087" s="11"/>
      <c r="G6087" s="73"/>
      <c r="H6087" s="12"/>
      <c r="I6087" s="12"/>
      <c r="J6087" s="33"/>
      <c r="K6087" s="12"/>
      <c r="L6087" s="15"/>
    </row>
    <row r="6088" spans="1:12">
      <c r="A6088" s="72"/>
      <c r="B6088" s="12"/>
      <c r="C6088" s="12"/>
      <c r="D6088" s="12"/>
      <c r="E6088" s="11"/>
      <c r="F6088" s="11"/>
      <c r="G6088" s="73"/>
      <c r="H6088" s="12"/>
      <c r="I6088" s="12"/>
      <c r="J6088" s="33"/>
      <c r="K6088" s="12"/>
      <c r="L6088" s="15"/>
    </row>
    <row r="6089" spans="1:12">
      <c r="A6089" s="72"/>
      <c r="B6089" s="12"/>
      <c r="C6089" s="12"/>
      <c r="D6089" s="12"/>
      <c r="E6089" s="11"/>
      <c r="F6089" s="11"/>
      <c r="G6089" s="73"/>
      <c r="H6089" s="12"/>
      <c r="I6089" s="12"/>
      <c r="J6089" s="33"/>
      <c r="K6089" s="12"/>
      <c r="L6089" s="15"/>
    </row>
    <row r="6090" spans="1:12">
      <c r="A6090" s="72"/>
      <c r="B6090" s="12"/>
      <c r="C6090" s="12"/>
      <c r="D6090" s="12"/>
      <c r="E6090" s="11"/>
      <c r="F6090" s="11"/>
      <c r="G6090" s="73"/>
      <c r="H6090" s="12"/>
      <c r="I6090" s="12"/>
      <c r="J6090" s="33"/>
      <c r="K6090" s="12"/>
      <c r="L6090" s="15"/>
    </row>
    <row r="6091" spans="1:12">
      <c r="A6091" s="72"/>
      <c r="B6091" s="12"/>
      <c r="C6091" s="12"/>
      <c r="D6091" s="12"/>
      <c r="E6091" s="11"/>
      <c r="F6091" s="11"/>
      <c r="G6091" s="73"/>
      <c r="H6091" s="12"/>
      <c r="I6091" s="12"/>
      <c r="J6091" s="33"/>
      <c r="K6091" s="12"/>
      <c r="L6091" s="15"/>
    </row>
    <row r="6092" spans="1:12">
      <c r="A6092" s="72"/>
      <c r="B6092" s="12"/>
      <c r="C6092" s="12"/>
      <c r="D6092" s="12"/>
      <c r="E6092" s="11"/>
      <c r="F6092" s="11"/>
      <c r="G6092" s="73"/>
      <c r="H6092" s="12"/>
      <c r="I6092" s="12"/>
      <c r="J6092" s="33"/>
      <c r="K6092" s="12"/>
      <c r="L6092" s="15"/>
    </row>
    <row r="6093" spans="1:12">
      <c r="A6093" s="72"/>
      <c r="B6093" s="12"/>
      <c r="C6093" s="12"/>
      <c r="D6093" s="12"/>
      <c r="E6093" s="11"/>
      <c r="F6093" s="11"/>
      <c r="G6093" s="73"/>
      <c r="H6093" s="12"/>
      <c r="I6093" s="12"/>
      <c r="J6093" s="33"/>
      <c r="K6093" s="12"/>
      <c r="L6093" s="15"/>
    </row>
    <row r="6094" spans="1:12">
      <c r="A6094" s="72"/>
      <c r="B6094" s="12"/>
      <c r="C6094" s="12"/>
      <c r="D6094" s="12"/>
      <c r="E6094" s="11"/>
      <c r="F6094" s="11"/>
      <c r="G6094" s="73"/>
      <c r="H6094" s="12"/>
      <c r="I6094" s="12"/>
      <c r="J6094" s="33"/>
      <c r="K6094" s="12"/>
      <c r="L6094" s="15"/>
    </row>
    <row r="6095" spans="1:12">
      <c r="A6095" s="72"/>
      <c r="B6095" s="12"/>
      <c r="C6095" s="12"/>
      <c r="D6095" s="12"/>
      <c r="E6095" s="11"/>
      <c r="F6095" s="11"/>
      <c r="G6095" s="73"/>
      <c r="H6095" s="12"/>
      <c r="I6095" s="12"/>
      <c r="J6095" s="33"/>
      <c r="K6095" s="12"/>
      <c r="L6095" s="15"/>
    </row>
    <row r="6096" spans="1:12">
      <c r="A6096" s="72"/>
      <c r="B6096" s="12"/>
      <c r="C6096" s="12"/>
      <c r="D6096" s="12"/>
      <c r="E6096" s="11"/>
      <c r="F6096" s="11"/>
      <c r="G6096" s="73"/>
      <c r="H6096" s="12"/>
      <c r="I6096" s="12"/>
      <c r="J6096" s="33"/>
      <c r="K6096" s="12"/>
      <c r="L6096" s="15"/>
    </row>
    <row r="6097" spans="1:12">
      <c r="A6097" s="72"/>
      <c r="B6097" s="12"/>
      <c r="C6097" s="12"/>
      <c r="D6097" s="12"/>
      <c r="E6097" s="11"/>
      <c r="F6097" s="11"/>
      <c r="G6097" s="73"/>
      <c r="H6097" s="12"/>
      <c r="I6097" s="12"/>
      <c r="J6097" s="33"/>
      <c r="K6097" s="12"/>
      <c r="L6097" s="15"/>
    </row>
    <row r="6098" spans="1:12">
      <c r="A6098" s="72"/>
      <c r="B6098" s="12"/>
      <c r="C6098" s="12"/>
      <c r="D6098" s="12"/>
      <c r="E6098" s="11"/>
      <c r="F6098" s="11"/>
      <c r="G6098" s="73"/>
      <c r="H6098" s="12"/>
      <c r="I6098" s="12"/>
      <c r="J6098" s="33"/>
      <c r="K6098" s="12"/>
      <c r="L6098" s="15"/>
    </row>
    <row r="6099" spans="1:12">
      <c r="A6099" s="72"/>
      <c r="B6099" s="12"/>
      <c r="C6099" s="12"/>
      <c r="D6099" s="12"/>
      <c r="E6099" s="11"/>
      <c r="F6099" s="11"/>
      <c r="G6099" s="73"/>
      <c r="H6099" s="12"/>
      <c r="I6099" s="12"/>
      <c r="J6099" s="33"/>
      <c r="K6099" s="12"/>
      <c r="L6099" s="15"/>
    </row>
    <row r="6100" spans="1:12">
      <c r="A6100" s="72"/>
      <c r="B6100" s="12"/>
      <c r="C6100" s="12"/>
      <c r="D6100" s="12"/>
      <c r="E6100" s="11"/>
      <c r="F6100" s="11"/>
      <c r="G6100" s="73"/>
      <c r="H6100" s="12"/>
      <c r="I6100" s="12"/>
      <c r="J6100" s="33"/>
      <c r="K6100" s="12"/>
      <c r="L6100" s="15"/>
    </row>
    <row r="6101" spans="1:12">
      <c r="A6101" s="72"/>
      <c r="B6101" s="12"/>
      <c r="C6101" s="12"/>
      <c r="D6101" s="12"/>
      <c r="E6101" s="11"/>
      <c r="F6101" s="11"/>
      <c r="G6101" s="73"/>
      <c r="H6101" s="12"/>
      <c r="I6101" s="12"/>
      <c r="J6101" s="33"/>
      <c r="K6101" s="12"/>
      <c r="L6101" s="15"/>
    </row>
    <row r="6102" spans="1:12">
      <c r="A6102" s="72"/>
      <c r="B6102" s="12"/>
      <c r="C6102" s="12"/>
      <c r="D6102" s="12"/>
      <c r="E6102" s="11"/>
      <c r="F6102" s="11"/>
      <c r="G6102" s="73"/>
      <c r="H6102" s="12"/>
      <c r="I6102" s="12"/>
      <c r="J6102" s="33"/>
      <c r="K6102" s="12"/>
      <c r="L6102" s="15"/>
    </row>
    <row r="6103" spans="1:12">
      <c r="A6103" s="72"/>
      <c r="B6103" s="12"/>
      <c r="C6103" s="12"/>
      <c r="D6103" s="12"/>
      <c r="E6103" s="11"/>
      <c r="F6103" s="11"/>
      <c r="G6103" s="73"/>
      <c r="H6103" s="12"/>
      <c r="I6103" s="12"/>
      <c r="J6103" s="33"/>
      <c r="K6103" s="12"/>
      <c r="L6103" s="15"/>
    </row>
    <row r="6104" spans="1:12">
      <c r="A6104" s="72"/>
      <c r="B6104" s="12"/>
      <c r="C6104" s="12"/>
      <c r="D6104" s="12"/>
      <c r="E6104" s="11"/>
      <c r="F6104" s="11"/>
      <c r="G6104" s="73"/>
      <c r="H6104" s="12"/>
      <c r="I6104" s="12"/>
      <c r="J6104" s="33"/>
      <c r="K6104" s="12"/>
      <c r="L6104" s="15"/>
    </row>
    <row r="6105" spans="1:12">
      <c r="A6105" s="72"/>
      <c r="B6105" s="12"/>
      <c r="C6105" s="12"/>
      <c r="D6105" s="12"/>
      <c r="E6105" s="11"/>
      <c r="F6105" s="11"/>
      <c r="G6105" s="73"/>
      <c r="H6105" s="12"/>
      <c r="I6105" s="12"/>
      <c r="J6105" s="33"/>
      <c r="K6105" s="12"/>
      <c r="L6105" s="15"/>
    </row>
    <row r="6106" spans="1:12">
      <c r="A6106" s="72"/>
      <c r="B6106" s="12"/>
      <c r="C6106" s="12"/>
      <c r="D6106" s="12"/>
      <c r="E6106" s="11"/>
      <c r="F6106" s="11"/>
      <c r="G6106" s="73"/>
      <c r="H6106" s="12"/>
      <c r="I6106" s="12"/>
      <c r="J6106" s="33"/>
      <c r="K6106" s="12"/>
      <c r="L6106" s="15"/>
    </row>
    <row r="6107" spans="1:12">
      <c r="A6107" s="72"/>
      <c r="B6107" s="12"/>
      <c r="C6107" s="12"/>
      <c r="D6107" s="12"/>
      <c r="E6107" s="11"/>
      <c r="F6107" s="11"/>
      <c r="G6107" s="73"/>
      <c r="H6107" s="12"/>
      <c r="I6107" s="12"/>
      <c r="J6107" s="33"/>
      <c r="K6107" s="12"/>
      <c r="L6107" s="15"/>
    </row>
    <row r="6108" spans="1:12">
      <c r="A6108" s="72"/>
      <c r="B6108" s="12"/>
      <c r="C6108" s="12"/>
      <c r="D6108" s="12"/>
      <c r="E6108" s="11"/>
      <c r="F6108" s="11"/>
      <c r="G6108" s="73"/>
      <c r="H6108" s="12"/>
      <c r="I6108" s="12"/>
      <c r="J6108" s="33"/>
      <c r="K6108" s="12"/>
      <c r="L6108" s="15"/>
    </row>
    <row r="6109" spans="1:12">
      <c r="A6109" s="72"/>
      <c r="B6109" s="12"/>
      <c r="C6109" s="12"/>
      <c r="D6109" s="12"/>
      <c r="E6109" s="11"/>
      <c r="F6109" s="11"/>
      <c r="G6109" s="73"/>
      <c r="H6109" s="12"/>
      <c r="I6109" s="12"/>
      <c r="J6109" s="33"/>
      <c r="K6109" s="12"/>
      <c r="L6109" s="15"/>
    </row>
    <row r="6110" spans="1:12">
      <c r="A6110" s="72"/>
      <c r="B6110" s="12"/>
      <c r="C6110" s="12"/>
      <c r="D6110" s="12"/>
      <c r="E6110" s="11"/>
      <c r="F6110" s="11"/>
      <c r="G6110" s="73"/>
      <c r="H6110" s="12"/>
      <c r="I6110" s="12"/>
      <c r="J6110" s="33"/>
      <c r="K6110" s="12"/>
      <c r="L6110" s="15"/>
    </row>
    <row r="6111" spans="1:12">
      <c r="A6111" s="72"/>
      <c r="B6111" s="12"/>
      <c r="C6111" s="12"/>
      <c r="D6111" s="12"/>
      <c r="E6111" s="11"/>
      <c r="F6111" s="11"/>
      <c r="G6111" s="73"/>
      <c r="H6111" s="12"/>
      <c r="I6111" s="12"/>
      <c r="J6111" s="33"/>
      <c r="K6111" s="12"/>
      <c r="L6111" s="15"/>
    </row>
    <row r="6112" spans="1:12">
      <c r="A6112" s="72"/>
      <c r="B6112" s="12"/>
      <c r="C6112" s="12"/>
      <c r="D6112" s="12"/>
      <c r="E6112" s="11"/>
      <c r="F6112" s="11"/>
      <c r="G6112" s="73"/>
      <c r="H6112" s="12"/>
      <c r="I6112" s="12"/>
      <c r="J6112" s="33"/>
      <c r="K6112" s="12"/>
      <c r="L6112" s="15"/>
    </row>
    <row r="6113" spans="1:12">
      <c r="A6113" s="72"/>
      <c r="B6113" s="12"/>
      <c r="C6113" s="12"/>
      <c r="D6113" s="12"/>
      <c r="E6113" s="11"/>
      <c r="F6113" s="11"/>
      <c r="G6113" s="73"/>
      <c r="H6113" s="12"/>
      <c r="I6113" s="12"/>
      <c r="J6113" s="33"/>
      <c r="K6113" s="12"/>
      <c r="L6113" s="15"/>
    </row>
    <row r="6114" spans="1:12">
      <c r="A6114" s="72"/>
      <c r="B6114" s="12"/>
      <c r="C6114" s="12"/>
      <c r="D6114" s="12"/>
      <c r="E6114" s="11"/>
      <c r="F6114" s="11"/>
      <c r="G6114" s="73"/>
      <c r="H6114" s="12"/>
      <c r="I6114" s="12"/>
      <c r="J6114" s="33"/>
      <c r="K6114" s="12"/>
      <c r="L6114" s="15"/>
    </row>
    <row r="6115" spans="1:12">
      <c r="A6115" s="72"/>
      <c r="B6115" s="12"/>
      <c r="C6115" s="12"/>
      <c r="D6115" s="12"/>
      <c r="E6115" s="11"/>
      <c r="F6115" s="11"/>
      <c r="G6115" s="73"/>
      <c r="H6115" s="12"/>
      <c r="I6115" s="12"/>
      <c r="J6115" s="33"/>
      <c r="K6115" s="12"/>
      <c r="L6115" s="15"/>
    </row>
    <row r="6116" spans="1:12">
      <c r="A6116" s="72"/>
      <c r="B6116" s="12"/>
      <c r="C6116" s="12"/>
      <c r="D6116" s="12"/>
      <c r="E6116" s="11"/>
      <c r="F6116" s="11"/>
      <c r="G6116" s="73"/>
      <c r="H6116" s="12"/>
      <c r="I6116" s="12"/>
      <c r="J6116" s="33"/>
      <c r="K6116" s="12"/>
      <c r="L6116" s="15"/>
    </row>
    <row r="6117" spans="1:12">
      <c r="A6117" s="72"/>
      <c r="B6117" s="12"/>
      <c r="C6117" s="12"/>
      <c r="D6117" s="12"/>
      <c r="E6117" s="11"/>
      <c r="F6117" s="11"/>
      <c r="G6117" s="73"/>
      <c r="H6117" s="12"/>
      <c r="I6117" s="12"/>
      <c r="J6117" s="33"/>
      <c r="K6117" s="12"/>
      <c r="L6117" s="15"/>
    </row>
    <row r="6118" spans="1:12">
      <c r="A6118" s="72"/>
      <c r="B6118" s="12"/>
      <c r="C6118" s="12"/>
      <c r="D6118" s="12"/>
      <c r="E6118" s="11"/>
      <c r="F6118" s="11"/>
      <c r="G6118" s="73"/>
      <c r="H6118" s="12"/>
      <c r="I6118" s="12"/>
      <c r="J6118" s="33"/>
      <c r="K6118" s="12"/>
      <c r="L6118" s="15"/>
    </row>
    <row r="6119" spans="1:12">
      <c r="A6119" s="72"/>
      <c r="B6119" s="12"/>
      <c r="C6119" s="12"/>
      <c r="D6119" s="12"/>
      <c r="E6119" s="11"/>
      <c r="F6119" s="11"/>
      <c r="G6119" s="73"/>
      <c r="H6119" s="12"/>
      <c r="I6119" s="12"/>
      <c r="J6119" s="33"/>
      <c r="K6119" s="12"/>
      <c r="L6119" s="15"/>
    </row>
    <row r="6120" spans="1:12">
      <c r="A6120" s="72"/>
      <c r="B6120" s="12"/>
      <c r="C6120" s="12"/>
      <c r="D6120" s="12"/>
      <c r="E6120" s="11"/>
      <c r="F6120" s="11"/>
      <c r="G6120" s="73"/>
      <c r="H6120" s="12"/>
      <c r="I6120" s="12"/>
      <c r="J6120" s="33"/>
      <c r="K6120" s="12"/>
      <c r="L6120" s="15"/>
    </row>
    <row r="6121" spans="1:12">
      <c r="A6121" s="72"/>
      <c r="B6121" s="12"/>
      <c r="C6121" s="12"/>
      <c r="D6121" s="12"/>
      <c r="E6121" s="11"/>
      <c r="F6121" s="11"/>
      <c r="G6121" s="73"/>
      <c r="H6121" s="12"/>
      <c r="I6121" s="12"/>
      <c r="J6121" s="33"/>
      <c r="K6121" s="12"/>
      <c r="L6121" s="15"/>
    </row>
    <row r="6122" spans="1:12">
      <c r="A6122" s="72"/>
      <c r="B6122" s="12"/>
      <c r="C6122" s="12"/>
      <c r="D6122" s="12"/>
      <c r="E6122" s="11"/>
      <c r="F6122" s="11"/>
      <c r="G6122" s="73"/>
      <c r="H6122" s="12"/>
      <c r="I6122" s="12"/>
      <c r="J6122" s="33"/>
      <c r="K6122" s="12"/>
      <c r="L6122" s="15"/>
    </row>
    <row r="6123" spans="1:12">
      <c r="A6123" s="72"/>
      <c r="B6123" s="12"/>
      <c r="C6123" s="12"/>
      <c r="D6123" s="12"/>
      <c r="E6123" s="11"/>
      <c r="F6123" s="11"/>
      <c r="G6123" s="73"/>
      <c r="H6123" s="12"/>
      <c r="I6123" s="12"/>
      <c r="J6123" s="33"/>
      <c r="K6123" s="12"/>
      <c r="L6123" s="15"/>
    </row>
    <row r="6124" spans="1:12">
      <c r="A6124" s="72"/>
      <c r="B6124" s="12"/>
      <c r="C6124" s="12"/>
      <c r="D6124" s="12"/>
      <c r="E6124" s="11"/>
      <c r="F6124" s="11"/>
      <c r="G6124" s="73"/>
      <c r="H6124" s="12"/>
      <c r="I6124" s="12"/>
      <c r="J6124" s="33"/>
      <c r="K6124" s="12"/>
      <c r="L6124" s="15"/>
    </row>
    <row r="6125" spans="1:12">
      <c r="A6125" s="72"/>
      <c r="B6125" s="12"/>
      <c r="C6125" s="12"/>
      <c r="D6125" s="12"/>
      <c r="E6125" s="11"/>
      <c r="F6125" s="11"/>
      <c r="G6125" s="73"/>
      <c r="H6125" s="12"/>
      <c r="I6125" s="12"/>
      <c r="J6125" s="33"/>
      <c r="K6125" s="12"/>
      <c r="L6125" s="15"/>
    </row>
    <row r="6126" spans="1:12">
      <c r="A6126" s="72"/>
      <c r="B6126" s="12"/>
      <c r="C6126" s="12"/>
      <c r="D6126" s="12"/>
      <c r="E6126" s="11"/>
      <c r="F6126" s="11"/>
      <c r="G6126" s="73"/>
      <c r="H6126" s="12"/>
      <c r="I6126" s="12"/>
      <c r="J6126" s="33"/>
      <c r="K6126" s="12"/>
      <c r="L6126" s="15"/>
    </row>
    <row r="6127" spans="1:12">
      <c r="A6127" s="72"/>
      <c r="B6127" s="12"/>
      <c r="C6127" s="12"/>
      <c r="D6127" s="12"/>
      <c r="E6127" s="11"/>
      <c r="F6127" s="11"/>
      <c r="G6127" s="73"/>
      <c r="H6127" s="12"/>
      <c r="I6127" s="12"/>
      <c r="J6127" s="33"/>
      <c r="K6127" s="12"/>
      <c r="L6127" s="15"/>
    </row>
    <row r="6128" spans="1:12">
      <c r="A6128" s="72"/>
      <c r="B6128" s="12"/>
      <c r="C6128" s="12"/>
      <c r="D6128" s="12"/>
      <c r="E6128" s="11"/>
      <c r="F6128" s="11"/>
      <c r="G6128" s="73"/>
      <c r="H6128" s="12"/>
      <c r="I6128" s="12"/>
      <c r="J6128" s="33"/>
      <c r="K6128" s="12"/>
      <c r="L6128" s="15"/>
    </row>
    <row r="6129" spans="1:12">
      <c r="A6129" s="72"/>
      <c r="B6129" s="12"/>
      <c r="C6129" s="12"/>
      <c r="D6129" s="12"/>
      <c r="E6129" s="11"/>
      <c r="F6129" s="11"/>
      <c r="G6129" s="73"/>
      <c r="H6129" s="12"/>
      <c r="I6129" s="12"/>
      <c r="J6129" s="33"/>
      <c r="K6129" s="12"/>
      <c r="L6129" s="15"/>
    </row>
    <row r="6130" spans="1:12">
      <c r="A6130" s="72"/>
      <c r="B6130" s="12"/>
      <c r="C6130" s="12"/>
      <c r="D6130" s="12"/>
      <c r="E6130" s="11"/>
      <c r="F6130" s="11"/>
      <c r="G6130" s="73"/>
      <c r="H6130" s="12"/>
      <c r="I6130" s="12"/>
      <c r="J6130" s="33"/>
      <c r="K6130" s="12"/>
      <c r="L6130" s="15"/>
    </row>
    <row r="6131" spans="1:12">
      <c r="A6131" s="72"/>
      <c r="B6131" s="12"/>
      <c r="C6131" s="12"/>
      <c r="D6131" s="12"/>
      <c r="E6131" s="11"/>
      <c r="F6131" s="11"/>
      <c r="G6131" s="73"/>
      <c r="H6131" s="12"/>
      <c r="I6131" s="12"/>
      <c r="J6131" s="33"/>
      <c r="K6131" s="12"/>
      <c r="L6131" s="15"/>
    </row>
    <row r="6132" spans="1:12">
      <c r="A6132" s="72"/>
      <c r="B6132" s="12"/>
      <c r="C6132" s="12"/>
      <c r="D6132" s="12"/>
      <c r="E6132" s="11"/>
      <c r="F6132" s="11"/>
      <c r="G6132" s="73"/>
      <c r="H6132" s="12"/>
      <c r="I6132" s="12"/>
      <c r="J6132" s="33"/>
      <c r="K6132" s="12"/>
      <c r="L6132" s="15"/>
    </row>
    <row r="6133" spans="1:12">
      <c r="A6133" s="72"/>
      <c r="B6133" s="12"/>
      <c r="C6133" s="12"/>
      <c r="D6133" s="12"/>
      <c r="E6133" s="11"/>
      <c r="F6133" s="11"/>
      <c r="G6133" s="73"/>
      <c r="H6133" s="12"/>
      <c r="I6133" s="12"/>
      <c r="J6133" s="33"/>
      <c r="K6133" s="12"/>
      <c r="L6133" s="15"/>
    </row>
    <row r="6134" spans="1:12">
      <c r="A6134" s="72"/>
      <c r="B6134" s="12"/>
      <c r="C6134" s="12"/>
      <c r="D6134" s="12"/>
      <c r="E6134" s="11"/>
      <c r="F6134" s="11"/>
      <c r="G6134" s="73"/>
      <c r="H6134" s="12"/>
      <c r="I6134" s="12"/>
      <c r="J6134" s="33"/>
      <c r="K6134" s="12"/>
      <c r="L6134" s="15"/>
    </row>
    <row r="6135" spans="1:12">
      <c r="A6135" s="72"/>
      <c r="B6135" s="12"/>
      <c r="C6135" s="12"/>
      <c r="D6135" s="12"/>
      <c r="E6135" s="11"/>
      <c r="F6135" s="11"/>
      <c r="G6135" s="73"/>
      <c r="H6135" s="12"/>
      <c r="I6135" s="12"/>
      <c r="J6135" s="33"/>
      <c r="K6135" s="12"/>
      <c r="L6135" s="15"/>
    </row>
    <row r="6136" spans="1:12">
      <c r="A6136" s="72"/>
      <c r="B6136" s="12"/>
      <c r="C6136" s="12"/>
      <c r="D6136" s="12"/>
      <c r="E6136" s="11"/>
      <c r="F6136" s="11"/>
      <c r="G6136" s="73"/>
      <c r="H6136" s="12"/>
      <c r="I6136" s="12"/>
      <c r="J6136" s="33"/>
      <c r="K6136" s="12"/>
      <c r="L6136" s="15"/>
    </row>
    <row r="6137" spans="1:12">
      <c r="A6137" s="72"/>
      <c r="B6137" s="12"/>
      <c r="C6137" s="12"/>
      <c r="D6137" s="12"/>
      <c r="E6137" s="11"/>
      <c r="F6137" s="11"/>
      <c r="G6137" s="73"/>
      <c r="H6137" s="12"/>
      <c r="I6137" s="12"/>
      <c r="J6137" s="33"/>
      <c r="K6137" s="12"/>
      <c r="L6137" s="15"/>
    </row>
    <row r="6138" spans="1:12">
      <c r="A6138" s="72"/>
      <c r="B6138" s="12"/>
      <c r="C6138" s="12"/>
      <c r="D6138" s="12"/>
      <c r="E6138" s="11"/>
      <c r="F6138" s="11"/>
      <c r="G6138" s="73"/>
      <c r="H6138" s="12"/>
      <c r="I6138" s="12"/>
      <c r="J6138" s="33"/>
      <c r="K6138" s="12"/>
      <c r="L6138" s="15"/>
    </row>
    <row r="6139" spans="1:12">
      <c r="A6139" s="72"/>
      <c r="B6139" s="12"/>
      <c r="C6139" s="12"/>
      <c r="D6139" s="12"/>
      <c r="E6139" s="11"/>
      <c r="F6139" s="11"/>
      <c r="G6139" s="73"/>
      <c r="H6139" s="12"/>
      <c r="I6139" s="12"/>
      <c r="J6139" s="33"/>
      <c r="K6139" s="12"/>
      <c r="L6139" s="15"/>
    </row>
    <row r="6140" spans="1:12">
      <c r="A6140" s="72"/>
      <c r="B6140" s="12"/>
      <c r="C6140" s="12"/>
      <c r="D6140" s="12"/>
      <c r="E6140" s="11"/>
      <c r="F6140" s="11"/>
      <c r="G6140" s="73"/>
      <c r="H6140" s="12"/>
      <c r="I6140" s="12"/>
      <c r="J6140" s="33"/>
      <c r="K6140" s="12"/>
      <c r="L6140" s="15"/>
    </row>
    <row r="6141" spans="1:12">
      <c r="A6141" s="72"/>
      <c r="B6141" s="12"/>
      <c r="C6141" s="12"/>
      <c r="D6141" s="12"/>
      <c r="E6141" s="11"/>
      <c r="F6141" s="11"/>
      <c r="G6141" s="73"/>
      <c r="H6141" s="12"/>
      <c r="I6141" s="12"/>
      <c r="J6141" s="33"/>
      <c r="K6141" s="12"/>
      <c r="L6141" s="15"/>
    </row>
    <row r="6142" spans="1:12">
      <c r="A6142" s="72"/>
      <c r="B6142" s="12"/>
      <c r="C6142" s="12"/>
      <c r="D6142" s="12"/>
      <c r="E6142" s="11"/>
      <c r="F6142" s="11"/>
      <c r="G6142" s="73"/>
      <c r="H6142" s="12"/>
      <c r="I6142" s="12"/>
      <c r="J6142" s="33"/>
      <c r="K6142" s="12"/>
      <c r="L6142" s="15"/>
    </row>
    <row r="6143" spans="1:12">
      <c r="A6143" s="72"/>
      <c r="B6143" s="12"/>
      <c r="C6143" s="12"/>
      <c r="D6143" s="12"/>
      <c r="E6143" s="11"/>
      <c r="F6143" s="11"/>
      <c r="G6143" s="73"/>
      <c r="H6143" s="12"/>
      <c r="I6143" s="12"/>
      <c r="J6143" s="33"/>
      <c r="K6143" s="12"/>
      <c r="L6143" s="15"/>
    </row>
    <row r="6144" spans="1:12">
      <c r="A6144" s="72"/>
      <c r="B6144" s="12"/>
      <c r="C6144" s="12"/>
      <c r="D6144" s="12"/>
      <c r="E6144" s="11"/>
      <c r="F6144" s="11"/>
      <c r="G6144" s="73"/>
      <c r="H6144" s="12"/>
      <c r="I6144" s="12"/>
      <c r="J6144" s="33"/>
      <c r="K6144" s="12"/>
      <c r="L6144" s="15"/>
    </row>
    <row r="6145" spans="1:12">
      <c r="A6145" s="72"/>
      <c r="B6145" s="12"/>
      <c r="C6145" s="12"/>
      <c r="D6145" s="12"/>
      <c r="E6145" s="11"/>
      <c r="F6145" s="11"/>
      <c r="G6145" s="73"/>
      <c r="H6145" s="12"/>
      <c r="I6145" s="12"/>
      <c r="J6145" s="33"/>
      <c r="K6145" s="12"/>
      <c r="L6145" s="15"/>
    </row>
    <row r="6146" spans="1:12">
      <c r="A6146" s="72"/>
      <c r="B6146" s="12"/>
      <c r="C6146" s="12"/>
      <c r="D6146" s="12"/>
      <c r="E6146" s="11"/>
      <c r="F6146" s="11"/>
      <c r="G6146" s="73"/>
      <c r="H6146" s="12"/>
      <c r="I6146" s="12"/>
      <c r="J6146" s="33"/>
      <c r="K6146" s="12"/>
      <c r="L6146" s="15"/>
    </row>
    <row r="6147" spans="1:12">
      <c r="A6147" s="72"/>
      <c r="B6147" s="12"/>
      <c r="C6147" s="12"/>
      <c r="D6147" s="12"/>
      <c r="E6147" s="11"/>
      <c r="F6147" s="11"/>
      <c r="G6147" s="73"/>
      <c r="H6147" s="12"/>
      <c r="I6147" s="12"/>
      <c r="J6147" s="33"/>
      <c r="K6147" s="12"/>
      <c r="L6147" s="15"/>
    </row>
    <row r="6148" spans="1:12">
      <c r="A6148" s="72"/>
      <c r="B6148" s="12"/>
      <c r="C6148" s="12"/>
      <c r="D6148" s="12"/>
      <c r="E6148" s="11"/>
      <c r="F6148" s="11"/>
      <c r="G6148" s="73"/>
      <c r="H6148" s="12"/>
      <c r="I6148" s="12"/>
      <c r="J6148" s="33"/>
      <c r="K6148" s="12"/>
      <c r="L6148" s="15"/>
    </row>
    <row r="6149" spans="1:12">
      <c r="A6149" s="72"/>
      <c r="B6149" s="12"/>
      <c r="C6149" s="12"/>
      <c r="D6149" s="12"/>
      <c r="E6149" s="11"/>
      <c r="F6149" s="11"/>
      <c r="G6149" s="73"/>
      <c r="H6149" s="12"/>
      <c r="I6149" s="12"/>
      <c r="J6149" s="33"/>
      <c r="K6149" s="12"/>
      <c r="L6149" s="15"/>
    </row>
    <row r="6150" spans="1:12">
      <c r="A6150" s="72"/>
      <c r="B6150" s="12"/>
      <c r="C6150" s="12"/>
      <c r="D6150" s="12"/>
      <c r="E6150" s="11"/>
      <c r="F6150" s="11"/>
      <c r="G6150" s="73"/>
      <c r="H6150" s="12"/>
      <c r="I6150" s="12"/>
      <c r="J6150" s="33"/>
      <c r="K6150" s="12"/>
      <c r="L6150" s="15"/>
    </row>
    <row r="6151" spans="1:12">
      <c r="A6151" s="72"/>
      <c r="B6151" s="12"/>
      <c r="C6151" s="12"/>
      <c r="D6151" s="128"/>
      <c r="E6151" s="11"/>
      <c r="F6151" s="11"/>
      <c r="G6151" s="73"/>
      <c r="H6151" s="12"/>
      <c r="I6151" s="12"/>
      <c r="J6151" s="33"/>
      <c r="K6151" s="12"/>
      <c r="L6151" s="15"/>
    </row>
    <row r="6152" spans="1:12">
      <c r="A6152" s="72"/>
      <c r="B6152" s="12"/>
      <c r="C6152" s="12"/>
      <c r="D6152" s="128"/>
      <c r="E6152" s="11"/>
      <c r="F6152" s="11"/>
      <c r="G6152" s="73"/>
      <c r="H6152" s="12"/>
      <c r="I6152" s="12"/>
      <c r="J6152" s="33"/>
      <c r="K6152" s="12"/>
      <c r="L6152" s="15"/>
    </row>
    <row r="6153" spans="1:12">
      <c r="A6153" s="72"/>
      <c r="B6153" s="12"/>
      <c r="C6153" s="12"/>
      <c r="D6153" s="12"/>
      <c r="E6153" s="11"/>
      <c r="F6153" s="11"/>
      <c r="G6153" s="73"/>
      <c r="H6153" s="12"/>
      <c r="I6153" s="12"/>
      <c r="J6153" s="33"/>
      <c r="K6153" s="12"/>
      <c r="L6153" s="15"/>
    </row>
    <row r="6154" spans="1:12">
      <c r="A6154" s="72"/>
      <c r="B6154" s="12"/>
      <c r="C6154" s="12"/>
      <c r="D6154" s="12"/>
      <c r="E6154" s="11"/>
      <c r="F6154" s="11"/>
      <c r="G6154" s="73"/>
      <c r="H6154" s="12"/>
      <c r="I6154" s="12"/>
      <c r="J6154" s="33"/>
      <c r="K6154" s="12"/>
      <c r="L6154" s="15"/>
    </row>
    <row r="6155" spans="1:12">
      <c r="A6155" s="72"/>
      <c r="B6155" s="12"/>
      <c r="C6155" s="12"/>
      <c r="D6155" s="12"/>
      <c r="E6155" s="11"/>
      <c r="F6155" s="11"/>
      <c r="G6155" s="73"/>
      <c r="H6155" s="12"/>
      <c r="I6155" s="12"/>
      <c r="J6155" s="33"/>
      <c r="K6155" s="12"/>
      <c r="L6155" s="15"/>
    </row>
    <row r="6156" spans="1:12">
      <c r="A6156" s="72"/>
      <c r="B6156" s="12"/>
      <c r="C6156" s="12"/>
      <c r="D6156" s="12"/>
      <c r="E6156" s="11"/>
      <c r="F6156" s="11"/>
      <c r="G6156" s="73"/>
      <c r="H6156" s="12"/>
      <c r="I6156" s="12"/>
      <c r="J6156" s="33"/>
      <c r="K6156" s="12"/>
      <c r="L6156" s="15"/>
    </row>
    <row r="6157" spans="1:12">
      <c r="A6157" s="72"/>
      <c r="B6157" s="12"/>
      <c r="C6157" s="12"/>
      <c r="D6157" s="12"/>
      <c r="E6157" s="11"/>
      <c r="F6157" s="11"/>
      <c r="G6157" s="73"/>
      <c r="H6157" s="12"/>
      <c r="I6157" s="12"/>
      <c r="J6157" s="33"/>
      <c r="K6157" s="12"/>
      <c r="L6157" s="15"/>
    </row>
    <row r="6158" spans="1:12">
      <c r="A6158" s="72"/>
      <c r="B6158" s="12"/>
      <c r="C6158" s="12"/>
      <c r="D6158" s="12"/>
      <c r="E6158" s="11"/>
      <c r="F6158" s="11"/>
      <c r="G6158" s="73"/>
      <c r="H6158" s="12"/>
      <c r="I6158" s="12"/>
      <c r="J6158" s="33"/>
      <c r="K6158" s="12"/>
      <c r="L6158" s="15"/>
    </row>
    <row r="6159" spans="1:12">
      <c r="A6159" s="72"/>
      <c r="B6159" s="12"/>
      <c r="C6159" s="12"/>
      <c r="D6159" s="12"/>
      <c r="E6159" s="11"/>
      <c r="F6159" s="11"/>
      <c r="G6159" s="73"/>
      <c r="H6159" s="12"/>
      <c r="I6159" s="12"/>
      <c r="J6159" s="33"/>
      <c r="K6159" s="12"/>
      <c r="L6159" s="15"/>
    </row>
    <row r="6160" spans="1:12">
      <c r="A6160" s="72"/>
      <c r="B6160" s="12"/>
      <c r="C6160" s="12"/>
      <c r="D6160" s="12"/>
      <c r="E6160" s="11"/>
      <c r="F6160" s="11"/>
      <c r="G6160" s="73"/>
      <c r="H6160" s="12"/>
      <c r="I6160" s="12"/>
      <c r="J6160" s="33"/>
      <c r="K6160" s="12"/>
      <c r="L6160" s="15"/>
    </row>
    <row r="6161" spans="1:12">
      <c r="A6161" s="72"/>
      <c r="B6161" s="12"/>
      <c r="C6161" s="12"/>
      <c r="D6161" s="12"/>
      <c r="E6161" s="11"/>
      <c r="F6161" s="11"/>
      <c r="G6161" s="73"/>
      <c r="H6161" s="12"/>
      <c r="I6161" s="12"/>
      <c r="J6161" s="33"/>
      <c r="K6161" s="12"/>
      <c r="L6161" s="15"/>
    </row>
    <row r="6162" spans="1:12">
      <c r="A6162" s="72"/>
      <c r="B6162" s="12"/>
      <c r="C6162" s="12"/>
      <c r="D6162" s="12"/>
      <c r="E6162" s="11"/>
      <c r="F6162" s="11"/>
      <c r="G6162" s="73"/>
      <c r="H6162" s="12"/>
      <c r="I6162" s="12"/>
      <c r="J6162" s="33"/>
      <c r="K6162" s="12"/>
      <c r="L6162" s="15"/>
    </row>
    <row r="6163" spans="1:12">
      <c r="A6163" s="72"/>
      <c r="B6163" s="12"/>
      <c r="C6163" s="12"/>
      <c r="D6163" s="12"/>
      <c r="E6163" s="11"/>
      <c r="F6163" s="11"/>
      <c r="G6163" s="73"/>
      <c r="H6163" s="12"/>
      <c r="I6163" s="12"/>
      <c r="J6163" s="33"/>
      <c r="K6163" s="12"/>
      <c r="L6163" s="15"/>
    </row>
    <row r="6164" spans="1:12">
      <c r="A6164" s="72"/>
      <c r="B6164" s="12"/>
      <c r="C6164" s="12"/>
      <c r="D6164" s="12"/>
      <c r="E6164" s="11"/>
      <c r="F6164" s="11"/>
      <c r="G6164" s="73"/>
      <c r="H6164" s="12"/>
      <c r="I6164" s="12"/>
      <c r="J6164" s="33"/>
      <c r="K6164" s="12"/>
      <c r="L6164" s="15"/>
    </row>
    <row r="6165" spans="1:12">
      <c r="A6165" s="72"/>
      <c r="B6165" s="12"/>
      <c r="C6165" s="12"/>
      <c r="D6165" s="12"/>
      <c r="E6165" s="11"/>
      <c r="F6165" s="11"/>
      <c r="G6165" s="73"/>
      <c r="H6165" s="12"/>
      <c r="I6165" s="12"/>
      <c r="J6165" s="33"/>
      <c r="K6165" s="12"/>
      <c r="L6165" s="15"/>
    </row>
    <row r="6166" spans="1:12">
      <c r="A6166" s="72"/>
      <c r="B6166" s="12"/>
      <c r="C6166" s="12"/>
      <c r="D6166" s="12"/>
      <c r="E6166" s="11"/>
      <c r="F6166" s="11"/>
      <c r="G6166" s="73"/>
      <c r="H6166" s="12"/>
      <c r="I6166" s="12"/>
      <c r="J6166" s="33"/>
      <c r="K6166" s="12"/>
      <c r="L6166" s="15"/>
    </row>
    <row r="6167" spans="1:12">
      <c r="A6167" s="72"/>
      <c r="B6167" s="12"/>
      <c r="C6167" s="12"/>
      <c r="D6167" s="12"/>
      <c r="E6167" s="11"/>
      <c r="F6167" s="11"/>
      <c r="G6167" s="73"/>
      <c r="H6167" s="12"/>
      <c r="I6167" s="12"/>
      <c r="J6167" s="33"/>
      <c r="K6167" s="12"/>
      <c r="L6167" s="15"/>
    </row>
    <row r="6168" spans="1:12">
      <c r="A6168" s="72"/>
      <c r="B6168" s="12"/>
      <c r="C6168" s="12"/>
      <c r="D6168" s="12"/>
      <c r="E6168" s="11"/>
      <c r="F6168" s="11"/>
      <c r="G6168" s="73"/>
      <c r="H6168" s="12"/>
      <c r="I6168" s="12"/>
      <c r="J6168" s="33"/>
      <c r="K6168" s="12"/>
      <c r="L6168" s="15"/>
    </row>
    <row r="6169" spans="1:12">
      <c r="A6169" s="72"/>
      <c r="B6169" s="12"/>
      <c r="C6169" s="12"/>
      <c r="D6169" s="12"/>
      <c r="E6169" s="11"/>
      <c r="F6169" s="11"/>
      <c r="G6169" s="73"/>
      <c r="H6169" s="12"/>
      <c r="I6169" s="12"/>
      <c r="J6169" s="33"/>
      <c r="K6169" s="12"/>
      <c r="L6169" s="15"/>
    </row>
    <row r="6170" spans="1:12">
      <c r="A6170" s="72"/>
      <c r="B6170" s="12"/>
      <c r="C6170" s="12"/>
      <c r="D6170" s="12"/>
      <c r="E6170" s="11"/>
      <c r="F6170" s="11"/>
      <c r="G6170" s="73"/>
      <c r="H6170" s="12"/>
      <c r="I6170" s="12"/>
      <c r="J6170" s="33"/>
      <c r="K6170" s="12"/>
      <c r="L6170" s="15"/>
    </row>
    <row r="6171" spans="1:12">
      <c r="A6171" s="72"/>
      <c r="B6171" s="12"/>
      <c r="C6171" s="12"/>
      <c r="D6171" s="12"/>
      <c r="E6171" s="11"/>
      <c r="F6171" s="11"/>
      <c r="G6171" s="73"/>
      <c r="H6171" s="12"/>
      <c r="I6171" s="12"/>
      <c r="J6171" s="33"/>
      <c r="K6171" s="12"/>
      <c r="L6171" s="15"/>
    </row>
    <row r="6172" spans="1:12">
      <c r="A6172" s="72"/>
      <c r="B6172" s="12"/>
      <c r="C6172" s="12"/>
      <c r="D6172" s="12"/>
      <c r="E6172" s="11"/>
      <c r="F6172" s="11"/>
      <c r="G6172" s="73"/>
      <c r="H6172" s="12"/>
      <c r="I6172" s="12"/>
      <c r="J6172" s="33"/>
      <c r="K6172" s="12"/>
      <c r="L6172" s="15"/>
    </row>
    <row r="6173" spans="1:12">
      <c r="A6173" s="72"/>
      <c r="B6173" s="12"/>
      <c r="C6173" s="12"/>
      <c r="D6173" s="12"/>
      <c r="E6173" s="11"/>
      <c r="F6173" s="11"/>
      <c r="G6173" s="73"/>
      <c r="H6173" s="12"/>
      <c r="I6173" s="12"/>
      <c r="J6173" s="33"/>
      <c r="K6173" s="12"/>
      <c r="L6173" s="15"/>
    </row>
    <row r="6174" spans="1:12">
      <c r="A6174" s="72"/>
      <c r="B6174" s="12"/>
      <c r="C6174" s="12"/>
      <c r="D6174" s="12"/>
      <c r="E6174" s="11"/>
      <c r="F6174" s="11"/>
      <c r="G6174" s="73"/>
      <c r="H6174" s="12"/>
      <c r="I6174" s="12"/>
      <c r="J6174" s="33"/>
      <c r="K6174" s="12"/>
      <c r="L6174" s="15"/>
    </row>
    <row r="6175" spans="1:12">
      <c r="A6175" s="72"/>
      <c r="B6175" s="12"/>
      <c r="C6175" s="12"/>
      <c r="D6175" s="12"/>
      <c r="E6175" s="11"/>
      <c r="F6175" s="11"/>
      <c r="G6175" s="73"/>
      <c r="H6175" s="12"/>
      <c r="I6175" s="12"/>
      <c r="J6175" s="33"/>
      <c r="K6175" s="12"/>
      <c r="L6175" s="15"/>
    </row>
    <row r="6176" spans="1:12">
      <c r="A6176" s="72"/>
      <c r="B6176" s="12"/>
      <c r="C6176" s="12"/>
      <c r="D6176" s="12"/>
      <c r="E6176" s="11"/>
      <c r="F6176" s="11"/>
      <c r="G6176" s="73"/>
      <c r="H6176" s="12"/>
      <c r="I6176" s="12"/>
      <c r="J6176" s="33"/>
      <c r="K6176" s="12"/>
      <c r="L6176" s="15"/>
    </row>
    <row r="6177" spans="1:12">
      <c r="A6177" s="72"/>
      <c r="B6177" s="12"/>
      <c r="C6177" s="12"/>
      <c r="D6177" s="12"/>
      <c r="E6177" s="11"/>
      <c r="F6177" s="11"/>
      <c r="G6177" s="73"/>
      <c r="H6177" s="12"/>
      <c r="I6177" s="12"/>
      <c r="J6177" s="33"/>
      <c r="K6177" s="12"/>
      <c r="L6177" s="15"/>
    </row>
    <row r="6178" spans="1:12">
      <c r="A6178" s="72"/>
      <c r="B6178" s="12"/>
      <c r="C6178" s="12"/>
      <c r="D6178" s="12"/>
      <c r="E6178" s="11"/>
      <c r="F6178" s="11"/>
      <c r="G6178" s="73"/>
      <c r="H6178" s="12"/>
      <c r="I6178" s="12"/>
      <c r="J6178" s="33"/>
      <c r="K6178" s="12"/>
      <c r="L6178" s="15"/>
    </row>
    <row r="6179" spans="1:12">
      <c r="A6179" s="72"/>
      <c r="B6179" s="12"/>
      <c r="C6179" s="12"/>
      <c r="D6179" s="12"/>
      <c r="E6179" s="11"/>
      <c r="F6179" s="11"/>
      <c r="G6179" s="73"/>
      <c r="H6179" s="12"/>
      <c r="I6179" s="12"/>
      <c r="J6179" s="33"/>
      <c r="K6179" s="12"/>
      <c r="L6179" s="15"/>
    </row>
    <row r="6180" spans="1:12">
      <c r="A6180" s="72"/>
      <c r="B6180" s="12"/>
      <c r="C6180" s="12"/>
      <c r="D6180" s="12"/>
      <c r="E6180" s="11"/>
      <c r="F6180" s="11"/>
      <c r="G6180" s="73"/>
      <c r="H6180" s="12"/>
      <c r="I6180" s="12"/>
      <c r="J6180" s="33"/>
      <c r="K6180" s="12"/>
      <c r="L6180" s="15"/>
    </row>
    <row r="6181" spans="1:12">
      <c r="A6181" s="72"/>
      <c r="B6181" s="12"/>
      <c r="C6181" s="12"/>
      <c r="D6181" s="12"/>
      <c r="E6181" s="11"/>
      <c r="F6181" s="11"/>
      <c r="G6181" s="73"/>
      <c r="H6181" s="12"/>
      <c r="I6181" s="12"/>
      <c r="J6181" s="33"/>
      <c r="K6181" s="12"/>
      <c r="L6181" s="15"/>
    </row>
    <row r="6182" spans="1:12">
      <c r="A6182" s="72"/>
      <c r="B6182" s="12"/>
      <c r="C6182" s="12"/>
      <c r="D6182" s="12"/>
      <c r="E6182" s="11"/>
      <c r="F6182" s="11"/>
      <c r="G6182" s="73"/>
      <c r="H6182" s="12"/>
      <c r="I6182" s="12"/>
      <c r="J6182" s="33"/>
      <c r="K6182" s="12"/>
      <c r="L6182" s="15"/>
    </row>
    <row r="6183" spans="1:12">
      <c r="A6183" s="72"/>
      <c r="B6183" s="12"/>
      <c r="C6183" s="12"/>
      <c r="D6183" s="12"/>
      <c r="E6183" s="11"/>
      <c r="F6183" s="11"/>
      <c r="G6183" s="73"/>
      <c r="H6183" s="12"/>
      <c r="I6183" s="12"/>
      <c r="J6183" s="33"/>
      <c r="K6183" s="12"/>
      <c r="L6183" s="15"/>
    </row>
    <row r="6184" spans="1:12">
      <c r="A6184" s="72"/>
      <c r="B6184" s="12"/>
      <c r="C6184" s="12"/>
      <c r="D6184" s="12"/>
      <c r="E6184" s="11"/>
      <c r="F6184" s="11"/>
      <c r="G6184" s="73"/>
      <c r="H6184" s="12"/>
      <c r="I6184" s="12"/>
      <c r="J6184" s="33"/>
      <c r="K6184" s="12"/>
      <c r="L6184" s="15"/>
    </row>
    <row r="6185" spans="1:12">
      <c r="A6185" s="72"/>
      <c r="B6185" s="12"/>
      <c r="C6185" s="12"/>
      <c r="D6185" s="12"/>
      <c r="E6185" s="11"/>
      <c r="F6185" s="11"/>
      <c r="G6185" s="73"/>
      <c r="H6185" s="12"/>
      <c r="I6185" s="12"/>
      <c r="J6185" s="33"/>
      <c r="K6185" s="12"/>
      <c r="L6185" s="15"/>
    </row>
    <row r="6186" spans="1:12">
      <c r="A6186" s="72"/>
      <c r="B6186" s="12"/>
      <c r="C6186" s="12"/>
      <c r="D6186" s="12"/>
      <c r="E6186" s="11"/>
      <c r="F6186" s="11"/>
      <c r="G6186" s="73"/>
      <c r="H6186" s="12"/>
      <c r="I6186" s="12"/>
      <c r="J6186" s="33"/>
      <c r="K6186" s="12"/>
      <c r="L6186" s="15"/>
    </row>
    <row r="6187" spans="1:12">
      <c r="A6187" s="72"/>
      <c r="B6187" s="12"/>
      <c r="C6187" s="12"/>
      <c r="D6187" s="12"/>
      <c r="E6187" s="11"/>
      <c r="F6187" s="11"/>
      <c r="G6187" s="73"/>
      <c r="H6187" s="12"/>
      <c r="I6187" s="12"/>
      <c r="J6187" s="33"/>
      <c r="K6187" s="12"/>
      <c r="L6187" s="15"/>
    </row>
    <row r="6188" spans="1:12">
      <c r="A6188" s="72"/>
      <c r="B6188" s="12"/>
      <c r="C6188" s="12"/>
      <c r="D6188" s="12"/>
      <c r="E6188" s="11"/>
      <c r="F6188" s="11"/>
      <c r="G6188" s="73"/>
      <c r="H6188" s="12"/>
      <c r="I6188" s="12"/>
      <c r="J6188" s="33"/>
      <c r="K6188" s="12"/>
      <c r="L6188" s="15"/>
    </row>
    <row r="6189" spans="1:12">
      <c r="A6189" s="72"/>
      <c r="B6189" s="12"/>
      <c r="C6189" s="12"/>
      <c r="D6189" s="12"/>
      <c r="E6189" s="11"/>
      <c r="F6189" s="11"/>
      <c r="G6189" s="73"/>
      <c r="H6189" s="12"/>
      <c r="I6189" s="12"/>
      <c r="J6189" s="33"/>
      <c r="K6189" s="12"/>
      <c r="L6189" s="15"/>
    </row>
    <row r="6190" spans="1:12">
      <c r="A6190" s="72"/>
      <c r="B6190" s="12"/>
      <c r="C6190" s="12"/>
      <c r="D6190" s="12"/>
      <c r="E6190" s="11"/>
      <c r="F6190" s="11"/>
      <c r="G6190" s="73"/>
      <c r="H6190" s="12"/>
      <c r="I6190" s="12"/>
      <c r="J6190" s="33"/>
      <c r="K6190" s="12"/>
      <c r="L6190" s="15"/>
    </row>
    <row r="6191" spans="1:12">
      <c r="A6191" s="72"/>
      <c r="B6191" s="12"/>
      <c r="C6191" s="12"/>
      <c r="D6191" s="12"/>
      <c r="E6191" s="11"/>
      <c r="F6191" s="11"/>
      <c r="G6191" s="73"/>
      <c r="H6191" s="12"/>
      <c r="I6191" s="12"/>
      <c r="J6191" s="33"/>
      <c r="K6191" s="12"/>
      <c r="L6191" s="15"/>
    </row>
    <row r="6192" spans="1:12">
      <c r="A6192" s="72"/>
      <c r="B6192" s="12"/>
      <c r="C6192" s="12"/>
      <c r="D6192" s="12"/>
      <c r="E6192" s="11"/>
      <c r="F6192" s="11"/>
      <c r="G6192" s="73"/>
      <c r="H6192" s="12"/>
      <c r="I6192" s="12"/>
      <c r="J6192" s="33"/>
      <c r="K6192" s="12"/>
      <c r="L6192" s="15"/>
    </row>
    <row r="6193" spans="1:12">
      <c r="A6193" s="72"/>
      <c r="B6193" s="12"/>
      <c r="C6193" s="12"/>
      <c r="D6193" s="12"/>
      <c r="E6193" s="11"/>
      <c r="F6193" s="11"/>
      <c r="G6193" s="73"/>
      <c r="H6193" s="12"/>
      <c r="I6193" s="12"/>
      <c r="J6193" s="33"/>
      <c r="K6193" s="12"/>
      <c r="L6193" s="15"/>
    </row>
    <row r="6194" spans="1:12">
      <c r="A6194" s="72"/>
      <c r="B6194" s="12"/>
      <c r="C6194" s="12"/>
      <c r="D6194" s="12"/>
      <c r="E6194" s="11"/>
      <c r="F6194" s="11"/>
      <c r="G6194" s="73"/>
      <c r="H6194" s="12"/>
      <c r="I6194" s="12"/>
      <c r="J6194" s="33"/>
      <c r="K6194" s="12"/>
      <c r="L6194" s="15"/>
    </row>
    <row r="6195" spans="1:12">
      <c r="A6195" s="72"/>
      <c r="B6195" s="12"/>
      <c r="C6195" s="12"/>
      <c r="D6195" s="12"/>
      <c r="E6195" s="11"/>
      <c r="F6195" s="11"/>
      <c r="G6195" s="73"/>
      <c r="H6195" s="12"/>
      <c r="I6195" s="12"/>
      <c r="J6195" s="33"/>
      <c r="K6195" s="12"/>
      <c r="L6195" s="15"/>
    </row>
    <row r="6196" spans="1:12">
      <c r="A6196" s="72"/>
      <c r="B6196" s="12"/>
      <c r="C6196" s="12"/>
      <c r="D6196" s="12"/>
      <c r="E6196" s="11"/>
      <c r="F6196" s="11"/>
      <c r="G6196" s="73"/>
      <c r="H6196" s="12"/>
      <c r="I6196" s="12"/>
      <c r="J6196" s="33"/>
      <c r="K6196" s="12"/>
      <c r="L6196" s="15"/>
    </row>
    <row r="6197" spans="1:12">
      <c r="A6197" s="72"/>
      <c r="B6197" s="12"/>
      <c r="C6197" s="12"/>
      <c r="D6197" s="12"/>
      <c r="E6197" s="11"/>
      <c r="F6197" s="11"/>
      <c r="G6197" s="73"/>
      <c r="H6197" s="12"/>
      <c r="I6197" s="12"/>
      <c r="J6197" s="33"/>
      <c r="K6197" s="12"/>
      <c r="L6197" s="15"/>
    </row>
    <row r="6198" spans="1:12">
      <c r="A6198" s="72"/>
      <c r="B6198" s="12"/>
      <c r="C6198" s="12"/>
      <c r="D6198" s="12"/>
      <c r="E6198" s="11"/>
      <c r="F6198" s="11"/>
      <c r="G6198" s="73"/>
      <c r="H6198" s="12"/>
      <c r="I6198" s="12"/>
      <c r="J6198" s="33"/>
      <c r="K6198" s="12"/>
      <c r="L6198" s="15"/>
    </row>
    <row r="6199" spans="1:12">
      <c r="A6199" s="72"/>
      <c r="B6199" s="12"/>
      <c r="C6199" s="12"/>
      <c r="D6199" s="12"/>
      <c r="E6199" s="11"/>
      <c r="F6199" s="11"/>
      <c r="G6199" s="73"/>
      <c r="H6199" s="12"/>
      <c r="I6199" s="12"/>
      <c r="J6199" s="33"/>
      <c r="K6199" s="12"/>
      <c r="L6199" s="15"/>
    </row>
    <row r="6200" spans="1:12">
      <c r="A6200" s="72"/>
      <c r="B6200" s="12"/>
      <c r="C6200" s="12"/>
      <c r="D6200" s="12"/>
      <c r="E6200" s="11"/>
      <c r="F6200" s="11"/>
      <c r="G6200" s="73"/>
      <c r="H6200" s="12"/>
      <c r="I6200" s="12"/>
      <c r="J6200" s="33"/>
      <c r="K6200" s="12"/>
      <c r="L6200" s="15"/>
    </row>
    <row r="6201" spans="1:12">
      <c r="A6201" s="72"/>
      <c r="B6201" s="12"/>
      <c r="C6201" s="12"/>
      <c r="D6201" s="12"/>
      <c r="E6201" s="11"/>
      <c r="F6201" s="11"/>
      <c r="G6201" s="73"/>
      <c r="H6201" s="12"/>
      <c r="I6201" s="12"/>
      <c r="J6201" s="33"/>
      <c r="K6201" s="12"/>
      <c r="L6201" s="15"/>
    </row>
    <row r="6202" spans="1:12">
      <c r="A6202" s="72"/>
      <c r="B6202" s="12"/>
      <c r="C6202" s="12"/>
      <c r="D6202" s="12"/>
      <c r="E6202" s="11"/>
      <c r="F6202" s="11"/>
      <c r="G6202" s="73"/>
      <c r="H6202" s="12"/>
      <c r="I6202" s="12"/>
      <c r="J6202" s="33"/>
      <c r="K6202" s="12"/>
      <c r="L6202" s="15"/>
    </row>
    <row r="6203" spans="1:12">
      <c r="A6203" s="72"/>
      <c r="B6203" s="12"/>
      <c r="C6203" s="12"/>
      <c r="D6203" s="12"/>
      <c r="E6203" s="11"/>
      <c r="F6203" s="11"/>
      <c r="G6203" s="73"/>
      <c r="H6203" s="12"/>
      <c r="I6203" s="12"/>
      <c r="J6203" s="33"/>
      <c r="K6203" s="12"/>
      <c r="L6203" s="15"/>
    </row>
    <row r="6204" spans="1:12">
      <c r="A6204" s="72"/>
      <c r="B6204" s="12"/>
      <c r="C6204" s="12"/>
      <c r="D6204" s="12"/>
      <c r="E6204" s="11"/>
      <c r="F6204" s="11"/>
      <c r="G6204" s="73"/>
      <c r="H6204" s="12"/>
      <c r="I6204" s="12"/>
      <c r="J6204" s="33"/>
      <c r="K6204" s="12"/>
      <c r="L6204" s="15"/>
    </row>
    <row r="6205" spans="1:12">
      <c r="A6205" s="72"/>
      <c r="B6205" s="12"/>
      <c r="C6205" s="12"/>
      <c r="D6205" s="12"/>
      <c r="E6205" s="11"/>
      <c r="F6205" s="11"/>
      <c r="G6205" s="73"/>
      <c r="H6205" s="12"/>
      <c r="I6205" s="12"/>
      <c r="J6205" s="33"/>
      <c r="K6205" s="12"/>
      <c r="L6205" s="15"/>
    </row>
    <row r="6206" spans="1:12">
      <c r="A6206" s="72"/>
      <c r="B6206" s="12"/>
      <c r="C6206" s="12"/>
      <c r="D6206" s="12"/>
      <c r="E6206" s="11"/>
      <c r="F6206" s="11"/>
      <c r="G6206" s="73"/>
      <c r="H6206" s="12"/>
      <c r="I6206" s="12"/>
      <c r="J6206" s="33"/>
      <c r="K6206" s="12"/>
      <c r="L6206" s="15"/>
    </row>
    <row r="6207" spans="1:12">
      <c r="A6207" s="72"/>
      <c r="B6207" s="12"/>
      <c r="C6207" s="12"/>
      <c r="D6207" s="12"/>
      <c r="E6207" s="11"/>
      <c r="F6207" s="11"/>
      <c r="G6207" s="73"/>
      <c r="H6207" s="12"/>
      <c r="I6207" s="12"/>
      <c r="J6207" s="33"/>
      <c r="K6207" s="12"/>
      <c r="L6207" s="15"/>
    </row>
    <row r="6208" spans="1:12">
      <c r="A6208" s="72"/>
      <c r="B6208" s="12"/>
      <c r="C6208" s="12"/>
      <c r="D6208" s="12"/>
      <c r="E6208" s="11"/>
      <c r="F6208" s="11"/>
      <c r="G6208" s="73"/>
      <c r="H6208" s="12"/>
      <c r="I6208" s="12"/>
      <c r="J6208" s="33"/>
      <c r="K6208" s="12"/>
      <c r="L6208" s="15"/>
    </row>
    <row r="6209" spans="1:12">
      <c r="A6209" s="72"/>
      <c r="B6209" s="12"/>
      <c r="C6209" s="12"/>
      <c r="D6209" s="12"/>
      <c r="E6209" s="11"/>
      <c r="F6209" s="11"/>
      <c r="G6209" s="73"/>
      <c r="H6209" s="12"/>
      <c r="I6209" s="12"/>
      <c r="J6209" s="33"/>
      <c r="K6209" s="12"/>
      <c r="L6209" s="15"/>
    </row>
    <row r="6210" spans="1:12">
      <c r="A6210" s="72"/>
      <c r="B6210" s="12"/>
      <c r="C6210" s="12"/>
      <c r="D6210" s="12"/>
      <c r="E6210" s="11"/>
      <c r="F6210" s="11"/>
      <c r="G6210" s="73"/>
      <c r="H6210" s="12"/>
      <c r="I6210" s="12"/>
      <c r="J6210" s="33"/>
      <c r="K6210" s="12"/>
      <c r="L6210" s="15"/>
    </row>
    <row r="6211" spans="1:12">
      <c r="A6211" s="72"/>
      <c r="B6211" s="12"/>
      <c r="C6211" s="12"/>
      <c r="D6211" s="12"/>
      <c r="E6211" s="11"/>
      <c r="F6211" s="11"/>
      <c r="G6211" s="73"/>
      <c r="H6211" s="12"/>
      <c r="I6211" s="12"/>
      <c r="J6211" s="33"/>
      <c r="K6211" s="12"/>
      <c r="L6211" s="15"/>
    </row>
    <row r="6212" spans="1:12">
      <c r="A6212" s="72"/>
      <c r="B6212" s="12"/>
      <c r="C6212" s="12"/>
      <c r="D6212" s="12"/>
      <c r="E6212" s="11"/>
      <c r="F6212" s="11"/>
      <c r="G6212" s="73"/>
      <c r="H6212" s="12"/>
      <c r="I6212" s="12"/>
      <c r="J6212" s="33"/>
      <c r="K6212" s="12"/>
      <c r="L6212" s="15"/>
    </row>
    <row r="6213" spans="1:12">
      <c r="A6213" s="72"/>
      <c r="B6213" s="12"/>
      <c r="C6213" s="12"/>
      <c r="D6213" s="12"/>
      <c r="E6213" s="11"/>
      <c r="F6213" s="11"/>
      <c r="G6213" s="73"/>
      <c r="H6213" s="12"/>
      <c r="I6213" s="12"/>
      <c r="J6213" s="33"/>
      <c r="K6213" s="12"/>
      <c r="L6213" s="15"/>
    </row>
    <row r="6214" spans="1:12">
      <c r="A6214" s="72"/>
      <c r="B6214" s="12"/>
      <c r="C6214" s="12"/>
      <c r="D6214" s="12"/>
      <c r="E6214" s="11"/>
      <c r="F6214" s="11"/>
      <c r="G6214" s="73"/>
      <c r="H6214" s="12"/>
      <c r="I6214" s="12"/>
      <c r="J6214" s="33"/>
      <c r="K6214" s="12"/>
      <c r="L6214" s="15"/>
    </row>
    <row r="6215" spans="1:12">
      <c r="A6215" s="72"/>
      <c r="B6215" s="12"/>
      <c r="C6215" s="12"/>
      <c r="D6215" s="12"/>
      <c r="E6215" s="11"/>
      <c r="F6215" s="11"/>
      <c r="G6215" s="73"/>
      <c r="H6215" s="12"/>
      <c r="I6215" s="12"/>
      <c r="J6215" s="33"/>
      <c r="K6215" s="12"/>
      <c r="L6215" s="15"/>
    </row>
    <row r="6216" spans="1:12">
      <c r="A6216" s="72"/>
      <c r="B6216" s="12"/>
      <c r="C6216" s="12"/>
      <c r="D6216" s="12"/>
      <c r="E6216" s="11"/>
      <c r="F6216" s="11"/>
      <c r="G6216" s="73"/>
      <c r="H6216" s="12"/>
      <c r="I6216" s="12"/>
      <c r="J6216" s="33"/>
      <c r="K6216" s="12"/>
      <c r="L6216" s="15"/>
    </row>
    <row r="6217" spans="1:12">
      <c r="A6217" s="72"/>
      <c r="B6217" s="12"/>
      <c r="C6217" s="12"/>
      <c r="D6217" s="12"/>
      <c r="E6217" s="11"/>
      <c r="F6217" s="11"/>
      <c r="G6217" s="73"/>
      <c r="H6217" s="12"/>
      <c r="I6217" s="12"/>
      <c r="J6217" s="33"/>
      <c r="K6217" s="12"/>
      <c r="L6217" s="15"/>
    </row>
    <row r="6218" spans="1:12">
      <c r="A6218" s="72"/>
      <c r="B6218" s="12"/>
      <c r="C6218" s="12"/>
      <c r="D6218" s="12"/>
      <c r="E6218" s="11"/>
      <c r="F6218" s="11"/>
      <c r="G6218" s="73"/>
      <c r="H6218" s="12"/>
      <c r="I6218" s="12"/>
      <c r="J6218" s="33"/>
      <c r="K6218" s="12"/>
      <c r="L6218" s="15"/>
    </row>
    <row r="6219" spans="1:12">
      <c r="A6219" s="72"/>
      <c r="B6219" s="12"/>
      <c r="C6219" s="12"/>
      <c r="D6219" s="12"/>
      <c r="E6219" s="11"/>
      <c r="F6219" s="11"/>
      <c r="G6219" s="73"/>
      <c r="H6219" s="12"/>
      <c r="I6219" s="12"/>
      <c r="J6219" s="33"/>
      <c r="K6219" s="12"/>
      <c r="L6219" s="15"/>
    </row>
    <row r="6220" spans="1:12">
      <c r="A6220" s="72"/>
      <c r="B6220" s="12"/>
      <c r="C6220" s="12"/>
      <c r="D6220" s="12"/>
      <c r="E6220" s="11"/>
      <c r="F6220" s="11"/>
      <c r="G6220" s="73"/>
      <c r="H6220" s="12"/>
      <c r="I6220" s="12"/>
      <c r="J6220" s="33"/>
      <c r="K6220" s="12"/>
      <c r="L6220" s="15"/>
    </row>
    <row r="6221" spans="1:12">
      <c r="A6221" s="72"/>
      <c r="B6221" s="12"/>
      <c r="C6221" s="12"/>
      <c r="D6221" s="12"/>
      <c r="E6221" s="11"/>
      <c r="F6221" s="11"/>
      <c r="G6221" s="73"/>
      <c r="H6221" s="12"/>
      <c r="I6221" s="12"/>
      <c r="J6221" s="33"/>
      <c r="K6221" s="12"/>
      <c r="L6221" s="15"/>
    </row>
    <row r="6222" spans="1:12">
      <c r="A6222" s="72"/>
      <c r="B6222" s="12"/>
      <c r="C6222" s="12"/>
      <c r="D6222" s="12"/>
      <c r="E6222" s="11"/>
      <c r="F6222" s="11"/>
      <c r="G6222" s="73"/>
      <c r="H6222" s="12"/>
      <c r="I6222" s="12"/>
      <c r="J6222" s="33"/>
      <c r="K6222" s="12"/>
      <c r="L6222" s="15"/>
    </row>
    <row r="6223" spans="1:12">
      <c r="A6223" s="72"/>
      <c r="B6223" s="12"/>
      <c r="C6223" s="12"/>
      <c r="D6223" s="12"/>
      <c r="E6223" s="11"/>
      <c r="F6223" s="11"/>
      <c r="G6223" s="73"/>
      <c r="H6223" s="12"/>
      <c r="I6223" s="12"/>
      <c r="J6223" s="33"/>
      <c r="K6223" s="12"/>
      <c r="L6223" s="15"/>
    </row>
    <row r="6224" spans="1:12">
      <c r="A6224" s="72"/>
      <c r="B6224" s="12"/>
      <c r="C6224" s="12"/>
      <c r="D6224" s="12"/>
      <c r="E6224" s="11"/>
      <c r="F6224" s="11"/>
      <c r="G6224" s="73"/>
      <c r="H6224" s="12"/>
      <c r="I6224" s="12"/>
      <c r="J6224" s="33"/>
      <c r="K6224" s="12"/>
      <c r="L6224" s="15"/>
    </row>
    <row r="6225" spans="1:12">
      <c r="A6225" s="72"/>
      <c r="B6225" s="12"/>
      <c r="C6225" s="12"/>
      <c r="D6225" s="12"/>
      <c r="E6225" s="11"/>
      <c r="F6225" s="11"/>
      <c r="G6225" s="73"/>
      <c r="H6225" s="12"/>
      <c r="I6225" s="12"/>
      <c r="J6225" s="33"/>
      <c r="K6225" s="12"/>
      <c r="L6225" s="15"/>
    </row>
    <row r="6226" spans="1:12">
      <c r="A6226" s="72"/>
      <c r="B6226" s="12"/>
      <c r="C6226" s="12"/>
      <c r="D6226" s="12"/>
      <c r="E6226" s="11"/>
      <c r="F6226" s="11"/>
      <c r="G6226" s="73"/>
      <c r="H6226" s="12"/>
      <c r="I6226" s="12"/>
      <c r="J6226" s="33"/>
      <c r="K6226" s="12"/>
      <c r="L6226" s="15"/>
    </row>
    <row r="6227" spans="1:12">
      <c r="A6227" s="72"/>
      <c r="B6227" s="12"/>
      <c r="C6227" s="12"/>
      <c r="D6227" s="12"/>
      <c r="E6227" s="11"/>
      <c r="F6227" s="11"/>
      <c r="G6227" s="73"/>
      <c r="H6227" s="12"/>
      <c r="I6227" s="12"/>
      <c r="J6227" s="33"/>
      <c r="K6227" s="12"/>
      <c r="L6227" s="15"/>
    </row>
    <row r="6228" spans="1:12">
      <c r="A6228" s="72"/>
      <c r="B6228" s="12"/>
      <c r="C6228" s="12"/>
      <c r="D6228" s="12"/>
      <c r="E6228" s="11"/>
      <c r="F6228" s="11"/>
      <c r="G6228" s="73"/>
      <c r="H6228" s="12"/>
      <c r="I6228" s="12"/>
      <c r="J6228" s="33"/>
      <c r="K6228" s="12"/>
      <c r="L6228" s="15"/>
    </row>
    <row r="6229" spans="1:12">
      <c r="A6229" s="72"/>
      <c r="B6229" s="12"/>
      <c r="C6229" s="12"/>
      <c r="D6229" s="12"/>
      <c r="E6229" s="11"/>
      <c r="F6229" s="11"/>
      <c r="G6229" s="73"/>
      <c r="H6229" s="12"/>
      <c r="I6229" s="12"/>
      <c r="J6229" s="33"/>
      <c r="K6229" s="12"/>
      <c r="L6229" s="15"/>
    </row>
    <row r="6230" spans="1:12">
      <c r="A6230" s="72"/>
      <c r="B6230" s="12"/>
      <c r="C6230" s="12"/>
      <c r="D6230" s="12"/>
      <c r="E6230" s="11"/>
      <c r="F6230" s="11"/>
      <c r="G6230" s="73"/>
      <c r="H6230" s="12"/>
      <c r="I6230" s="12"/>
      <c r="J6230" s="33"/>
      <c r="K6230" s="12"/>
      <c r="L6230" s="15"/>
    </row>
    <row r="6231" spans="1:12">
      <c r="A6231" s="72"/>
      <c r="B6231" s="12"/>
      <c r="C6231" s="12"/>
      <c r="D6231" s="12"/>
      <c r="E6231" s="11"/>
      <c r="F6231" s="11"/>
      <c r="G6231" s="73"/>
      <c r="H6231" s="12"/>
      <c r="I6231" s="12"/>
      <c r="J6231" s="33"/>
      <c r="K6231" s="12"/>
      <c r="L6231" s="15"/>
    </row>
    <row r="6232" spans="1:12">
      <c r="A6232" s="72"/>
      <c r="B6232" s="12"/>
      <c r="C6232" s="12"/>
      <c r="D6232" s="12"/>
      <c r="E6232" s="11"/>
      <c r="F6232" s="11"/>
      <c r="G6232" s="73"/>
      <c r="H6232" s="12"/>
      <c r="I6232" s="12"/>
      <c r="J6232" s="33"/>
      <c r="K6232" s="12"/>
      <c r="L6232" s="15"/>
    </row>
    <row r="6233" spans="1:12">
      <c r="A6233" s="72"/>
      <c r="B6233" s="12"/>
      <c r="C6233" s="12"/>
      <c r="D6233" s="12"/>
      <c r="E6233" s="11"/>
      <c r="F6233" s="11"/>
      <c r="G6233" s="73"/>
      <c r="H6233" s="12"/>
      <c r="I6233" s="12"/>
      <c r="J6233" s="33"/>
      <c r="K6233" s="12"/>
      <c r="L6233" s="15"/>
    </row>
    <row r="6234" spans="1:12">
      <c r="A6234" s="72"/>
      <c r="B6234" s="12"/>
      <c r="C6234" s="12"/>
      <c r="D6234" s="12"/>
      <c r="E6234" s="11"/>
      <c r="F6234" s="11"/>
      <c r="G6234" s="73"/>
      <c r="H6234" s="12"/>
      <c r="I6234" s="12"/>
      <c r="J6234" s="33"/>
      <c r="K6234" s="12"/>
      <c r="L6234" s="15"/>
    </row>
    <row r="6235" spans="1:12">
      <c r="A6235" s="72"/>
      <c r="B6235" s="12"/>
      <c r="C6235" s="12"/>
      <c r="D6235" s="12"/>
      <c r="E6235" s="11"/>
      <c r="F6235" s="11"/>
      <c r="G6235" s="73"/>
      <c r="H6235" s="12"/>
      <c r="I6235" s="12"/>
      <c r="J6235" s="33"/>
      <c r="K6235" s="12"/>
      <c r="L6235" s="15"/>
    </row>
    <row r="6236" spans="1:12">
      <c r="A6236" s="72"/>
      <c r="B6236" s="12"/>
      <c r="C6236" s="12"/>
      <c r="D6236" s="12"/>
      <c r="E6236" s="11"/>
      <c r="F6236" s="11"/>
      <c r="G6236" s="73"/>
      <c r="H6236" s="12"/>
      <c r="I6236" s="12"/>
      <c r="J6236" s="33"/>
      <c r="K6236" s="12"/>
      <c r="L6236" s="15"/>
    </row>
    <row r="6237" spans="1:12">
      <c r="A6237" s="72"/>
      <c r="B6237" s="12"/>
      <c r="C6237" s="12"/>
      <c r="D6237" s="12"/>
      <c r="E6237" s="11"/>
      <c r="F6237" s="11"/>
      <c r="G6237" s="73"/>
      <c r="H6237" s="12"/>
      <c r="I6237" s="12"/>
      <c r="J6237" s="33"/>
      <c r="K6237" s="12"/>
      <c r="L6237" s="15"/>
    </row>
    <row r="6238" spans="1:12">
      <c r="A6238" s="72"/>
      <c r="B6238" s="12"/>
      <c r="C6238" s="12"/>
      <c r="D6238" s="12"/>
      <c r="E6238" s="11"/>
      <c r="F6238" s="11"/>
      <c r="G6238" s="73"/>
      <c r="H6238" s="12"/>
      <c r="I6238" s="12"/>
      <c r="J6238" s="33"/>
      <c r="K6238" s="12"/>
      <c r="L6238" s="15"/>
    </row>
    <row r="6239" spans="1:12">
      <c r="A6239" s="72"/>
      <c r="B6239" s="12"/>
      <c r="C6239" s="12"/>
      <c r="D6239" s="12"/>
      <c r="E6239" s="11"/>
      <c r="F6239" s="11"/>
      <c r="G6239" s="73"/>
      <c r="H6239" s="12"/>
      <c r="I6239" s="12"/>
      <c r="J6239" s="33"/>
      <c r="K6239" s="12"/>
      <c r="L6239" s="15"/>
    </row>
    <row r="6240" spans="1:12">
      <c r="A6240" s="72"/>
      <c r="B6240" s="12"/>
      <c r="C6240" s="12"/>
      <c r="D6240" s="12"/>
      <c r="E6240" s="11"/>
      <c r="F6240" s="11"/>
      <c r="G6240" s="73"/>
      <c r="H6240" s="12"/>
      <c r="I6240" s="12"/>
      <c r="J6240" s="33"/>
      <c r="K6240" s="12"/>
      <c r="L6240" s="15"/>
    </row>
    <row r="6241" spans="1:12">
      <c r="A6241" s="72"/>
      <c r="B6241" s="12"/>
      <c r="C6241" s="12"/>
      <c r="D6241" s="12"/>
      <c r="E6241" s="11"/>
      <c r="F6241" s="11"/>
      <c r="G6241" s="73"/>
      <c r="H6241" s="12"/>
      <c r="I6241" s="12"/>
      <c r="J6241" s="33"/>
      <c r="K6241" s="12"/>
      <c r="L6241" s="15"/>
    </row>
    <row r="6242" spans="1:12">
      <c r="A6242" s="72"/>
      <c r="B6242" s="12"/>
      <c r="C6242" s="12"/>
      <c r="D6242" s="12"/>
      <c r="E6242" s="11"/>
      <c r="F6242" s="11"/>
      <c r="G6242" s="73"/>
      <c r="H6242" s="12"/>
      <c r="I6242" s="12"/>
      <c r="J6242" s="33"/>
      <c r="K6242" s="12"/>
      <c r="L6242" s="15"/>
    </row>
    <row r="6243" spans="1:12">
      <c r="A6243" s="72"/>
      <c r="B6243" s="12"/>
      <c r="C6243" s="12"/>
      <c r="D6243" s="12"/>
      <c r="E6243" s="11"/>
      <c r="F6243" s="11"/>
      <c r="G6243" s="73"/>
      <c r="H6243" s="12"/>
      <c r="I6243" s="12"/>
      <c r="J6243" s="33"/>
      <c r="K6243" s="12"/>
      <c r="L6243" s="15"/>
    </row>
    <row r="6244" spans="1:12">
      <c r="A6244" s="72"/>
      <c r="B6244" s="12"/>
      <c r="C6244" s="12"/>
      <c r="D6244" s="12"/>
      <c r="E6244" s="11"/>
      <c r="F6244" s="11"/>
      <c r="G6244" s="73"/>
      <c r="H6244" s="12"/>
      <c r="I6244" s="12"/>
      <c r="J6244" s="33"/>
      <c r="K6244" s="12"/>
      <c r="L6244" s="15"/>
    </row>
    <row r="6245" spans="1:12">
      <c r="A6245" s="72"/>
      <c r="B6245" s="12"/>
      <c r="C6245" s="12"/>
      <c r="D6245" s="12"/>
      <c r="E6245" s="11"/>
      <c r="F6245" s="11"/>
      <c r="G6245" s="73"/>
      <c r="H6245" s="12"/>
      <c r="I6245" s="12"/>
      <c r="J6245" s="33"/>
      <c r="K6245" s="12"/>
      <c r="L6245" s="15"/>
    </row>
    <row r="6246" spans="1:12">
      <c r="A6246" s="72"/>
      <c r="B6246" s="12"/>
      <c r="C6246" s="12"/>
      <c r="D6246" s="12"/>
      <c r="E6246" s="11"/>
      <c r="F6246" s="11"/>
      <c r="G6246" s="73"/>
      <c r="H6246" s="12"/>
      <c r="I6246" s="12"/>
      <c r="J6246" s="33"/>
      <c r="K6246" s="12"/>
      <c r="L6246" s="15"/>
    </row>
    <row r="6247" spans="1:12">
      <c r="A6247" s="72"/>
      <c r="B6247" s="12"/>
      <c r="C6247" s="12"/>
      <c r="D6247" s="12"/>
      <c r="E6247" s="11"/>
      <c r="F6247" s="11"/>
      <c r="G6247" s="73"/>
      <c r="H6247" s="12"/>
      <c r="I6247" s="12"/>
      <c r="J6247" s="33"/>
      <c r="K6247" s="12"/>
      <c r="L6247" s="15"/>
    </row>
    <row r="6248" spans="1:12">
      <c r="A6248" s="72"/>
      <c r="B6248" s="12"/>
      <c r="C6248" s="12"/>
      <c r="D6248" s="12"/>
      <c r="E6248" s="11"/>
      <c r="F6248" s="11"/>
      <c r="G6248" s="73"/>
      <c r="H6248" s="12"/>
      <c r="I6248" s="12"/>
      <c r="J6248" s="33"/>
      <c r="K6248" s="12"/>
      <c r="L6248" s="15"/>
    </row>
    <row r="6249" spans="1:12">
      <c r="A6249" s="72"/>
      <c r="B6249" s="12"/>
      <c r="C6249" s="12"/>
      <c r="D6249" s="12"/>
      <c r="E6249" s="11"/>
      <c r="F6249" s="11"/>
      <c r="G6249" s="73"/>
      <c r="H6249" s="12"/>
      <c r="I6249" s="12"/>
      <c r="J6249" s="33"/>
      <c r="K6249" s="12"/>
      <c r="L6249" s="15"/>
    </row>
    <row r="6250" spans="1:12">
      <c r="A6250" s="72"/>
      <c r="B6250" s="12"/>
      <c r="C6250" s="12"/>
      <c r="D6250" s="12"/>
      <c r="E6250" s="11"/>
      <c r="F6250" s="11"/>
      <c r="G6250" s="73"/>
      <c r="H6250" s="12"/>
      <c r="I6250" s="12"/>
      <c r="J6250" s="33"/>
      <c r="K6250" s="12"/>
      <c r="L6250" s="15"/>
    </row>
    <row r="6251" spans="1:12">
      <c r="A6251" s="72"/>
      <c r="B6251" s="12"/>
      <c r="C6251" s="12"/>
      <c r="D6251" s="12"/>
      <c r="E6251" s="11"/>
      <c r="F6251" s="11"/>
      <c r="G6251" s="73"/>
      <c r="H6251" s="12"/>
      <c r="I6251" s="12"/>
      <c r="J6251" s="33"/>
      <c r="K6251" s="12"/>
      <c r="L6251" s="15"/>
    </row>
    <row r="6252" spans="1:12">
      <c r="A6252" s="72"/>
      <c r="B6252" s="12"/>
      <c r="C6252" s="12"/>
      <c r="D6252" s="12"/>
      <c r="E6252" s="11"/>
      <c r="F6252" s="11"/>
      <c r="G6252" s="73"/>
      <c r="H6252" s="12"/>
      <c r="I6252" s="12"/>
      <c r="J6252" s="33"/>
      <c r="K6252" s="12"/>
      <c r="L6252" s="15"/>
    </row>
    <row r="6253" spans="1:12">
      <c r="A6253" s="72"/>
      <c r="B6253" s="12"/>
      <c r="C6253" s="12"/>
      <c r="D6253" s="12"/>
      <c r="E6253" s="11"/>
      <c r="F6253" s="11"/>
      <c r="G6253" s="73"/>
      <c r="H6253" s="12"/>
      <c r="I6253" s="12"/>
      <c r="J6253" s="33"/>
      <c r="K6253" s="12"/>
      <c r="L6253" s="15"/>
    </row>
    <row r="6254" spans="1:12">
      <c r="A6254" s="72"/>
      <c r="B6254" s="12"/>
      <c r="C6254" s="12"/>
      <c r="D6254" s="12"/>
      <c r="E6254" s="11"/>
      <c r="F6254" s="11"/>
      <c r="G6254" s="73"/>
      <c r="H6254" s="12"/>
      <c r="I6254" s="12"/>
      <c r="J6254" s="33"/>
      <c r="K6254" s="12"/>
      <c r="L6254" s="15"/>
    </row>
    <row r="6255" spans="1:12">
      <c r="A6255" s="72"/>
      <c r="B6255" s="12"/>
      <c r="C6255" s="12"/>
      <c r="D6255" s="12"/>
      <c r="E6255" s="11"/>
      <c r="F6255" s="11"/>
      <c r="G6255" s="73"/>
      <c r="H6255" s="12"/>
      <c r="I6255" s="12"/>
      <c r="J6255" s="33"/>
      <c r="K6255" s="12"/>
      <c r="L6255" s="15"/>
    </row>
    <row r="6256" spans="1:12">
      <c r="A6256" s="72"/>
      <c r="B6256" s="12"/>
      <c r="C6256" s="12"/>
      <c r="D6256" s="12"/>
      <c r="E6256" s="11"/>
      <c r="F6256" s="11"/>
      <c r="G6256" s="73"/>
      <c r="H6256" s="12"/>
      <c r="I6256" s="12"/>
      <c r="J6256" s="33"/>
      <c r="K6256" s="12"/>
      <c r="L6256" s="15"/>
    </row>
    <row r="6257" spans="1:12">
      <c r="A6257" s="72"/>
      <c r="B6257" s="12"/>
      <c r="C6257" s="12"/>
      <c r="D6257" s="12"/>
      <c r="E6257" s="11"/>
      <c r="F6257" s="11"/>
      <c r="G6257" s="73"/>
      <c r="H6257" s="12"/>
      <c r="I6257" s="12"/>
      <c r="J6257" s="33"/>
      <c r="K6257" s="12"/>
      <c r="L6257" s="15"/>
    </row>
    <row r="6258" spans="1:12">
      <c r="A6258" s="72"/>
      <c r="B6258" s="12"/>
      <c r="C6258" s="12"/>
      <c r="D6258" s="12"/>
      <c r="E6258" s="11"/>
      <c r="F6258" s="11"/>
      <c r="G6258" s="73"/>
      <c r="H6258" s="12"/>
      <c r="I6258" s="12"/>
      <c r="J6258" s="33"/>
      <c r="K6258" s="12"/>
      <c r="L6258" s="15"/>
    </row>
    <row r="6259" spans="1:12">
      <c r="A6259" s="72"/>
      <c r="B6259" s="12"/>
      <c r="C6259" s="12"/>
      <c r="D6259" s="12"/>
      <c r="E6259" s="11"/>
      <c r="F6259" s="11"/>
      <c r="G6259" s="73"/>
      <c r="H6259" s="12"/>
      <c r="I6259" s="12"/>
      <c r="J6259" s="33"/>
      <c r="K6259" s="12"/>
      <c r="L6259" s="15"/>
    </row>
    <row r="6260" spans="1:12">
      <c r="A6260" s="72"/>
      <c r="B6260" s="12"/>
      <c r="C6260" s="12"/>
      <c r="D6260" s="12"/>
      <c r="E6260" s="11"/>
      <c r="F6260" s="11"/>
      <c r="G6260" s="73"/>
      <c r="H6260" s="12"/>
      <c r="I6260" s="12"/>
      <c r="J6260" s="33"/>
      <c r="K6260" s="12"/>
      <c r="L6260" s="15"/>
    </row>
    <row r="6261" spans="1:12">
      <c r="A6261" s="72"/>
      <c r="B6261" s="12"/>
      <c r="C6261" s="12"/>
      <c r="D6261" s="12"/>
      <c r="E6261" s="11"/>
      <c r="F6261" s="11"/>
      <c r="G6261" s="73"/>
      <c r="H6261" s="12"/>
      <c r="I6261" s="12"/>
      <c r="J6261" s="33"/>
      <c r="K6261" s="12"/>
      <c r="L6261" s="15"/>
    </row>
    <row r="6262" spans="1:12">
      <c r="A6262" s="72"/>
      <c r="B6262" s="12"/>
      <c r="C6262" s="12"/>
      <c r="D6262" s="12"/>
      <c r="E6262" s="11"/>
      <c r="F6262" s="11"/>
      <c r="G6262" s="73"/>
      <c r="H6262" s="12"/>
      <c r="I6262" s="12"/>
      <c r="J6262" s="33"/>
      <c r="K6262" s="12"/>
      <c r="L6262" s="15"/>
    </row>
    <row r="6263" spans="1:12">
      <c r="A6263" s="72"/>
      <c r="B6263" s="12"/>
      <c r="C6263" s="12"/>
      <c r="D6263" s="12"/>
      <c r="E6263" s="11"/>
      <c r="F6263" s="11"/>
      <c r="G6263" s="73"/>
      <c r="H6263" s="12"/>
      <c r="I6263" s="12"/>
      <c r="J6263" s="33"/>
      <c r="K6263" s="12"/>
      <c r="L6263" s="15"/>
    </row>
    <row r="6264" spans="1:12">
      <c r="A6264" s="72"/>
      <c r="B6264" s="12"/>
      <c r="C6264" s="12"/>
      <c r="D6264" s="12"/>
      <c r="E6264" s="11"/>
      <c r="F6264" s="11"/>
      <c r="G6264" s="73"/>
      <c r="H6264" s="12"/>
      <c r="I6264" s="12"/>
      <c r="J6264" s="33"/>
      <c r="K6264" s="12"/>
      <c r="L6264" s="15"/>
    </row>
    <row r="6265" spans="1:12">
      <c r="A6265" s="72"/>
      <c r="B6265" s="12"/>
      <c r="C6265" s="12"/>
      <c r="D6265" s="12"/>
      <c r="E6265" s="11"/>
      <c r="F6265" s="11"/>
      <c r="G6265" s="73"/>
      <c r="H6265" s="12"/>
      <c r="I6265" s="12"/>
      <c r="J6265" s="33"/>
      <c r="K6265" s="12"/>
      <c r="L6265" s="15"/>
    </row>
    <row r="6266" spans="1:12">
      <c r="A6266" s="72"/>
      <c r="B6266" s="12"/>
      <c r="C6266" s="12"/>
      <c r="D6266" s="12"/>
      <c r="E6266" s="11"/>
      <c r="F6266" s="11"/>
      <c r="G6266" s="73"/>
      <c r="H6266" s="12"/>
      <c r="I6266" s="12"/>
      <c r="J6266" s="33"/>
      <c r="K6266" s="12"/>
      <c r="L6266" s="15"/>
    </row>
    <row r="6267" spans="1:12">
      <c r="A6267" s="72"/>
      <c r="B6267" s="12"/>
      <c r="C6267" s="12"/>
      <c r="D6267" s="12"/>
      <c r="E6267" s="11"/>
      <c r="F6267" s="11"/>
      <c r="G6267" s="73"/>
      <c r="H6267" s="12"/>
      <c r="I6267" s="12"/>
      <c r="J6267" s="33"/>
      <c r="K6267" s="12"/>
      <c r="L6267" s="15"/>
    </row>
    <row r="6268" spans="1:12">
      <c r="A6268" s="72"/>
      <c r="B6268" s="12"/>
      <c r="C6268" s="12"/>
      <c r="D6268" s="12"/>
      <c r="E6268" s="11"/>
      <c r="F6268" s="11"/>
      <c r="G6268" s="73"/>
      <c r="H6268" s="12"/>
      <c r="I6268" s="12"/>
      <c r="J6268" s="33"/>
      <c r="K6268" s="12"/>
      <c r="L6268" s="15"/>
    </row>
    <row r="6269" spans="1:12">
      <c r="A6269" s="72"/>
      <c r="B6269" s="12"/>
      <c r="C6269" s="12"/>
      <c r="D6269" s="12"/>
      <c r="E6269" s="11"/>
      <c r="F6269" s="11"/>
      <c r="G6269" s="73"/>
      <c r="H6269" s="12"/>
      <c r="I6269" s="12"/>
      <c r="J6269" s="33"/>
      <c r="K6269" s="12"/>
      <c r="L6269" s="15"/>
    </row>
    <row r="6270" spans="1:12">
      <c r="A6270" s="72"/>
      <c r="B6270" s="12"/>
      <c r="C6270" s="12"/>
      <c r="D6270" s="12"/>
      <c r="E6270" s="11"/>
      <c r="F6270" s="11"/>
      <c r="G6270" s="73"/>
      <c r="H6270" s="12"/>
      <c r="I6270" s="12"/>
      <c r="J6270" s="33"/>
      <c r="K6270" s="12"/>
      <c r="L6270" s="15"/>
    </row>
    <row r="6271" spans="1:12">
      <c r="A6271" s="72"/>
      <c r="B6271" s="12"/>
      <c r="C6271" s="12"/>
      <c r="D6271" s="12"/>
      <c r="E6271" s="11"/>
      <c r="F6271" s="11"/>
      <c r="G6271" s="73"/>
      <c r="H6271" s="12"/>
      <c r="I6271" s="12"/>
      <c r="J6271" s="33"/>
      <c r="K6271" s="12"/>
      <c r="L6271" s="290"/>
    </row>
    <row r="6272" spans="1:12">
      <c r="A6272" s="72"/>
      <c r="B6272" s="12"/>
      <c r="C6272" s="12"/>
      <c r="D6272" s="12"/>
      <c r="E6272" s="11"/>
      <c r="F6272" s="11"/>
      <c r="G6272" s="73"/>
      <c r="H6272" s="12"/>
      <c r="I6272" s="12"/>
      <c r="J6272" s="33"/>
      <c r="K6272" s="12"/>
      <c r="L6272" s="290"/>
    </row>
    <row r="6273" spans="1:12">
      <c r="A6273" s="72"/>
      <c r="B6273" s="12"/>
      <c r="C6273" s="12"/>
      <c r="D6273" s="12"/>
      <c r="E6273" s="11"/>
      <c r="F6273" s="11"/>
      <c r="G6273" s="73"/>
      <c r="H6273" s="12"/>
      <c r="I6273" s="12"/>
      <c r="J6273" s="33"/>
      <c r="K6273" s="12"/>
      <c r="L6273" s="15"/>
    </row>
    <row r="6274" spans="1:12">
      <c r="A6274" s="72"/>
      <c r="B6274" s="12"/>
      <c r="C6274" s="12"/>
      <c r="D6274" s="12"/>
      <c r="E6274" s="11"/>
      <c r="F6274" s="11"/>
      <c r="G6274" s="73"/>
      <c r="H6274" s="12"/>
      <c r="I6274" s="12"/>
      <c r="J6274" s="33"/>
      <c r="K6274" s="12"/>
      <c r="L6274" s="15"/>
    </row>
    <row r="6275" spans="1:12">
      <c r="A6275" s="72"/>
      <c r="B6275" s="12"/>
      <c r="C6275" s="12"/>
      <c r="D6275" s="12"/>
      <c r="E6275" s="11"/>
      <c r="F6275" s="11"/>
      <c r="G6275" s="73"/>
      <c r="H6275" s="12"/>
      <c r="I6275" s="12"/>
      <c r="J6275" s="33"/>
      <c r="K6275" s="12"/>
      <c r="L6275" s="15"/>
    </row>
    <row r="6276" spans="1:12">
      <c r="A6276" s="72"/>
      <c r="B6276" s="12"/>
      <c r="C6276" s="12"/>
      <c r="D6276" s="12"/>
      <c r="E6276" s="11"/>
      <c r="F6276" s="11"/>
      <c r="G6276" s="73"/>
      <c r="H6276" s="12"/>
      <c r="I6276" s="12"/>
      <c r="J6276" s="33"/>
      <c r="K6276" s="12"/>
      <c r="L6276" s="15"/>
    </row>
    <row r="6277" spans="1:12">
      <c r="A6277" s="72"/>
      <c r="B6277" s="12"/>
      <c r="C6277" s="12"/>
      <c r="D6277" s="12"/>
      <c r="E6277" s="11"/>
      <c r="F6277" s="11"/>
      <c r="G6277" s="73"/>
      <c r="H6277" s="12"/>
      <c r="I6277" s="12"/>
      <c r="J6277" s="33"/>
      <c r="K6277" s="12"/>
      <c r="L6277" s="15"/>
    </row>
    <row r="6278" spans="1:12">
      <c r="A6278" s="72"/>
      <c r="B6278" s="12"/>
      <c r="C6278" s="12"/>
      <c r="D6278" s="12"/>
      <c r="E6278" s="11"/>
      <c r="F6278" s="11"/>
      <c r="G6278" s="73"/>
      <c r="H6278" s="12"/>
      <c r="I6278" s="12"/>
      <c r="J6278" s="33"/>
      <c r="K6278" s="12"/>
      <c r="L6278" s="15"/>
    </row>
    <row r="6279" spans="1:12">
      <c r="A6279" s="72"/>
      <c r="B6279" s="12"/>
      <c r="C6279" s="12"/>
      <c r="D6279" s="12"/>
      <c r="E6279" s="11"/>
      <c r="F6279" s="11"/>
      <c r="G6279" s="73"/>
      <c r="H6279" s="12"/>
      <c r="I6279" s="12"/>
      <c r="J6279" s="33"/>
      <c r="K6279" s="12"/>
      <c r="L6279" s="15"/>
    </row>
    <row r="6280" spans="1:12">
      <c r="A6280" s="72"/>
      <c r="B6280" s="12"/>
      <c r="C6280" s="12"/>
      <c r="D6280" s="12"/>
      <c r="E6280" s="11"/>
      <c r="F6280" s="11"/>
      <c r="G6280" s="73"/>
      <c r="H6280" s="12"/>
      <c r="I6280" s="12"/>
      <c r="J6280" s="33"/>
      <c r="K6280" s="12"/>
      <c r="L6280" s="15"/>
    </row>
    <row r="6281" spans="1:12">
      <c r="A6281" s="72"/>
      <c r="B6281" s="12"/>
      <c r="C6281" s="12"/>
      <c r="D6281" s="12"/>
      <c r="E6281" s="11"/>
      <c r="F6281" s="11"/>
      <c r="G6281" s="73"/>
      <c r="H6281" s="12"/>
      <c r="I6281" s="12"/>
      <c r="J6281" s="33"/>
      <c r="K6281" s="12"/>
      <c r="L6281" s="15"/>
    </row>
    <row r="6282" spans="1:12">
      <c r="A6282" s="72"/>
      <c r="B6282" s="12"/>
      <c r="C6282" s="12"/>
      <c r="D6282" s="12"/>
      <c r="E6282" s="11"/>
      <c r="F6282" s="11"/>
      <c r="G6282" s="73"/>
      <c r="H6282" s="12"/>
      <c r="I6282" s="12"/>
      <c r="J6282" s="33"/>
      <c r="K6282" s="12"/>
      <c r="L6282" s="15"/>
    </row>
    <row r="6283" spans="1:12">
      <c r="A6283" s="72"/>
      <c r="B6283" s="12"/>
      <c r="C6283" s="12"/>
      <c r="D6283" s="12"/>
      <c r="E6283" s="11"/>
      <c r="F6283" s="11"/>
      <c r="G6283" s="73"/>
      <c r="H6283" s="12"/>
      <c r="I6283" s="12"/>
      <c r="J6283" s="33"/>
      <c r="K6283" s="12"/>
      <c r="L6283" s="15"/>
    </row>
    <row r="6284" spans="1:12">
      <c r="A6284" s="72"/>
      <c r="B6284" s="12"/>
      <c r="C6284" s="12"/>
      <c r="D6284" s="12"/>
      <c r="E6284" s="11"/>
      <c r="F6284" s="11"/>
      <c r="G6284" s="73"/>
      <c r="H6284" s="12"/>
      <c r="I6284" s="12"/>
      <c r="J6284" s="33"/>
      <c r="K6284" s="12"/>
      <c r="L6284" s="15"/>
    </row>
    <row r="6285" spans="1:12">
      <c r="A6285" s="72"/>
      <c r="B6285" s="12"/>
      <c r="C6285" s="12"/>
      <c r="D6285" s="12"/>
      <c r="E6285" s="11"/>
      <c r="F6285" s="11"/>
      <c r="G6285" s="73"/>
      <c r="H6285" s="12"/>
      <c r="I6285" s="12"/>
      <c r="J6285" s="33"/>
      <c r="K6285" s="12"/>
      <c r="L6285" s="15"/>
    </row>
    <row r="6286" spans="1:12">
      <c r="A6286" s="72"/>
      <c r="B6286" s="12"/>
      <c r="C6286" s="12"/>
      <c r="D6286" s="12"/>
      <c r="E6286" s="11"/>
      <c r="F6286" s="11"/>
      <c r="G6286" s="73"/>
      <c r="H6286" s="12"/>
      <c r="I6286" s="12"/>
      <c r="J6286" s="33"/>
      <c r="K6286" s="12"/>
      <c r="L6286" s="15"/>
    </row>
    <row r="6287" spans="1:12">
      <c r="A6287" s="72"/>
      <c r="B6287" s="12"/>
      <c r="C6287" s="12"/>
      <c r="D6287" s="12"/>
      <c r="E6287" s="11"/>
      <c r="F6287" s="11"/>
      <c r="G6287" s="73"/>
      <c r="H6287" s="12"/>
      <c r="I6287" s="12"/>
      <c r="J6287" s="33"/>
      <c r="K6287" s="12"/>
      <c r="L6287" s="15"/>
    </row>
    <row r="6288" spans="1:12">
      <c r="A6288" s="72"/>
      <c r="B6288" s="12"/>
      <c r="C6288" s="12"/>
      <c r="D6288" s="12"/>
      <c r="E6288" s="11"/>
      <c r="F6288" s="11"/>
      <c r="G6288" s="73"/>
      <c r="H6288" s="12"/>
      <c r="I6288" s="12"/>
      <c r="J6288" s="33"/>
      <c r="K6288" s="12"/>
      <c r="L6288" s="15"/>
    </row>
    <row r="6289" spans="1:12">
      <c r="A6289" s="72"/>
      <c r="B6289" s="12"/>
      <c r="C6289" s="12"/>
      <c r="D6289" s="12"/>
      <c r="E6289" s="11"/>
      <c r="F6289" s="11"/>
      <c r="G6289" s="73"/>
      <c r="H6289" s="12"/>
      <c r="I6289" s="12"/>
      <c r="J6289" s="33"/>
      <c r="K6289" s="12"/>
      <c r="L6289" s="15"/>
    </row>
    <row r="6290" spans="1:12">
      <c r="A6290" s="72"/>
      <c r="B6290" s="12"/>
      <c r="C6290" s="12"/>
      <c r="D6290" s="12"/>
      <c r="E6290" s="11"/>
      <c r="F6290" s="11"/>
      <c r="G6290" s="73"/>
      <c r="H6290" s="12"/>
      <c r="I6290" s="12"/>
      <c r="J6290" s="33"/>
      <c r="K6290" s="12"/>
      <c r="L6290" s="15"/>
    </row>
    <row r="6291" spans="1:12">
      <c r="A6291" s="72"/>
      <c r="B6291" s="12"/>
      <c r="C6291" s="12"/>
      <c r="D6291" s="12"/>
      <c r="E6291" s="11"/>
      <c r="F6291" s="11"/>
      <c r="G6291" s="73"/>
      <c r="H6291" s="12"/>
      <c r="I6291" s="12"/>
      <c r="J6291" s="33"/>
      <c r="K6291" s="12"/>
      <c r="L6291" s="15"/>
    </row>
    <row r="6292" spans="1:12">
      <c r="A6292" s="72"/>
      <c r="B6292" s="12"/>
      <c r="C6292" s="12"/>
      <c r="D6292" s="12"/>
      <c r="E6292" s="11"/>
      <c r="F6292" s="11"/>
      <c r="G6292" s="73"/>
      <c r="H6292" s="12"/>
      <c r="I6292" s="12"/>
      <c r="J6292" s="33"/>
      <c r="K6292" s="12"/>
      <c r="L6292" s="15"/>
    </row>
    <row r="6293" spans="1:12">
      <c r="A6293" s="72"/>
      <c r="B6293" s="12"/>
      <c r="C6293" s="12"/>
      <c r="D6293" s="12"/>
      <c r="E6293" s="11"/>
      <c r="F6293" s="11"/>
      <c r="G6293" s="73"/>
      <c r="H6293" s="12"/>
      <c r="I6293" s="12"/>
      <c r="J6293" s="33"/>
      <c r="K6293" s="12"/>
      <c r="L6293" s="15"/>
    </row>
    <row r="6294" spans="1:12">
      <c r="A6294" s="72"/>
      <c r="B6294" s="12"/>
      <c r="C6294" s="12"/>
      <c r="D6294" s="12"/>
      <c r="E6294" s="11"/>
      <c r="F6294" s="11"/>
      <c r="G6294" s="73"/>
      <c r="H6294" s="12"/>
      <c r="I6294" s="12"/>
      <c r="J6294" s="33"/>
      <c r="K6294" s="12"/>
      <c r="L6294" s="15"/>
    </row>
    <row r="6295" spans="1:12">
      <c r="A6295" s="72"/>
      <c r="B6295" s="12"/>
      <c r="C6295" s="12"/>
      <c r="D6295" s="12"/>
      <c r="E6295" s="11"/>
      <c r="F6295" s="11"/>
      <c r="G6295" s="73"/>
      <c r="H6295" s="12"/>
      <c r="I6295" s="12"/>
      <c r="J6295" s="33"/>
      <c r="K6295" s="12"/>
      <c r="L6295" s="15"/>
    </row>
    <row r="6296" spans="1:12">
      <c r="A6296" s="72"/>
      <c r="B6296" s="12"/>
      <c r="C6296" s="12"/>
      <c r="D6296" s="12"/>
      <c r="E6296" s="11"/>
      <c r="F6296" s="11"/>
      <c r="G6296" s="73"/>
      <c r="H6296" s="12"/>
      <c r="I6296" s="12"/>
      <c r="J6296" s="33"/>
      <c r="K6296" s="12"/>
      <c r="L6296" s="15"/>
    </row>
    <row r="6297" spans="1:12">
      <c r="A6297" s="72"/>
      <c r="B6297" s="12"/>
      <c r="C6297" s="12"/>
      <c r="D6297" s="12"/>
      <c r="E6297" s="11"/>
      <c r="F6297" s="11"/>
      <c r="G6297" s="73"/>
      <c r="H6297" s="12"/>
      <c r="I6297" s="12"/>
      <c r="J6297" s="33"/>
      <c r="K6297" s="12"/>
      <c r="L6297" s="15"/>
    </row>
    <row r="6298" spans="1:12">
      <c r="A6298" s="72"/>
      <c r="B6298" s="12"/>
      <c r="C6298" s="12"/>
      <c r="D6298" s="12"/>
      <c r="E6298" s="11"/>
      <c r="F6298" s="11"/>
      <c r="G6298" s="73"/>
      <c r="H6298" s="12"/>
      <c r="I6298" s="12"/>
      <c r="J6298" s="33"/>
      <c r="K6298" s="12"/>
      <c r="L6298" s="15"/>
    </row>
    <row r="6299" spans="1:12">
      <c r="A6299" s="72"/>
      <c r="B6299" s="12"/>
      <c r="C6299" s="12"/>
      <c r="D6299" s="12"/>
      <c r="E6299" s="11"/>
      <c r="F6299" s="11"/>
      <c r="G6299" s="73"/>
      <c r="H6299" s="12"/>
      <c r="I6299" s="12"/>
      <c r="J6299" s="33"/>
      <c r="K6299" s="12"/>
      <c r="L6299" s="15"/>
    </row>
    <row r="6300" spans="1:12">
      <c r="A6300" s="72"/>
      <c r="B6300" s="12"/>
      <c r="C6300" s="12"/>
      <c r="D6300" s="12"/>
      <c r="E6300" s="11"/>
      <c r="F6300" s="11"/>
      <c r="G6300" s="73"/>
      <c r="H6300" s="12"/>
      <c r="I6300" s="12"/>
      <c r="J6300" s="33"/>
      <c r="K6300" s="12"/>
      <c r="L6300" s="15"/>
    </row>
    <row r="6301" spans="1:12">
      <c r="A6301" s="72"/>
      <c r="B6301" s="12"/>
      <c r="C6301" s="12"/>
      <c r="D6301" s="12"/>
      <c r="E6301" s="11"/>
      <c r="F6301" s="11"/>
      <c r="G6301" s="73"/>
      <c r="H6301" s="12"/>
      <c r="I6301" s="12"/>
      <c r="J6301" s="33"/>
      <c r="K6301" s="12"/>
      <c r="L6301" s="15"/>
    </row>
    <row r="6302" spans="1:12">
      <c r="A6302" s="72"/>
      <c r="B6302" s="12"/>
      <c r="C6302" s="12"/>
      <c r="D6302" s="12"/>
      <c r="E6302" s="11"/>
      <c r="F6302" s="11"/>
      <c r="G6302" s="73"/>
      <c r="H6302" s="12"/>
      <c r="I6302" s="12"/>
      <c r="J6302" s="33"/>
      <c r="K6302" s="12"/>
      <c r="L6302" s="15"/>
    </row>
    <row r="6303" spans="1:12">
      <c r="A6303" s="72"/>
      <c r="B6303" s="12"/>
      <c r="C6303" s="12"/>
      <c r="D6303" s="12"/>
      <c r="E6303" s="11"/>
      <c r="F6303" s="11"/>
      <c r="G6303" s="73"/>
      <c r="H6303" s="12"/>
      <c r="I6303" s="12"/>
      <c r="J6303" s="33"/>
      <c r="K6303" s="12"/>
      <c r="L6303" s="15"/>
    </row>
    <row r="6304" spans="1:12">
      <c r="A6304" s="72"/>
      <c r="B6304" s="12"/>
      <c r="C6304" s="12"/>
      <c r="D6304" s="12"/>
      <c r="E6304" s="11"/>
      <c r="F6304" s="11"/>
      <c r="G6304" s="73"/>
      <c r="H6304" s="12"/>
      <c r="I6304" s="12"/>
      <c r="J6304" s="33"/>
      <c r="K6304" s="12"/>
      <c r="L6304" s="15"/>
    </row>
    <row r="6305" spans="1:12">
      <c r="A6305" s="72"/>
      <c r="B6305" s="12"/>
      <c r="C6305" s="12"/>
      <c r="D6305" s="12"/>
      <c r="E6305" s="11"/>
      <c r="F6305" s="11"/>
      <c r="G6305" s="73"/>
      <c r="H6305" s="12"/>
      <c r="I6305" s="12"/>
      <c r="J6305" s="33"/>
      <c r="K6305" s="12"/>
      <c r="L6305" s="15"/>
    </row>
    <row r="6306" spans="1:12">
      <c r="A6306" s="72"/>
      <c r="B6306" s="12"/>
      <c r="C6306" s="12"/>
      <c r="D6306" s="12"/>
      <c r="E6306" s="11"/>
      <c r="F6306" s="11"/>
      <c r="G6306" s="73"/>
      <c r="H6306" s="12"/>
      <c r="I6306" s="12"/>
      <c r="J6306" s="33"/>
      <c r="K6306" s="12"/>
      <c r="L6306" s="15"/>
    </row>
    <row r="6307" spans="1:12">
      <c r="A6307" s="72"/>
      <c r="B6307" s="12"/>
      <c r="C6307" s="12"/>
      <c r="D6307" s="12"/>
      <c r="E6307" s="11"/>
      <c r="F6307" s="11"/>
      <c r="G6307" s="73"/>
      <c r="H6307" s="12"/>
      <c r="I6307" s="12"/>
      <c r="J6307" s="33"/>
      <c r="K6307" s="12"/>
      <c r="L6307" s="15"/>
    </row>
    <row r="6308" spans="1:12">
      <c r="A6308" s="72"/>
      <c r="B6308" s="12"/>
      <c r="C6308" s="12"/>
      <c r="D6308" s="12"/>
      <c r="E6308" s="11"/>
      <c r="F6308" s="11"/>
      <c r="G6308" s="73"/>
      <c r="H6308" s="12"/>
      <c r="I6308" s="12"/>
      <c r="J6308" s="33"/>
      <c r="K6308" s="12"/>
      <c r="L6308" s="15"/>
    </row>
    <row r="6309" spans="1:12">
      <c r="A6309" s="72"/>
      <c r="B6309" s="12"/>
      <c r="C6309" s="12"/>
      <c r="D6309" s="12"/>
      <c r="E6309" s="11"/>
      <c r="F6309" s="11"/>
      <c r="G6309" s="73"/>
      <c r="H6309" s="12"/>
      <c r="I6309" s="12"/>
      <c r="J6309" s="33"/>
      <c r="K6309" s="12"/>
      <c r="L6309" s="15"/>
    </row>
    <row r="6310" spans="1:12">
      <c r="A6310" s="72"/>
      <c r="B6310" s="12"/>
      <c r="C6310" s="12"/>
      <c r="D6310" s="12"/>
      <c r="E6310" s="11"/>
      <c r="F6310" s="11"/>
      <c r="G6310" s="73"/>
      <c r="H6310" s="12"/>
      <c r="I6310" s="12"/>
      <c r="J6310" s="33"/>
      <c r="K6310" s="12"/>
      <c r="L6310" s="15"/>
    </row>
    <row r="6311" spans="1:12">
      <c r="A6311" s="72"/>
      <c r="B6311" s="12"/>
      <c r="C6311" s="12"/>
      <c r="D6311" s="12"/>
      <c r="E6311" s="11"/>
      <c r="F6311" s="11"/>
      <c r="G6311" s="73"/>
      <c r="H6311" s="12"/>
      <c r="I6311" s="12"/>
      <c r="J6311" s="33"/>
      <c r="K6311" s="12"/>
      <c r="L6311" s="15"/>
    </row>
    <row r="6312" spans="1:12">
      <c r="A6312" s="72"/>
      <c r="B6312" s="12"/>
      <c r="C6312" s="12"/>
      <c r="D6312" s="12"/>
      <c r="E6312" s="11"/>
      <c r="F6312" s="11"/>
      <c r="G6312" s="73"/>
      <c r="H6312" s="12"/>
      <c r="I6312" s="12"/>
      <c r="J6312" s="33"/>
      <c r="K6312" s="12"/>
      <c r="L6312" s="15"/>
    </row>
    <row r="6313" spans="1:12">
      <c r="A6313" s="72"/>
      <c r="B6313" s="12"/>
      <c r="C6313" s="12"/>
      <c r="D6313" s="12"/>
      <c r="E6313" s="11"/>
      <c r="F6313" s="11"/>
      <c r="G6313" s="73"/>
      <c r="H6313" s="12"/>
      <c r="I6313" s="12"/>
      <c r="J6313" s="33"/>
      <c r="K6313" s="12"/>
      <c r="L6313" s="15"/>
    </row>
    <row r="6314" spans="1:12">
      <c r="A6314" s="72"/>
      <c r="B6314" s="12"/>
      <c r="C6314" s="12"/>
      <c r="D6314" s="12"/>
      <c r="E6314" s="11"/>
      <c r="F6314" s="11"/>
      <c r="G6314" s="73"/>
      <c r="H6314" s="12"/>
      <c r="I6314" s="12"/>
      <c r="J6314" s="33"/>
      <c r="K6314" s="12"/>
      <c r="L6314" s="15"/>
    </row>
    <row r="6315" spans="1:12">
      <c r="A6315" s="72"/>
      <c r="B6315" s="12"/>
      <c r="C6315" s="12"/>
      <c r="D6315" s="12"/>
      <c r="E6315" s="11"/>
      <c r="F6315" s="11"/>
      <c r="G6315" s="73"/>
      <c r="H6315" s="12"/>
      <c r="I6315" s="12"/>
      <c r="J6315" s="33"/>
      <c r="K6315" s="12"/>
      <c r="L6315" s="15"/>
    </row>
    <row r="6316" spans="1:12">
      <c r="A6316" s="72"/>
      <c r="B6316" s="12"/>
      <c r="C6316" s="12"/>
      <c r="D6316" s="12"/>
      <c r="E6316" s="11"/>
      <c r="F6316" s="11"/>
      <c r="G6316" s="73"/>
      <c r="H6316" s="12"/>
      <c r="I6316" s="12"/>
      <c r="J6316" s="33"/>
      <c r="K6316" s="12"/>
      <c r="L6316" s="15"/>
    </row>
    <row r="6317" spans="1:12">
      <c r="A6317" s="72"/>
      <c r="B6317" s="12"/>
      <c r="C6317" s="12"/>
      <c r="D6317" s="12"/>
      <c r="E6317" s="11"/>
      <c r="F6317" s="11"/>
      <c r="G6317" s="73"/>
      <c r="H6317" s="12"/>
      <c r="I6317" s="12"/>
      <c r="J6317" s="33"/>
      <c r="K6317" s="12"/>
      <c r="L6317" s="15"/>
    </row>
    <row r="6318" spans="1:12">
      <c r="A6318" s="72"/>
      <c r="B6318" s="12"/>
      <c r="C6318" s="12"/>
      <c r="D6318" s="12"/>
      <c r="E6318" s="11"/>
      <c r="F6318" s="11"/>
      <c r="G6318" s="73"/>
      <c r="H6318" s="12"/>
      <c r="I6318" s="12"/>
      <c r="J6318" s="33"/>
      <c r="K6318" s="12"/>
      <c r="L6318" s="15"/>
    </row>
    <row r="6319" spans="1:12">
      <c r="A6319" s="72"/>
      <c r="B6319" s="12"/>
      <c r="C6319" s="12"/>
      <c r="D6319" s="12"/>
      <c r="E6319" s="11"/>
      <c r="F6319" s="11"/>
      <c r="G6319" s="73"/>
      <c r="H6319" s="12"/>
      <c r="I6319" s="12"/>
      <c r="J6319" s="33"/>
      <c r="K6319" s="12"/>
      <c r="L6319" s="15"/>
    </row>
    <row r="6320" spans="1:12">
      <c r="A6320" s="72"/>
      <c r="B6320" s="12"/>
      <c r="C6320" s="12"/>
      <c r="D6320" s="12"/>
      <c r="E6320" s="11"/>
      <c r="F6320" s="11"/>
      <c r="G6320" s="73"/>
      <c r="H6320" s="12"/>
      <c r="I6320" s="12"/>
      <c r="J6320" s="33"/>
      <c r="K6320" s="12"/>
      <c r="L6320" s="15"/>
    </row>
    <row r="6321" spans="1:12">
      <c r="A6321" s="72"/>
      <c r="B6321" s="12"/>
      <c r="C6321" s="12"/>
      <c r="D6321" s="12"/>
      <c r="E6321" s="11"/>
      <c r="F6321" s="11"/>
      <c r="G6321" s="73"/>
      <c r="H6321" s="12"/>
      <c r="I6321" s="12"/>
      <c r="J6321" s="33"/>
      <c r="K6321" s="12"/>
      <c r="L6321" s="15"/>
    </row>
    <row r="6322" spans="1:12">
      <c r="A6322" s="72"/>
      <c r="B6322" s="12"/>
      <c r="C6322" s="12"/>
      <c r="D6322" s="12"/>
      <c r="E6322" s="11"/>
      <c r="F6322" s="11"/>
      <c r="G6322" s="73"/>
      <c r="H6322" s="12"/>
      <c r="I6322" s="12"/>
      <c r="J6322" s="33"/>
      <c r="K6322" s="12"/>
      <c r="L6322" s="15"/>
    </row>
    <row r="6323" spans="1:12">
      <c r="A6323" s="72"/>
      <c r="B6323" s="12"/>
      <c r="C6323" s="12"/>
      <c r="D6323" s="12"/>
      <c r="E6323" s="11"/>
      <c r="F6323" s="11"/>
      <c r="G6323" s="73"/>
      <c r="H6323" s="12"/>
      <c r="I6323" s="12"/>
      <c r="J6323" s="33"/>
      <c r="K6323" s="12"/>
      <c r="L6323" s="15"/>
    </row>
    <row r="6324" spans="1:12">
      <c r="A6324" s="72"/>
      <c r="B6324" s="12"/>
      <c r="C6324" s="12"/>
      <c r="D6324" s="12"/>
      <c r="E6324" s="11"/>
      <c r="F6324" s="11"/>
      <c r="G6324" s="73"/>
      <c r="H6324" s="12"/>
      <c r="I6324" s="12"/>
      <c r="J6324" s="33"/>
      <c r="K6324" s="12"/>
      <c r="L6324" s="15"/>
    </row>
    <row r="6325" spans="1:12">
      <c r="A6325" s="72"/>
      <c r="B6325" s="12"/>
      <c r="C6325" s="12"/>
      <c r="D6325" s="12"/>
      <c r="E6325" s="11"/>
      <c r="F6325" s="11"/>
      <c r="G6325" s="73"/>
      <c r="H6325" s="12"/>
      <c r="I6325" s="12"/>
      <c r="J6325" s="33"/>
      <c r="K6325" s="12"/>
      <c r="L6325" s="15"/>
    </row>
    <row r="6326" spans="1:12">
      <c r="A6326" s="72"/>
      <c r="B6326" s="12"/>
      <c r="C6326" s="12"/>
      <c r="D6326" s="12"/>
      <c r="E6326" s="11"/>
      <c r="F6326" s="11"/>
      <c r="G6326" s="73"/>
      <c r="H6326" s="12"/>
      <c r="I6326" s="12"/>
      <c r="J6326" s="33"/>
      <c r="K6326" s="12"/>
      <c r="L6326" s="15"/>
    </row>
    <row r="6327" spans="1:12">
      <c r="A6327" s="72"/>
      <c r="B6327" s="12"/>
      <c r="C6327" s="12"/>
      <c r="D6327" s="12"/>
      <c r="E6327" s="11"/>
      <c r="F6327" s="11"/>
      <c r="G6327" s="73"/>
      <c r="H6327" s="12"/>
      <c r="I6327" s="12"/>
      <c r="J6327" s="33"/>
      <c r="K6327" s="12"/>
      <c r="L6327" s="15"/>
    </row>
    <row r="6328" spans="1:12">
      <c r="A6328" s="72"/>
      <c r="B6328" s="12"/>
      <c r="C6328" s="12"/>
      <c r="D6328" s="12"/>
      <c r="E6328" s="11"/>
      <c r="F6328" s="11"/>
      <c r="G6328" s="73"/>
      <c r="H6328" s="12"/>
      <c r="I6328" s="12"/>
      <c r="J6328" s="33"/>
      <c r="K6328" s="12"/>
      <c r="L6328" s="15"/>
    </row>
    <row r="6329" spans="1:12">
      <c r="A6329" s="72"/>
      <c r="B6329" s="12"/>
      <c r="C6329" s="12"/>
      <c r="D6329" s="12"/>
      <c r="E6329" s="11"/>
      <c r="F6329" s="11"/>
      <c r="G6329" s="73"/>
      <c r="H6329" s="12"/>
      <c r="I6329" s="12"/>
      <c r="J6329" s="33"/>
      <c r="K6329" s="12"/>
      <c r="L6329" s="15"/>
    </row>
    <row r="6330" spans="1:12">
      <c r="A6330" s="72"/>
      <c r="B6330" s="12"/>
      <c r="C6330" s="12"/>
      <c r="D6330" s="12"/>
      <c r="E6330" s="11"/>
      <c r="F6330" s="11"/>
      <c r="G6330" s="73"/>
      <c r="H6330" s="12"/>
      <c r="I6330" s="12"/>
      <c r="J6330" s="33"/>
      <c r="K6330" s="12"/>
      <c r="L6330" s="15"/>
    </row>
    <row r="6331" spans="1:12">
      <c r="A6331" s="72"/>
      <c r="B6331" s="12"/>
      <c r="C6331" s="12"/>
      <c r="D6331" s="12"/>
      <c r="E6331" s="11"/>
      <c r="F6331" s="11"/>
      <c r="G6331" s="73"/>
      <c r="H6331" s="12"/>
      <c r="I6331" s="12"/>
      <c r="J6331" s="33"/>
      <c r="K6331" s="12"/>
      <c r="L6331" s="15"/>
    </row>
    <row r="6332" spans="1:12">
      <c r="A6332" s="72"/>
      <c r="B6332" s="12"/>
      <c r="C6332" s="12"/>
      <c r="D6332" s="12"/>
      <c r="E6332" s="11"/>
      <c r="F6332" s="11"/>
      <c r="G6332" s="73"/>
      <c r="H6332" s="12"/>
      <c r="I6332" s="12"/>
      <c r="J6332" s="33"/>
      <c r="K6332" s="12"/>
      <c r="L6332" s="15"/>
    </row>
    <row r="6333" spans="1:12">
      <c r="A6333" s="72"/>
      <c r="B6333" s="12"/>
      <c r="C6333" s="12"/>
      <c r="D6333" s="12"/>
      <c r="E6333" s="11"/>
      <c r="F6333" s="11"/>
      <c r="G6333" s="73"/>
      <c r="H6333" s="12"/>
      <c r="I6333" s="12"/>
      <c r="J6333" s="33"/>
      <c r="K6333" s="12"/>
      <c r="L6333" s="15"/>
    </row>
    <row r="6334" spans="1:12">
      <c r="A6334" s="72"/>
      <c r="B6334" s="12"/>
      <c r="C6334" s="12"/>
      <c r="D6334" s="12"/>
      <c r="E6334" s="11"/>
      <c r="F6334" s="11"/>
      <c r="G6334" s="73"/>
      <c r="H6334" s="12"/>
      <c r="I6334" s="12"/>
      <c r="J6334" s="33"/>
      <c r="K6334" s="12"/>
      <c r="L6334" s="15"/>
    </row>
    <row r="6335" spans="1:12">
      <c r="A6335" s="72"/>
      <c r="B6335" s="12"/>
      <c r="C6335" s="12"/>
      <c r="D6335" s="12"/>
      <c r="E6335" s="11"/>
      <c r="F6335" s="11"/>
      <c r="G6335" s="73"/>
      <c r="H6335" s="12"/>
      <c r="I6335" s="12"/>
      <c r="J6335" s="33"/>
      <c r="K6335" s="12"/>
      <c r="L6335" s="15"/>
    </row>
    <row r="6336" spans="1:12">
      <c r="A6336" s="72"/>
      <c r="B6336" s="12"/>
      <c r="C6336" s="12"/>
      <c r="D6336" s="12"/>
      <c r="E6336" s="11"/>
      <c r="F6336" s="11"/>
      <c r="G6336" s="73"/>
      <c r="H6336" s="12"/>
      <c r="I6336" s="12"/>
      <c r="J6336" s="33"/>
      <c r="K6336" s="12"/>
      <c r="L6336" s="15"/>
    </row>
    <row r="6337" spans="1:12">
      <c r="A6337" s="72"/>
      <c r="B6337" s="12"/>
      <c r="C6337" s="12"/>
      <c r="D6337" s="12"/>
      <c r="E6337" s="11"/>
      <c r="F6337" s="11"/>
      <c r="G6337" s="73"/>
      <c r="H6337" s="12"/>
      <c r="I6337" s="12"/>
      <c r="J6337" s="33"/>
      <c r="K6337" s="12"/>
      <c r="L6337" s="15"/>
    </row>
    <row r="6338" spans="1:12">
      <c r="A6338" s="72"/>
      <c r="B6338" s="12"/>
      <c r="C6338" s="12"/>
      <c r="D6338" s="12"/>
      <c r="E6338" s="11"/>
      <c r="F6338" s="11"/>
      <c r="G6338" s="73"/>
      <c r="H6338" s="12"/>
      <c r="I6338" s="12"/>
      <c r="J6338" s="33"/>
      <c r="K6338" s="12"/>
      <c r="L6338" s="15"/>
    </row>
    <row r="6339" spans="1:12">
      <c r="A6339" s="72"/>
      <c r="B6339" s="12"/>
      <c r="C6339" s="12"/>
      <c r="D6339" s="12"/>
      <c r="E6339" s="11"/>
      <c r="F6339" s="11"/>
      <c r="G6339" s="73"/>
      <c r="H6339" s="12"/>
      <c r="I6339" s="12"/>
      <c r="J6339" s="33"/>
      <c r="K6339" s="12"/>
      <c r="L6339" s="15"/>
    </row>
    <row r="6340" spans="1:12">
      <c r="A6340" s="72"/>
      <c r="B6340" s="12"/>
      <c r="C6340" s="12"/>
      <c r="D6340" s="12"/>
      <c r="E6340" s="11"/>
      <c r="F6340" s="11"/>
      <c r="G6340" s="73"/>
      <c r="H6340" s="12"/>
      <c r="I6340" s="12"/>
      <c r="J6340" s="33"/>
      <c r="K6340" s="12"/>
      <c r="L6340" s="15"/>
    </row>
    <row r="6341" spans="1:12">
      <c r="A6341" s="72"/>
      <c r="B6341" s="12"/>
      <c r="C6341" s="12"/>
      <c r="D6341" s="12"/>
      <c r="E6341" s="11"/>
      <c r="F6341" s="11"/>
      <c r="G6341" s="73"/>
      <c r="H6341" s="12"/>
      <c r="I6341" s="12"/>
      <c r="J6341" s="33"/>
      <c r="K6341" s="12"/>
      <c r="L6341" s="15"/>
    </row>
    <row r="6342" spans="1:12">
      <c r="A6342" s="72"/>
      <c r="B6342" s="12"/>
      <c r="C6342" s="12"/>
      <c r="D6342" s="12"/>
      <c r="E6342" s="11"/>
      <c r="F6342" s="11"/>
      <c r="G6342" s="73"/>
      <c r="H6342" s="12"/>
      <c r="I6342" s="12"/>
      <c r="J6342" s="33"/>
      <c r="K6342" s="12"/>
      <c r="L6342" s="15"/>
    </row>
    <row r="6343" spans="1:12">
      <c r="A6343" s="72"/>
      <c r="B6343" s="12"/>
      <c r="C6343" s="12"/>
      <c r="D6343" s="12"/>
      <c r="E6343" s="11"/>
      <c r="F6343" s="11"/>
      <c r="G6343" s="73"/>
      <c r="H6343" s="12"/>
      <c r="I6343" s="12"/>
      <c r="J6343" s="33"/>
      <c r="K6343" s="12"/>
      <c r="L6343" s="15"/>
    </row>
    <row r="6344" spans="1:12">
      <c r="A6344" s="72"/>
      <c r="B6344" s="12"/>
      <c r="C6344" s="12"/>
      <c r="D6344" s="12"/>
      <c r="E6344" s="11"/>
      <c r="F6344" s="11"/>
      <c r="G6344" s="73"/>
      <c r="H6344" s="12"/>
      <c r="I6344" s="12"/>
      <c r="J6344" s="33"/>
      <c r="K6344" s="12"/>
      <c r="L6344" s="15"/>
    </row>
    <row r="6345" spans="1:12">
      <c r="A6345" s="72"/>
      <c r="B6345" s="12"/>
      <c r="C6345" s="12"/>
      <c r="D6345" s="12"/>
      <c r="E6345" s="11"/>
      <c r="F6345" s="11"/>
      <c r="G6345" s="73"/>
      <c r="H6345" s="12"/>
      <c r="I6345" s="12"/>
      <c r="J6345" s="33"/>
      <c r="K6345" s="12"/>
      <c r="L6345" s="15"/>
    </row>
    <row r="6346" spans="1:12">
      <c r="A6346" s="72"/>
      <c r="B6346" s="12"/>
      <c r="C6346" s="12"/>
      <c r="D6346" s="12"/>
      <c r="E6346" s="11"/>
      <c r="F6346" s="11"/>
      <c r="G6346" s="73"/>
      <c r="H6346" s="12"/>
      <c r="I6346" s="12"/>
      <c r="J6346" s="33"/>
      <c r="K6346" s="12"/>
      <c r="L6346" s="15"/>
    </row>
    <row r="6347" spans="1:12">
      <c r="A6347" s="72"/>
      <c r="B6347" s="12"/>
      <c r="C6347" s="12"/>
      <c r="D6347" s="12"/>
      <c r="E6347" s="11"/>
      <c r="F6347" s="11"/>
      <c r="G6347" s="73"/>
      <c r="H6347" s="12"/>
      <c r="I6347" s="12"/>
      <c r="J6347" s="33"/>
      <c r="K6347" s="12"/>
      <c r="L6347" s="15"/>
    </row>
    <row r="6348" spans="1:12">
      <c r="A6348" s="72"/>
      <c r="B6348" s="12"/>
      <c r="C6348" s="12"/>
      <c r="D6348" s="12"/>
      <c r="E6348" s="11"/>
      <c r="F6348" s="11"/>
      <c r="G6348" s="73"/>
      <c r="H6348" s="12"/>
      <c r="I6348" s="12"/>
      <c r="J6348" s="33"/>
      <c r="K6348" s="12"/>
      <c r="L6348" s="15"/>
    </row>
    <row r="6349" spans="1:12">
      <c r="A6349" s="72"/>
      <c r="B6349" s="12"/>
      <c r="C6349" s="12"/>
      <c r="D6349" s="12"/>
      <c r="E6349" s="11"/>
      <c r="F6349" s="11"/>
      <c r="G6349" s="73"/>
      <c r="H6349" s="12"/>
      <c r="I6349" s="12"/>
      <c r="J6349" s="33"/>
      <c r="K6349" s="12"/>
      <c r="L6349" s="15"/>
    </row>
    <row r="6350" spans="1:12">
      <c r="A6350" s="72"/>
      <c r="B6350" s="12"/>
      <c r="C6350" s="12"/>
      <c r="D6350" s="12"/>
      <c r="E6350" s="11"/>
      <c r="F6350" s="11"/>
      <c r="G6350" s="73"/>
      <c r="H6350" s="12"/>
      <c r="I6350" s="12"/>
      <c r="J6350" s="33"/>
      <c r="K6350" s="12"/>
      <c r="L6350" s="15"/>
    </row>
    <row r="6351" spans="1:12">
      <c r="A6351" s="72"/>
      <c r="B6351" s="12"/>
      <c r="C6351" s="12"/>
      <c r="D6351" s="12"/>
      <c r="E6351" s="11"/>
      <c r="F6351" s="11"/>
      <c r="G6351" s="73"/>
      <c r="H6351" s="12"/>
      <c r="I6351" s="12"/>
      <c r="J6351" s="33"/>
      <c r="K6351" s="12"/>
      <c r="L6351" s="15"/>
    </row>
    <row r="6352" spans="1:12">
      <c r="A6352" s="72"/>
      <c r="B6352" s="12"/>
      <c r="C6352" s="12"/>
      <c r="D6352" s="12"/>
      <c r="E6352" s="11"/>
      <c r="F6352" s="11"/>
      <c r="G6352" s="73"/>
      <c r="H6352" s="12"/>
      <c r="I6352" s="12"/>
      <c r="J6352" s="33"/>
      <c r="K6352" s="12"/>
      <c r="L6352" s="15"/>
    </row>
    <row r="6353" spans="1:12">
      <c r="A6353" s="72"/>
      <c r="B6353" s="12"/>
      <c r="C6353" s="12"/>
      <c r="D6353" s="12"/>
      <c r="E6353" s="11"/>
      <c r="F6353" s="11"/>
      <c r="G6353" s="73"/>
      <c r="H6353" s="12"/>
      <c r="I6353" s="12"/>
      <c r="J6353" s="33"/>
      <c r="K6353" s="12"/>
      <c r="L6353" s="15"/>
    </row>
    <row r="6354" spans="1:12">
      <c r="A6354" s="72"/>
      <c r="B6354" s="12"/>
      <c r="C6354" s="12"/>
      <c r="D6354" s="12"/>
      <c r="E6354" s="11"/>
      <c r="F6354" s="11"/>
      <c r="G6354" s="73"/>
      <c r="H6354" s="12"/>
      <c r="I6354" s="12"/>
      <c r="J6354" s="33"/>
      <c r="K6354" s="12"/>
      <c r="L6354" s="15"/>
    </row>
    <row r="6355" spans="1:12">
      <c r="A6355" s="72"/>
      <c r="B6355" s="12"/>
      <c r="C6355" s="12"/>
      <c r="D6355" s="12"/>
      <c r="E6355" s="11"/>
      <c r="F6355" s="11"/>
      <c r="G6355" s="73"/>
      <c r="H6355" s="12"/>
      <c r="I6355" s="12"/>
      <c r="J6355" s="33"/>
      <c r="K6355" s="12"/>
      <c r="L6355" s="15"/>
    </row>
    <row r="6356" spans="1:12">
      <c r="A6356" s="72"/>
      <c r="B6356" s="12"/>
      <c r="C6356" s="12"/>
      <c r="D6356" s="12"/>
      <c r="E6356" s="11"/>
      <c r="F6356" s="11"/>
      <c r="G6356" s="73"/>
      <c r="H6356" s="12"/>
      <c r="I6356" s="12"/>
      <c r="J6356" s="33"/>
      <c r="K6356" s="12"/>
      <c r="L6356" s="15"/>
    </row>
    <row r="6357" spans="1:12">
      <c r="A6357" s="72"/>
      <c r="B6357" s="12"/>
      <c r="C6357" s="12"/>
      <c r="D6357" s="12"/>
      <c r="E6357" s="11"/>
      <c r="F6357" s="11"/>
      <c r="G6357" s="73"/>
      <c r="H6357" s="12"/>
      <c r="I6357" s="12"/>
      <c r="J6357" s="33"/>
      <c r="K6357" s="12"/>
      <c r="L6357" s="15"/>
    </row>
    <row r="6358" spans="1:12">
      <c r="A6358" s="72"/>
      <c r="B6358" s="12"/>
      <c r="C6358" s="12"/>
      <c r="D6358" s="12"/>
      <c r="E6358" s="11"/>
      <c r="F6358" s="11"/>
      <c r="G6358" s="73"/>
      <c r="H6358" s="12"/>
      <c r="I6358" s="12"/>
      <c r="J6358" s="33"/>
      <c r="K6358" s="12"/>
      <c r="L6358" s="15"/>
    </row>
    <row r="6359" spans="1:12">
      <c r="A6359" s="72"/>
      <c r="B6359" s="12"/>
      <c r="C6359" s="12"/>
      <c r="D6359" s="12"/>
      <c r="E6359" s="11"/>
      <c r="F6359" s="11"/>
      <c r="G6359" s="73"/>
      <c r="H6359" s="12"/>
      <c r="I6359" s="12"/>
      <c r="J6359" s="33"/>
      <c r="K6359" s="12"/>
      <c r="L6359" s="15"/>
    </row>
    <row r="6360" spans="1:12">
      <c r="A6360" s="72"/>
      <c r="B6360" s="12"/>
      <c r="C6360" s="12"/>
      <c r="D6360" s="12"/>
      <c r="E6360" s="11"/>
      <c r="F6360" s="11"/>
      <c r="G6360" s="73"/>
      <c r="H6360" s="12"/>
      <c r="I6360" s="12"/>
      <c r="J6360" s="33"/>
      <c r="K6360" s="12"/>
      <c r="L6360" s="15"/>
    </row>
    <row r="6361" spans="1:12">
      <c r="A6361" s="72"/>
      <c r="B6361" s="12"/>
      <c r="C6361" s="12"/>
      <c r="D6361" s="12"/>
      <c r="E6361" s="11"/>
      <c r="F6361" s="11"/>
      <c r="G6361" s="73"/>
      <c r="H6361" s="12"/>
      <c r="I6361" s="12"/>
      <c r="J6361" s="33"/>
      <c r="K6361" s="12"/>
      <c r="L6361" s="15"/>
    </row>
    <row r="6362" spans="1:12">
      <c r="A6362" s="72"/>
      <c r="B6362" s="12"/>
      <c r="C6362" s="12"/>
      <c r="D6362" s="12"/>
      <c r="E6362" s="11"/>
      <c r="F6362" s="11"/>
      <c r="G6362" s="73"/>
      <c r="H6362" s="12"/>
      <c r="I6362" s="12"/>
      <c r="J6362" s="33"/>
      <c r="K6362" s="12"/>
      <c r="L6362" s="15"/>
    </row>
    <row r="6363" spans="1:12">
      <c r="A6363" s="72"/>
      <c r="B6363" s="12"/>
      <c r="C6363" s="12"/>
      <c r="D6363" s="12"/>
      <c r="E6363" s="11"/>
      <c r="F6363" s="11"/>
      <c r="G6363" s="73"/>
      <c r="H6363" s="12"/>
      <c r="I6363" s="12"/>
      <c r="J6363" s="33"/>
      <c r="K6363" s="12"/>
      <c r="L6363" s="15"/>
    </row>
    <row r="6364" spans="1:12">
      <c r="A6364" s="72"/>
      <c r="B6364" s="12"/>
      <c r="C6364" s="12"/>
      <c r="D6364" s="12"/>
      <c r="E6364" s="11"/>
      <c r="F6364" s="11"/>
      <c r="G6364" s="73"/>
      <c r="H6364" s="12"/>
      <c r="I6364" s="12"/>
      <c r="J6364" s="33"/>
      <c r="K6364" s="12"/>
      <c r="L6364" s="15"/>
    </row>
    <row r="6365" spans="1:12">
      <c r="A6365" s="72"/>
      <c r="B6365" s="12"/>
      <c r="C6365" s="12"/>
      <c r="D6365" s="12"/>
      <c r="E6365" s="11"/>
      <c r="F6365" s="11"/>
      <c r="G6365" s="73"/>
      <c r="H6365" s="12"/>
      <c r="I6365" s="12"/>
      <c r="J6365" s="33"/>
      <c r="K6365" s="12"/>
      <c r="L6365" s="15"/>
    </row>
    <row r="6366" spans="1:12">
      <c r="A6366" s="72"/>
      <c r="B6366" s="12"/>
      <c r="C6366" s="12"/>
      <c r="D6366" s="12"/>
      <c r="E6366" s="11"/>
      <c r="F6366" s="11"/>
      <c r="G6366" s="73"/>
      <c r="H6366" s="12"/>
      <c r="I6366" s="12"/>
      <c r="J6366" s="33"/>
      <c r="K6366" s="12"/>
      <c r="L6366" s="15"/>
    </row>
    <row r="6367" spans="1:12">
      <c r="A6367" s="72"/>
      <c r="B6367" s="12"/>
      <c r="C6367" s="12"/>
      <c r="D6367" s="12"/>
      <c r="E6367" s="11"/>
      <c r="F6367" s="11"/>
      <c r="G6367" s="73"/>
      <c r="H6367" s="12"/>
      <c r="I6367" s="12"/>
      <c r="J6367" s="33"/>
      <c r="K6367" s="12"/>
      <c r="L6367" s="15"/>
    </row>
    <row r="6368" spans="1:12">
      <c r="A6368" s="72"/>
      <c r="B6368" s="12"/>
      <c r="C6368" s="12"/>
      <c r="D6368" s="12"/>
      <c r="E6368" s="11"/>
      <c r="F6368" s="11"/>
      <c r="G6368" s="73"/>
      <c r="H6368" s="12"/>
      <c r="I6368" s="12"/>
      <c r="J6368" s="33"/>
      <c r="K6368" s="12"/>
      <c r="L6368" s="15"/>
    </row>
    <row r="6369" spans="1:12">
      <c r="A6369" s="72"/>
      <c r="B6369" s="12"/>
      <c r="C6369" s="12"/>
      <c r="D6369" s="12"/>
      <c r="E6369" s="11"/>
      <c r="F6369" s="11"/>
      <c r="G6369" s="73"/>
      <c r="H6369" s="12"/>
      <c r="I6369" s="12"/>
      <c r="J6369" s="33"/>
      <c r="K6369" s="12"/>
      <c r="L6369" s="15"/>
    </row>
    <row r="6370" spans="1:12">
      <c r="A6370" s="72"/>
      <c r="B6370" s="12"/>
      <c r="C6370" s="12"/>
      <c r="D6370" s="12"/>
      <c r="E6370" s="11"/>
      <c r="F6370" s="11"/>
      <c r="G6370" s="73"/>
      <c r="H6370" s="12"/>
      <c r="I6370" s="12"/>
      <c r="J6370" s="33"/>
      <c r="K6370" s="12"/>
      <c r="L6370" s="15"/>
    </row>
    <row r="6371" spans="1:12">
      <c r="A6371" s="72"/>
      <c r="B6371" s="12"/>
      <c r="C6371" s="12"/>
      <c r="D6371" s="12"/>
      <c r="E6371" s="11"/>
      <c r="F6371" s="11"/>
      <c r="G6371" s="73"/>
      <c r="H6371" s="12"/>
      <c r="I6371" s="12"/>
      <c r="J6371" s="33"/>
      <c r="K6371" s="12"/>
      <c r="L6371" s="15"/>
    </row>
    <row r="6372" spans="1:12">
      <c r="A6372" s="72"/>
      <c r="B6372" s="12"/>
      <c r="C6372" s="12"/>
      <c r="D6372" s="12"/>
      <c r="E6372" s="11"/>
      <c r="F6372" s="11"/>
      <c r="G6372" s="73"/>
      <c r="H6372" s="12"/>
      <c r="I6372" s="12"/>
      <c r="J6372" s="33"/>
      <c r="K6372" s="12"/>
      <c r="L6372" s="15"/>
    </row>
    <row r="6373" spans="1:12">
      <c r="A6373" s="72"/>
      <c r="B6373" s="12"/>
      <c r="C6373" s="12"/>
      <c r="D6373" s="12"/>
      <c r="E6373" s="11"/>
      <c r="F6373" s="11"/>
      <c r="G6373" s="73"/>
      <c r="H6373" s="12"/>
      <c r="I6373" s="12"/>
      <c r="J6373" s="33"/>
      <c r="K6373" s="12"/>
      <c r="L6373" s="15"/>
    </row>
    <row r="6374" spans="1:12">
      <c r="A6374" s="72"/>
      <c r="B6374" s="12"/>
      <c r="C6374" s="12"/>
      <c r="D6374" s="12"/>
      <c r="E6374" s="11"/>
      <c r="F6374" s="11"/>
      <c r="G6374" s="73"/>
      <c r="H6374" s="12"/>
      <c r="I6374" s="12"/>
      <c r="J6374" s="33"/>
      <c r="K6374" s="12"/>
      <c r="L6374" s="15"/>
    </row>
    <row r="6375" spans="1:12">
      <c r="A6375" s="72"/>
      <c r="B6375" s="12"/>
      <c r="C6375" s="12"/>
      <c r="D6375" s="12"/>
      <c r="E6375" s="11"/>
      <c r="F6375" s="11"/>
      <c r="G6375" s="73"/>
      <c r="H6375" s="12"/>
      <c r="I6375" s="12"/>
      <c r="J6375" s="33"/>
      <c r="K6375" s="12"/>
      <c r="L6375" s="15"/>
    </row>
    <row r="6376" spans="1:12">
      <c r="A6376" s="72"/>
      <c r="B6376" s="12"/>
      <c r="C6376" s="12"/>
      <c r="D6376" s="12"/>
      <c r="E6376" s="11"/>
      <c r="F6376" s="11"/>
      <c r="G6376" s="73"/>
      <c r="H6376" s="12"/>
      <c r="I6376" s="12"/>
      <c r="J6376" s="33"/>
      <c r="K6376" s="12"/>
      <c r="L6376" s="15"/>
    </row>
    <row r="6377" spans="1:12">
      <c r="A6377" s="72"/>
      <c r="B6377" s="12"/>
      <c r="C6377" s="12"/>
      <c r="D6377" s="12"/>
      <c r="E6377" s="11"/>
      <c r="F6377" s="11"/>
      <c r="G6377" s="73"/>
      <c r="H6377" s="12"/>
      <c r="I6377" s="12"/>
      <c r="J6377" s="33"/>
      <c r="K6377" s="12"/>
      <c r="L6377" s="15"/>
    </row>
    <row r="6378" spans="1:12">
      <c r="A6378" s="72"/>
      <c r="B6378" s="12"/>
      <c r="C6378" s="12"/>
      <c r="D6378" s="12"/>
      <c r="E6378" s="11"/>
      <c r="F6378" s="11"/>
      <c r="G6378" s="73"/>
      <c r="H6378" s="12"/>
      <c r="I6378" s="12"/>
      <c r="J6378" s="33"/>
      <c r="K6378" s="12"/>
      <c r="L6378" s="15"/>
    </row>
    <row r="6379" spans="1:12">
      <c r="A6379" s="72"/>
      <c r="B6379" s="12"/>
      <c r="C6379" s="12"/>
      <c r="D6379" s="12"/>
      <c r="E6379" s="11"/>
      <c r="F6379" s="11"/>
      <c r="G6379" s="73"/>
      <c r="H6379" s="12"/>
      <c r="I6379" s="12"/>
      <c r="J6379" s="33"/>
      <c r="K6379" s="12"/>
      <c r="L6379" s="15"/>
    </row>
    <row r="6380" spans="1:12">
      <c r="A6380" s="72"/>
      <c r="B6380" s="12"/>
      <c r="C6380" s="12"/>
      <c r="D6380" s="12"/>
      <c r="E6380" s="11"/>
      <c r="F6380" s="11"/>
      <c r="G6380" s="73"/>
      <c r="H6380" s="12"/>
      <c r="I6380" s="12"/>
      <c r="J6380" s="33"/>
      <c r="K6380" s="12"/>
      <c r="L6380" s="15"/>
    </row>
    <row r="6381" spans="1:12">
      <c r="A6381" s="72"/>
      <c r="B6381" s="12"/>
      <c r="C6381" s="12"/>
      <c r="D6381" s="12"/>
      <c r="E6381" s="11"/>
      <c r="F6381" s="11"/>
      <c r="G6381" s="73"/>
      <c r="H6381" s="12"/>
      <c r="I6381" s="12"/>
      <c r="J6381" s="33"/>
      <c r="K6381" s="12"/>
      <c r="L6381" s="15"/>
    </row>
    <row r="6382" spans="1:12">
      <c r="A6382" s="72"/>
      <c r="B6382" s="12"/>
      <c r="C6382" s="12"/>
      <c r="D6382" s="12"/>
      <c r="E6382" s="11"/>
      <c r="F6382" s="11"/>
      <c r="G6382" s="73"/>
      <c r="H6382" s="12"/>
      <c r="I6382" s="12"/>
      <c r="J6382" s="33"/>
      <c r="K6382" s="12"/>
      <c r="L6382" s="15"/>
    </row>
    <row r="6383" spans="1:12">
      <c r="A6383" s="72"/>
      <c r="B6383" s="12"/>
      <c r="C6383" s="12"/>
      <c r="D6383" s="12"/>
      <c r="E6383" s="11"/>
      <c r="F6383" s="11"/>
      <c r="G6383" s="73"/>
      <c r="H6383" s="12"/>
      <c r="I6383" s="12"/>
      <c r="J6383" s="33"/>
      <c r="K6383" s="12"/>
      <c r="L6383" s="15"/>
    </row>
    <row r="6384" spans="1:12">
      <c r="A6384" s="72"/>
      <c r="B6384" s="12"/>
      <c r="C6384" s="12"/>
      <c r="D6384" s="12"/>
      <c r="E6384" s="11"/>
      <c r="F6384" s="11"/>
      <c r="G6384" s="73"/>
      <c r="H6384" s="12"/>
      <c r="I6384" s="12"/>
      <c r="J6384" s="33"/>
      <c r="K6384" s="12"/>
      <c r="L6384" s="15"/>
    </row>
    <row r="6385" spans="1:12">
      <c r="A6385" s="72"/>
      <c r="B6385" s="12"/>
      <c r="C6385" s="12"/>
      <c r="D6385" s="12"/>
      <c r="E6385" s="11"/>
      <c r="F6385" s="11"/>
      <c r="G6385" s="73"/>
      <c r="H6385" s="12"/>
      <c r="I6385" s="12"/>
      <c r="J6385" s="33"/>
      <c r="K6385" s="12"/>
      <c r="L6385" s="15"/>
    </row>
    <row r="6386" spans="1:12">
      <c r="A6386" s="72"/>
      <c r="B6386" s="12"/>
      <c r="C6386" s="12"/>
      <c r="D6386" s="12"/>
      <c r="E6386" s="11"/>
      <c r="F6386" s="11"/>
      <c r="G6386" s="73"/>
      <c r="H6386" s="12"/>
      <c r="I6386" s="12"/>
      <c r="J6386" s="33"/>
      <c r="K6386" s="12"/>
      <c r="L6386" s="15"/>
    </row>
    <row r="6387" spans="1:12">
      <c r="A6387" s="72"/>
      <c r="B6387" s="12"/>
      <c r="C6387" s="12"/>
      <c r="D6387" s="12"/>
      <c r="E6387" s="11"/>
      <c r="F6387" s="11"/>
      <c r="G6387" s="73"/>
      <c r="H6387" s="12"/>
      <c r="I6387" s="12"/>
      <c r="J6387" s="33"/>
      <c r="K6387" s="12"/>
      <c r="L6387" s="15"/>
    </row>
    <row r="6388" spans="1:12">
      <c r="A6388" s="72"/>
      <c r="B6388" s="12"/>
      <c r="C6388" s="12"/>
      <c r="D6388" s="12"/>
      <c r="E6388" s="11"/>
      <c r="F6388" s="11"/>
      <c r="G6388" s="73"/>
      <c r="H6388" s="12"/>
      <c r="I6388" s="12"/>
      <c r="J6388" s="33"/>
      <c r="K6388" s="12"/>
      <c r="L6388" s="15"/>
    </row>
    <row r="6389" spans="1:12">
      <c r="A6389" s="72"/>
      <c r="B6389" s="12"/>
      <c r="C6389" s="12"/>
      <c r="D6389" s="12"/>
      <c r="E6389" s="11"/>
      <c r="F6389" s="11"/>
      <c r="G6389" s="73"/>
      <c r="H6389" s="12"/>
      <c r="I6389" s="12"/>
      <c r="J6389" s="33"/>
      <c r="K6389" s="12"/>
      <c r="L6389" s="15"/>
    </row>
    <row r="6390" spans="1:12">
      <c r="A6390" s="72"/>
      <c r="B6390" s="12"/>
      <c r="C6390" s="12"/>
      <c r="D6390" s="12"/>
      <c r="E6390" s="11"/>
      <c r="F6390" s="11"/>
      <c r="G6390" s="73"/>
      <c r="H6390" s="12"/>
      <c r="I6390" s="12"/>
      <c r="J6390" s="33"/>
      <c r="K6390" s="12"/>
      <c r="L6390" s="15"/>
    </row>
    <row r="6391" spans="1:12">
      <c r="A6391" s="72"/>
      <c r="B6391" s="12"/>
      <c r="C6391" s="12"/>
      <c r="D6391" s="12"/>
      <c r="E6391" s="11"/>
      <c r="F6391" s="11"/>
      <c r="G6391" s="73"/>
      <c r="H6391" s="12"/>
      <c r="I6391" s="12"/>
      <c r="J6391" s="33"/>
      <c r="K6391" s="12"/>
      <c r="L6391" s="15"/>
    </row>
    <row r="6392" spans="1:12">
      <c r="A6392" s="72"/>
      <c r="B6392" s="12"/>
      <c r="C6392" s="12"/>
      <c r="D6392" s="12"/>
      <c r="E6392" s="11"/>
      <c r="F6392" s="11"/>
      <c r="G6392" s="73"/>
      <c r="H6392" s="12"/>
      <c r="I6392" s="12"/>
      <c r="J6392" s="33"/>
      <c r="K6392" s="12"/>
      <c r="L6392" s="15"/>
    </row>
    <row r="6393" spans="1:12">
      <c r="A6393" s="72"/>
      <c r="B6393" s="12"/>
      <c r="C6393" s="12"/>
      <c r="D6393" s="12"/>
      <c r="E6393" s="11"/>
      <c r="F6393" s="11"/>
      <c r="G6393" s="73"/>
      <c r="H6393" s="12"/>
      <c r="I6393" s="12"/>
      <c r="J6393" s="33"/>
      <c r="K6393" s="12"/>
      <c r="L6393" s="15"/>
    </row>
    <row r="6394" spans="1:12">
      <c r="A6394" s="72"/>
      <c r="B6394" s="12"/>
      <c r="C6394" s="12"/>
      <c r="D6394" s="12"/>
      <c r="E6394" s="11"/>
      <c r="F6394" s="11"/>
      <c r="G6394" s="73"/>
      <c r="H6394" s="12"/>
      <c r="I6394" s="12"/>
      <c r="J6394" s="33"/>
      <c r="K6394" s="12"/>
      <c r="L6394" s="15"/>
    </row>
    <row r="6395" spans="1:12">
      <c r="A6395" s="72"/>
      <c r="B6395" s="12"/>
      <c r="C6395" s="12"/>
      <c r="D6395" s="12"/>
      <c r="E6395" s="11"/>
      <c r="F6395" s="11"/>
      <c r="G6395" s="73"/>
      <c r="H6395" s="12"/>
      <c r="I6395" s="12"/>
      <c r="J6395" s="33"/>
      <c r="K6395" s="12"/>
      <c r="L6395" s="15"/>
    </row>
    <row r="6396" spans="1:12">
      <c r="A6396" s="72"/>
      <c r="B6396" s="12"/>
      <c r="C6396" s="12"/>
      <c r="D6396" s="12"/>
      <c r="E6396" s="11"/>
      <c r="F6396" s="11"/>
      <c r="G6396" s="73"/>
      <c r="H6396" s="12"/>
      <c r="I6396" s="12"/>
      <c r="J6396" s="33"/>
      <c r="K6396" s="12"/>
      <c r="L6396" s="15"/>
    </row>
    <row r="6397" spans="1:12">
      <c r="A6397" s="72"/>
      <c r="B6397" s="12"/>
      <c r="C6397" s="12"/>
      <c r="D6397" s="12"/>
      <c r="E6397" s="11"/>
      <c r="F6397" s="11"/>
      <c r="G6397" s="73"/>
      <c r="H6397" s="12"/>
      <c r="I6397" s="12"/>
      <c r="J6397" s="33"/>
      <c r="K6397" s="12"/>
      <c r="L6397" s="15"/>
    </row>
    <row r="6398" spans="1:12">
      <c r="A6398" s="72"/>
      <c r="B6398" s="12"/>
      <c r="C6398" s="12"/>
      <c r="D6398" s="12"/>
      <c r="E6398" s="11"/>
      <c r="F6398" s="11"/>
      <c r="G6398" s="73"/>
      <c r="H6398" s="12"/>
      <c r="I6398" s="12"/>
      <c r="J6398" s="33"/>
      <c r="K6398" s="12"/>
      <c r="L6398" s="15"/>
    </row>
    <row r="6399" spans="1:12">
      <c r="A6399" s="72"/>
      <c r="B6399" s="12"/>
      <c r="C6399" s="12"/>
      <c r="D6399" s="12"/>
      <c r="E6399" s="11"/>
      <c r="F6399" s="11"/>
      <c r="G6399" s="73"/>
      <c r="H6399" s="12"/>
      <c r="I6399" s="12"/>
      <c r="J6399" s="33"/>
      <c r="K6399" s="12"/>
      <c r="L6399" s="15"/>
    </row>
    <row r="6400" spans="1:12">
      <c r="A6400" s="72"/>
      <c r="B6400" s="12"/>
      <c r="C6400" s="12"/>
      <c r="D6400" s="12"/>
      <c r="E6400" s="11"/>
      <c r="F6400" s="11"/>
      <c r="G6400" s="73"/>
      <c r="H6400" s="12"/>
      <c r="I6400" s="12"/>
      <c r="J6400" s="33"/>
      <c r="K6400" s="12"/>
      <c r="L6400" s="15"/>
    </row>
    <row r="6401" spans="1:12">
      <c r="A6401" s="72"/>
      <c r="B6401" s="12"/>
      <c r="C6401" s="12"/>
      <c r="D6401" s="12"/>
      <c r="E6401" s="11"/>
      <c r="F6401" s="11"/>
      <c r="G6401" s="73"/>
      <c r="H6401" s="12"/>
      <c r="I6401" s="12"/>
      <c r="J6401" s="33"/>
      <c r="K6401" s="12"/>
      <c r="L6401" s="15"/>
    </row>
    <row r="6402" spans="1:12">
      <c r="A6402" s="72"/>
      <c r="B6402" s="12"/>
      <c r="C6402" s="12"/>
      <c r="D6402" s="12"/>
      <c r="E6402" s="11"/>
      <c r="F6402" s="11"/>
      <c r="G6402" s="73"/>
      <c r="H6402" s="12"/>
      <c r="I6402" s="12"/>
      <c r="J6402" s="33"/>
      <c r="K6402" s="12"/>
      <c r="L6402" s="15"/>
    </row>
    <row r="6403" spans="1:12">
      <c r="A6403" s="72"/>
      <c r="B6403" s="12"/>
      <c r="C6403" s="12"/>
      <c r="D6403" s="12"/>
      <c r="E6403" s="11"/>
      <c r="F6403" s="11"/>
      <c r="G6403" s="73"/>
      <c r="H6403" s="12"/>
      <c r="I6403" s="12"/>
      <c r="J6403" s="33"/>
      <c r="K6403" s="12"/>
      <c r="L6403" s="15"/>
    </row>
    <row r="6404" spans="1:12">
      <c r="A6404" s="72"/>
      <c r="B6404" s="12"/>
      <c r="C6404" s="12"/>
      <c r="D6404" s="12"/>
      <c r="E6404" s="11"/>
      <c r="F6404" s="11"/>
      <c r="G6404" s="73"/>
      <c r="H6404" s="12"/>
      <c r="I6404" s="12"/>
      <c r="J6404" s="33"/>
      <c r="K6404" s="12"/>
      <c r="L6404" s="15"/>
    </row>
    <row r="6405" spans="1:12">
      <c r="A6405" s="72"/>
      <c r="B6405" s="12"/>
      <c r="C6405" s="12"/>
      <c r="D6405" s="12"/>
      <c r="E6405" s="11"/>
      <c r="F6405" s="11"/>
      <c r="G6405" s="73"/>
      <c r="H6405" s="12"/>
      <c r="I6405" s="12"/>
      <c r="J6405" s="33"/>
      <c r="K6405" s="12"/>
      <c r="L6405" s="15"/>
    </row>
    <row r="6406" spans="1:12">
      <c r="A6406" s="72"/>
      <c r="B6406" s="12"/>
      <c r="C6406" s="12"/>
      <c r="D6406" s="12"/>
      <c r="E6406" s="11"/>
      <c r="F6406" s="11"/>
      <c r="G6406" s="73"/>
      <c r="H6406" s="12"/>
      <c r="I6406" s="12"/>
      <c r="J6406" s="33"/>
      <c r="K6406" s="12"/>
      <c r="L6406" s="15"/>
    </row>
    <row r="6407" spans="1:12">
      <c r="A6407" s="72"/>
      <c r="B6407" s="12"/>
      <c r="C6407" s="12"/>
      <c r="D6407" s="12"/>
      <c r="E6407" s="11"/>
      <c r="F6407" s="11"/>
      <c r="G6407" s="73"/>
      <c r="H6407" s="12"/>
      <c r="I6407" s="12"/>
      <c r="J6407" s="33"/>
      <c r="K6407" s="12"/>
      <c r="L6407" s="15"/>
    </row>
    <row r="6408" spans="1:12">
      <c r="A6408" s="72"/>
      <c r="B6408" s="12"/>
      <c r="C6408" s="12"/>
      <c r="D6408" s="12"/>
      <c r="E6408" s="11"/>
      <c r="F6408" s="11"/>
      <c r="G6408" s="73"/>
      <c r="H6408" s="12"/>
      <c r="I6408" s="12"/>
      <c r="J6408" s="33"/>
      <c r="K6408" s="12"/>
      <c r="L6408" s="15"/>
    </row>
    <row r="6409" spans="1:12">
      <c r="A6409" s="72"/>
      <c r="B6409" s="12"/>
      <c r="C6409" s="12"/>
      <c r="D6409" s="12"/>
      <c r="E6409" s="11"/>
      <c r="F6409" s="11"/>
      <c r="G6409" s="73"/>
      <c r="H6409" s="12"/>
      <c r="I6409" s="12"/>
      <c r="J6409" s="33"/>
      <c r="K6409" s="12"/>
      <c r="L6409" s="15"/>
    </row>
    <row r="6410" spans="1:12">
      <c r="A6410" s="72"/>
      <c r="B6410" s="12"/>
      <c r="C6410" s="12"/>
      <c r="D6410" s="12"/>
      <c r="E6410" s="11"/>
      <c r="F6410" s="11"/>
      <c r="G6410" s="73"/>
      <c r="H6410" s="12"/>
      <c r="I6410" s="12"/>
      <c r="J6410" s="33"/>
      <c r="K6410" s="12"/>
      <c r="L6410" s="15"/>
    </row>
    <row r="6411" spans="1:12">
      <c r="A6411" s="72"/>
      <c r="B6411" s="12"/>
      <c r="C6411" s="12"/>
      <c r="D6411" s="12"/>
      <c r="E6411" s="11"/>
      <c r="F6411" s="11"/>
      <c r="G6411" s="73"/>
      <c r="H6411" s="12"/>
      <c r="I6411" s="12"/>
      <c r="J6411" s="33"/>
      <c r="K6411" s="12"/>
      <c r="L6411" s="15"/>
    </row>
    <row r="6412" spans="1:12">
      <c r="A6412" s="72"/>
      <c r="B6412" s="12"/>
      <c r="C6412" s="12"/>
      <c r="D6412" s="12"/>
      <c r="E6412" s="11"/>
      <c r="F6412" s="11"/>
      <c r="G6412" s="73"/>
      <c r="H6412" s="12"/>
      <c r="I6412" s="12"/>
      <c r="J6412" s="33"/>
      <c r="K6412" s="12"/>
      <c r="L6412" s="15"/>
    </row>
    <row r="6413" spans="1:12">
      <c r="A6413" s="72"/>
      <c r="B6413" s="12"/>
      <c r="C6413" s="12"/>
      <c r="D6413" s="12"/>
      <c r="E6413" s="11"/>
      <c r="F6413" s="11"/>
      <c r="G6413" s="73"/>
      <c r="H6413" s="12"/>
      <c r="I6413" s="12"/>
      <c r="J6413" s="33"/>
      <c r="K6413" s="12"/>
      <c r="L6413" s="15"/>
    </row>
    <row r="6414" spans="1:12">
      <c r="A6414" s="72"/>
      <c r="B6414" s="12"/>
      <c r="C6414" s="12"/>
      <c r="D6414" s="12"/>
      <c r="E6414" s="11"/>
      <c r="F6414" s="11"/>
      <c r="G6414" s="73"/>
      <c r="H6414" s="12"/>
      <c r="I6414" s="12"/>
      <c r="J6414" s="33"/>
      <c r="K6414" s="12"/>
      <c r="L6414" s="15"/>
    </row>
    <row r="6415" spans="1:12">
      <c r="A6415" s="295"/>
      <c r="B6415" s="71"/>
      <c r="C6415" s="71"/>
      <c r="D6415" s="71"/>
      <c r="E6415" s="70"/>
      <c r="F6415" s="70"/>
      <c r="G6415" s="296"/>
      <c r="H6415" s="71"/>
      <c r="I6415" s="71"/>
      <c r="J6415" s="297"/>
      <c r="K6415" s="71"/>
      <c r="L6415" s="15"/>
    </row>
    <row r="6416" spans="1:12">
      <c r="A6416" s="295"/>
      <c r="B6416" s="71"/>
      <c r="C6416" s="71"/>
      <c r="D6416" s="71"/>
      <c r="E6416" s="70"/>
      <c r="F6416" s="70"/>
      <c r="G6416" s="296"/>
      <c r="H6416" s="71"/>
      <c r="I6416" s="71"/>
      <c r="J6416" s="297"/>
      <c r="K6416" s="71"/>
      <c r="L6416" s="15"/>
    </row>
    <row r="6417" spans="1:12">
      <c r="A6417" s="72"/>
      <c r="B6417" s="12"/>
      <c r="C6417" s="12"/>
      <c r="D6417" s="12"/>
      <c r="E6417" s="11"/>
      <c r="F6417" s="11"/>
      <c r="G6417" s="73"/>
      <c r="H6417" s="12"/>
      <c r="I6417" s="12"/>
      <c r="J6417" s="33"/>
      <c r="K6417" s="12"/>
      <c r="L6417" s="15"/>
    </row>
    <row r="6418" spans="1:12">
      <c r="A6418" s="72"/>
      <c r="B6418" s="12"/>
      <c r="C6418" s="12"/>
      <c r="D6418" s="12"/>
      <c r="E6418" s="11"/>
      <c r="F6418" s="11"/>
      <c r="G6418" s="73"/>
      <c r="H6418" s="12"/>
      <c r="I6418" s="12"/>
      <c r="J6418" s="33"/>
      <c r="K6418" s="12"/>
      <c r="L6418" s="15"/>
    </row>
    <row r="6419" spans="1:12">
      <c r="A6419" s="72"/>
      <c r="B6419" s="12"/>
      <c r="C6419" s="12"/>
      <c r="D6419" s="12"/>
      <c r="E6419" s="11"/>
      <c r="F6419" s="11"/>
      <c r="G6419" s="73"/>
      <c r="H6419" s="12"/>
      <c r="I6419" s="12"/>
      <c r="J6419" s="33"/>
      <c r="K6419" s="12"/>
      <c r="L6419" s="15"/>
    </row>
    <row r="6420" spans="1:12">
      <c r="A6420" s="72"/>
      <c r="B6420" s="12"/>
      <c r="C6420" s="12"/>
      <c r="D6420" s="12"/>
      <c r="E6420" s="11"/>
      <c r="F6420" s="11"/>
      <c r="G6420" s="73"/>
      <c r="H6420" s="12"/>
      <c r="I6420" s="12"/>
      <c r="J6420" s="33"/>
      <c r="K6420" s="12"/>
      <c r="L6420" s="15"/>
    </row>
    <row r="6421" spans="1:12">
      <c r="A6421" s="72"/>
      <c r="B6421" s="12"/>
      <c r="C6421" s="12"/>
      <c r="D6421" s="12"/>
      <c r="E6421" s="11"/>
      <c r="F6421" s="11"/>
      <c r="G6421" s="73"/>
      <c r="H6421" s="12"/>
      <c r="I6421" s="12"/>
      <c r="J6421" s="33"/>
      <c r="K6421" s="12"/>
      <c r="L6421" s="15"/>
    </row>
    <row r="6422" spans="1:12">
      <c r="A6422" s="72"/>
      <c r="B6422" s="12"/>
      <c r="C6422" s="12"/>
      <c r="D6422" s="12"/>
      <c r="E6422" s="11"/>
      <c r="F6422" s="11"/>
      <c r="G6422" s="73"/>
      <c r="H6422" s="12"/>
      <c r="I6422" s="12"/>
      <c r="J6422" s="33"/>
      <c r="K6422" s="12"/>
      <c r="L6422" s="15"/>
    </row>
    <row r="6423" spans="1:12">
      <c r="A6423" s="72"/>
      <c r="B6423" s="12"/>
      <c r="C6423" s="12"/>
      <c r="D6423" s="12"/>
      <c r="E6423" s="11"/>
      <c r="F6423" s="11"/>
      <c r="G6423" s="73"/>
      <c r="H6423" s="12"/>
      <c r="I6423" s="12"/>
      <c r="J6423" s="33"/>
      <c r="K6423" s="12"/>
      <c r="L6423" s="15"/>
    </row>
    <row r="6424" spans="1:12">
      <c r="A6424" s="72"/>
      <c r="B6424" s="12"/>
      <c r="C6424" s="12"/>
      <c r="D6424" s="12"/>
      <c r="E6424" s="11"/>
      <c r="F6424" s="11"/>
      <c r="G6424" s="73"/>
      <c r="H6424" s="12"/>
      <c r="I6424" s="12"/>
      <c r="J6424" s="33"/>
      <c r="K6424" s="12"/>
      <c r="L6424" s="15"/>
    </row>
    <row r="6425" spans="1:12">
      <c r="A6425" s="72"/>
      <c r="B6425" s="12"/>
      <c r="C6425" s="12"/>
      <c r="D6425" s="12"/>
      <c r="E6425" s="11"/>
      <c r="F6425" s="11"/>
      <c r="G6425" s="73"/>
      <c r="H6425" s="12"/>
      <c r="I6425" s="12"/>
      <c r="J6425" s="33"/>
      <c r="K6425" s="12"/>
      <c r="L6425" s="15"/>
    </row>
    <row r="6426" spans="1:12">
      <c r="A6426" s="72"/>
      <c r="B6426" s="12"/>
      <c r="C6426" s="12"/>
      <c r="D6426" s="12"/>
      <c r="E6426" s="11"/>
      <c r="F6426" s="11"/>
      <c r="G6426" s="73"/>
      <c r="H6426" s="12"/>
      <c r="I6426" s="12"/>
      <c r="J6426" s="33"/>
      <c r="K6426" s="12"/>
      <c r="L6426" s="15"/>
    </row>
    <row r="6427" spans="1:12">
      <c r="A6427" s="72"/>
      <c r="B6427" s="12"/>
      <c r="C6427" s="12"/>
      <c r="D6427" s="12"/>
      <c r="E6427" s="11"/>
      <c r="F6427" s="11"/>
      <c r="G6427" s="73"/>
      <c r="H6427" s="12"/>
      <c r="I6427" s="12"/>
      <c r="J6427" s="33"/>
      <c r="K6427" s="12"/>
      <c r="L6427" s="15"/>
    </row>
    <row r="6428" spans="1:12">
      <c r="A6428" s="72"/>
      <c r="B6428" s="12"/>
      <c r="C6428" s="12"/>
      <c r="D6428" s="12"/>
      <c r="E6428" s="11"/>
      <c r="F6428" s="11"/>
      <c r="G6428" s="73"/>
      <c r="H6428" s="12"/>
      <c r="I6428" s="12"/>
      <c r="J6428" s="33"/>
      <c r="K6428" s="12"/>
      <c r="L6428" s="15"/>
    </row>
    <row r="6429" spans="1:12">
      <c r="A6429" s="72"/>
      <c r="B6429" s="12"/>
      <c r="C6429" s="12"/>
      <c r="D6429" s="12"/>
      <c r="E6429" s="11"/>
      <c r="F6429" s="11"/>
      <c r="G6429" s="73"/>
      <c r="H6429" s="12"/>
      <c r="I6429" s="12"/>
      <c r="J6429" s="33"/>
      <c r="K6429" s="12"/>
      <c r="L6429" s="15"/>
    </row>
    <row r="6430" spans="1:12">
      <c r="A6430" s="72"/>
      <c r="B6430" s="12"/>
      <c r="C6430" s="12"/>
      <c r="D6430" s="12"/>
      <c r="E6430" s="11"/>
      <c r="F6430" s="11"/>
      <c r="G6430" s="73"/>
      <c r="H6430" s="12"/>
      <c r="I6430" s="12"/>
      <c r="J6430" s="33"/>
      <c r="K6430" s="12"/>
      <c r="L6430" s="15"/>
    </row>
    <row r="6431" spans="1:12">
      <c r="A6431" s="72"/>
      <c r="B6431" s="12"/>
      <c r="C6431" s="12"/>
      <c r="D6431" s="12"/>
      <c r="E6431" s="11"/>
      <c r="F6431" s="11"/>
      <c r="G6431" s="73"/>
      <c r="H6431" s="12"/>
      <c r="I6431" s="12"/>
      <c r="J6431" s="33"/>
      <c r="K6431" s="12"/>
      <c r="L6431" s="15"/>
    </row>
    <row r="6432" spans="1:12">
      <c r="A6432" s="72"/>
      <c r="B6432" s="12"/>
      <c r="C6432" s="12"/>
      <c r="D6432" s="12"/>
      <c r="E6432" s="11"/>
      <c r="F6432" s="11"/>
      <c r="G6432" s="73"/>
      <c r="H6432" s="12"/>
      <c r="I6432" s="12"/>
      <c r="J6432" s="33"/>
      <c r="K6432" s="12"/>
      <c r="L6432" s="15"/>
    </row>
    <row r="6433" spans="1:12">
      <c r="A6433" s="72"/>
      <c r="B6433" s="12"/>
      <c r="C6433" s="12"/>
      <c r="D6433" s="12"/>
      <c r="E6433" s="11"/>
      <c r="F6433" s="11"/>
      <c r="G6433" s="73"/>
      <c r="H6433" s="12"/>
      <c r="I6433" s="12"/>
      <c r="J6433" s="33"/>
      <c r="K6433" s="12"/>
      <c r="L6433" s="15"/>
    </row>
    <row r="6434" spans="1:12">
      <c r="A6434" s="72"/>
      <c r="B6434" s="12"/>
      <c r="C6434" s="12"/>
      <c r="D6434" s="12"/>
      <c r="E6434" s="11"/>
      <c r="F6434" s="11"/>
      <c r="G6434" s="73"/>
      <c r="H6434" s="12"/>
      <c r="I6434" s="12"/>
      <c r="J6434" s="33"/>
      <c r="K6434" s="12"/>
      <c r="L6434" s="15"/>
    </row>
    <row r="6435" spans="1:12">
      <c r="A6435" s="72"/>
      <c r="B6435" s="12"/>
      <c r="C6435" s="12"/>
      <c r="D6435" s="12"/>
      <c r="E6435" s="11"/>
      <c r="F6435" s="11"/>
      <c r="G6435" s="73"/>
      <c r="H6435" s="12"/>
      <c r="I6435" s="12"/>
      <c r="J6435" s="33"/>
      <c r="K6435" s="12"/>
      <c r="L6435" s="15"/>
    </row>
    <row r="6436" spans="1:12">
      <c r="A6436" s="72"/>
      <c r="B6436" s="12"/>
      <c r="C6436" s="12"/>
      <c r="D6436" s="12"/>
      <c r="E6436" s="11"/>
      <c r="F6436" s="11"/>
      <c r="G6436" s="73"/>
      <c r="H6436" s="12"/>
      <c r="I6436" s="12"/>
      <c r="J6436" s="33"/>
      <c r="K6436" s="12"/>
      <c r="L6436" s="15"/>
    </row>
    <row r="6437" spans="1:12">
      <c r="A6437" s="72"/>
      <c r="B6437" s="12"/>
      <c r="C6437" s="12"/>
      <c r="D6437" s="12"/>
      <c r="E6437" s="11"/>
      <c r="F6437" s="11"/>
      <c r="G6437" s="73"/>
      <c r="H6437" s="12"/>
      <c r="I6437" s="12"/>
      <c r="J6437" s="33"/>
      <c r="K6437" s="12"/>
      <c r="L6437" s="15"/>
    </row>
    <row r="6438" spans="1:12">
      <c r="A6438" s="72"/>
      <c r="B6438" s="12"/>
      <c r="C6438" s="12"/>
      <c r="D6438" s="12"/>
      <c r="E6438" s="11"/>
      <c r="F6438" s="11"/>
      <c r="G6438" s="73"/>
      <c r="H6438" s="12"/>
      <c r="I6438" s="12"/>
      <c r="J6438" s="33"/>
      <c r="K6438" s="12"/>
      <c r="L6438" s="15"/>
    </row>
    <row r="6439" spans="1:12">
      <c r="A6439" s="72"/>
      <c r="B6439" s="12"/>
      <c r="C6439" s="12"/>
      <c r="D6439" s="12"/>
      <c r="E6439" s="11"/>
      <c r="F6439" s="11"/>
      <c r="G6439" s="73"/>
      <c r="H6439" s="12"/>
      <c r="I6439" s="12"/>
      <c r="J6439" s="33"/>
      <c r="K6439" s="12"/>
      <c r="L6439" s="15"/>
    </row>
    <row r="6440" spans="1:12">
      <c r="A6440" s="72"/>
      <c r="B6440" s="12"/>
      <c r="C6440" s="12"/>
      <c r="D6440" s="12"/>
      <c r="E6440" s="11"/>
      <c r="F6440" s="11"/>
      <c r="G6440" s="73"/>
      <c r="H6440" s="12"/>
      <c r="I6440" s="12"/>
      <c r="J6440" s="33"/>
      <c r="K6440" s="12"/>
      <c r="L6440" s="15"/>
    </row>
    <row r="6441" spans="1:12">
      <c r="A6441" s="72"/>
      <c r="B6441" s="12"/>
      <c r="C6441" s="12"/>
      <c r="D6441" s="12"/>
      <c r="E6441" s="11"/>
      <c r="F6441" s="11"/>
      <c r="G6441" s="73"/>
      <c r="H6441" s="12"/>
      <c r="I6441" s="12"/>
      <c r="J6441" s="33"/>
      <c r="K6441" s="12"/>
      <c r="L6441" s="15"/>
    </row>
    <row r="6442" spans="1:12">
      <c r="A6442" s="72"/>
      <c r="B6442" s="12"/>
      <c r="C6442" s="12"/>
      <c r="D6442" s="12"/>
      <c r="E6442" s="11"/>
      <c r="F6442" s="11"/>
      <c r="G6442" s="73"/>
      <c r="H6442" s="12"/>
      <c r="I6442" s="12"/>
      <c r="J6442" s="33"/>
      <c r="K6442" s="12"/>
      <c r="L6442" s="15"/>
    </row>
    <row r="6443" spans="1:12">
      <c r="A6443" s="72"/>
      <c r="B6443" s="12"/>
      <c r="C6443" s="12"/>
      <c r="D6443" s="100"/>
      <c r="E6443" s="11"/>
      <c r="F6443" s="11"/>
      <c r="G6443" s="73"/>
      <c r="H6443" s="12"/>
      <c r="I6443" s="12"/>
      <c r="J6443" s="33"/>
      <c r="K6443" s="12"/>
      <c r="L6443" s="15"/>
    </row>
    <row r="6444" spans="1:12">
      <c r="A6444" s="72"/>
      <c r="B6444" s="12"/>
      <c r="C6444" s="12"/>
      <c r="D6444" s="100"/>
      <c r="E6444" s="11"/>
      <c r="F6444" s="11"/>
      <c r="G6444" s="73"/>
      <c r="H6444" s="12"/>
      <c r="I6444" s="12"/>
      <c r="J6444" s="33"/>
      <c r="K6444" s="12"/>
      <c r="L6444" s="15"/>
    </row>
    <row r="6445" spans="1:12">
      <c r="A6445" s="72"/>
      <c r="B6445" s="12"/>
      <c r="C6445" s="12"/>
      <c r="D6445" s="12"/>
      <c r="E6445" s="11"/>
      <c r="F6445" s="11"/>
      <c r="G6445" s="73"/>
      <c r="H6445" s="12"/>
      <c r="I6445" s="12"/>
      <c r="J6445" s="33"/>
      <c r="K6445" s="12"/>
      <c r="L6445" s="15"/>
    </row>
    <row r="6446" spans="1:12">
      <c r="A6446" s="72"/>
      <c r="B6446" s="12"/>
      <c r="C6446" s="12"/>
      <c r="D6446" s="12"/>
      <c r="E6446" s="11"/>
      <c r="F6446" s="11"/>
      <c r="G6446" s="73"/>
      <c r="H6446" s="12"/>
      <c r="I6446" s="12"/>
      <c r="J6446" s="33"/>
      <c r="K6446" s="12"/>
      <c r="L6446" s="15"/>
    </row>
    <row r="6447" spans="1:12">
      <c r="A6447" s="72"/>
      <c r="B6447" s="12"/>
      <c r="C6447" s="12"/>
      <c r="D6447" s="12"/>
      <c r="E6447" s="11"/>
      <c r="F6447" s="11"/>
      <c r="G6447" s="73"/>
      <c r="H6447" s="12"/>
      <c r="I6447" s="12"/>
      <c r="J6447" s="33"/>
      <c r="K6447" s="12"/>
      <c r="L6447" s="15"/>
    </row>
    <row r="6448" spans="1:12">
      <c r="A6448" s="72"/>
      <c r="B6448" s="12"/>
      <c r="C6448" s="12"/>
      <c r="D6448" s="12"/>
      <c r="E6448" s="11"/>
      <c r="F6448" s="11"/>
      <c r="G6448" s="73"/>
      <c r="H6448" s="12"/>
      <c r="I6448" s="12"/>
      <c r="J6448" s="33"/>
      <c r="K6448" s="12"/>
      <c r="L6448" s="15"/>
    </row>
    <row r="6449" spans="1:12">
      <c r="A6449" s="72"/>
      <c r="B6449" s="12"/>
      <c r="C6449" s="12"/>
      <c r="D6449" s="12"/>
      <c r="E6449" s="11"/>
      <c r="F6449" s="11"/>
      <c r="G6449" s="73"/>
      <c r="H6449" s="12"/>
      <c r="I6449" s="12"/>
      <c r="J6449" s="33"/>
      <c r="K6449" s="12"/>
      <c r="L6449" s="15"/>
    </row>
    <row r="6450" spans="1:12">
      <c r="A6450" s="72"/>
      <c r="B6450" s="12"/>
      <c r="C6450" s="12"/>
      <c r="D6450" s="12"/>
      <c r="E6450" s="11"/>
      <c r="F6450" s="11"/>
      <c r="G6450" s="73"/>
      <c r="H6450" s="12"/>
      <c r="I6450" s="12"/>
      <c r="J6450" s="33"/>
      <c r="K6450" s="12"/>
      <c r="L6450" s="15"/>
    </row>
    <row r="6451" spans="1:12">
      <c r="A6451" s="72"/>
      <c r="B6451" s="12"/>
      <c r="C6451" s="12"/>
      <c r="D6451" s="12"/>
      <c r="E6451" s="11"/>
      <c r="F6451" s="11"/>
      <c r="G6451" s="73"/>
      <c r="H6451" s="12"/>
      <c r="I6451" s="12"/>
      <c r="J6451" s="33"/>
      <c r="K6451" s="12"/>
      <c r="L6451" s="15"/>
    </row>
    <row r="6452" spans="1:12">
      <c r="A6452" s="72"/>
      <c r="B6452" s="12"/>
      <c r="C6452" s="12"/>
      <c r="D6452" s="12"/>
      <c r="E6452" s="11"/>
      <c r="F6452" s="11"/>
      <c r="G6452" s="73"/>
      <c r="H6452" s="12"/>
      <c r="I6452" s="12"/>
      <c r="J6452" s="33"/>
      <c r="K6452" s="12"/>
      <c r="L6452" s="15"/>
    </row>
    <row r="6453" spans="1:12">
      <c r="A6453" s="72"/>
      <c r="B6453" s="12"/>
      <c r="C6453" s="12"/>
      <c r="D6453" s="12"/>
      <c r="E6453" s="11"/>
      <c r="F6453" s="11"/>
      <c r="G6453" s="73"/>
      <c r="H6453" s="12"/>
      <c r="I6453" s="12"/>
      <c r="J6453" s="33"/>
      <c r="K6453" s="12"/>
      <c r="L6453" s="15"/>
    </row>
    <row r="6454" spans="1:12">
      <c r="A6454" s="72"/>
      <c r="B6454" s="12"/>
      <c r="C6454" s="12"/>
      <c r="D6454" s="12"/>
      <c r="E6454" s="11"/>
      <c r="F6454" s="11"/>
      <c r="G6454" s="73"/>
      <c r="H6454" s="12"/>
      <c r="I6454" s="12"/>
      <c r="J6454" s="33"/>
      <c r="K6454" s="12"/>
      <c r="L6454" s="15"/>
    </row>
    <row r="6455" spans="1:12">
      <c r="A6455" s="72"/>
      <c r="B6455" s="12"/>
      <c r="C6455" s="12"/>
      <c r="D6455" s="12"/>
      <c r="E6455" s="11"/>
      <c r="F6455" s="11"/>
      <c r="G6455" s="73"/>
      <c r="H6455" s="12"/>
      <c r="I6455" s="12"/>
      <c r="J6455" s="33"/>
      <c r="K6455" s="12"/>
      <c r="L6455" s="15"/>
    </row>
    <row r="6456" spans="1:12">
      <c r="A6456" s="72"/>
      <c r="B6456" s="12"/>
      <c r="C6456" s="12"/>
      <c r="D6456" s="12"/>
      <c r="E6456" s="11"/>
      <c r="F6456" s="11"/>
      <c r="G6456" s="73"/>
      <c r="H6456" s="12"/>
      <c r="I6456" s="12"/>
      <c r="J6456" s="33"/>
      <c r="K6456" s="12"/>
      <c r="L6456" s="15"/>
    </row>
    <row r="6457" spans="1:12">
      <c r="A6457" s="72"/>
      <c r="B6457" s="12"/>
      <c r="C6457" s="12"/>
      <c r="D6457" s="12"/>
      <c r="E6457" s="11"/>
      <c r="F6457" s="11"/>
      <c r="G6457" s="73"/>
      <c r="H6457" s="12"/>
      <c r="I6457" s="12"/>
      <c r="J6457" s="33"/>
      <c r="K6457" s="12"/>
      <c r="L6457" s="15"/>
    </row>
    <row r="6458" spans="1:12">
      <c r="A6458" s="72"/>
      <c r="B6458" s="12"/>
      <c r="C6458" s="12"/>
      <c r="D6458" s="12"/>
      <c r="E6458" s="11"/>
      <c r="F6458" s="11"/>
      <c r="G6458" s="73"/>
      <c r="H6458" s="12"/>
      <c r="I6458" s="12"/>
      <c r="J6458" s="33"/>
      <c r="K6458" s="12"/>
      <c r="L6458" s="15"/>
    </row>
    <row r="6459" spans="1:12">
      <c r="A6459" s="72"/>
      <c r="B6459" s="12"/>
      <c r="C6459" s="12"/>
      <c r="D6459" s="12"/>
      <c r="E6459" s="11"/>
      <c r="F6459" s="11"/>
      <c r="G6459" s="73"/>
      <c r="H6459" s="12"/>
      <c r="I6459" s="12"/>
      <c r="J6459" s="33"/>
      <c r="K6459" s="12"/>
      <c r="L6459" s="15"/>
    </row>
    <row r="6460" spans="1:12">
      <c r="A6460" s="72"/>
      <c r="B6460" s="12"/>
      <c r="C6460" s="12"/>
      <c r="D6460" s="12"/>
      <c r="E6460" s="11"/>
      <c r="F6460" s="11"/>
      <c r="G6460" s="73"/>
      <c r="H6460" s="12"/>
      <c r="I6460" s="12"/>
      <c r="J6460" s="33"/>
      <c r="K6460" s="12"/>
      <c r="L6460" s="15"/>
    </row>
    <row r="6461" spans="1:12">
      <c r="A6461" s="72"/>
      <c r="B6461" s="12"/>
      <c r="C6461" s="12"/>
      <c r="D6461" s="12"/>
      <c r="E6461" s="11"/>
      <c r="F6461" s="11"/>
      <c r="G6461" s="73"/>
      <c r="H6461" s="12"/>
      <c r="I6461" s="12"/>
      <c r="J6461" s="33"/>
      <c r="K6461" s="12"/>
      <c r="L6461" s="15"/>
    </row>
    <row r="6462" spans="1:12">
      <c r="A6462" s="72"/>
      <c r="B6462" s="12"/>
      <c r="C6462" s="12"/>
      <c r="D6462" s="12"/>
      <c r="E6462" s="11"/>
      <c r="F6462" s="11"/>
      <c r="G6462" s="73"/>
      <c r="H6462" s="12"/>
      <c r="I6462" s="12"/>
      <c r="J6462" s="33"/>
      <c r="K6462" s="12"/>
      <c r="L6462" s="15"/>
    </row>
    <row r="6463" spans="1:12">
      <c r="A6463" s="72"/>
      <c r="B6463" s="12"/>
      <c r="C6463" s="12"/>
      <c r="D6463" s="12"/>
      <c r="E6463" s="11"/>
      <c r="F6463" s="11"/>
      <c r="G6463" s="73"/>
      <c r="H6463" s="12"/>
      <c r="I6463" s="12"/>
      <c r="J6463" s="33"/>
      <c r="K6463" s="12"/>
      <c r="L6463" s="15"/>
    </row>
    <row r="6464" spans="1:12">
      <c r="A6464" s="72"/>
      <c r="B6464" s="12"/>
      <c r="C6464" s="12"/>
      <c r="D6464" s="12"/>
      <c r="E6464" s="11"/>
      <c r="F6464" s="11"/>
      <c r="G6464" s="73"/>
      <c r="H6464" s="12"/>
      <c r="I6464" s="12"/>
      <c r="J6464" s="33"/>
      <c r="K6464" s="12"/>
      <c r="L6464" s="15"/>
    </row>
    <row r="6465" spans="1:12">
      <c r="A6465" s="72"/>
      <c r="B6465" s="12"/>
      <c r="C6465" s="12"/>
      <c r="D6465" s="12"/>
      <c r="E6465" s="11"/>
      <c r="F6465" s="11"/>
      <c r="G6465" s="73"/>
      <c r="H6465" s="12"/>
      <c r="I6465" s="12"/>
      <c r="J6465" s="33"/>
      <c r="K6465" s="12"/>
      <c r="L6465" s="15"/>
    </row>
    <row r="6466" spans="1:12">
      <c r="A6466" s="72"/>
      <c r="B6466" s="12"/>
      <c r="C6466" s="12"/>
      <c r="D6466" s="12"/>
      <c r="E6466" s="11"/>
      <c r="F6466" s="11"/>
      <c r="G6466" s="73"/>
      <c r="H6466" s="12"/>
      <c r="I6466" s="12"/>
      <c r="J6466" s="33"/>
      <c r="K6466" s="12"/>
      <c r="L6466" s="15"/>
    </row>
    <row r="6467" spans="1:12">
      <c r="A6467" s="72"/>
      <c r="B6467" s="12"/>
      <c r="C6467" s="12"/>
      <c r="D6467" s="12"/>
      <c r="E6467" s="11"/>
      <c r="F6467" s="11"/>
      <c r="G6467" s="73"/>
      <c r="H6467" s="12"/>
      <c r="I6467" s="12"/>
      <c r="J6467" s="33"/>
      <c r="K6467" s="12"/>
      <c r="L6467" s="15"/>
    </row>
    <row r="6468" spans="1:12">
      <c r="A6468" s="72"/>
      <c r="B6468" s="12"/>
      <c r="C6468" s="12"/>
      <c r="D6468" s="12"/>
      <c r="E6468" s="11"/>
      <c r="F6468" s="11"/>
      <c r="G6468" s="73"/>
      <c r="H6468" s="12"/>
      <c r="I6468" s="12"/>
      <c r="J6468" s="33"/>
      <c r="K6468" s="12"/>
      <c r="L6468" s="15"/>
    </row>
    <row r="6469" spans="1:12">
      <c r="A6469" s="72"/>
      <c r="B6469" s="12"/>
      <c r="C6469" s="12"/>
      <c r="D6469" s="12"/>
      <c r="E6469" s="11"/>
      <c r="F6469" s="11"/>
      <c r="G6469" s="73"/>
      <c r="H6469" s="12"/>
      <c r="I6469" s="12"/>
      <c r="J6469" s="33"/>
      <c r="K6469" s="12"/>
      <c r="L6469" s="15"/>
    </row>
    <row r="6470" spans="1:12">
      <c r="A6470" s="72"/>
      <c r="B6470" s="12"/>
      <c r="C6470" s="12"/>
      <c r="D6470" s="12"/>
      <c r="E6470" s="11"/>
      <c r="F6470" s="11"/>
      <c r="G6470" s="73"/>
      <c r="H6470" s="12"/>
      <c r="I6470" s="12"/>
      <c r="J6470" s="33"/>
      <c r="K6470" s="12"/>
      <c r="L6470" s="15"/>
    </row>
    <row r="6471" spans="1:12">
      <c r="A6471" s="72"/>
      <c r="B6471" s="12"/>
      <c r="C6471" s="12"/>
      <c r="D6471" s="12"/>
      <c r="E6471" s="11"/>
      <c r="F6471" s="11"/>
      <c r="G6471" s="73"/>
      <c r="H6471" s="12"/>
      <c r="I6471" s="12"/>
      <c r="J6471" s="33"/>
      <c r="K6471" s="12"/>
      <c r="L6471" s="15"/>
    </row>
    <row r="6472" spans="1:12">
      <c r="A6472" s="72"/>
      <c r="B6472" s="12"/>
      <c r="C6472" s="12"/>
      <c r="D6472" s="12"/>
      <c r="E6472" s="11"/>
      <c r="F6472" s="11"/>
      <c r="G6472" s="73"/>
      <c r="H6472" s="12"/>
      <c r="I6472" s="12"/>
      <c r="J6472" s="33"/>
      <c r="K6472" s="12"/>
      <c r="L6472" s="15"/>
    </row>
    <row r="6473" spans="1:12">
      <c r="A6473" s="72"/>
      <c r="B6473" s="12"/>
      <c r="C6473" s="12"/>
      <c r="D6473" s="12"/>
      <c r="E6473" s="11"/>
      <c r="F6473" s="11"/>
      <c r="G6473" s="73"/>
      <c r="H6473" s="12"/>
      <c r="I6473" s="12"/>
      <c r="J6473" s="33"/>
      <c r="K6473" s="12"/>
      <c r="L6473" s="15"/>
    </row>
    <row r="6474" spans="1:12">
      <c r="A6474" s="72"/>
      <c r="B6474" s="12"/>
      <c r="C6474" s="12"/>
      <c r="D6474" s="12"/>
      <c r="E6474" s="11"/>
      <c r="F6474" s="11"/>
      <c r="G6474" s="73"/>
      <c r="H6474" s="12"/>
      <c r="I6474" s="12"/>
      <c r="J6474" s="33"/>
      <c r="K6474" s="12"/>
      <c r="L6474" s="15"/>
    </row>
    <row r="6475" spans="1:12">
      <c r="A6475" s="72"/>
      <c r="B6475" s="12"/>
      <c r="C6475" s="12"/>
      <c r="D6475" s="12"/>
      <c r="E6475" s="11"/>
      <c r="F6475" s="11"/>
      <c r="G6475" s="73"/>
      <c r="H6475" s="12"/>
      <c r="I6475" s="12"/>
      <c r="J6475" s="33"/>
      <c r="K6475" s="12"/>
      <c r="L6475" s="15"/>
    </row>
    <row r="6476" spans="1:12">
      <c r="A6476" s="72"/>
      <c r="B6476" s="12"/>
      <c r="C6476" s="12"/>
      <c r="D6476" s="12"/>
      <c r="E6476" s="11"/>
      <c r="F6476" s="11"/>
      <c r="G6476" s="73"/>
      <c r="H6476" s="12"/>
      <c r="I6476" s="12"/>
      <c r="J6476" s="33"/>
      <c r="K6476" s="12"/>
      <c r="L6476" s="15"/>
    </row>
    <row r="6477" spans="1:12">
      <c r="A6477" s="72"/>
      <c r="B6477" s="12"/>
      <c r="C6477" s="12"/>
      <c r="D6477" s="12"/>
      <c r="E6477" s="11"/>
      <c r="F6477" s="11"/>
      <c r="G6477" s="73"/>
      <c r="H6477" s="12"/>
      <c r="I6477" s="12"/>
      <c r="J6477" s="33"/>
      <c r="K6477" s="12"/>
      <c r="L6477" s="15"/>
    </row>
    <row r="6478" spans="1:12">
      <c r="A6478" s="72"/>
      <c r="B6478" s="12"/>
      <c r="C6478" s="12"/>
      <c r="D6478" s="12"/>
      <c r="E6478" s="11"/>
      <c r="F6478" s="11"/>
      <c r="G6478" s="73"/>
      <c r="H6478" s="12"/>
      <c r="I6478" s="12"/>
      <c r="J6478" s="33"/>
      <c r="K6478" s="12"/>
      <c r="L6478" s="15"/>
    </row>
    <row r="6479" spans="1:12">
      <c r="A6479" s="72"/>
      <c r="B6479" s="12"/>
      <c r="C6479" s="12"/>
      <c r="D6479" s="12"/>
      <c r="E6479" s="11"/>
      <c r="F6479" s="11"/>
      <c r="G6479" s="73"/>
      <c r="H6479" s="129"/>
      <c r="I6479" s="12"/>
      <c r="J6479" s="33"/>
      <c r="K6479" s="12"/>
      <c r="L6479" s="15"/>
    </row>
    <row r="6480" spans="1:12">
      <c r="A6480" s="72"/>
      <c r="B6480" s="12"/>
      <c r="C6480" s="12"/>
      <c r="D6480" s="12"/>
      <c r="E6480" s="11"/>
      <c r="F6480" s="11"/>
      <c r="G6480" s="73"/>
      <c r="H6480" s="129"/>
      <c r="I6480" s="12"/>
      <c r="J6480" s="33"/>
      <c r="K6480" s="12"/>
      <c r="L6480" s="15"/>
    </row>
    <row r="6481" spans="1:12">
      <c r="A6481" s="72"/>
      <c r="B6481" s="12"/>
      <c r="C6481" s="12"/>
      <c r="D6481" s="12"/>
      <c r="E6481" s="11"/>
      <c r="F6481" s="11"/>
      <c r="G6481" s="73"/>
      <c r="H6481" s="12"/>
      <c r="I6481" s="12"/>
      <c r="J6481" s="33"/>
      <c r="K6481" s="12"/>
      <c r="L6481" s="15"/>
    </row>
    <row r="6482" spans="1:12">
      <c r="A6482" s="72"/>
      <c r="B6482" s="12"/>
      <c r="C6482" s="12"/>
      <c r="D6482" s="12"/>
      <c r="E6482" s="11"/>
      <c r="F6482" s="11"/>
      <c r="G6482" s="73"/>
      <c r="H6482" s="12"/>
      <c r="I6482" s="12"/>
      <c r="J6482" s="33"/>
      <c r="K6482" s="12"/>
      <c r="L6482" s="15"/>
    </row>
    <row r="6483" spans="1:12">
      <c r="A6483" s="72"/>
      <c r="B6483" s="12"/>
      <c r="C6483" s="12"/>
      <c r="D6483" s="12"/>
      <c r="E6483" s="11"/>
      <c r="F6483" s="11"/>
      <c r="G6483" s="73"/>
      <c r="H6483" s="12"/>
      <c r="I6483" s="12"/>
      <c r="J6483" s="33"/>
      <c r="K6483" s="12"/>
      <c r="L6483" s="15"/>
    </row>
    <row r="6484" spans="1:12">
      <c r="A6484" s="72"/>
      <c r="B6484" s="12"/>
      <c r="C6484" s="12"/>
      <c r="D6484" s="12"/>
      <c r="E6484" s="11"/>
      <c r="F6484" s="11"/>
      <c r="G6484" s="73"/>
      <c r="H6484" s="12"/>
      <c r="I6484" s="12"/>
      <c r="J6484" s="33"/>
      <c r="K6484" s="12"/>
      <c r="L6484" s="15"/>
    </row>
    <row r="6485" spans="1:12">
      <c r="A6485" s="72"/>
      <c r="B6485" s="12"/>
      <c r="C6485" s="12"/>
      <c r="D6485" s="12"/>
      <c r="E6485" s="11"/>
      <c r="F6485" s="11"/>
      <c r="G6485" s="73"/>
      <c r="H6485" s="12"/>
      <c r="I6485" s="12"/>
      <c r="J6485" s="33"/>
      <c r="K6485" s="12"/>
      <c r="L6485" s="15"/>
    </row>
    <row r="6486" spans="1:12">
      <c r="A6486" s="72"/>
      <c r="B6486" s="12"/>
      <c r="C6486" s="12"/>
      <c r="D6486" s="12"/>
      <c r="E6486" s="11"/>
      <c r="F6486" s="11"/>
      <c r="G6486" s="73"/>
      <c r="H6486" s="12"/>
      <c r="I6486" s="12"/>
      <c r="J6486" s="33"/>
      <c r="K6486" s="12"/>
      <c r="L6486" s="15"/>
    </row>
    <row r="6487" spans="1:12">
      <c r="A6487" s="72"/>
      <c r="B6487" s="12"/>
      <c r="C6487" s="12"/>
      <c r="D6487" s="12"/>
      <c r="E6487" s="11"/>
      <c r="F6487" s="11"/>
      <c r="G6487" s="73"/>
      <c r="H6487" s="12"/>
      <c r="I6487" s="12"/>
      <c r="J6487" s="33"/>
      <c r="K6487" s="12"/>
      <c r="L6487" s="15"/>
    </row>
    <row r="6488" spans="1:12">
      <c r="A6488" s="72"/>
      <c r="B6488" s="12"/>
      <c r="C6488" s="12"/>
      <c r="D6488" s="12"/>
      <c r="E6488" s="11"/>
      <c r="F6488" s="11"/>
      <c r="G6488" s="73"/>
      <c r="H6488" s="12"/>
      <c r="I6488" s="12"/>
      <c r="J6488" s="33"/>
      <c r="K6488" s="12"/>
      <c r="L6488" s="15"/>
    </row>
    <row r="6489" spans="1:12">
      <c r="A6489" s="72"/>
      <c r="B6489" s="12"/>
      <c r="C6489" s="12"/>
      <c r="D6489" s="12"/>
      <c r="E6489" s="11"/>
      <c r="F6489" s="11"/>
      <c r="G6489" s="73"/>
      <c r="H6489" s="12"/>
      <c r="I6489" s="12"/>
      <c r="J6489" s="33"/>
      <c r="K6489" s="12"/>
      <c r="L6489" s="15"/>
    </row>
    <row r="6490" spans="1:12">
      <c r="A6490" s="72"/>
      <c r="B6490" s="12"/>
      <c r="C6490" s="12"/>
      <c r="D6490" s="12"/>
      <c r="E6490" s="11"/>
      <c r="F6490" s="11"/>
      <c r="G6490" s="73"/>
      <c r="H6490" s="12"/>
      <c r="I6490" s="12"/>
      <c r="J6490" s="33"/>
      <c r="K6490" s="12"/>
      <c r="L6490" s="15"/>
    </row>
    <row r="6491" spans="1:12">
      <c r="A6491" s="72"/>
      <c r="B6491" s="12"/>
      <c r="C6491" s="12"/>
      <c r="D6491" s="12"/>
      <c r="E6491" s="11"/>
      <c r="F6491" s="11"/>
      <c r="G6491" s="73"/>
      <c r="H6491" s="12"/>
      <c r="I6491" s="12"/>
      <c r="J6491" s="33"/>
      <c r="K6491" s="12"/>
      <c r="L6491" s="15"/>
    </row>
    <row r="6492" spans="1:12">
      <c r="A6492" s="72"/>
      <c r="B6492" s="12"/>
      <c r="C6492" s="12"/>
      <c r="D6492" s="12"/>
      <c r="E6492" s="11"/>
      <c r="F6492" s="11"/>
      <c r="G6492" s="73"/>
      <c r="H6492" s="12"/>
      <c r="I6492" s="12"/>
      <c r="J6492" s="33"/>
      <c r="K6492" s="12"/>
      <c r="L6492" s="15"/>
    </row>
    <row r="6493" spans="1:12">
      <c r="A6493" s="72"/>
      <c r="B6493" s="12"/>
      <c r="C6493" s="12"/>
      <c r="D6493" s="12"/>
      <c r="E6493" s="11"/>
      <c r="F6493" s="11"/>
      <c r="G6493" s="73"/>
      <c r="H6493" s="12"/>
      <c r="I6493" s="12"/>
      <c r="J6493" s="33"/>
      <c r="K6493" s="12"/>
      <c r="L6493" s="15"/>
    </row>
    <row r="6494" spans="1:12">
      <c r="A6494" s="72"/>
      <c r="B6494" s="12"/>
      <c r="C6494" s="12"/>
      <c r="D6494" s="12"/>
      <c r="E6494" s="11"/>
      <c r="F6494" s="11"/>
      <c r="G6494" s="73"/>
      <c r="H6494" s="12"/>
      <c r="I6494" s="12"/>
      <c r="J6494" s="33"/>
      <c r="K6494" s="12"/>
      <c r="L6494" s="15"/>
    </row>
    <row r="6495" spans="1:12">
      <c r="A6495" s="72"/>
      <c r="B6495" s="12"/>
      <c r="C6495" s="12"/>
      <c r="D6495" s="12"/>
      <c r="E6495" s="11"/>
      <c r="F6495" s="11"/>
      <c r="G6495" s="73"/>
      <c r="H6495" s="12"/>
      <c r="I6495" s="12"/>
      <c r="J6495" s="33"/>
      <c r="K6495" s="12"/>
      <c r="L6495" s="15"/>
    </row>
    <row r="6496" spans="1:12">
      <c r="A6496" s="72"/>
      <c r="B6496" s="12"/>
      <c r="C6496" s="12"/>
      <c r="D6496" s="12"/>
      <c r="E6496" s="11"/>
      <c r="F6496" s="11"/>
      <c r="G6496" s="73"/>
      <c r="H6496" s="12"/>
      <c r="I6496" s="12"/>
      <c r="J6496" s="33"/>
      <c r="K6496" s="12"/>
      <c r="L6496" s="15"/>
    </row>
    <row r="6497" spans="1:12">
      <c r="A6497" s="72"/>
      <c r="B6497" s="12"/>
      <c r="C6497" s="12"/>
      <c r="D6497" s="12"/>
      <c r="E6497" s="11"/>
      <c r="F6497" s="11"/>
      <c r="G6497" s="73"/>
      <c r="H6497" s="12"/>
      <c r="I6497" s="12"/>
      <c r="J6497" s="33"/>
      <c r="K6497" s="12"/>
      <c r="L6497" s="15"/>
    </row>
    <row r="6498" spans="1:12">
      <c r="A6498" s="72"/>
      <c r="B6498" s="12"/>
      <c r="C6498" s="12"/>
      <c r="D6498" s="12"/>
      <c r="E6498" s="11"/>
      <c r="F6498" s="11"/>
      <c r="G6498" s="73"/>
      <c r="H6498" s="12"/>
      <c r="I6498" s="12"/>
      <c r="J6498" s="33"/>
      <c r="K6498" s="12"/>
      <c r="L6498" s="15"/>
    </row>
    <row r="6499" spans="1:12">
      <c r="A6499" s="72"/>
      <c r="B6499" s="12"/>
      <c r="C6499" s="12"/>
      <c r="D6499" s="12"/>
      <c r="E6499" s="11"/>
      <c r="F6499" s="11"/>
      <c r="G6499" s="73"/>
      <c r="H6499" s="12"/>
      <c r="I6499" s="12"/>
      <c r="J6499" s="33"/>
      <c r="K6499" s="12"/>
      <c r="L6499" s="15"/>
    </row>
    <row r="6500" spans="1:12">
      <c r="A6500" s="72"/>
      <c r="B6500" s="12"/>
      <c r="C6500" s="12"/>
      <c r="D6500" s="12"/>
      <c r="E6500" s="11"/>
      <c r="F6500" s="11"/>
      <c r="G6500" s="73"/>
      <c r="H6500" s="12"/>
      <c r="I6500" s="12"/>
      <c r="J6500" s="33"/>
      <c r="K6500" s="12"/>
      <c r="L6500" s="15"/>
    </row>
    <row r="6501" spans="1:12">
      <c r="A6501" s="72"/>
      <c r="B6501" s="12"/>
      <c r="C6501" s="12"/>
      <c r="D6501" s="12"/>
      <c r="E6501" s="11"/>
      <c r="F6501" s="11"/>
      <c r="G6501" s="73"/>
      <c r="H6501" s="12"/>
      <c r="I6501" s="12"/>
      <c r="J6501" s="33"/>
      <c r="K6501" s="12"/>
      <c r="L6501" s="15"/>
    </row>
    <row r="6502" spans="1:12">
      <c r="A6502" s="72"/>
      <c r="B6502" s="12"/>
      <c r="C6502" s="12"/>
      <c r="D6502" s="12"/>
      <c r="E6502" s="11"/>
      <c r="F6502" s="11"/>
      <c r="G6502" s="73"/>
      <c r="H6502" s="12"/>
      <c r="I6502" s="12"/>
      <c r="J6502" s="33"/>
      <c r="K6502" s="12"/>
      <c r="L6502" s="15"/>
    </row>
    <row r="6503" spans="1:12">
      <c r="A6503" s="72"/>
      <c r="B6503" s="12"/>
      <c r="C6503" s="12"/>
      <c r="D6503" s="12"/>
      <c r="E6503" s="11"/>
      <c r="F6503" s="11"/>
      <c r="G6503" s="73"/>
      <c r="H6503" s="12"/>
      <c r="I6503" s="12"/>
      <c r="J6503" s="33"/>
      <c r="K6503" s="12"/>
      <c r="L6503" s="15"/>
    </row>
    <row r="6504" spans="1:12">
      <c r="A6504" s="72"/>
      <c r="B6504" s="12"/>
      <c r="C6504" s="12"/>
      <c r="D6504" s="12"/>
      <c r="E6504" s="11"/>
      <c r="F6504" s="11"/>
      <c r="G6504" s="73"/>
      <c r="H6504" s="12"/>
      <c r="I6504" s="12"/>
      <c r="J6504" s="33"/>
      <c r="K6504" s="12"/>
      <c r="L6504" s="15"/>
    </row>
    <row r="6505" spans="1:12">
      <c r="A6505" s="72"/>
      <c r="B6505" s="12"/>
      <c r="C6505" s="12"/>
      <c r="D6505" s="12"/>
      <c r="E6505" s="11"/>
      <c r="F6505" s="11"/>
      <c r="G6505" s="73"/>
      <c r="H6505" s="12"/>
      <c r="I6505" s="12"/>
      <c r="J6505" s="33"/>
      <c r="K6505" s="12"/>
      <c r="L6505" s="15"/>
    </row>
    <row r="6506" spans="1:12">
      <c r="A6506" s="72"/>
      <c r="B6506" s="12"/>
      <c r="C6506" s="12"/>
      <c r="D6506" s="12"/>
      <c r="E6506" s="11"/>
      <c r="F6506" s="11"/>
      <c r="G6506" s="73"/>
      <c r="H6506" s="12"/>
      <c r="I6506" s="12"/>
      <c r="J6506" s="33"/>
      <c r="K6506" s="12"/>
      <c r="L6506" s="15"/>
    </row>
    <row r="6507" spans="1:12">
      <c r="A6507" s="72"/>
      <c r="B6507" s="12"/>
      <c r="C6507" s="12"/>
      <c r="D6507" s="12"/>
      <c r="E6507" s="11"/>
      <c r="F6507" s="11"/>
      <c r="G6507" s="73"/>
      <c r="H6507" s="12"/>
      <c r="I6507" s="12"/>
      <c r="J6507" s="33"/>
      <c r="K6507" s="12"/>
      <c r="L6507" s="15"/>
    </row>
    <row r="6508" spans="1:12">
      <c r="A6508" s="72"/>
      <c r="B6508" s="12"/>
      <c r="C6508" s="12"/>
      <c r="D6508" s="12"/>
      <c r="E6508" s="11"/>
      <c r="F6508" s="11"/>
      <c r="G6508" s="73"/>
      <c r="H6508" s="12"/>
      <c r="I6508" s="12"/>
      <c r="J6508" s="33"/>
      <c r="K6508" s="12"/>
      <c r="L6508" s="15"/>
    </row>
    <row r="6509" spans="1:12">
      <c r="A6509" s="72"/>
      <c r="B6509" s="12"/>
      <c r="C6509" s="12"/>
      <c r="D6509" s="12"/>
      <c r="E6509" s="11"/>
      <c r="F6509" s="11"/>
      <c r="G6509" s="73"/>
      <c r="H6509" s="12"/>
      <c r="I6509" s="12"/>
      <c r="J6509" s="33"/>
      <c r="K6509" s="12"/>
      <c r="L6509" s="15"/>
    </row>
    <row r="6510" spans="1:12">
      <c r="A6510" s="72"/>
      <c r="B6510" s="12"/>
      <c r="C6510" s="12"/>
      <c r="D6510" s="12"/>
      <c r="E6510" s="11"/>
      <c r="F6510" s="11"/>
      <c r="G6510" s="73"/>
      <c r="H6510" s="12"/>
      <c r="I6510" s="12"/>
      <c r="J6510" s="33"/>
      <c r="K6510" s="12"/>
      <c r="L6510" s="15"/>
    </row>
    <row r="6511" spans="1:12">
      <c r="A6511" s="72"/>
      <c r="B6511" s="12"/>
      <c r="C6511" s="12"/>
      <c r="D6511" s="12"/>
      <c r="E6511" s="11"/>
      <c r="F6511" s="11"/>
      <c r="G6511" s="73"/>
      <c r="H6511" s="12"/>
      <c r="I6511" s="12"/>
      <c r="J6511" s="33"/>
      <c r="K6511" s="12"/>
      <c r="L6511" s="15"/>
    </row>
    <row r="6512" spans="1:12">
      <c r="A6512" s="72"/>
      <c r="B6512" s="12"/>
      <c r="C6512" s="12"/>
      <c r="D6512" s="12"/>
      <c r="E6512" s="11"/>
      <c r="F6512" s="11"/>
      <c r="G6512" s="73"/>
      <c r="H6512" s="12"/>
      <c r="I6512" s="12"/>
      <c r="J6512" s="33"/>
      <c r="K6512" s="12"/>
      <c r="L6512" s="15"/>
    </row>
    <row r="6513" spans="1:12">
      <c r="A6513" s="72"/>
      <c r="B6513" s="12"/>
      <c r="C6513" s="12"/>
      <c r="D6513" s="12"/>
      <c r="E6513" s="11"/>
      <c r="F6513" s="11"/>
      <c r="G6513" s="73"/>
      <c r="H6513" s="12"/>
      <c r="I6513" s="12"/>
      <c r="J6513" s="33"/>
      <c r="K6513" s="12"/>
      <c r="L6513" s="15"/>
    </row>
    <row r="6514" spans="1:12">
      <c r="A6514" s="72"/>
      <c r="B6514" s="12"/>
      <c r="C6514" s="12"/>
      <c r="D6514" s="12"/>
      <c r="E6514" s="11"/>
      <c r="F6514" s="11"/>
      <c r="G6514" s="73"/>
      <c r="H6514" s="12"/>
      <c r="I6514" s="12"/>
      <c r="J6514" s="33"/>
      <c r="K6514" s="12"/>
      <c r="L6514" s="15"/>
    </row>
    <row r="6515" spans="1:12">
      <c r="A6515" s="72"/>
      <c r="B6515" s="12"/>
      <c r="C6515" s="12"/>
      <c r="D6515" s="12"/>
      <c r="E6515" s="11"/>
      <c r="F6515" s="11"/>
      <c r="G6515" s="73"/>
      <c r="H6515" s="12"/>
      <c r="I6515" s="12"/>
      <c r="J6515" s="33"/>
      <c r="K6515" s="12"/>
      <c r="L6515" s="15"/>
    </row>
    <row r="6516" spans="1:12">
      <c r="A6516" s="72"/>
      <c r="B6516" s="12"/>
      <c r="C6516" s="12"/>
      <c r="D6516" s="12"/>
      <c r="E6516" s="11"/>
      <c r="F6516" s="11"/>
      <c r="G6516" s="73"/>
      <c r="H6516" s="12"/>
      <c r="I6516" s="12"/>
      <c r="J6516" s="33"/>
      <c r="K6516" s="12"/>
      <c r="L6516" s="15"/>
    </row>
    <row r="6517" spans="1:12">
      <c r="A6517" s="72"/>
      <c r="B6517" s="12"/>
      <c r="C6517" s="12"/>
      <c r="D6517" s="12"/>
      <c r="E6517" s="11"/>
      <c r="F6517" s="11"/>
      <c r="G6517" s="73"/>
      <c r="H6517" s="12"/>
      <c r="I6517" s="12"/>
      <c r="J6517" s="33"/>
      <c r="K6517" s="12"/>
      <c r="L6517" s="15"/>
    </row>
    <row r="6518" spans="1:12">
      <c r="A6518" s="72"/>
      <c r="B6518" s="12"/>
      <c r="C6518" s="12"/>
      <c r="D6518" s="12"/>
      <c r="E6518" s="11"/>
      <c r="F6518" s="11"/>
      <c r="G6518" s="73"/>
      <c r="H6518" s="12"/>
      <c r="I6518" s="12"/>
      <c r="J6518" s="33"/>
      <c r="K6518" s="12"/>
      <c r="L6518" s="15"/>
    </row>
    <row r="6519" spans="1:12">
      <c r="A6519" s="72"/>
      <c r="B6519" s="12"/>
      <c r="C6519" s="12"/>
      <c r="D6519" s="12"/>
      <c r="E6519" s="11"/>
      <c r="F6519" s="11"/>
      <c r="G6519" s="73"/>
      <c r="H6519" s="12"/>
      <c r="I6519" s="12"/>
      <c r="J6519" s="33"/>
      <c r="K6519" s="12"/>
      <c r="L6519" s="15"/>
    </row>
    <row r="6520" spans="1:12">
      <c r="A6520" s="72"/>
      <c r="B6520" s="12"/>
      <c r="C6520" s="12"/>
      <c r="D6520" s="12"/>
      <c r="E6520" s="11"/>
      <c r="F6520" s="11"/>
      <c r="G6520" s="73"/>
      <c r="H6520" s="12"/>
      <c r="I6520" s="12"/>
      <c r="J6520" s="33"/>
      <c r="K6520" s="12"/>
      <c r="L6520" s="15"/>
    </row>
    <row r="6521" spans="1:12">
      <c r="A6521" s="72"/>
      <c r="B6521" s="12"/>
      <c r="C6521" s="12"/>
      <c r="D6521" s="12"/>
      <c r="E6521" s="11"/>
      <c r="F6521" s="11"/>
      <c r="G6521" s="73"/>
      <c r="H6521" s="12"/>
      <c r="I6521" s="12"/>
      <c r="J6521" s="33"/>
      <c r="K6521" s="12"/>
      <c r="L6521" s="15"/>
    </row>
    <row r="6522" spans="1:12">
      <c r="A6522" s="72"/>
      <c r="B6522" s="12"/>
      <c r="C6522" s="12"/>
      <c r="D6522" s="12"/>
      <c r="E6522" s="11"/>
      <c r="F6522" s="11"/>
      <c r="G6522" s="73"/>
      <c r="H6522" s="12"/>
      <c r="I6522" s="12"/>
      <c r="J6522" s="33"/>
      <c r="K6522" s="12"/>
      <c r="L6522" s="15"/>
    </row>
    <row r="6523" spans="1:12">
      <c r="A6523" s="72"/>
      <c r="B6523" s="12"/>
      <c r="C6523" s="12"/>
      <c r="D6523" s="12"/>
      <c r="E6523" s="11"/>
      <c r="F6523" s="11"/>
      <c r="G6523" s="73"/>
      <c r="H6523" s="12"/>
      <c r="I6523" s="12"/>
      <c r="J6523" s="33"/>
      <c r="K6523" s="12"/>
      <c r="L6523" s="15"/>
    </row>
    <row r="6524" spans="1:12">
      <c r="A6524" s="72"/>
      <c r="B6524" s="12"/>
      <c r="C6524" s="12"/>
      <c r="D6524" s="12"/>
      <c r="E6524" s="11"/>
      <c r="F6524" s="11"/>
      <c r="G6524" s="73"/>
      <c r="H6524" s="12"/>
      <c r="I6524" s="12"/>
      <c r="J6524" s="33"/>
      <c r="K6524" s="12"/>
      <c r="L6524" s="15"/>
    </row>
    <row r="6525" spans="1:12">
      <c r="A6525" s="72"/>
      <c r="B6525" s="12"/>
      <c r="C6525" s="12"/>
      <c r="D6525" s="12"/>
      <c r="E6525" s="11"/>
      <c r="F6525" s="11"/>
      <c r="G6525" s="73"/>
      <c r="H6525" s="12"/>
      <c r="I6525" s="12"/>
      <c r="J6525" s="33"/>
      <c r="K6525" s="12"/>
      <c r="L6525" s="15"/>
    </row>
    <row r="6526" spans="1:12">
      <c r="A6526" s="72"/>
      <c r="B6526" s="12"/>
      <c r="C6526" s="12"/>
      <c r="D6526" s="10"/>
      <c r="E6526" s="11"/>
      <c r="F6526" s="11"/>
      <c r="G6526" s="73"/>
      <c r="H6526" s="12"/>
      <c r="I6526" s="12"/>
      <c r="J6526" s="33"/>
      <c r="K6526" s="12"/>
      <c r="L6526" s="15"/>
    </row>
    <row r="6527" spans="1:12">
      <c r="A6527" s="72"/>
      <c r="B6527" s="12"/>
      <c r="C6527" s="12"/>
      <c r="D6527" s="12"/>
      <c r="E6527" s="11"/>
      <c r="F6527" s="11"/>
      <c r="G6527" s="73"/>
      <c r="H6527" s="12"/>
      <c r="I6527" s="12"/>
      <c r="J6527" s="33"/>
      <c r="K6527" s="12"/>
      <c r="L6527" s="15"/>
    </row>
    <row r="6528" spans="1:12">
      <c r="A6528" s="72"/>
      <c r="B6528" s="12"/>
      <c r="C6528" s="12"/>
      <c r="D6528" s="12"/>
      <c r="E6528" s="11"/>
      <c r="F6528" s="11"/>
      <c r="G6528" s="73"/>
      <c r="H6528" s="12"/>
      <c r="I6528" s="12"/>
      <c r="J6528" s="33"/>
      <c r="K6528" s="12"/>
      <c r="L6528" s="15"/>
    </row>
    <row r="6529" spans="1:12">
      <c r="A6529" s="72"/>
      <c r="B6529" s="12"/>
      <c r="C6529" s="12"/>
      <c r="D6529" s="12"/>
      <c r="E6529" s="11"/>
      <c r="F6529" s="11"/>
      <c r="G6529" s="73"/>
      <c r="H6529" s="12"/>
      <c r="I6529" s="12"/>
      <c r="J6529" s="33"/>
      <c r="K6529" s="12"/>
      <c r="L6529" s="15"/>
    </row>
    <row r="6530" spans="1:12">
      <c r="A6530" s="72"/>
      <c r="B6530" s="12"/>
      <c r="C6530" s="12"/>
      <c r="D6530" s="12"/>
      <c r="E6530" s="11"/>
      <c r="F6530" s="11"/>
      <c r="G6530" s="73"/>
      <c r="H6530" s="12"/>
      <c r="I6530" s="12"/>
      <c r="J6530" s="33"/>
      <c r="K6530" s="12"/>
      <c r="L6530" s="15"/>
    </row>
    <row r="6531" spans="1:12">
      <c r="A6531" s="72"/>
      <c r="B6531" s="12"/>
      <c r="C6531" s="12"/>
      <c r="D6531" s="12"/>
      <c r="E6531" s="11"/>
      <c r="F6531" s="11"/>
      <c r="G6531" s="73"/>
      <c r="H6531" s="12"/>
      <c r="I6531" s="12"/>
      <c r="J6531" s="33"/>
      <c r="K6531" s="12"/>
      <c r="L6531" s="15"/>
    </row>
    <row r="6532" spans="1:12">
      <c r="A6532" s="72"/>
      <c r="B6532" s="12"/>
      <c r="C6532" s="12"/>
      <c r="D6532" s="12"/>
      <c r="E6532" s="11"/>
      <c r="F6532" s="11"/>
      <c r="G6532" s="73"/>
      <c r="H6532" s="12"/>
      <c r="I6532" s="12"/>
      <c r="J6532" s="33"/>
      <c r="K6532" s="12"/>
      <c r="L6532" s="15"/>
    </row>
    <row r="6533" spans="1:12">
      <c r="A6533" s="72"/>
      <c r="B6533" s="12"/>
      <c r="C6533" s="12"/>
      <c r="D6533" s="12"/>
      <c r="E6533" s="11"/>
      <c r="F6533" s="11"/>
      <c r="G6533" s="73"/>
      <c r="H6533" s="12"/>
      <c r="I6533" s="12"/>
      <c r="J6533" s="33"/>
      <c r="K6533" s="12"/>
      <c r="L6533" s="15"/>
    </row>
    <row r="6534" spans="1:12">
      <c r="A6534" s="72"/>
      <c r="B6534" s="12"/>
      <c r="C6534" s="12"/>
      <c r="D6534" s="12"/>
      <c r="E6534" s="11"/>
      <c r="F6534" s="11"/>
      <c r="G6534" s="73"/>
      <c r="H6534" s="12"/>
      <c r="I6534" s="12"/>
      <c r="J6534" s="33"/>
      <c r="K6534" s="12"/>
      <c r="L6534" s="15"/>
    </row>
    <row r="6535" spans="1:12">
      <c r="A6535" s="72"/>
      <c r="B6535" s="12"/>
      <c r="C6535" s="12"/>
      <c r="D6535" s="12"/>
      <c r="E6535" s="11"/>
      <c r="F6535" s="11"/>
      <c r="G6535" s="73"/>
      <c r="H6535" s="12"/>
      <c r="I6535" s="12"/>
      <c r="J6535" s="33"/>
      <c r="K6535" s="12"/>
      <c r="L6535" s="15"/>
    </row>
    <row r="6536" spans="1:12">
      <c r="A6536" s="72"/>
      <c r="B6536" s="12"/>
      <c r="C6536" s="12"/>
      <c r="D6536" s="12"/>
      <c r="E6536" s="11"/>
      <c r="F6536" s="11"/>
      <c r="G6536" s="73"/>
      <c r="H6536" s="12"/>
      <c r="I6536" s="12"/>
      <c r="J6536" s="33"/>
      <c r="K6536" s="12"/>
      <c r="L6536" s="15"/>
    </row>
    <row r="6537" spans="1:12">
      <c r="A6537" s="72"/>
      <c r="B6537" s="12"/>
      <c r="C6537" s="12"/>
      <c r="D6537" s="12"/>
      <c r="E6537" s="11"/>
      <c r="F6537" s="11"/>
      <c r="G6537" s="73"/>
      <c r="H6537" s="12"/>
      <c r="I6537" s="12"/>
      <c r="J6537" s="33"/>
      <c r="K6537" s="12"/>
      <c r="L6537" s="15"/>
    </row>
    <row r="6538" spans="1:12">
      <c r="A6538" s="72"/>
      <c r="B6538" s="12"/>
      <c r="C6538" s="12"/>
      <c r="D6538" s="12"/>
      <c r="E6538" s="11"/>
      <c r="F6538" s="11"/>
      <c r="G6538" s="73"/>
      <c r="H6538" s="12"/>
      <c r="I6538" s="12"/>
      <c r="J6538" s="33"/>
      <c r="K6538" s="12"/>
      <c r="L6538" s="15"/>
    </row>
    <row r="6539" spans="1:12">
      <c r="A6539" s="72"/>
      <c r="B6539" s="12"/>
      <c r="C6539" s="12"/>
      <c r="D6539" s="12"/>
      <c r="E6539" s="11"/>
      <c r="F6539" s="11"/>
      <c r="G6539" s="73"/>
      <c r="H6539" s="12"/>
      <c r="I6539" s="12"/>
      <c r="J6539" s="33"/>
      <c r="K6539" s="12"/>
      <c r="L6539" s="15"/>
    </row>
    <row r="6540" spans="1:12">
      <c r="A6540" s="72"/>
      <c r="B6540" s="12"/>
      <c r="C6540" s="12"/>
      <c r="D6540" s="12"/>
      <c r="E6540" s="11"/>
      <c r="F6540" s="11"/>
      <c r="G6540" s="73"/>
      <c r="H6540" s="12"/>
      <c r="I6540" s="12"/>
      <c r="J6540" s="33"/>
      <c r="K6540" s="12"/>
      <c r="L6540" s="15"/>
    </row>
    <row r="6541" spans="1:12">
      <c r="A6541" s="72"/>
      <c r="B6541" s="12"/>
      <c r="C6541" s="12"/>
      <c r="D6541" s="12"/>
      <c r="E6541" s="11"/>
      <c r="F6541" s="11"/>
      <c r="G6541" s="73"/>
      <c r="H6541" s="12"/>
      <c r="I6541" s="12"/>
      <c r="J6541" s="33"/>
      <c r="K6541" s="12"/>
      <c r="L6541" s="15"/>
    </row>
    <row r="6542" spans="1:12">
      <c r="A6542" s="72"/>
      <c r="B6542" s="12"/>
      <c r="C6542" s="12"/>
      <c r="D6542" s="12"/>
      <c r="E6542" s="11"/>
      <c r="F6542" s="11"/>
      <c r="G6542" s="73"/>
      <c r="H6542" s="12"/>
      <c r="I6542" s="12"/>
      <c r="J6542" s="33"/>
      <c r="K6542" s="12"/>
      <c r="L6542" s="15"/>
    </row>
    <row r="6543" spans="1:12">
      <c r="A6543" s="72"/>
      <c r="B6543" s="12"/>
      <c r="C6543" s="12"/>
      <c r="D6543" s="12"/>
      <c r="E6543" s="11"/>
      <c r="F6543" s="11"/>
      <c r="G6543" s="73"/>
      <c r="H6543" s="12"/>
      <c r="I6543" s="12"/>
      <c r="J6543" s="33"/>
      <c r="K6543" s="12"/>
      <c r="L6543" s="15"/>
    </row>
    <row r="6544" spans="1:12">
      <c r="A6544" s="72"/>
      <c r="B6544" s="12"/>
      <c r="C6544" s="12"/>
      <c r="D6544" s="12"/>
      <c r="E6544" s="11"/>
      <c r="F6544" s="11"/>
      <c r="G6544" s="73"/>
      <c r="H6544" s="12"/>
      <c r="I6544" s="12"/>
      <c r="J6544" s="33"/>
      <c r="K6544" s="12"/>
      <c r="L6544" s="15"/>
    </row>
    <row r="6545" spans="1:12">
      <c r="A6545" s="72"/>
      <c r="B6545" s="12"/>
      <c r="C6545" s="12"/>
      <c r="D6545" s="12"/>
      <c r="E6545" s="11"/>
      <c r="F6545" s="11"/>
      <c r="G6545" s="73"/>
      <c r="H6545" s="12"/>
      <c r="I6545" s="12"/>
      <c r="J6545" s="33"/>
      <c r="K6545" s="12"/>
      <c r="L6545" s="15"/>
    </row>
    <row r="6546" spans="1:12">
      <c r="A6546" s="72"/>
      <c r="B6546" s="12"/>
      <c r="C6546" s="12"/>
      <c r="D6546" s="12"/>
      <c r="E6546" s="11"/>
      <c r="F6546" s="11"/>
      <c r="G6546" s="73"/>
      <c r="H6546" s="12"/>
      <c r="I6546" s="12"/>
      <c r="J6546" s="33"/>
      <c r="K6546" s="12"/>
      <c r="L6546" s="15"/>
    </row>
    <row r="6547" spans="1:12">
      <c r="A6547" s="72"/>
      <c r="B6547" s="12"/>
      <c r="C6547" s="12"/>
      <c r="D6547" s="12"/>
      <c r="E6547" s="11"/>
      <c r="F6547" s="11"/>
      <c r="G6547" s="73"/>
      <c r="H6547" s="12"/>
      <c r="I6547" s="12"/>
      <c r="J6547" s="33"/>
      <c r="K6547" s="12"/>
      <c r="L6547" s="15"/>
    </row>
    <row r="6548" spans="1:12">
      <c r="A6548" s="72"/>
      <c r="B6548" s="12"/>
      <c r="C6548" s="12"/>
      <c r="D6548" s="12"/>
      <c r="E6548" s="11"/>
      <c r="F6548" s="11"/>
      <c r="G6548" s="73"/>
      <c r="H6548" s="12"/>
      <c r="I6548" s="12"/>
      <c r="J6548" s="33"/>
      <c r="K6548" s="12"/>
      <c r="L6548" s="15"/>
    </row>
    <row r="6549" spans="1:12">
      <c r="A6549" s="72"/>
      <c r="B6549" s="12"/>
      <c r="C6549" s="12"/>
      <c r="D6549" s="12"/>
      <c r="E6549" s="11"/>
      <c r="F6549" s="11"/>
      <c r="G6549" s="73"/>
      <c r="H6549" s="12"/>
      <c r="I6549" s="12"/>
      <c r="J6549" s="33"/>
      <c r="K6549" s="12"/>
      <c r="L6549" s="15"/>
    </row>
    <row r="6550" spans="1:12">
      <c r="A6550" s="72"/>
      <c r="B6550" s="12"/>
      <c r="C6550" s="12"/>
      <c r="D6550" s="12"/>
      <c r="E6550" s="11"/>
      <c r="F6550" s="11"/>
      <c r="G6550" s="73"/>
      <c r="H6550" s="12"/>
      <c r="I6550" s="12"/>
      <c r="J6550" s="33"/>
      <c r="K6550" s="12"/>
      <c r="L6550" s="15"/>
    </row>
    <row r="6551" spans="1:12">
      <c r="A6551" s="72"/>
      <c r="B6551" s="12"/>
      <c r="C6551" s="12"/>
      <c r="D6551" s="12"/>
      <c r="E6551" s="11"/>
      <c r="F6551" s="11"/>
      <c r="G6551" s="73"/>
      <c r="H6551" s="12"/>
      <c r="I6551" s="12"/>
      <c r="J6551" s="33"/>
      <c r="K6551" s="12"/>
      <c r="L6551" s="15"/>
    </row>
    <row r="6552" spans="1:12">
      <c r="A6552" s="72"/>
      <c r="B6552" s="12"/>
      <c r="C6552" s="12"/>
      <c r="D6552" s="12"/>
      <c r="E6552" s="11"/>
      <c r="F6552" s="11"/>
      <c r="G6552" s="73"/>
      <c r="H6552" s="12"/>
      <c r="I6552" s="12"/>
      <c r="J6552" s="33"/>
      <c r="K6552" s="12"/>
      <c r="L6552" s="15"/>
    </row>
    <row r="6553" spans="1:12">
      <c r="A6553" s="72"/>
      <c r="B6553" s="12"/>
      <c r="C6553" s="12"/>
      <c r="D6553" s="12"/>
      <c r="E6553" s="11"/>
      <c r="F6553" s="11"/>
      <c r="G6553" s="73"/>
      <c r="H6553" s="12"/>
      <c r="I6553" s="12"/>
      <c r="J6553" s="33"/>
      <c r="K6553" s="12"/>
      <c r="L6553" s="15"/>
    </row>
    <row r="6554" spans="1:12">
      <c r="A6554" s="72"/>
      <c r="B6554" s="12"/>
      <c r="C6554" s="12"/>
      <c r="D6554" s="12"/>
      <c r="E6554" s="11"/>
      <c r="F6554" s="11"/>
      <c r="G6554" s="73"/>
      <c r="H6554" s="12"/>
      <c r="I6554" s="12"/>
      <c r="J6554" s="33"/>
      <c r="K6554" s="12"/>
      <c r="L6554" s="15"/>
    </row>
    <row r="6555" spans="1:12">
      <c r="A6555" s="72"/>
      <c r="B6555" s="12"/>
      <c r="C6555" s="12"/>
      <c r="D6555" s="12"/>
      <c r="E6555" s="11"/>
      <c r="F6555" s="11"/>
      <c r="G6555" s="73"/>
      <c r="H6555" s="12"/>
      <c r="I6555" s="12"/>
      <c r="J6555" s="33"/>
      <c r="K6555" s="12"/>
      <c r="L6555" s="15"/>
    </row>
    <row r="6556" spans="1:12">
      <c r="A6556" s="72"/>
      <c r="B6556" s="12"/>
      <c r="C6556" s="12"/>
      <c r="D6556" s="12"/>
      <c r="E6556" s="11"/>
      <c r="F6556" s="11"/>
      <c r="G6556" s="73"/>
      <c r="H6556" s="12"/>
      <c r="I6556" s="12"/>
      <c r="J6556" s="33"/>
      <c r="K6556" s="12"/>
      <c r="L6556" s="15"/>
    </row>
    <row r="6557" spans="1:12">
      <c r="A6557" s="72"/>
      <c r="B6557" s="12"/>
      <c r="C6557" s="12"/>
      <c r="D6557" s="12"/>
      <c r="E6557" s="11"/>
      <c r="F6557" s="11"/>
      <c r="G6557" s="73"/>
      <c r="H6557" s="12"/>
      <c r="I6557" s="12"/>
      <c r="J6557" s="33"/>
      <c r="K6557" s="12"/>
      <c r="L6557" s="15"/>
    </row>
    <row r="6558" spans="1:12">
      <c r="A6558" s="72"/>
      <c r="B6558" s="12"/>
      <c r="C6558" s="12"/>
      <c r="D6558" s="12"/>
      <c r="E6558" s="11"/>
      <c r="F6558" s="11"/>
      <c r="G6558" s="73"/>
      <c r="H6558" s="12"/>
      <c r="I6558" s="12"/>
      <c r="J6558" s="33"/>
      <c r="K6558" s="12"/>
      <c r="L6558" s="15"/>
    </row>
    <row r="6559" spans="1:12">
      <c r="A6559" s="72"/>
      <c r="B6559" s="12"/>
      <c r="C6559" s="12"/>
      <c r="D6559" s="12"/>
      <c r="E6559" s="11"/>
      <c r="F6559" s="11"/>
      <c r="G6559" s="73"/>
      <c r="H6559" s="12"/>
      <c r="I6559" s="12"/>
      <c r="J6559" s="33"/>
      <c r="K6559" s="12"/>
      <c r="L6559" s="15"/>
    </row>
    <row r="6560" spans="1:12">
      <c r="A6560" s="72"/>
      <c r="B6560" s="12"/>
      <c r="C6560" s="12"/>
      <c r="D6560" s="12"/>
      <c r="E6560" s="11"/>
      <c r="F6560" s="11"/>
      <c r="G6560" s="73"/>
      <c r="H6560" s="12"/>
      <c r="I6560" s="12"/>
      <c r="J6560" s="33"/>
      <c r="K6560" s="12"/>
      <c r="L6560" s="15"/>
    </row>
    <row r="6561" spans="1:12">
      <c r="A6561" s="72"/>
      <c r="B6561" s="12"/>
      <c r="C6561" s="12"/>
      <c r="D6561" s="12"/>
      <c r="E6561" s="11"/>
      <c r="F6561" s="11"/>
      <c r="G6561" s="73"/>
      <c r="H6561" s="12"/>
      <c r="I6561" s="12"/>
      <c r="J6561" s="33"/>
      <c r="K6561" s="12"/>
      <c r="L6561" s="15"/>
    </row>
    <row r="6562" spans="1:12">
      <c r="A6562" s="72"/>
      <c r="B6562" s="12"/>
      <c r="C6562" s="12"/>
      <c r="D6562" s="12"/>
      <c r="E6562" s="11"/>
      <c r="F6562" s="11"/>
      <c r="G6562" s="73"/>
      <c r="H6562" s="12"/>
      <c r="I6562" s="12"/>
      <c r="J6562" s="33"/>
      <c r="K6562" s="12"/>
      <c r="L6562" s="15"/>
    </row>
    <row r="6563" spans="1:12">
      <c r="A6563" s="72"/>
      <c r="B6563" s="12"/>
      <c r="C6563" s="12"/>
      <c r="D6563" s="12"/>
      <c r="E6563" s="11"/>
      <c r="F6563" s="11"/>
      <c r="G6563" s="73"/>
      <c r="H6563" s="12"/>
      <c r="I6563" s="12"/>
      <c r="J6563" s="33"/>
      <c r="K6563" s="12"/>
      <c r="L6563" s="15"/>
    </row>
    <row r="6564" spans="1:12">
      <c r="A6564" s="72"/>
      <c r="B6564" s="12"/>
      <c r="C6564" s="12"/>
      <c r="D6564" s="12"/>
      <c r="E6564" s="11"/>
      <c r="F6564" s="11"/>
      <c r="G6564" s="73"/>
      <c r="H6564" s="12"/>
      <c r="I6564" s="12"/>
      <c r="J6564" s="33"/>
      <c r="K6564" s="12"/>
      <c r="L6564" s="15"/>
    </row>
    <row r="6565" spans="1:12">
      <c r="A6565" s="72"/>
      <c r="B6565" s="12"/>
      <c r="C6565" s="12"/>
      <c r="D6565" s="12"/>
      <c r="E6565" s="11"/>
      <c r="F6565" s="11"/>
      <c r="G6565" s="73"/>
      <c r="H6565" s="12"/>
      <c r="I6565" s="12"/>
      <c r="J6565" s="33"/>
      <c r="K6565" s="12"/>
      <c r="L6565" s="15"/>
    </row>
    <row r="6566" spans="1:12">
      <c r="A6566" s="72"/>
      <c r="B6566" s="12"/>
      <c r="C6566" s="12"/>
      <c r="D6566" s="12"/>
      <c r="E6566" s="11"/>
      <c r="F6566" s="11"/>
      <c r="G6566" s="73"/>
      <c r="H6566" s="12"/>
      <c r="I6566" s="12"/>
      <c r="J6566" s="33"/>
      <c r="K6566" s="12"/>
      <c r="L6566" s="15"/>
    </row>
    <row r="6567" spans="1:12">
      <c r="A6567" s="72"/>
      <c r="B6567" s="12"/>
      <c r="C6567" s="12"/>
      <c r="D6567" s="12"/>
      <c r="E6567" s="11"/>
      <c r="F6567" s="11"/>
      <c r="G6567" s="73"/>
      <c r="H6567" s="12"/>
      <c r="I6567" s="12"/>
      <c r="J6567" s="33"/>
      <c r="K6567" s="12"/>
      <c r="L6567" s="15"/>
    </row>
    <row r="6568" spans="1:12">
      <c r="A6568" s="72"/>
      <c r="B6568" s="12"/>
      <c r="C6568" s="12"/>
      <c r="D6568" s="12"/>
      <c r="E6568" s="11"/>
      <c r="F6568" s="11"/>
      <c r="G6568" s="73"/>
      <c r="H6568" s="12"/>
      <c r="I6568" s="12"/>
      <c r="J6568" s="33"/>
      <c r="K6568" s="12"/>
      <c r="L6568" s="15"/>
    </row>
    <row r="6569" spans="1:12">
      <c r="A6569" s="72"/>
      <c r="B6569" s="12"/>
      <c r="C6569" s="12"/>
      <c r="D6569" s="12"/>
      <c r="E6569" s="11"/>
      <c r="F6569" s="11"/>
      <c r="G6569" s="73"/>
      <c r="H6569" s="12"/>
      <c r="I6569" s="12"/>
      <c r="J6569" s="33"/>
      <c r="K6569" s="12"/>
      <c r="L6569" s="15"/>
    </row>
    <row r="6570" spans="1:12">
      <c r="A6570" s="72"/>
      <c r="B6570" s="12"/>
      <c r="C6570" s="12"/>
      <c r="D6570" s="12"/>
      <c r="E6570" s="11"/>
      <c r="F6570" s="11"/>
      <c r="G6570" s="73"/>
      <c r="H6570" s="12"/>
      <c r="I6570" s="12"/>
      <c r="J6570" s="33"/>
      <c r="K6570" s="12"/>
      <c r="L6570" s="15"/>
    </row>
    <row r="6571" spans="1:12">
      <c r="A6571" s="72"/>
      <c r="B6571" s="12"/>
      <c r="C6571" s="12"/>
      <c r="D6571" s="12"/>
      <c r="E6571" s="11"/>
      <c r="F6571" s="11"/>
      <c r="G6571" s="73"/>
      <c r="H6571" s="12"/>
      <c r="I6571" s="12"/>
      <c r="J6571" s="33"/>
      <c r="K6571" s="12"/>
      <c r="L6571" s="15"/>
    </row>
    <row r="6572" spans="1:12">
      <c r="A6572" s="72"/>
      <c r="B6572" s="12"/>
      <c r="C6572" s="12"/>
      <c r="D6572" s="12"/>
      <c r="E6572" s="11"/>
      <c r="F6572" s="11"/>
      <c r="G6572" s="73"/>
      <c r="H6572" s="12"/>
      <c r="I6572" s="12"/>
      <c r="J6572" s="33"/>
      <c r="K6572" s="12"/>
      <c r="L6572" s="15"/>
    </row>
    <row r="6573" spans="1:12">
      <c r="A6573" s="72"/>
      <c r="B6573" s="12"/>
      <c r="C6573" s="12"/>
      <c r="D6573" s="12"/>
      <c r="E6573" s="11"/>
      <c r="F6573" s="11"/>
      <c r="G6573" s="73"/>
      <c r="H6573" s="12"/>
      <c r="I6573" s="12"/>
      <c r="J6573" s="33"/>
      <c r="K6573" s="12"/>
      <c r="L6573" s="15"/>
    </row>
    <row r="6574" spans="1:12">
      <c r="A6574" s="72"/>
      <c r="B6574" s="12"/>
      <c r="C6574" s="12"/>
      <c r="D6574" s="12"/>
      <c r="E6574" s="11"/>
      <c r="F6574" s="11"/>
      <c r="G6574" s="73"/>
      <c r="H6574" s="12"/>
      <c r="I6574" s="12"/>
      <c r="J6574" s="33"/>
      <c r="K6574" s="12"/>
      <c r="L6574" s="15"/>
    </row>
    <row r="6575" spans="1:12">
      <c r="A6575" s="72"/>
      <c r="B6575" s="12"/>
      <c r="C6575" s="12"/>
      <c r="D6575" s="12"/>
      <c r="E6575" s="11"/>
      <c r="F6575" s="11"/>
      <c r="G6575" s="73"/>
      <c r="H6575" s="12"/>
      <c r="I6575" s="12"/>
      <c r="J6575" s="33"/>
      <c r="K6575" s="12"/>
      <c r="L6575" s="15"/>
    </row>
    <row r="6576" spans="1:12">
      <c r="A6576" s="72"/>
      <c r="B6576" s="12"/>
      <c r="C6576" s="12"/>
      <c r="D6576" s="12"/>
      <c r="E6576" s="11"/>
      <c r="F6576" s="11"/>
      <c r="G6576" s="73"/>
      <c r="H6576" s="12"/>
      <c r="I6576" s="12"/>
      <c r="J6576" s="33"/>
      <c r="K6576" s="12"/>
      <c r="L6576" s="15"/>
    </row>
    <row r="6577" spans="1:12">
      <c r="A6577" s="72"/>
      <c r="B6577" s="12"/>
      <c r="C6577" s="12"/>
      <c r="D6577" s="12"/>
      <c r="E6577" s="11"/>
      <c r="F6577" s="11"/>
      <c r="G6577" s="73"/>
      <c r="H6577" s="12"/>
      <c r="I6577" s="12"/>
      <c r="J6577" s="33"/>
      <c r="K6577" s="12"/>
      <c r="L6577" s="15"/>
    </row>
    <row r="6578" spans="1:12">
      <c r="A6578" s="72"/>
      <c r="B6578" s="12"/>
      <c r="C6578" s="12"/>
      <c r="D6578" s="12"/>
      <c r="E6578" s="11"/>
      <c r="F6578" s="11"/>
      <c r="G6578" s="73"/>
      <c r="H6578" s="12"/>
      <c r="I6578" s="12"/>
      <c r="J6578" s="33"/>
      <c r="K6578" s="12"/>
      <c r="L6578" s="15"/>
    </row>
    <row r="6579" spans="1:12">
      <c r="A6579" s="72"/>
      <c r="B6579" s="12"/>
      <c r="C6579" s="12"/>
      <c r="D6579" s="12"/>
      <c r="E6579" s="11"/>
      <c r="F6579" s="11"/>
      <c r="G6579" s="73"/>
      <c r="H6579" s="12"/>
      <c r="I6579" s="12"/>
      <c r="J6579" s="33"/>
      <c r="K6579" s="12"/>
      <c r="L6579" s="15"/>
    </row>
    <row r="6580" spans="1:12">
      <c r="A6580" s="72"/>
      <c r="B6580" s="12"/>
      <c r="C6580" s="12"/>
      <c r="D6580" s="12"/>
      <c r="E6580" s="11"/>
      <c r="F6580" s="11"/>
      <c r="G6580" s="73"/>
      <c r="H6580" s="12"/>
      <c r="I6580" s="12"/>
      <c r="J6580" s="33"/>
      <c r="K6580" s="12"/>
      <c r="L6580" s="15"/>
    </row>
    <row r="6581" spans="1:12">
      <c r="A6581" s="72"/>
      <c r="B6581" s="12"/>
      <c r="C6581" s="12"/>
      <c r="D6581" s="12"/>
      <c r="E6581" s="11"/>
      <c r="F6581" s="11"/>
      <c r="G6581" s="73"/>
      <c r="H6581" s="12"/>
      <c r="I6581" s="12"/>
      <c r="J6581" s="33"/>
      <c r="K6581" s="12"/>
      <c r="L6581" s="15"/>
    </row>
    <row r="6582" spans="1:12">
      <c r="A6582" s="72"/>
      <c r="B6582" s="12"/>
      <c r="C6582" s="12"/>
      <c r="D6582" s="12"/>
      <c r="E6582" s="11"/>
      <c r="F6582" s="11"/>
      <c r="G6582" s="73"/>
      <c r="H6582" s="12"/>
      <c r="I6582" s="12"/>
      <c r="J6582" s="33"/>
      <c r="K6582" s="12"/>
      <c r="L6582" s="15"/>
    </row>
    <row r="6583" spans="1:12">
      <c r="A6583" s="72"/>
      <c r="B6583" s="12"/>
      <c r="C6583" s="12"/>
      <c r="D6583" s="12"/>
      <c r="E6583" s="11"/>
      <c r="F6583" s="11"/>
      <c r="G6583" s="73"/>
      <c r="H6583" s="12"/>
      <c r="I6583" s="12"/>
      <c r="J6583" s="33"/>
      <c r="K6583" s="12"/>
      <c r="L6583" s="15"/>
    </row>
    <row r="6584" spans="1:12">
      <c r="A6584" s="72"/>
      <c r="B6584" s="12"/>
      <c r="C6584" s="12"/>
      <c r="D6584" s="12"/>
      <c r="E6584" s="11"/>
      <c r="F6584" s="11"/>
      <c r="G6584" s="73"/>
      <c r="H6584" s="12"/>
      <c r="I6584" s="12"/>
      <c r="J6584" s="33"/>
      <c r="K6584" s="12"/>
      <c r="L6584" s="15"/>
    </row>
    <row r="6585" spans="1:12">
      <c r="A6585" s="72"/>
      <c r="B6585" s="12"/>
      <c r="C6585" s="12"/>
      <c r="D6585" s="12"/>
      <c r="E6585" s="11"/>
      <c r="F6585" s="11"/>
      <c r="G6585" s="73"/>
      <c r="H6585" s="12"/>
      <c r="I6585" s="12"/>
      <c r="J6585" s="33"/>
      <c r="K6585" s="12"/>
      <c r="L6585" s="15"/>
    </row>
    <row r="6586" spans="1:12">
      <c r="A6586" s="72"/>
      <c r="B6586" s="12"/>
      <c r="C6586" s="12"/>
      <c r="D6586" s="12"/>
      <c r="E6586" s="11"/>
      <c r="F6586" s="11"/>
      <c r="G6586" s="73"/>
      <c r="H6586" s="12"/>
      <c r="I6586" s="12"/>
      <c r="J6586" s="33"/>
      <c r="K6586" s="12"/>
      <c r="L6586" s="15"/>
    </row>
    <row r="6587" spans="1:12">
      <c r="A6587" s="72"/>
      <c r="B6587" s="12"/>
      <c r="C6587" s="12"/>
      <c r="D6587" s="12"/>
      <c r="E6587" s="11"/>
      <c r="F6587" s="11"/>
      <c r="G6587" s="73"/>
      <c r="H6587" s="12"/>
      <c r="I6587" s="12"/>
      <c r="J6587" s="33"/>
      <c r="K6587" s="12"/>
      <c r="L6587" s="15"/>
    </row>
    <row r="6588" spans="1:12">
      <c r="A6588" s="72"/>
      <c r="B6588" s="12"/>
      <c r="C6588" s="12"/>
      <c r="D6588" s="12"/>
      <c r="E6588" s="11"/>
      <c r="F6588" s="11"/>
      <c r="G6588" s="73"/>
      <c r="H6588" s="12"/>
      <c r="I6588" s="12"/>
      <c r="J6588" s="33"/>
      <c r="K6588" s="12"/>
      <c r="L6588" s="15"/>
    </row>
    <row r="6589" spans="1:12">
      <c r="A6589" s="72"/>
      <c r="B6589" s="12"/>
      <c r="C6589" s="12"/>
      <c r="D6589" s="12"/>
      <c r="E6589" s="11"/>
      <c r="F6589" s="11"/>
      <c r="G6589" s="73"/>
      <c r="H6589" s="12"/>
      <c r="I6589" s="12"/>
      <c r="J6589" s="33"/>
      <c r="K6589" s="12"/>
      <c r="L6589" s="15"/>
    </row>
    <row r="6590" spans="1:12">
      <c r="A6590" s="72"/>
      <c r="B6590" s="12"/>
      <c r="C6590" s="12"/>
      <c r="D6590" s="12"/>
      <c r="E6590" s="11"/>
      <c r="F6590" s="11"/>
      <c r="G6590" s="73"/>
      <c r="H6590" s="12"/>
      <c r="I6590" s="12"/>
      <c r="J6590" s="33"/>
      <c r="K6590" s="12"/>
      <c r="L6590" s="15"/>
    </row>
    <row r="6591" spans="1:12">
      <c r="A6591" s="72"/>
      <c r="B6591" s="12"/>
      <c r="C6591" s="12"/>
      <c r="D6591" s="12"/>
      <c r="E6591" s="11"/>
      <c r="F6591" s="11"/>
      <c r="G6591" s="73"/>
      <c r="H6591" s="12"/>
      <c r="I6591" s="12"/>
      <c r="J6591" s="33"/>
      <c r="K6591" s="12"/>
      <c r="L6591" s="15"/>
    </row>
    <row r="6592" spans="1:12">
      <c r="A6592" s="72"/>
      <c r="B6592" s="12"/>
      <c r="C6592" s="12"/>
      <c r="D6592" s="12"/>
      <c r="E6592" s="11"/>
      <c r="F6592" s="11"/>
      <c r="G6592" s="73"/>
      <c r="H6592" s="12"/>
      <c r="I6592" s="12"/>
      <c r="J6592" s="33"/>
      <c r="K6592" s="12"/>
      <c r="L6592" s="15"/>
    </row>
    <row r="6593" spans="1:12">
      <c r="A6593" s="72"/>
      <c r="B6593" s="12"/>
      <c r="C6593" s="12"/>
      <c r="D6593" s="12"/>
      <c r="E6593" s="11"/>
      <c r="F6593" s="11"/>
      <c r="G6593" s="73"/>
      <c r="H6593" s="12"/>
      <c r="I6593" s="12"/>
      <c r="J6593" s="33"/>
      <c r="K6593" s="12"/>
      <c r="L6593" s="15"/>
    </row>
    <row r="6594" spans="1:12">
      <c r="A6594" s="72"/>
      <c r="B6594" s="12"/>
      <c r="C6594" s="12"/>
      <c r="D6594" s="12"/>
      <c r="E6594" s="11"/>
      <c r="F6594" s="11"/>
      <c r="G6594" s="73"/>
      <c r="H6594" s="12"/>
      <c r="I6594" s="12"/>
      <c r="J6594" s="33"/>
      <c r="K6594" s="12"/>
      <c r="L6594" s="15"/>
    </row>
    <row r="6595" spans="1:12">
      <c r="A6595" s="72"/>
      <c r="B6595" s="12"/>
      <c r="C6595" s="12"/>
      <c r="D6595" s="12"/>
      <c r="E6595" s="11"/>
      <c r="F6595" s="11"/>
      <c r="G6595" s="73"/>
      <c r="H6595" s="12"/>
      <c r="I6595" s="12"/>
      <c r="J6595" s="33"/>
      <c r="K6595" s="12"/>
      <c r="L6595" s="15"/>
    </row>
    <row r="6596" spans="1:12">
      <c r="A6596" s="72"/>
      <c r="B6596" s="12"/>
      <c r="C6596" s="12"/>
      <c r="D6596" s="12"/>
      <c r="E6596" s="11"/>
      <c r="F6596" s="11"/>
      <c r="G6596" s="73"/>
      <c r="H6596" s="12"/>
      <c r="I6596" s="12"/>
      <c r="J6596" s="33"/>
      <c r="K6596" s="12"/>
      <c r="L6596" s="15"/>
    </row>
    <row r="6597" spans="1:12">
      <c r="A6597" s="72"/>
      <c r="B6597" s="12"/>
      <c r="C6597" s="12"/>
      <c r="D6597" s="12"/>
      <c r="E6597" s="11"/>
      <c r="F6597" s="11"/>
      <c r="G6597" s="73"/>
      <c r="H6597" s="12"/>
      <c r="I6597" s="12"/>
      <c r="J6597" s="33"/>
      <c r="K6597" s="12"/>
      <c r="L6597" s="15"/>
    </row>
    <row r="6598" spans="1:12">
      <c r="A6598" s="72"/>
      <c r="B6598" s="12"/>
      <c r="C6598" s="12"/>
      <c r="D6598" s="12"/>
      <c r="E6598" s="11"/>
      <c r="F6598" s="11"/>
      <c r="G6598" s="73"/>
      <c r="H6598" s="12"/>
      <c r="I6598" s="12"/>
      <c r="J6598" s="33"/>
      <c r="K6598" s="12"/>
      <c r="L6598" s="15"/>
    </row>
    <row r="6599" spans="1:12">
      <c r="A6599" s="72"/>
      <c r="B6599" s="12"/>
      <c r="C6599" s="12"/>
      <c r="D6599" s="12"/>
      <c r="E6599" s="11"/>
      <c r="F6599" s="11"/>
      <c r="G6599" s="73"/>
      <c r="H6599" s="12"/>
      <c r="I6599" s="12"/>
      <c r="J6599" s="33"/>
      <c r="K6599" s="12"/>
      <c r="L6599" s="15"/>
    </row>
    <row r="6600" spans="1:12">
      <c r="A6600" s="72"/>
      <c r="B6600" s="12"/>
      <c r="C6600" s="12"/>
      <c r="D6600" s="12"/>
      <c r="E6600" s="11"/>
      <c r="F6600" s="11"/>
      <c r="G6600" s="73"/>
      <c r="H6600" s="12"/>
      <c r="I6600" s="12"/>
      <c r="J6600" s="33"/>
      <c r="K6600" s="12"/>
      <c r="L6600" s="15"/>
    </row>
    <row r="6601" spans="1:12">
      <c r="A6601" s="72"/>
      <c r="B6601" s="12"/>
      <c r="C6601" s="12"/>
      <c r="D6601" s="12"/>
      <c r="E6601" s="11"/>
      <c r="F6601" s="11"/>
      <c r="G6601" s="73"/>
      <c r="H6601" s="12"/>
      <c r="I6601" s="12"/>
      <c r="J6601" s="33"/>
      <c r="K6601" s="12"/>
      <c r="L6601" s="15"/>
    </row>
    <row r="6602" spans="1:12">
      <c r="A6602" s="72"/>
      <c r="B6602" s="12"/>
      <c r="C6602" s="12"/>
      <c r="D6602" s="12"/>
      <c r="E6602" s="11"/>
      <c r="F6602" s="11"/>
      <c r="G6602" s="73"/>
      <c r="H6602" s="12"/>
      <c r="I6602" s="12"/>
      <c r="J6602" s="33"/>
      <c r="K6602" s="12"/>
      <c r="L6602" s="15"/>
    </row>
    <row r="6603" spans="1:12">
      <c r="A6603" s="72"/>
      <c r="B6603" s="12"/>
      <c r="C6603" s="12"/>
      <c r="D6603" s="12"/>
      <c r="E6603" s="11"/>
      <c r="F6603" s="11"/>
      <c r="G6603" s="73"/>
      <c r="H6603" s="12"/>
      <c r="I6603" s="12"/>
      <c r="J6603" s="33"/>
      <c r="K6603" s="12"/>
      <c r="L6603" s="15"/>
    </row>
    <row r="6604" spans="1:12">
      <c r="A6604" s="72"/>
      <c r="B6604" s="12"/>
      <c r="C6604" s="12"/>
      <c r="D6604" s="12"/>
      <c r="E6604" s="11"/>
      <c r="F6604" s="11"/>
      <c r="G6604" s="73"/>
      <c r="H6604" s="12"/>
      <c r="I6604" s="12"/>
      <c r="J6604" s="33"/>
      <c r="K6604" s="12"/>
      <c r="L6604" s="15"/>
    </row>
    <row r="6605" spans="1:12">
      <c r="A6605" s="72"/>
      <c r="B6605" s="12"/>
      <c r="C6605" s="12"/>
      <c r="D6605" s="12"/>
      <c r="E6605" s="11"/>
      <c r="F6605" s="11"/>
      <c r="G6605" s="73"/>
      <c r="H6605" s="12"/>
      <c r="I6605" s="12"/>
      <c r="J6605" s="33"/>
      <c r="K6605" s="12"/>
      <c r="L6605" s="15"/>
    </row>
    <row r="6606" spans="1:12">
      <c r="A6606" s="72"/>
      <c r="B6606" s="12"/>
      <c r="C6606" s="12"/>
      <c r="D6606" s="12"/>
      <c r="E6606" s="11"/>
      <c r="F6606" s="11"/>
      <c r="G6606" s="73"/>
      <c r="H6606" s="12"/>
      <c r="I6606" s="12"/>
      <c r="J6606" s="33"/>
      <c r="K6606" s="12"/>
      <c r="L6606" s="15"/>
    </row>
    <row r="6607" spans="1:12">
      <c r="A6607" s="72"/>
      <c r="B6607" s="12"/>
      <c r="C6607" s="12"/>
      <c r="D6607" s="12"/>
      <c r="E6607" s="11"/>
      <c r="F6607" s="11"/>
      <c r="G6607" s="73"/>
      <c r="H6607" s="12"/>
      <c r="I6607" s="12"/>
      <c r="J6607" s="33"/>
      <c r="K6607" s="12"/>
      <c r="L6607" s="15"/>
    </row>
    <row r="6608" spans="1:12">
      <c r="A6608" s="72"/>
      <c r="B6608" s="12"/>
      <c r="C6608" s="12"/>
      <c r="D6608" s="12"/>
      <c r="E6608" s="11"/>
      <c r="F6608" s="11"/>
      <c r="G6608" s="73"/>
      <c r="H6608" s="12"/>
      <c r="I6608" s="12"/>
      <c r="J6608" s="33"/>
      <c r="K6608" s="12"/>
      <c r="L6608" s="15"/>
    </row>
    <row r="6609" spans="1:12">
      <c r="A6609" s="72"/>
      <c r="B6609" s="12"/>
      <c r="C6609" s="12"/>
      <c r="D6609" s="12"/>
      <c r="E6609" s="11"/>
      <c r="F6609" s="11"/>
      <c r="G6609" s="73"/>
      <c r="H6609" s="12"/>
      <c r="I6609" s="12"/>
      <c r="J6609" s="33"/>
      <c r="K6609" s="12"/>
      <c r="L6609" s="15"/>
    </row>
    <row r="6610" spans="1:12">
      <c r="A6610" s="72"/>
      <c r="B6610" s="12"/>
      <c r="C6610" s="12"/>
      <c r="D6610" s="12"/>
      <c r="E6610" s="11"/>
      <c r="F6610" s="11"/>
      <c r="G6610" s="73"/>
      <c r="H6610" s="12"/>
      <c r="I6610" s="12"/>
      <c r="J6610" s="33"/>
      <c r="K6610" s="12"/>
      <c r="L6610" s="15"/>
    </row>
    <row r="6611" spans="1:12">
      <c r="A6611" s="72"/>
      <c r="B6611" s="12"/>
      <c r="C6611" s="12"/>
      <c r="D6611" s="12"/>
      <c r="E6611" s="11"/>
      <c r="F6611" s="11"/>
      <c r="G6611" s="73"/>
      <c r="H6611" s="12"/>
      <c r="I6611" s="12"/>
      <c r="J6611" s="33"/>
      <c r="K6611" s="12"/>
      <c r="L6611" s="15"/>
    </row>
    <row r="6612" spans="1:12">
      <c r="A6612" s="72"/>
      <c r="B6612" s="12"/>
      <c r="C6612" s="12"/>
      <c r="D6612" s="12"/>
      <c r="E6612" s="11"/>
      <c r="F6612" s="11"/>
      <c r="G6612" s="73"/>
      <c r="H6612" s="12"/>
      <c r="I6612" s="12"/>
      <c r="J6612" s="33"/>
      <c r="K6612" s="12"/>
      <c r="L6612" s="15"/>
    </row>
    <row r="6613" spans="1:12">
      <c r="A6613" s="72"/>
      <c r="B6613" s="12"/>
      <c r="C6613" s="12"/>
      <c r="D6613" s="12"/>
      <c r="E6613" s="11"/>
      <c r="F6613" s="11"/>
      <c r="G6613" s="73"/>
      <c r="H6613" s="12"/>
      <c r="I6613" s="12"/>
      <c r="J6613" s="33"/>
      <c r="K6613" s="12"/>
      <c r="L6613" s="15"/>
    </row>
    <row r="6614" spans="1:12">
      <c r="A6614" s="72"/>
      <c r="B6614" s="12"/>
      <c r="C6614" s="12"/>
      <c r="D6614" s="12"/>
      <c r="E6614" s="11"/>
      <c r="F6614" s="11"/>
      <c r="G6614" s="73"/>
      <c r="H6614" s="12"/>
      <c r="I6614" s="12"/>
      <c r="J6614" s="33"/>
      <c r="K6614" s="12"/>
      <c r="L6614" s="15"/>
    </row>
    <row r="6615" spans="1:12">
      <c r="A6615" s="72"/>
      <c r="B6615" s="12"/>
      <c r="C6615" s="12"/>
      <c r="D6615" s="12"/>
      <c r="E6615" s="11"/>
      <c r="F6615" s="11"/>
      <c r="G6615" s="73"/>
      <c r="H6615" s="12"/>
      <c r="I6615" s="12"/>
      <c r="J6615" s="33"/>
      <c r="K6615" s="12"/>
      <c r="L6615" s="15"/>
    </row>
    <row r="6616" spans="1:12">
      <c r="A6616" s="72"/>
      <c r="B6616" s="12"/>
      <c r="C6616" s="12"/>
      <c r="D6616" s="12"/>
      <c r="E6616" s="11"/>
      <c r="F6616" s="11"/>
      <c r="G6616" s="73"/>
      <c r="H6616" s="12"/>
      <c r="I6616" s="12"/>
      <c r="J6616" s="33"/>
      <c r="K6616" s="12"/>
      <c r="L6616" s="15"/>
    </row>
    <row r="6617" spans="1:12">
      <c r="A6617" s="72"/>
      <c r="B6617" s="12"/>
      <c r="C6617" s="12"/>
      <c r="D6617" s="12"/>
      <c r="E6617" s="11"/>
      <c r="F6617" s="11"/>
      <c r="G6617" s="73"/>
      <c r="H6617" s="12"/>
      <c r="I6617" s="12"/>
      <c r="J6617" s="33"/>
      <c r="K6617" s="12"/>
      <c r="L6617" s="15"/>
    </row>
    <row r="6618" spans="1:12">
      <c r="A6618" s="72"/>
      <c r="B6618" s="12"/>
      <c r="C6618" s="12"/>
      <c r="D6618" s="12"/>
      <c r="E6618" s="11"/>
      <c r="F6618" s="11"/>
      <c r="G6618" s="73"/>
      <c r="H6618" s="12"/>
      <c r="I6618" s="12"/>
      <c r="J6618" s="33"/>
      <c r="K6618" s="12"/>
      <c r="L6618" s="15"/>
    </row>
    <row r="6619" spans="1:12">
      <c r="A6619" s="72"/>
      <c r="B6619" s="12"/>
      <c r="C6619" s="12"/>
      <c r="D6619" s="12"/>
      <c r="E6619" s="11"/>
      <c r="F6619" s="11"/>
      <c r="G6619" s="73"/>
      <c r="H6619" s="12"/>
      <c r="I6619" s="12"/>
      <c r="J6619" s="33"/>
      <c r="K6619" s="12"/>
      <c r="L6619" s="15"/>
    </row>
    <row r="6620" spans="1:12">
      <c r="A6620" s="72"/>
      <c r="B6620" s="12"/>
      <c r="C6620" s="12"/>
      <c r="D6620" s="12"/>
      <c r="E6620" s="11"/>
      <c r="F6620" s="11"/>
      <c r="G6620" s="73"/>
      <c r="H6620" s="12"/>
      <c r="I6620" s="12"/>
      <c r="J6620" s="33"/>
      <c r="K6620" s="12"/>
      <c r="L6620" s="15"/>
    </row>
    <row r="6621" spans="1:12">
      <c r="A6621" s="72"/>
      <c r="B6621" s="12"/>
      <c r="C6621" s="12"/>
      <c r="D6621" s="12"/>
      <c r="E6621" s="11"/>
      <c r="F6621" s="11"/>
      <c r="G6621" s="73"/>
      <c r="H6621" s="12"/>
      <c r="I6621" s="12"/>
      <c r="J6621" s="33"/>
      <c r="K6621" s="12"/>
      <c r="L6621" s="15"/>
    </row>
    <row r="6622" spans="1:12">
      <c r="A6622" s="72"/>
      <c r="B6622" s="12"/>
      <c r="C6622" s="12"/>
      <c r="D6622" s="12"/>
      <c r="E6622" s="11"/>
      <c r="F6622" s="11"/>
      <c r="G6622" s="73"/>
      <c r="H6622" s="12"/>
      <c r="I6622" s="12"/>
      <c r="J6622" s="33"/>
      <c r="K6622" s="12"/>
      <c r="L6622" s="15"/>
    </row>
    <row r="6623" spans="1:12">
      <c r="A6623" s="72"/>
      <c r="B6623" s="12"/>
      <c r="C6623" s="12"/>
      <c r="D6623" s="12"/>
      <c r="E6623" s="11"/>
      <c r="F6623" s="11"/>
      <c r="G6623" s="73"/>
      <c r="H6623" s="12"/>
      <c r="I6623" s="12"/>
      <c r="J6623" s="33"/>
      <c r="K6623" s="12"/>
      <c r="L6623" s="15"/>
    </row>
    <row r="6624" spans="1:12">
      <c r="A6624" s="72"/>
      <c r="B6624" s="12"/>
      <c r="C6624" s="12"/>
      <c r="D6624" s="12"/>
      <c r="E6624" s="11"/>
      <c r="F6624" s="11"/>
      <c r="G6624" s="73"/>
      <c r="H6624" s="12"/>
      <c r="I6624" s="12"/>
      <c r="J6624" s="33"/>
      <c r="K6624" s="12"/>
      <c r="L6624" s="15"/>
    </row>
    <row r="6625" spans="1:12">
      <c r="A6625" s="72"/>
      <c r="B6625" s="12"/>
      <c r="C6625" s="12"/>
      <c r="D6625" s="12"/>
      <c r="E6625" s="11"/>
      <c r="F6625" s="11"/>
      <c r="G6625" s="73"/>
      <c r="H6625" s="12"/>
      <c r="I6625" s="12"/>
      <c r="J6625" s="33"/>
      <c r="K6625" s="12"/>
      <c r="L6625" s="15"/>
    </row>
    <row r="6626" spans="1:12">
      <c r="A6626" s="72"/>
      <c r="B6626" s="12"/>
      <c r="C6626" s="12"/>
      <c r="D6626" s="12"/>
      <c r="E6626" s="11"/>
      <c r="F6626" s="11"/>
      <c r="G6626" s="73"/>
      <c r="H6626" s="12"/>
      <c r="I6626" s="12"/>
      <c r="J6626" s="33"/>
      <c r="K6626" s="12"/>
      <c r="L6626" s="15"/>
    </row>
    <row r="6627" spans="1:12">
      <c r="A6627" s="72"/>
      <c r="B6627" s="12"/>
      <c r="C6627" s="12"/>
      <c r="D6627" s="12"/>
      <c r="E6627" s="11"/>
      <c r="F6627" s="11"/>
      <c r="G6627" s="73"/>
      <c r="H6627" s="12"/>
      <c r="I6627" s="12"/>
      <c r="J6627" s="33"/>
      <c r="K6627" s="12"/>
      <c r="L6627" s="15"/>
    </row>
    <row r="6628" spans="1:12">
      <c r="A6628" s="72"/>
      <c r="B6628" s="12"/>
      <c r="C6628" s="12"/>
      <c r="D6628" s="12"/>
      <c r="E6628" s="11"/>
      <c r="F6628" s="11"/>
      <c r="G6628" s="73"/>
      <c r="H6628" s="12"/>
      <c r="I6628" s="12"/>
      <c r="J6628" s="33"/>
      <c r="K6628" s="12"/>
      <c r="L6628" s="15"/>
    </row>
    <row r="6629" spans="1:12">
      <c r="A6629" s="72"/>
      <c r="B6629" s="12"/>
      <c r="C6629" s="12"/>
      <c r="D6629" s="12"/>
      <c r="E6629" s="11"/>
      <c r="F6629" s="11"/>
      <c r="G6629" s="73"/>
      <c r="H6629" s="12"/>
      <c r="I6629" s="12"/>
      <c r="J6629" s="33"/>
      <c r="K6629" s="12"/>
      <c r="L6629" s="15"/>
    </row>
    <row r="6630" spans="1:12">
      <c r="A6630" s="72"/>
      <c r="B6630" s="12"/>
      <c r="C6630" s="12"/>
      <c r="D6630" s="12"/>
      <c r="E6630" s="11"/>
      <c r="F6630" s="11"/>
      <c r="G6630" s="73"/>
      <c r="H6630" s="12"/>
      <c r="I6630" s="12"/>
      <c r="J6630" s="33"/>
      <c r="K6630" s="12"/>
      <c r="L6630" s="15"/>
    </row>
    <row r="6631" spans="1:12">
      <c r="A6631" s="72"/>
      <c r="B6631" s="12"/>
      <c r="C6631" s="12"/>
      <c r="D6631" s="12"/>
      <c r="E6631" s="11"/>
      <c r="F6631" s="11"/>
      <c r="G6631" s="73"/>
      <c r="H6631" s="12"/>
      <c r="I6631" s="12"/>
      <c r="J6631" s="33"/>
      <c r="K6631" s="12"/>
      <c r="L6631" s="15"/>
    </row>
    <row r="6632" spans="1:12">
      <c r="A6632" s="72"/>
      <c r="B6632" s="12"/>
      <c r="C6632" s="12"/>
      <c r="D6632" s="12"/>
      <c r="E6632" s="11"/>
      <c r="F6632" s="11"/>
      <c r="G6632" s="73"/>
      <c r="H6632" s="12"/>
      <c r="I6632" s="12"/>
      <c r="J6632" s="33"/>
      <c r="K6632" s="12"/>
      <c r="L6632" s="15"/>
    </row>
    <row r="6633" spans="1:12">
      <c r="A6633" s="72"/>
      <c r="B6633" s="12"/>
      <c r="C6633" s="12"/>
      <c r="D6633" s="12"/>
      <c r="E6633" s="11"/>
      <c r="F6633" s="11"/>
      <c r="G6633" s="73"/>
      <c r="H6633" s="12"/>
      <c r="I6633" s="12"/>
      <c r="J6633" s="33"/>
      <c r="K6633" s="12"/>
      <c r="L6633" s="15"/>
    </row>
    <row r="6634" spans="1:12">
      <c r="A6634" s="72"/>
      <c r="B6634" s="12"/>
      <c r="C6634" s="12"/>
      <c r="D6634" s="12"/>
      <c r="E6634" s="11"/>
      <c r="F6634" s="11"/>
      <c r="G6634" s="73"/>
      <c r="H6634" s="12"/>
      <c r="I6634" s="12"/>
      <c r="J6634" s="33"/>
      <c r="K6634" s="12"/>
      <c r="L6634" s="15"/>
    </row>
    <row r="6635" spans="1:12">
      <c r="A6635" s="72"/>
      <c r="B6635" s="12"/>
      <c r="C6635" s="12"/>
      <c r="D6635" s="12"/>
      <c r="E6635" s="11"/>
      <c r="F6635" s="11"/>
      <c r="G6635" s="73"/>
      <c r="H6635" s="12"/>
      <c r="I6635" s="12"/>
      <c r="J6635" s="33"/>
      <c r="K6635" s="12"/>
      <c r="L6635" s="15"/>
    </row>
    <row r="6636" spans="1:12">
      <c r="A6636" s="72"/>
      <c r="B6636" s="12"/>
      <c r="C6636" s="12"/>
      <c r="D6636" s="12"/>
      <c r="E6636" s="11"/>
      <c r="F6636" s="11"/>
      <c r="G6636" s="73"/>
      <c r="H6636" s="12"/>
      <c r="I6636" s="12"/>
      <c r="J6636" s="33"/>
      <c r="K6636" s="12"/>
      <c r="L6636" s="15"/>
    </row>
    <row r="6637" spans="1:12">
      <c r="A6637" s="72"/>
      <c r="B6637" s="12"/>
      <c r="C6637" s="12"/>
      <c r="D6637" s="12"/>
      <c r="E6637" s="11"/>
      <c r="F6637" s="11"/>
      <c r="G6637" s="73"/>
      <c r="H6637" s="12"/>
      <c r="I6637" s="12"/>
      <c r="J6637" s="33"/>
      <c r="K6637" s="12"/>
      <c r="L6637" s="15"/>
    </row>
    <row r="6638" spans="1:12">
      <c r="A6638" s="72"/>
      <c r="B6638" s="12"/>
      <c r="C6638" s="12"/>
      <c r="D6638" s="12"/>
      <c r="E6638" s="11"/>
      <c r="F6638" s="11"/>
      <c r="G6638" s="73"/>
      <c r="H6638" s="12"/>
      <c r="I6638" s="12"/>
      <c r="J6638" s="33"/>
      <c r="K6638" s="12"/>
      <c r="L6638" s="15"/>
    </row>
    <row r="6639" spans="1:12">
      <c r="A6639" s="72"/>
      <c r="B6639" s="12"/>
      <c r="C6639" s="12"/>
      <c r="D6639" s="12"/>
      <c r="E6639" s="11"/>
      <c r="F6639" s="11"/>
      <c r="G6639" s="73"/>
      <c r="H6639" s="12"/>
      <c r="I6639" s="12"/>
      <c r="J6639" s="33"/>
      <c r="K6639" s="12"/>
      <c r="L6639" s="15"/>
    </row>
    <row r="6640" spans="1:12">
      <c r="A6640" s="72"/>
      <c r="B6640" s="12"/>
      <c r="C6640" s="12"/>
      <c r="D6640" s="12"/>
      <c r="E6640" s="11"/>
      <c r="F6640" s="11"/>
      <c r="G6640" s="73"/>
      <c r="H6640" s="12"/>
      <c r="I6640" s="12"/>
      <c r="J6640" s="33"/>
      <c r="K6640" s="12"/>
      <c r="L6640" s="15"/>
    </row>
    <row r="6641" spans="1:12">
      <c r="A6641" s="72"/>
      <c r="B6641" s="12"/>
      <c r="C6641" s="12"/>
      <c r="D6641" s="12"/>
      <c r="E6641" s="11"/>
      <c r="F6641" s="11"/>
      <c r="G6641" s="73"/>
      <c r="H6641" s="12"/>
      <c r="I6641" s="12"/>
      <c r="J6641" s="33"/>
      <c r="K6641" s="12"/>
      <c r="L6641" s="15"/>
    </row>
    <row r="6642" spans="1:12">
      <c r="A6642" s="72"/>
      <c r="B6642" s="12"/>
      <c r="C6642" s="12"/>
      <c r="D6642" s="12"/>
      <c r="E6642" s="11"/>
      <c r="F6642" s="11"/>
      <c r="G6642" s="73"/>
      <c r="H6642" s="12"/>
      <c r="I6642" s="12"/>
      <c r="J6642" s="33"/>
      <c r="K6642" s="12"/>
      <c r="L6642" s="15"/>
    </row>
    <row r="6643" spans="1:12">
      <c r="A6643" s="72"/>
      <c r="B6643" s="12"/>
      <c r="C6643" s="12"/>
      <c r="D6643" s="12"/>
      <c r="E6643" s="11"/>
      <c r="F6643" s="11"/>
      <c r="G6643" s="73"/>
      <c r="H6643" s="12"/>
      <c r="I6643" s="12"/>
      <c r="J6643" s="33"/>
      <c r="K6643" s="12"/>
      <c r="L6643" s="15"/>
    </row>
    <row r="6644" spans="1:12">
      <c r="A6644" s="72"/>
      <c r="B6644" s="12"/>
      <c r="C6644" s="12"/>
      <c r="D6644" s="12"/>
      <c r="E6644" s="11"/>
      <c r="F6644" s="11"/>
      <c r="G6644" s="73"/>
      <c r="H6644" s="12"/>
      <c r="I6644" s="12"/>
      <c r="J6644" s="33"/>
      <c r="K6644" s="12"/>
      <c r="L6644" s="15"/>
    </row>
    <row r="6645" spans="1:12">
      <c r="A6645" s="72"/>
      <c r="B6645" s="12"/>
      <c r="C6645" s="12"/>
      <c r="D6645" s="12"/>
      <c r="E6645" s="11"/>
      <c r="F6645" s="11"/>
      <c r="G6645" s="73"/>
      <c r="H6645" s="12"/>
      <c r="I6645" s="12"/>
      <c r="J6645" s="33"/>
      <c r="K6645" s="12"/>
      <c r="L6645" s="15"/>
    </row>
    <row r="6646" spans="1:12">
      <c r="A6646" s="72"/>
      <c r="B6646" s="12"/>
      <c r="C6646" s="12"/>
      <c r="D6646" s="12"/>
      <c r="E6646" s="11"/>
      <c r="F6646" s="11"/>
      <c r="G6646" s="73"/>
      <c r="H6646" s="12"/>
      <c r="I6646" s="12"/>
      <c r="J6646" s="33"/>
      <c r="K6646" s="12"/>
      <c r="L6646" s="15"/>
    </row>
    <row r="6647" spans="1:12">
      <c r="A6647" s="72"/>
      <c r="B6647" s="12"/>
      <c r="C6647" s="12"/>
      <c r="D6647" s="12"/>
      <c r="E6647" s="11"/>
      <c r="F6647" s="11"/>
      <c r="G6647" s="73"/>
      <c r="H6647" s="12"/>
      <c r="I6647" s="12"/>
      <c r="J6647" s="33"/>
      <c r="K6647" s="12"/>
      <c r="L6647" s="15"/>
    </row>
    <row r="6648" spans="1:12">
      <c r="A6648" s="72"/>
      <c r="B6648" s="12"/>
      <c r="C6648" s="12"/>
      <c r="D6648" s="12"/>
      <c r="E6648" s="11"/>
      <c r="F6648" s="11"/>
      <c r="G6648" s="73"/>
      <c r="H6648" s="12"/>
      <c r="I6648" s="12"/>
      <c r="J6648" s="33"/>
      <c r="K6648" s="12"/>
      <c r="L6648" s="15"/>
    </row>
    <row r="6649" spans="1:12">
      <c r="A6649" s="72"/>
      <c r="B6649" s="12"/>
      <c r="C6649" s="12"/>
      <c r="D6649" s="12"/>
      <c r="E6649" s="11"/>
      <c r="F6649" s="11"/>
      <c r="G6649" s="73"/>
      <c r="H6649" s="12"/>
      <c r="I6649" s="12"/>
      <c r="J6649" s="33"/>
      <c r="K6649" s="12"/>
      <c r="L6649" s="15"/>
    </row>
    <row r="6650" spans="1:12">
      <c r="A6650" s="72"/>
      <c r="B6650" s="12"/>
      <c r="C6650" s="12"/>
      <c r="D6650" s="12"/>
      <c r="E6650" s="11"/>
      <c r="F6650" s="11"/>
      <c r="G6650" s="73"/>
      <c r="H6650" s="12"/>
      <c r="I6650" s="12"/>
      <c r="J6650" s="33"/>
      <c r="K6650" s="12"/>
      <c r="L6650" s="15"/>
    </row>
    <row r="6651" spans="1:12">
      <c r="A6651" s="72"/>
      <c r="B6651" s="12"/>
      <c r="C6651" s="12"/>
      <c r="D6651" s="12"/>
      <c r="E6651" s="11"/>
      <c r="F6651" s="11"/>
      <c r="G6651" s="73"/>
      <c r="H6651" s="12"/>
      <c r="I6651" s="12"/>
      <c r="J6651" s="33"/>
      <c r="K6651" s="12"/>
      <c r="L6651" s="15"/>
    </row>
    <row r="6652" spans="1:12">
      <c r="A6652" s="72"/>
      <c r="B6652" s="12"/>
      <c r="C6652" s="12"/>
      <c r="D6652" s="12"/>
      <c r="E6652" s="11"/>
      <c r="F6652" s="11"/>
      <c r="G6652" s="73"/>
      <c r="H6652" s="12"/>
      <c r="I6652" s="12"/>
      <c r="J6652" s="33"/>
      <c r="K6652" s="12"/>
      <c r="L6652" s="15"/>
    </row>
    <row r="6653" spans="1:12">
      <c r="A6653" s="72"/>
      <c r="B6653" s="12"/>
      <c r="C6653" s="12"/>
      <c r="D6653" s="12"/>
      <c r="E6653" s="11"/>
      <c r="F6653" s="11"/>
      <c r="G6653" s="73"/>
      <c r="H6653" s="12"/>
      <c r="I6653" s="12"/>
      <c r="J6653" s="33"/>
      <c r="K6653" s="12"/>
      <c r="L6653" s="15"/>
    </row>
    <row r="6654" spans="1:12">
      <c r="A6654" s="72"/>
      <c r="B6654" s="12"/>
      <c r="C6654" s="12"/>
      <c r="D6654" s="12"/>
      <c r="E6654" s="11"/>
      <c r="F6654" s="11"/>
      <c r="G6654" s="73"/>
      <c r="H6654" s="12"/>
      <c r="I6654" s="12"/>
      <c r="J6654" s="33"/>
      <c r="K6654" s="12"/>
      <c r="L6654" s="15"/>
    </row>
    <row r="6655" spans="1:12">
      <c r="A6655" s="72"/>
      <c r="B6655" s="12"/>
      <c r="C6655" s="12"/>
      <c r="D6655" s="12"/>
      <c r="E6655" s="11"/>
      <c r="F6655" s="11"/>
      <c r="G6655" s="73"/>
      <c r="H6655" s="12"/>
      <c r="I6655" s="12"/>
      <c r="J6655" s="33"/>
      <c r="K6655" s="12"/>
      <c r="L6655" s="15"/>
    </row>
    <row r="6656" spans="1:12">
      <c r="A6656" s="72"/>
      <c r="B6656" s="12"/>
      <c r="C6656" s="12"/>
      <c r="D6656" s="12"/>
      <c r="E6656" s="11"/>
      <c r="F6656" s="11"/>
      <c r="G6656" s="73"/>
      <c r="H6656" s="12"/>
      <c r="I6656" s="12"/>
      <c r="J6656" s="33"/>
      <c r="K6656" s="12"/>
      <c r="L6656" s="15"/>
    </row>
    <row r="6657" spans="1:12">
      <c r="A6657" s="72"/>
      <c r="B6657" s="12"/>
      <c r="C6657" s="12"/>
      <c r="D6657" s="12"/>
      <c r="E6657" s="11"/>
      <c r="F6657" s="11"/>
      <c r="G6657" s="73"/>
      <c r="H6657" s="12"/>
      <c r="I6657" s="12"/>
      <c r="J6657" s="33"/>
      <c r="K6657" s="12"/>
      <c r="L6657" s="15"/>
    </row>
    <row r="6658" spans="1:12">
      <c r="A6658" s="72"/>
      <c r="B6658" s="12"/>
      <c r="C6658" s="12"/>
      <c r="D6658" s="12"/>
      <c r="E6658" s="11"/>
      <c r="F6658" s="11"/>
      <c r="G6658" s="73"/>
      <c r="H6658" s="12"/>
      <c r="I6658" s="12"/>
      <c r="J6658" s="33"/>
      <c r="K6658" s="12"/>
      <c r="L6658" s="15"/>
    </row>
    <row r="6659" spans="1:12">
      <c r="A6659" s="72"/>
      <c r="B6659" s="12"/>
      <c r="C6659" s="12"/>
      <c r="D6659" s="12"/>
      <c r="E6659" s="81"/>
      <c r="F6659" s="81"/>
      <c r="G6659" s="73"/>
      <c r="H6659" s="12"/>
      <c r="I6659" s="12"/>
      <c r="J6659" s="33"/>
      <c r="K6659" s="12"/>
      <c r="L6659" s="15"/>
    </row>
    <row r="6660" spans="1:12">
      <c r="A6660" s="72"/>
      <c r="B6660" s="12"/>
      <c r="C6660" s="12"/>
      <c r="D6660" s="12"/>
      <c r="E6660" s="130"/>
      <c r="F6660" s="81"/>
      <c r="G6660" s="73"/>
      <c r="H6660" s="12"/>
      <c r="I6660" s="12"/>
      <c r="J6660" s="33"/>
      <c r="K6660" s="12"/>
      <c r="L6660" s="15"/>
    </row>
    <row r="6661" spans="1:12">
      <c r="A6661" s="72"/>
      <c r="B6661" s="12"/>
      <c r="C6661" s="12"/>
      <c r="D6661" s="12"/>
      <c r="E6661" s="11"/>
      <c r="F6661" s="11"/>
      <c r="G6661" s="73"/>
      <c r="H6661" s="12"/>
      <c r="I6661" s="12"/>
      <c r="J6661" s="33"/>
      <c r="K6661" s="12"/>
      <c r="L6661" s="15"/>
    </row>
    <row r="6662" spans="1:12">
      <c r="A6662" s="72"/>
      <c r="B6662" s="12"/>
      <c r="C6662" s="12"/>
      <c r="D6662" s="12"/>
      <c r="E6662" s="11"/>
      <c r="F6662" s="11"/>
      <c r="G6662" s="73"/>
      <c r="H6662" s="12"/>
      <c r="I6662" s="12"/>
      <c r="J6662" s="33"/>
      <c r="K6662" s="12"/>
      <c r="L6662" s="15"/>
    </row>
    <row r="6663" spans="1:12">
      <c r="A6663" s="72"/>
      <c r="B6663" s="12"/>
      <c r="C6663" s="12"/>
      <c r="D6663" s="12"/>
      <c r="E6663" s="11"/>
      <c r="F6663" s="11"/>
      <c r="G6663" s="73"/>
      <c r="H6663" s="12"/>
      <c r="I6663" s="12"/>
      <c r="J6663" s="33"/>
      <c r="K6663" s="12"/>
      <c r="L6663" s="15"/>
    </row>
    <row r="6664" spans="1:12">
      <c r="A6664" s="72"/>
      <c r="B6664" s="12"/>
      <c r="C6664" s="12"/>
      <c r="D6664" s="12"/>
      <c r="E6664" s="11"/>
      <c r="F6664" s="11"/>
      <c r="G6664" s="73"/>
      <c r="H6664" s="12"/>
      <c r="I6664" s="12"/>
      <c r="J6664" s="33"/>
      <c r="K6664" s="12"/>
      <c r="L6664" s="15"/>
    </row>
    <row r="6665" spans="1:12">
      <c r="A6665" s="72"/>
      <c r="B6665" s="12"/>
      <c r="C6665" s="12"/>
      <c r="D6665" s="12"/>
      <c r="E6665" s="11"/>
      <c r="F6665" s="11"/>
      <c r="G6665" s="73"/>
      <c r="H6665" s="12"/>
      <c r="I6665" s="12"/>
      <c r="J6665" s="33"/>
      <c r="K6665" s="12"/>
      <c r="L6665" s="15"/>
    </row>
    <row r="6666" spans="1:12">
      <c r="A6666" s="72"/>
      <c r="B6666" s="12"/>
      <c r="C6666" s="12"/>
      <c r="D6666" s="12"/>
      <c r="E6666" s="11"/>
      <c r="F6666" s="11"/>
      <c r="G6666" s="73"/>
      <c r="H6666" s="12"/>
      <c r="I6666" s="12"/>
      <c r="J6666" s="33"/>
      <c r="K6666" s="12"/>
      <c r="L6666" s="15"/>
    </row>
    <row r="6667" spans="1:12">
      <c r="A6667" s="72"/>
      <c r="B6667" s="12"/>
      <c r="C6667" s="12"/>
      <c r="D6667" s="12"/>
      <c r="E6667" s="11"/>
      <c r="F6667" s="11"/>
      <c r="G6667" s="73"/>
      <c r="H6667" s="12"/>
      <c r="I6667" s="12"/>
      <c r="J6667" s="33"/>
      <c r="K6667" s="12"/>
      <c r="L6667" s="15"/>
    </row>
    <row r="6668" spans="1:12">
      <c r="A6668" s="72"/>
      <c r="B6668" s="12"/>
      <c r="C6668" s="12"/>
      <c r="D6668" s="12"/>
      <c r="E6668" s="11"/>
      <c r="F6668" s="11"/>
      <c r="G6668" s="73"/>
      <c r="H6668" s="12"/>
      <c r="I6668" s="12"/>
      <c r="J6668" s="33"/>
      <c r="K6668" s="12"/>
      <c r="L6668" s="15"/>
    </row>
    <row r="6669" spans="1:12">
      <c r="A6669" s="72"/>
      <c r="B6669" s="12"/>
      <c r="C6669" s="12"/>
      <c r="D6669" s="12"/>
      <c r="E6669" s="11"/>
      <c r="F6669" s="11"/>
      <c r="G6669" s="73"/>
      <c r="H6669" s="12"/>
      <c r="I6669" s="12"/>
      <c r="J6669" s="33"/>
      <c r="K6669" s="12"/>
      <c r="L6669" s="15"/>
    </row>
    <row r="6670" spans="1:12">
      <c r="A6670" s="72"/>
      <c r="B6670" s="12"/>
      <c r="C6670" s="12"/>
      <c r="D6670" s="12"/>
      <c r="E6670" s="11"/>
      <c r="F6670" s="11"/>
      <c r="G6670" s="73"/>
      <c r="H6670" s="12"/>
      <c r="I6670" s="12"/>
      <c r="J6670" s="33"/>
      <c r="K6670" s="12"/>
      <c r="L6670" s="15"/>
    </row>
    <row r="6671" spans="1:12">
      <c r="A6671" s="72"/>
      <c r="B6671" s="12"/>
      <c r="C6671" s="12"/>
      <c r="D6671" s="12"/>
      <c r="E6671" s="11"/>
      <c r="F6671" s="11"/>
      <c r="G6671" s="73"/>
      <c r="H6671" s="12"/>
      <c r="I6671" s="12"/>
      <c r="J6671" s="33"/>
      <c r="K6671" s="12"/>
      <c r="L6671" s="15"/>
    </row>
    <row r="6672" spans="1:12">
      <c r="A6672" s="72"/>
      <c r="B6672" s="12"/>
      <c r="C6672" s="12"/>
      <c r="D6672" s="12"/>
      <c r="E6672" s="11"/>
      <c r="F6672" s="11"/>
      <c r="G6672" s="73"/>
      <c r="H6672" s="12"/>
      <c r="I6672" s="12"/>
      <c r="J6672" s="33"/>
      <c r="K6672" s="12"/>
      <c r="L6672" s="15"/>
    </row>
    <row r="6673" spans="1:12">
      <c r="A6673" s="72"/>
      <c r="B6673" s="12"/>
      <c r="C6673" s="12"/>
      <c r="D6673" s="12"/>
      <c r="E6673" s="11"/>
      <c r="F6673" s="11"/>
      <c r="G6673" s="73"/>
      <c r="H6673" s="12"/>
      <c r="I6673" s="12"/>
      <c r="J6673" s="33"/>
      <c r="K6673" s="12"/>
      <c r="L6673" s="15"/>
    </row>
    <row r="6674" spans="1:12">
      <c r="A6674" s="72"/>
      <c r="B6674" s="12"/>
      <c r="C6674" s="12"/>
      <c r="D6674" s="12"/>
      <c r="E6674" s="11"/>
      <c r="F6674" s="11"/>
      <c r="G6674" s="73"/>
      <c r="H6674" s="12"/>
      <c r="I6674" s="12"/>
      <c r="J6674" s="33"/>
      <c r="K6674" s="12"/>
      <c r="L6674" s="15"/>
    </row>
    <row r="6675" spans="1:12">
      <c r="A6675" s="72"/>
      <c r="B6675" s="12"/>
      <c r="C6675" s="12"/>
      <c r="D6675" s="12"/>
      <c r="E6675" s="11"/>
      <c r="F6675" s="11"/>
      <c r="G6675" s="73"/>
      <c r="H6675" s="12"/>
      <c r="I6675" s="12"/>
      <c r="J6675" s="33"/>
      <c r="K6675" s="12"/>
      <c r="L6675" s="15"/>
    </row>
    <row r="6676" spans="1:12">
      <c r="A6676" s="72"/>
      <c r="B6676" s="12"/>
      <c r="C6676" s="12"/>
      <c r="D6676" s="12"/>
      <c r="E6676" s="11"/>
      <c r="F6676" s="11"/>
      <c r="G6676" s="73"/>
      <c r="H6676" s="12"/>
      <c r="I6676" s="12"/>
      <c r="J6676" s="33"/>
      <c r="K6676" s="12"/>
      <c r="L6676" s="15"/>
    </row>
    <row r="6677" spans="1:12">
      <c r="A6677" s="72"/>
      <c r="B6677" s="12"/>
      <c r="C6677" s="12"/>
      <c r="D6677" s="12"/>
      <c r="E6677" s="11"/>
      <c r="F6677" s="11"/>
      <c r="G6677" s="73"/>
      <c r="H6677" s="12"/>
      <c r="I6677" s="12"/>
      <c r="J6677" s="33"/>
      <c r="K6677" s="12"/>
      <c r="L6677" s="15"/>
    </row>
    <row r="6678" spans="1:12">
      <c r="A6678" s="72"/>
      <c r="B6678" s="12"/>
      <c r="C6678" s="12"/>
      <c r="D6678" s="12"/>
      <c r="E6678" s="11"/>
      <c r="F6678" s="11"/>
      <c r="G6678" s="73"/>
      <c r="H6678" s="12"/>
      <c r="I6678" s="12"/>
      <c r="J6678" s="33"/>
      <c r="K6678" s="12"/>
      <c r="L6678" s="15"/>
    </row>
    <row r="6679" spans="1:12">
      <c r="A6679" s="72"/>
      <c r="B6679" s="12"/>
      <c r="C6679" s="12"/>
      <c r="D6679" s="12"/>
      <c r="E6679" s="11"/>
      <c r="F6679" s="11"/>
      <c r="G6679" s="73"/>
      <c r="H6679" s="12"/>
      <c r="I6679" s="12"/>
      <c r="J6679" s="33"/>
      <c r="K6679" s="12"/>
      <c r="L6679" s="15"/>
    </row>
    <row r="6680" spans="1:12">
      <c r="A6680" s="72"/>
      <c r="B6680" s="12"/>
      <c r="C6680" s="12"/>
      <c r="D6680" s="12"/>
      <c r="E6680" s="11"/>
      <c r="F6680" s="11"/>
      <c r="G6680" s="73"/>
      <c r="H6680" s="12"/>
      <c r="I6680" s="12"/>
      <c r="J6680" s="33"/>
      <c r="K6680" s="12"/>
      <c r="L6680" s="15"/>
    </row>
    <row r="6681" spans="1:12">
      <c r="A6681" s="72"/>
      <c r="B6681" s="12"/>
      <c r="C6681" s="12"/>
      <c r="D6681" s="12"/>
      <c r="E6681" s="11"/>
      <c r="F6681" s="11"/>
      <c r="G6681" s="73"/>
      <c r="H6681" s="12"/>
      <c r="I6681" s="12"/>
      <c r="J6681" s="33"/>
      <c r="K6681" s="12"/>
      <c r="L6681" s="15"/>
    </row>
    <row r="6682" spans="1:12">
      <c r="A6682" s="72"/>
      <c r="B6682" s="12"/>
      <c r="C6682" s="12"/>
      <c r="D6682" s="12"/>
      <c r="E6682" s="11"/>
      <c r="F6682" s="11"/>
      <c r="G6682" s="73"/>
      <c r="H6682" s="12"/>
      <c r="I6682" s="12"/>
      <c r="J6682" s="33"/>
      <c r="K6682" s="12"/>
      <c r="L6682" s="15"/>
    </row>
    <row r="6683" spans="1:12">
      <c r="A6683" s="72"/>
      <c r="B6683" s="12"/>
      <c r="C6683" s="12"/>
      <c r="D6683" s="12"/>
      <c r="E6683" s="11"/>
      <c r="F6683" s="11"/>
      <c r="G6683" s="73"/>
      <c r="H6683" s="12"/>
      <c r="I6683" s="12"/>
      <c r="J6683" s="33"/>
      <c r="K6683" s="12"/>
      <c r="L6683" s="15"/>
    </row>
    <row r="6684" spans="1:12">
      <c r="A6684" s="72"/>
      <c r="B6684" s="12"/>
      <c r="C6684" s="12"/>
      <c r="D6684" s="12"/>
      <c r="E6684" s="11"/>
      <c r="F6684" s="11"/>
      <c r="G6684" s="73"/>
      <c r="H6684" s="12"/>
      <c r="I6684" s="12"/>
      <c r="J6684" s="33"/>
      <c r="K6684" s="12"/>
      <c r="L6684" s="15"/>
    </row>
    <row r="6685" spans="1:12">
      <c r="A6685" s="72"/>
      <c r="B6685" s="12"/>
      <c r="C6685" s="12"/>
      <c r="D6685" s="12"/>
      <c r="E6685" s="11"/>
      <c r="F6685" s="11"/>
      <c r="G6685" s="73"/>
      <c r="H6685" s="12"/>
      <c r="I6685" s="12"/>
      <c r="J6685" s="33"/>
      <c r="K6685" s="12"/>
      <c r="L6685" s="15"/>
    </row>
    <row r="6686" spans="1:12">
      <c r="A6686" s="72"/>
      <c r="B6686" s="12"/>
      <c r="C6686" s="12"/>
      <c r="D6686" s="12"/>
      <c r="E6686" s="11"/>
      <c r="F6686" s="11"/>
      <c r="G6686" s="73"/>
      <c r="H6686" s="12"/>
      <c r="I6686" s="12"/>
      <c r="J6686" s="33"/>
      <c r="K6686" s="12"/>
      <c r="L6686" s="15"/>
    </row>
    <row r="6687" spans="1:12">
      <c r="A6687" s="72"/>
      <c r="B6687" s="12"/>
      <c r="C6687" s="12"/>
      <c r="D6687" s="12"/>
      <c r="E6687" s="11"/>
      <c r="F6687" s="11"/>
      <c r="G6687" s="73"/>
      <c r="H6687" s="12"/>
      <c r="I6687" s="12"/>
      <c r="J6687" s="33"/>
      <c r="K6687" s="12"/>
      <c r="L6687" s="15"/>
    </row>
    <row r="6688" spans="1:12">
      <c r="A6688" s="72"/>
      <c r="B6688" s="12"/>
      <c r="C6688" s="12"/>
      <c r="D6688" s="12"/>
      <c r="E6688" s="11"/>
      <c r="F6688" s="11"/>
      <c r="G6688" s="73"/>
      <c r="H6688" s="12"/>
      <c r="I6688" s="12"/>
      <c r="J6688" s="33"/>
      <c r="K6688" s="12"/>
      <c r="L6688" s="15"/>
    </row>
    <row r="6689" spans="1:12">
      <c r="A6689" s="72"/>
      <c r="B6689" s="12"/>
      <c r="C6689" s="12"/>
      <c r="D6689" s="12"/>
      <c r="E6689" s="11"/>
      <c r="F6689" s="11"/>
      <c r="G6689" s="73"/>
      <c r="H6689" s="12"/>
      <c r="I6689" s="12"/>
      <c r="J6689" s="33"/>
      <c r="K6689" s="12"/>
      <c r="L6689" s="15"/>
    </row>
    <row r="6690" spans="1:12">
      <c r="A6690" s="72"/>
      <c r="B6690" s="12"/>
      <c r="C6690" s="12"/>
      <c r="D6690" s="12"/>
      <c r="E6690" s="11"/>
      <c r="F6690" s="11"/>
      <c r="G6690" s="73"/>
      <c r="H6690" s="12"/>
      <c r="I6690" s="12"/>
      <c r="J6690" s="33"/>
      <c r="K6690" s="12"/>
      <c r="L6690" s="15"/>
    </row>
    <row r="6691" spans="1:12">
      <c r="A6691" s="72"/>
      <c r="B6691" s="12"/>
      <c r="C6691" s="12"/>
      <c r="D6691" s="100"/>
      <c r="E6691" s="11"/>
      <c r="F6691" s="11"/>
      <c r="G6691" s="73"/>
      <c r="H6691" s="12"/>
      <c r="I6691" s="12"/>
      <c r="J6691" s="33"/>
      <c r="K6691" s="12"/>
      <c r="L6691" s="15"/>
    </row>
    <row r="6692" spans="1:12">
      <c r="A6692" s="72"/>
      <c r="B6692" s="12"/>
      <c r="C6692" s="12"/>
      <c r="D6692" s="100"/>
      <c r="E6692" s="11"/>
      <c r="F6692" s="11"/>
      <c r="G6692" s="73"/>
      <c r="H6692" s="12"/>
      <c r="I6692" s="12"/>
      <c r="J6692" s="33"/>
      <c r="K6692" s="12"/>
      <c r="L6692" s="15"/>
    </row>
    <row r="6693" spans="1:12">
      <c r="A6693" s="72"/>
      <c r="B6693" s="12"/>
      <c r="C6693" s="12"/>
      <c r="D6693" s="12"/>
      <c r="E6693" s="11"/>
      <c r="F6693" s="11"/>
      <c r="G6693" s="73"/>
      <c r="H6693" s="12"/>
      <c r="I6693" s="12"/>
      <c r="J6693" s="33"/>
      <c r="K6693" s="12"/>
      <c r="L6693" s="15"/>
    </row>
    <row r="6694" spans="1:12">
      <c r="A6694" s="72"/>
      <c r="B6694" s="12"/>
      <c r="C6694" s="12"/>
      <c r="D6694" s="12"/>
      <c r="E6694" s="11"/>
      <c r="F6694" s="11"/>
      <c r="G6694" s="73"/>
      <c r="H6694" s="12"/>
      <c r="I6694" s="12"/>
      <c r="J6694" s="33"/>
      <c r="K6694" s="12"/>
      <c r="L6694" s="15"/>
    </row>
    <row r="6695" spans="1:12">
      <c r="A6695" s="72"/>
      <c r="B6695" s="12"/>
      <c r="C6695" s="12"/>
      <c r="D6695" s="12"/>
      <c r="E6695" s="11"/>
      <c r="F6695" s="11"/>
      <c r="G6695" s="73"/>
      <c r="H6695" s="12"/>
      <c r="I6695" s="12"/>
      <c r="J6695" s="33"/>
      <c r="K6695" s="12"/>
      <c r="L6695" s="15"/>
    </row>
    <row r="6696" spans="1:12">
      <c r="A6696" s="72"/>
      <c r="B6696" s="12"/>
      <c r="C6696" s="12"/>
      <c r="D6696" s="12"/>
      <c r="E6696" s="11"/>
      <c r="F6696" s="11"/>
      <c r="G6696" s="73"/>
      <c r="H6696" s="12"/>
      <c r="I6696" s="12"/>
      <c r="J6696" s="33"/>
      <c r="K6696" s="12"/>
      <c r="L6696" s="15"/>
    </row>
    <row r="6697" spans="1:12">
      <c r="A6697" s="72"/>
      <c r="B6697" s="12"/>
      <c r="C6697" s="12"/>
      <c r="D6697" s="12"/>
      <c r="E6697" s="11"/>
      <c r="F6697" s="11"/>
      <c r="G6697" s="73"/>
      <c r="H6697" s="12"/>
      <c r="I6697" s="12"/>
      <c r="J6697" s="33"/>
      <c r="K6697" s="12"/>
      <c r="L6697" s="15"/>
    </row>
    <row r="6698" spans="1:12">
      <c r="A6698" s="72"/>
      <c r="B6698" s="12"/>
      <c r="C6698" s="12"/>
      <c r="D6698" s="12"/>
      <c r="E6698" s="11"/>
      <c r="F6698" s="11"/>
      <c r="G6698" s="73"/>
      <c r="H6698" s="12"/>
      <c r="I6698" s="12"/>
      <c r="J6698" s="33"/>
      <c r="K6698" s="12"/>
      <c r="L6698" s="15"/>
    </row>
    <row r="6699" spans="1:12">
      <c r="A6699" s="72"/>
      <c r="B6699" s="12"/>
      <c r="C6699" s="12"/>
      <c r="D6699" s="12"/>
      <c r="E6699" s="11"/>
      <c r="F6699" s="11"/>
      <c r="G6699" s="73"/>
      <c r="H6699" s="12"/>
      <c r="I6699" s="12"/>
      <c r="J6699" s="33"/>
      <c r="K6699" s="12"/>
      <c r="L6699" s="15"/>
    </row>
    <row r="6700" spans="1:12">
      <c r="A6700" s="72"/>
      <c r="B6700" s="12"/>
      <c r="C6700" s="12"/>
      <c r="D6700" s="12"/>
      <c r="E6700" s="11"/>
      <c r="F6700" s="11"/>
      <c r="G6700" s="73"/>
      <c r="H6700" s="12"/>
      <c r="I6700" s="12"/>
      <c r="J6700" s="33"/>
      <c r="K6700" s="12"/>
      <c r="L6700" s="15"/>
    </row>
    <row r="6701" spans="1:12">
      <c r="A6701" s="72"/>
      <c r="B6701" s="12"/>
      <c r="C6701" s="12"/>
      <c r="D6701" s="12"/>
      <c r="E6701" s="11"/>
      <c r="F6701" s="11"/>
      <c r="G6701" s="73"/>
      <c r="H6701" s="12"/>
      <c r="I6701" s="12"/>
      <c r="J6701" s="33"/>
      <c r="K6701" s="12"/>
      <c r="L6701" s="15"/>
    </row>
    <row r="6702" spans="1:12">
      <c r="A6702" s="72"/>
      <c r="B6702" s="12"/>
      <c r="C6702" s="12"/>
      <c r="D6702" s="12"/>
      <c r="E6702" s="11"/>
      <c r="F6702" s="11"/>
      <c r="G6702" s="73"/>
      <c r="H6702" s="12"/>
      <c r="I6702" s="12"/>
      <c r="J6702" s="33"/>
      <c r="K6702" s="12"/>
      <c r="L6702" s="15"/>
    </row>
    <row r="6703" spans="1:12">
      <c r="A6703" s="72"/>
      <c r="B6703" s="12"/>
      <c r="C6703" s="12"/>
      <c r="D6703" s="12"/>
      <c r="E6703" s="11"/>
      <c r="F6703" s="11"/>
      <c r="G6703" s="73"/>
      <c r="H6703" s="12"/>
      <c r="I6703" s="12"/>
      <c r="J6703" s="33"/>
      <c r="K6703" s="12"/>
      <c r="L6703" s="15"/>
    </row>
    <row r="6704" spans="1:12">
      <c r="A6704" s="72"/>
      <c r="B6704" s="12"/>
      <c r="C6704" s="12"/>
      <c r="D6704" s="12"/>
      <c r="E6704" s="11"/>
      <c r="F6704" s="11"/>
      <c r="G6704" s="73"/>
      <c r="H6704" s="12"/>
      <c r="I6704" s="12"/>
      <c r="J6704" s="33"/>
      <c r="K6704" s="12"/>
      <c r="L6704" s="15"/>
    </row>
    <row r="6705" spans="1:12">
      <c r="A6705" s="72"/>
      <c r="B6705" s="12"/>
      <c r="C6705" s="12"/>
      <c r="D6705" s="12"/>
      <c r="E6705" s="11"/>
      <c r="F6705" s="11"/>
      <c r="G6705" s="73"/>
      <c r="H6705" s="12"/>
      <c r="I6705" s="12"/>
      <c r="J6705" s="33"/>
      <c r="K6705" s="12"/>
      <c r="L6705" s="15"/>
    </row>
    <row r="6706" spans="1:12">
      <c r="A6706" s="72"/>
      <c r="B6706" s="12"/>
      <c r="C6706" s="12"/>
      <c r="D6706" s="12"/>
      <c r="E6706" s="11"/>
      <c r="F6706" s="11"/>
      <c r="G6706" s="73"/>
      <c r="H6706" s="12"/>
      <c r="I6706" s="12"/>
      <c r="J6706" s="33"/>
      <c r="K6706" s="12"/>
      <c r="L6706" s="15"/>
    </row>
    <row r="6707" spans="1:12">
      <c r="A6707" s="72"/>
      <c r="B6707" s="12"/>
      <c r="C6707" s="12"/>
      <c r="D6707" s="12"/>
      <c r="E6707" s="11"/>
      <c r="F6707" s="11"/>
      <c r="G6707" s="73"/>
      <c r="H6707" s="12"/>
      <c r="I6707" s="12"/>
      <c r="J6707" s="33"/>
      <c r="K6707" s="12"/>
      <c r="L6707" s="15"/>
    </row>
    <row r="6708" spans="1:12">
      <c r="A6708" s="72"/>
      <c r="B6708" s="12"/>
      <c r="C6708" s="12"/>
      <c r="D6708" s="12"/>
      <c r="E6708" s="11"/>
      <c r="F6708" s="11"/>
      <c r="G6708" s="73"/>
      <c r="H6708" s="12"/>
      <c r="I6708" s="12"/>
      <c r="J6708" s="33"/>
      <c r="K6708" s="12"/>
      <c r="L6708" s="15"/>
    </row>
    <row r="6709" spans="1:12">
      <c r="A6709" s="72"/>
      <c r="B6709" s="12"/>
      <c r="C6709" s="12"/>
      <c r="D6709" s="12"/>
      <c r="E6709" s="11"/>
      <c r="F6709" s="11"/>
      <c r="G6709" s="73"/>
      <c r="H6709" s="12"/>
      <c r="I6709" s="12"/>
      <c r="J6709" s="33"/>
      <c r="K6709" s="12"/>
      <c r="L6709" s="15"/>
    </row>
    <row r="6710" spans="1:12">
      <c r="A6710" s="72"/>
      <c r="B6710" s="12"/>
      <c r="C6710" s="12"/>
      <c r="D6710" s="12"/>
      <c r="E6710" s="11"/>
      <c r="F6710" s="11"/>
      <c r="G6710" s="73"/>
      <c r="H6710" s="12"/>
      <c r="I6710" s="12"/>
      <c r="J6710" s="33"/>
      <c r="K6710" s="12"/>
      <c r="L6710" s="15"/>
    </row>
    <row r="6711" spans="1:12">
      <c r="A6711" s="72"/>
      <c r="B6711" s="12"/>
      <c r="C6711" s="12"/>
      <c r="D6711" s="12"/>
      <c r="E6711" s="11"/>
      <c r="F6711" s="11"/>
      <c r="G6711" s="73"/>
      <c r="H6711" s="12"/>
      <c r="I6711" s="12"/>
      <c r="J6711" s="33"/>
      <c r="K6711" s="12"/>
      <c r="L6711" s="15"/>
    </row>
    <row r="6712" spans="1:12">
      <c r="A6712" s="72"/>
      <c r="B6712" s="12"/>
      <c r="C6712" s="12"/>
      <c r="D6712" s="12"/>
      <c r="E6712" s="11"/>
      <c r="F6712" s="11"/>
      <c r="G6712" s="73"/>
      <c r="H6712" s="12"/>
      <c r="I6712" s="12"/>
      <c r="J6712" s="33"/>
      <c r="K6712" s="12"/>
      <c r="L6712" s="15"/>
    </row>
    <row r="6713" spans="1:12">
      <c r="A6713" s="72"/>
      <c r="B6713" s="12"/>
      <c r="C6713" s="12"/>
      <c r="D6713" s="12"/>
      <c r="E6713" s="11"/>
      <c r="F6713" s="11"/>
      <c r="G6713" s="73"/>
      <c r="H6713" s="12"/>
      <c r="I6713" s="12"/>
      <c r="J6713" s="33"/>
      <c r="K6713" s="12"/>
      <c r="L6713" s="15"/>
    </row>
    <row r="6714" spans="1:12">
      <c r="A6714" s="72"/>
      <c r="B6714" s="12"/>
      <c r="C6714" s="12"/>
      <c r="D6714" s="12"/>
      <c r="E6714" s="11"/>
      <c r="F6714" s="11"/>
      <c r="G6714" s="73"/>
      <c r="H6714" s="12"/>
      <c r="I6714" s="12"/>
      <c r="J6714" s="33"/>
      <c r="K6714" s="12"/>
      <c r="L6714" s="15"/>
    </row>
    <row r="6715" spans="1:12">
      <c r="A6715" s="72"/>
      <c r="B6715" s="12"/>
      <c r="C6715" s="12"/>
      <c r="D6715" s="12"/>
      <c r="E6715" s="11"/>
      <c r="F6715" s="11"/>
      <c r="G6715" s="73"/>
      <c r="H6715" s="12"/>
      <c r="I6715" s="12"/>
      <c r="J6715" s="33"/>
      <c r="K6715" s="12"/>
      <c r="L6715" s="15"/>
    </row>
    <row r="6716" spans="1:12">
      <c r="A6716" s="72"/>
      <c r="B6716" s="12"/>
      <c r="C6716" s="12"/>
      <c r="D6716" s="12"/>
      <c r="E6716" s="11"/>
      <c r="F6716" s="11"/>
      <c r="G6716" s="73"/>
      <c r="H6716" s="12"/>
      <c r="I6716" s="12"/>
      <c r="J6716" s="33"/>
      <c r="K6716" s="12"/>
      <c r="L6716" s="15"/>
    </row>
    <row r="6717" spans="1:12">
      <c r="A6717" s="72"/>
      <c r="B6717" s="12"/>
      <c r="C6717" s="12"/>
      <c r="D6717" s="12"/>
      <c r="E6717" s="11"/>
      <c r="F6717" s="11"/>
      <c r="G6717" s="73"/>
      <c r="H6717" s="12"/>
      <c r="I6717" s="12"/>
      <c r="J6717" s="33"/>
      <c r="K6717" s="12"/>
      <c r="L6717" s="15"/>
    </row>
    <row r="6718" spans="1:12">
      <c r="A6718" s="72"/>
      <c r="B6718" s="12"/>
      <c r="C6718" s="12"/>
      <c r="D6718" s="12"/>
      <c r="E6718" s="11"/>
      <c r="F6718" s="11"/>
      <c r="G6718" s="73"/>
      <c r="H6718" s="12"/>
      <c r="I6718" s="12"/>
      <c r="J6718" s="33"/>
      <c r="K6718" s="12"/>
      <c r="L6718" s="15"/>
    </row>
    <row r="6719" spans="1:12">
      <c r="A6719" s="72"/>
      <c r="B6719" s="12"/>
      <c r="C6719" s="12"/>
      <c r="D6719" s="12"/>
      <c r="E6719" s="11"/>
      <c r="F6719" s="11"/>
      <c r="G6719" s="73"/>
      <c r="H6719" s="12"/>
      <c r="I6719" s="12"/>
      <c r="J6719" s="33"/>
      <c r="K6719" s="12"/>
      <c r="L6719" s="15"/>
    </row>
    <row r="6720" spans="1:12">
      <c r="A6720" s="72"/>
      <c r="B6720" s="12"/>
      <c r="C6720" s="12"/>
      <c r="D6720" s="12"/>
      <c r="E6720" s="11"/>
      <c r="F6720" s="11"/>
      <c r="G6720" s="73"/>
      <c r="H6720" s="12"/>
      <c r="I6720" s="12"/>
      <c r="J6720" s="33"/>
      <c r="K6720" s="12"/>
      <c r="L6720" s="15"/>
    </row>
    <row r="6721" spans="1:12">
      <c r="A6721" s="72"/>
      <c r="B6721" s="12"/>
      <c r="C6721" s="12"/>
      <c r="D6721" s="12"/>
      <c r="E6721" s="11"/>
      <c r="F6721" s="11"/>
      <c r="G6721" s="73"/>
      <c r="H6721" s="12"/>
      <c r="I6721" s="12"/>
      <c r="J6721" s="33"/>
      <c r="K6721" s="12"/>
      <c r="L6721" s="15"/>
    </row>
    <row r="6722" spans="1:12">
      <c r="A6722" s="72"/>
      <c r="B6722" s="12"/>
      <c r="C6722" s="12"/>
      <c r="D6722" s="12"/>
      <c r="E6722" s="11"/>
      <c r="F6722" s="11"/>
      <c r="G6722" s="73"/>
      <c r="H6722" s="12"/>
      <c r="I6722" s="12"/>
      <c r="J6722" s="33"/>
      <c r="K6722" s="12"/>
      <c r="L6722" s="15"/>
    </row>
    <row r="6723" spans="1:12">
      <c r="A6723" s="72"/>
      <c r="B6723" s="12"/>
      <c r="C6723" s="12"/>
      <c r="D6723" s="12"/>
      <c r="E6723" s="11"/>
      <c r="F6723" s="11"/>
      <c r="G6723" s="73"/>
      <c r="H6723" s="12"/>
      <c r="I6723" s="12"/>
      <c r="J6723" s="33"/>
      <c r="K6723" s="12"/>
      <c r="L6723" s="15"/>
    </row>
    <row r="6724" spans="1:12">
      <c r="A6724" s="72"/>
      <c r="B6724" s="12"/>
      <c r="C6724" s="12"/>
      <c r="D6724" s="12"/>
      <c r="E6724" s="11"/>
      <c r="F6724" s="11"/>
      <c r="G6724" s="73"/>
      <c r="H6724" s="12"/>
      <c r="I6724" s="12"/>
      <c r="J6724" s="33"/>
      <c r="K6724" s="12"/>
      <c r="L6724" s="15"/>
    </row>
    <row r="6725" spans="1:12">
      <c r="A6725" s="72"/>
      <c r="B6725" s="12"/>
      <c r="C6725" s="12"/>
      <c r="D6725" s="12"/>
      <c r="E6725" s="11"/>
      <c r="F6725" s="11"/>
      <c r="G6725" s="73"/>
      <c r="H6725" s="12"/>
      <c r="I6725" s="12"/>
      <c r="J6725" s="33"/>
      <c r="K6725" s="12"/>
      <c r="L6725" s="15"/>
    </row>
    <row r="6726" spans="1:12">
      <c r="A6726" s="72"/>
      <c r="B6726" s="12"/>
      <c r="C6726" s="12"/>
      <c r="D6726" s="12"/>
      <c r="E6726" s="11"/>
      <c r="F6726" s="11"/>
      <c r="G6726" s="73"/>
      <c r="H6726" s="12"/>
      <c r="I6726" s="12"/>
      <c r="J6726" s="33"/>
      <c r="K6726" s="12"/>
      <c r="L6726" s="15"/>
    </row>
    <row r="6727" spans="1:12">
      <c r="A6727" s="72"/>
      <c r="B6727" s="12"/>
      <c r="C6727" s="12"/>
      <c r="D6727" s="12"/>
      <c r="E6727" s="11"/>
      <c r="F6727" s="11"/>
      <c r="G6727" s="73"/>
      <c r="H6727" s="12"/>
      <c r="I6727" s="12"/>
      <c r="J6727" s="33"/>
      <c r="K6727" s="12"/>
      <c r="L6727" s="15"/>
    </row>
    <row r="6728" spans="1:12">
      <c r="A6728" s="72"/>
      <c r="B6728" s="12"/>
      <c r="C6728" s="12"/>
      <c r="D6728" s="12"/>
      <c r="E6728" s="11"/>
      <c r="F6728" s="11"/>
      <c r="G6728" s="73"/>
      <c r="H6728" s="12"/>
      <c r="I6728" s="12"/>
      <c r="J6728" s="33"/>
      <c r="K6728" s="12"/>
      <c r="L6728" s="15"/>
    </row>
    <row r="6729" spans="1:12">
      <c r="A6729" s="72"/>
      <c r="B6729" s="12"/>
      <c r="C6729" s="12"/>
      <c r="D6729" s="12"/>
      <c r="E6729" s="11"/>
      <c r="F6729" s="11"/>
      <c r="G6729" s="73"/>
      <c r="H6729" s="12"/>
      <c r="I6729" s="12"/>
      <c r="J6729" s="33"/>
      <c r="K6729" s="12"/>
      <c r="L6729" s="15"/>
    </row>
    <row r="6730" spans="1:12">
      <c r="A6730" s="72"/>
      <c r="B6730" s="12"/>
      <c r="C6730" s="12"/>
      <c r="D6730" s="12"/>
      <c r="E6730" s="11"/>
      <c r="F6730" s="11"/>
      <c r="G6730" s="73"/>
      <c r="H6730" s="12"/>
      <c r="I6730" s="12"/>
      <c r="J6730" s="33"/>
      <c r="K6730" s="12"/>
      <c r="L6730" s="15"/>
    </row>
    <row r="6731" spans="1:12">
      <c r="A6731" s="72"/>
      <c r="B6731" s="12"/>
      <c r="C6731" s="12"/>
      <c r="D6731" s="12"/>
      <c r="E6731" s="11"/>
      <c r="F6731" s="11"/>
      <c r="G6731" s="73"/>
      <c r="H6731" s="12"/>
      <c r="I6731" s="12"/>
      <c r="J6731" s="33"/>
      <c r="K6731" s="12"/>
      <c r="L6731" s="15"/>
    </row>
    <row r="6732" spans="1:12">
      <c r="A6732" s="72"/>
      <c r="B6732" s="12"/>
      <c r="C6732" s="12"/>
      <c r="D6732" s="12"/>
      <c r="E6732" s="11"/>
      <c r="F6732" s="11"/>
      <c r="G6732" s="73"/>
      <c r="H6732" s="12"/>
      <c r="I6732" s="12"/>
      <c r="J6732" s="33"/>
      <c r="K6732" s="12"/>
      <c r="L6732" s="15"/>
    </row>
    <row r="6733" spans="1:12">
      <c r="A6733" s="72"/>
      <c r="B6733" s="12"/>
      <c r="C6733" s="12"/>
      <c r="D6733" s="12"/>
      <c r="E6733" s="11"/>
      <c r="F6733" s="11"/>
      <c r="G6733" s="73"/>
      <c r="H6733" s="12"/>
      <c r="I6733" s="12"/>
      <c r="J6733" s="33"/>
      <c r="K6733" s="12"/>
      <c r="L6733" s="15"/>
    </row>
    <row r="6734" spans="1:12">
      <c r="A6734" s="72"/>
      <c r="B6734" s="12"/>
      <c r="C6734" s="12"/>
      <c r="D6734" s="12"/>
      <c r="E6734" s="11"/>
      <c r="F6734" s="11"/>
      <c r="G6734" s="73"/>
      <c r="H6734" s="12"/>
      <c r="I6734" s="12"/>
      <c r="J6734" s="33"/>
      <c r="K6734" s="12"/>
      <c r="L6734" s="15"/>
    </row>
    <row r="6735" spans="1:12">
      <c r="A6735" s="72"/>
      <c r="B6735" s="12"/>
      <c r="C6735" s="12"/>
      <c r="D6735" s="12"/>
      <c r="E6735" s="11"/>
      <c r="F6735" s="11"/>
      <c r="G6735" s="73"/>
      <c r="H6735" s="12"/>
      <c r="I6735" s="12"/>
      <c r="J6735" s="33"/>
      <c r="K6735" s="12"/>
      <c r="L6735" s="15"/>
    </row>
    <row r="6736" spans="1:12">
      <c r="A6736" s="72"/>
      <c r="B6736" s="12"/>
      <c r="C6736" s="12"/>
      <c r="D6736" s="12"/>
      <c r="E6736" s="11"/>
      <c r="F6736" s="11"/>
      <c r="G6736" s="73"/>
      <c r="H6736" s="12"/>
      <c r="I6736" s="12"/>
      <c r="J6736" s="33"/>
      <c r="K6736" s="12"/>
      <c r="L6736" s="15"/>
    </row>
    <row r="6737" spans="1:12">
      <c r="A6737" s="72"/>
      <c r="B6737" s="12"/>
      <c r="C6737" s="12"/>
      <c r="D6737" s="12"/>
      <c r="E6737" s="11"/>
      <c r="F6737" s="11"/>
      <c r="G6737" s="73"/>
      <c r="H6737" s="12"/>
      <c r="I6737" s="12"/>
      <c r="J6737" s="33"/>
      <c r="K6737" s="12"/>
      <c r="L6737" s="15"/>
    </row>
    <row r="6738" spans="1:12">
      <c r="A6738" s="72"/>
      <c r="B6738" s="12"/>
      <c r="C6738" s="12"/>
      <c r="D6738" s="12"/>
      <c r="E6738" s="11"/>
      <c r="F6738" s="11"/>
      <c r="G6738" s="73"/>
      <c r="H6738" s="12"/>
      <c r="I6738" s="12"/>
      <c r="J6738" s="33"/>
      <c r="K6738" s="12"/>
      <c r="L6738" s="15"/>
    </row>
    <row r="6739" spans="1:12">
      <c r="A6739" s="72"/>
      <c r="B6739" s="12"/>
      <c r="C6739" s="12"/>
      <c r="D6739" s="12"/>
      <c r="E6739" s="11"/>
      <c r="F6739" s="11"/>
      <c r="G6739" s="73"/>
      <c r="H6739" s="12"/>
      <c r="I6739" s="12"/>
      <c r="J6739" s="33"/>
      <c r="K6739" s="12"/>
      <c r="L6739" s="15"/>
    </row>
    <row r="6740" spans="1:12">
      <c r="A6740" s="72"/>
      <c r="B6740" s="12"/>
      <c r="C6740" s="12"/>
      <c r="D6740" s="12"/>
      <c r="E6740" s="11"/>
      <c r="F6740" s="11"/>
      <c r="G6740" s="73"/>
      <c r="H6740" s="12"/>
      <c r="I6740" s="12"/>
      <c r="J6740" s="33"/>
      <c r="K6740" s="12"/>
      <c r="L6740" s="15"/>
    </row>
    <row r="6741" spans="1:12">
      <c r="A6741" s="72"/>
      <c r="B6741" s="12"/>
      <c r="C6741" s="12"/>
      <c r="D6741" s="12"/>
      <c r="E6741" s="11"/>
      <c r="F6741" s="11"/>
      <c r="G6741" s="73"/>
      <c r="H6741" s="12"/>
      <c r="I6741" s="12"/>
      <c r="J6741" s="33"/>
      <c r="K6741" s="12"/>
      <c r="L6741" s="15"/>
    </row>
    <row r="6742" spans="1:12">
      <c r="A6742" s="72"/>
      <c r="B6742" s="12"/>
      <c r="C6742" s="12"/>
      <c r="D6742" s="12"/>
      <c r="E6742" s="11"/>
      <c r="F6742" s="11"/>
      <c r="G6742" s="73"/>
      <c r="H6742" s="12"/>
      <c r="I6742" s="12"/>
      <c r="J6742" s="33"/>
      <c r="K6742" s="12"/>
      <c r="L6742" s="15"/>
    </row>
    <row r="6743" spans="1:12">
      <c r="A6743" s="72"/>
      <c r="B6743" s="12"/>
      <c r="C6743" s="12"/>
      <c r="D6743" s="12"/>
      <c r="E6743" s="11"/>
      <c r="F6743" s="11"/>
      <c r="G6743" s="73"/>
      <c r="H6743" s="12"/>
      <c r="I6743" s="12"/>
      <c r="J6743" s="33"/>
      <c r="K6743" s="12"/>
      <c r="L6743" s="15"/>
    </row>
    <row r="6744" spans="1:12">
      <c r="A6744" s="72"/>
      <c r="B6744" s="12"/>
      <c r="C6744" s="12"/>
      <c r="D6744" s="12"/>
      <c r="E6744" s="11"/>
      <c r="F6744" s="11"/>
      <c r="G6744" s="73"/>
      <c r="H6744" s="12"/>
      <c r="I6744" s="12"/>
      <c r="J6744" s="33"/>
      <c r="K6744" s="12"/>
      <c r="L6744" s="15"/>
    </row>
    <row r="6745" spans="1:12">
      <c r="A6745" s="72"/>
      <c r="B6745" s="12"/>
      <c r="C6745" s="12"/>
      <c r="D6745" s="12"/>
      <c r="E6745" s="11"/>
      <c r="F6745" s="11"/>
      <c r="G6745" s="73"/>
      <c r="H6745" s="12"/>
      <c r="I6745" s="12"/>
      <c r="J6745" s="33"/>
      <c r="K6745" s="12"/>
      <c r="L6745" s="15"/>
    </row>
    <row r="6746" spans="1:12">
      <c r="A6746" s="72"/>
      <c r="B6746" s="12"/>
      <c r="C6746" s="12"/>
      <c r="D6746" s="12"/>
      <c r="E6746" s="11"/>
      <c r="F6746" s="11"/>
      <c r="G6746" s="73"/>
      <c r="H6746" s="12"/>
      <c r="I6746" s="12"/>
      <c r="J6746" s="33"/>
      <c r="K6746" s="12"/>
      <c r="L6746" s="15"/>
    </row>
    <row r="6747" spans="1:12">
      <c r="A6747" s="72"/>
      <c r="B6747" s="12"/>
      <c r="C6747" s="12"/>
      <c r="D6747" s="12"/>
      <c r="E6747" s="11"/>
      <c r="F6747" s="11"/>
      <c r="G6747" s="73"/>
      <c r="H6747" s="12"/>
      <c r="I6747" s="12"/>
      <c r="J6747" s="33"/>
      <c r="K6747" s="12"/>
      <c r="L6747" s="15"/>
    </row>
    <row r="6748" spans="1:12">
      <c r="A6748" s="72"/>
      <c r="B6748" s="12"/>
      <c r="C6748" s="12"/>
      <c r="D6748" s="12"/>
      <c r="E6748" s="11"/>
      <c r="F6748" s="11"/>
      <c r="G6748" s="73"/>
      <c r="H6748" s="12"/>
      <c r="I6748" s="12"/>
      <c r="J6748" s="33"/>
      <c r="K6748" s="12"/>
      <c r="L6748" s="15"/>
    </row>
    <row r="6749" spans="1:12">
      <c r="A6749" s="72"/>
      <c r="B6749" s="12"/>
      <c r="C6749" s="12"/>
      <c r="D6749" s="12"/>
      <c r="E6749" s="11"/>
      <c r="F6749" s="11"/>
      <c r="G6749" s="73"/>
      <c r="H6749" s="12"/>
      <c r="I6749" s="12"/>
      <c r="J6749" s="33"/>
      <c r="K6749" s="12"/>
      <c r="L6749" s="15"/>
    </row>
    <row r="6750" spans="1:12">
      <c r="A6750" s="72"/>
      <c r="B6750" s="12"/>
      <c r="C6750" s="12"/>
      <c r="D6750" s="12"/>
      <c r="E6750" s="11"/>
      <c r="F6750" s="11"/>
      <c r="G6750" s="73"/>
      <c r="H6750" s="12"/>
      <c r="I6750" s="12"/>
      <c r="J6750" s="33"/>
      <c r="K6750" s="12"/>
      <c r="L6750" s="15"/>
    </row>
    <row r="6751" spans="1:12">
      <c r="A6751" s="72"/>
      <c r="B6751" s="12"/>
      <c r="C6751" s="12"/>
      <c r="D6751" s="12"/>
      <c r="E6751" s="11"/>
      <c r="F6751" s="11"/>
      <c r="G6751" s="73"/>
      <c r="H6751" s="12"/>
      <c r="I6751" s="12"/>
      <c r="J6751" s="33"/>
      <c r="K6751" s="12"/>
      <c r="L6751" s="15"/>
    </row>
    <row r="6752" spans="1:12">
      <c r="A6752" s="72"/>
      <c r="B6752" s="12"/>
      <c r="C6752" s="12"/>
      <c r="D6752" s="12"/>
      <c r="E6752" s="11"/>
      <c r="F6752" s="11"/>
      <c r="G6752" s="73"/>
      <c r="H6752" s="12"/>
      <c r="I6752" s="12"/>
      <c r="J6752" s="33"/>
      <c r="K6752" s="12"/>
      <c r="L6752" s="15"/>
    </row>
    <row r="6753" spans="1:12">
      <c r="A6753" s="72"/>
      <c r="B6753" s="12"/>
      <c r="C6753" s="12"/>
      <c r="D6753" s="12"/>
      <c r="E6753" s="11"/>
      <c r="F6753" s="11"/>
      <c r="G6753" s="73"/>
      <c r="H6753" s="12"/>
      <c r="I6753" s="12"/>
      <c r="J6753" s="33"/>
      <c r="K6753" s="12"/>
      <c r="L6753" s="15"/>
    </row>
    <row r="6754" spans="1:12">
      <c r="A6754" s="72"/>
      <c r="B6754" s="12"/>
      <c r="C6754" s="12"/>
      <c r="D6754" s="12"/>
      <c r="E6754" s="11"/>
      <c r="F6754" s="11"/>
      <c r="G6754" s="73"/>
      <c r="H6754" s="12"/>
      <c r="I6754" s="12"/>
      <c r="J6754" s="33"/>
      <c r="K6754" s="12"/>
      <c r="L6754" s="15"/>
    </row>
    <row r="6755" spans="1:12">
      <c r="A6755" s="72"/>
      <c r="B6755" s="12"/>
      <c r="C6755" s="12"/>
      <c r="D6755" s="12"/>
      <c r="E6755" s="11"/>
      <c r="F6755" s="11"/>
      <c r="G6755" s="73"/>
      <c r="H6755" s="12"/>
      <c r="I6755" s="12"/>
      <c r="J6755" s="33"/>
      <c r="K6755" s="12"/>
      <c r="L6755" s="15"/>
    </row>
    <row r="6756" spans="1:12">
      <c r="A6756" s="72"/>
      <c r="B6756" s="12"/>
      <c r="C6756" s="12"/>
      <c r="D6756" s="12"/>
      <c r="E6756" s="11"/>
      <c r="F6756" s="11"/>
      <c r="G6756" s="73"/>
      <c r="H6756" s="12"/>
      <c r="I6756" s="12"/>
      <c r="J6756" s="33"/>
      <c r="K6756" s="12"/>
      <c r="L6756" s="15"/>
    </row>
    <row r="6757" spans="1:12">
      <c r="A6757" s="72"/>
      <c r="B6757" s="12"/>
      <c r="C6757" s="12"/>
      <c r="D6757" s="12"/>
      <c r="E6757" s="11"/>
      <c r="F6757" s="11"/>
      <c r="G6757" s="73"/>
      <c r="H6757" s="12"/>
      <c r="I6757" s="12"/>
      <c r="J6757" s="33"/>
      <c r="K6757" s="12"/>
      <c r="L6757" s="15"/>
    </row>
    <row r="6758" spans="1:12">
      <c r="A6758" s="72"/>
      <c r="B6758" s="12"/>
      <c r="C6758" s="12"/>
      <c r="D6758" s="12"/>
      <c r="E6758" s="11"/>
      <c r="F6758" s="11"/>
      <c r="G6758" s="73"/>
      <c r="H6758" s="12"/>
      <c r="I6758" s="12"/>
      <c r="J6758" s="33"/>
      <c r="K6758" s="12"/>
      <c r="L6758" s="15"/>
    </row>
    <row r="6759" spans="1:12">
      <c r="A6759" s="72"/>
      <c r="B6759" s="12"/>
      <c r="C6759" s="12"/>
      <c r="D6759" s="12"/>
      <c r="E6759" s="11"/>
      <c r="F6759" s="11"/>
      <c r="G6759" s="73"/>
      <c r="H6759" s="12"/>
      <c r="I6759" s="12"/>
      <c r="J6759" s="33"/>
      <c r="K6759" s="12"/>
      <c r="L6759" s="15"/>
    </row>
    <row r="6760" spans="1:12">
      <c r="A6760" s="72"/>
      <c r="B6760" s="12"/>
      <c r="C6760" s="12"/>
      <c r="D6760" s="12"/>
      <c r="E6760" s="11"/>
      <c r="F6760" s="11"/>
      <c r="G6760" s="73"/>
      <c r="H6760" s="12"/>
      <c r="I6760" s="12"/>
      <c r="J6760" s="33"/>
      <c r="K6760" s="12"/>
      <c r="L6760" s="15"/>
    </row>
    <row r="6761" spans="1:12">
      <c r="A6761" s="72"/>
      <c r="B6761" s="12"/>
      <c r="C6761" s="12"/>
      <c r="D6761" s="12"/>
      <c r="E6761" s="11"/>
      <c r="F6761" s="11"/>
      <c r="G6761" s="73"/>
      <c r="H6761" s="12"/>
      <c r="I6761" s="12"/>
      <c r="J6761" s="33"/>
      <c r="K6761" s="12"/>
      <c r="L6761" s="15"/>
    </row>
    <row r="6762" spans="1:12">
      <c r="A6762" s="72"/>
      <c r="B6762" s="12"/>
      <c r="C6762" s="12"/>
      <c r="D6762" s="12"/>
      <c r="E6762" s="11"/>
      <c r="F6762" s="11"/>
      <c r="G6762" s="73"/>
      <c r="H6762" s="12"/>
      <c r="I6762" s="12"/>
      <c r="J6762" s="33"/>
      <c r="K6762" s="12"/>
      <c r="L6762" s="15"/>
    </row>
    <row r="6763" spans="1:12">
      <c r="A6763" s="72"/>
      <c r="B6763" s="12"/>
      <c r="C6763" s="12"/>
      <c r="D6763" s="12"/>
      <c r="E6763" s="11"/>
      <c r="F6763" s="11"/>
      <c r="G6763" s="73"/>
      <c r="H6763" s="12"/>
      <c r="I6763" s="12"/>
      <c r="J6763" s="33"/>
      <c r="K6763" s="12"/>
      <c r="L6763" s="15"/>
    </row>
    <row r="6764" spans="1:12">
      <c r="A6764" s="72"/>
      <c r="B6764" s="12"/>
      <c r="C6764" s="12"/>
      <c r="D6764" s="12"/>
      <c r="E6764" s="11"/>
      <c r="F6764" s="11"/>
      <c r="G6764" s="73"/>
      <c r="H6764" s="12"/>
      <c r="I6764" s="12"/>
      <c r="J6764" s="33"/>
      <c r="K6764" s="12"/>
      <c r="L6764" s="15"/>
    </row>
    <row r="6765" spans="1:12">
      <c r="A6765" s="72"/>
      <c r="B6765" s="12"/>
      <c r="C6765" s="12"/>
      <c r="D6765" s="12"/>
      <c r="E6765" s="11"/>
      <c r="F6765" s="11"/>
      <c r="G6765" s="73"/>
      <c r="H6765" s="12"/>
      <c r="I6765" s="12"/>
      <c r="J6765" s="33"/>
      <c r="K6765" s="12"/>
      <c r="L6765" s="15"/>
    </row>
    <row r="6766" spans="1:12">
      <c r="A6766" s="72"/>
      <c r="B6766" s="12"/>
      <c r="C6766" s="12"/>
      <c r="D6766" s="12"/>
      <c r="E6766" s="11"/>
      <c r="F6766" s="11"/>
      <c r="G6766" s="73"/>
      <c r="H6766" s="12"/>
      <c r="I6766" s="12"/>
      <c r="J6766" s="33"/>
      <c r="K6766" s="12"/>
      <c r="L6766" s="15"/>
    </row>
    <row r="6767" spans="1:12">
      <c r="A6767" s="72"/>
      <c r="B6767" s="12"/>
      <c r="C6767" s="12"/>
      <c r="D6767" s="12"/>
      <c r="E6767" s="11"/>
      <c r="F6767" s="11"/>
      <c r="G6767" s="73"/>
      <c r="H6767" s="12"/>
      <c r="I6767" s="12"/>
      <c r="J6767" s="33"/>
      <c r="K6767" s="12"/>
      <c r="L6767" s="15"/>
    </row>
    <row r="6768" spans="1:12">
      <c r="A6768" s="72"/>
      <c r="B6768" s="12"/>
      <c r="C6768" s="12"/>
      <c r="D6768" s="12"/>
      <c r="E6768" s="11"/>
      <c r="F6768" s="11"/>
      <c r="G6768" s="73"/>
      <c r="H6768" s="12"/>
      <c r="I6768" s="12"/>
      <c r="J6768" s="33"/>
      <c r="K6768" s="12"/>
      <c r="L6768" s="15"/>
    </row>
    <row r="6769" spans="1:12">
      <c r="A6769" s="72"/>
      <c r="B6769" s="12"/>
      <c r="C6769" s="12"/>
      <c r="D6769" s="12"/>
      <c r="E6769" s="11"/>
      <c r="F6769" s="11"/>
      <c r="G6769" s="73"/>
      <c r="H6769" s="12"/>
      <c r="I6769" s="12"/>
      <c r="J6769" s="33"/>
      <c r="K6769" s="12"/>
      <c r="L6769" s="15"/>
    </row>
    <row r="6770" spans="1:12">
      <c r="A6770" s="72"/>
      <c r="B6770" s="12"/>
      <c r="C6770" s="12"/>
      <c r="D6770" s="12"/>
      <c r="E6770" s="11"/>
      <c r="F6770" s="11"/>
      <c r="G6770" s="73"/>
      <c r="H6770" s="12"/>
      <c r="I6770" s="12"/>
      <c r="J6770" s="33"/>
      <c r="K6770" s="12"/>
      <c r="L6770" s="15"/>
    </row>
    <row r="6771" spans="1:12">
      <c r="A6771" s="72"/>
      <c r="B6771" s="12"/>
      <c r="C6771" s="12"/>
      <c r="D6771" s="12"/>
      <c r="E6771" s="11"/>
      <c r="F6771" s="11"/>
      <c r="G6771" s="73"/>
      <c r="H6771" s="12"/>
      <c r="I6771" s="12"/>
      <c r="J6771" s="33"/>
      <c r="K6771" s="12"/>
      <c r="L6771" s="15"/>
    </row>
    <row r="6772" spans="1:12">
      <c r="A6772" s="72"/>
      <c r="B6772" s="12"/>
      <c r="C6772" s="12"/>
      <c r="D6772" s="12"/>
      <c r="E6772" s="11"/>
      <c r="F6772" s="11"/>
      <c r="G6772" s="73"/>
      <c r="H6772" s="12"/>
      <c r="I6772" s="12"/>
      <c r="J6772" s="33"/>
      <c r="K6772" s="12"/>
      <c r="L6772" s="15"/>
    </row>
    <row r="6773" spans="1:12">
      <c r="A6773" s="72"/>
      <c r="B6773" s="12"/>
      <c r="C6773" s="12"/>
      <c r="D6773" s="12"/>
      <c r="E6773" s="11"/>
      <c r="F6773" s="11"/>
      <c r="G6773" s="73"/>
      <c r="H6773" s="12"/>
      <c r="I6773" s="12"/>
      <c r="J6773" s="33"/>
      <c r="K6773" s="12"/>
      <c r="L6773" s="15"/>
    </row>
    <row r="6774" spans="1:12">
      <c r="A6774" s="72"/>
      <c r="B6774" s="12"/>
      <c r="C6774" s="12"/>
      <c r="D6774" s="12"/>
      <c r="E6774" s="11"/>
      <c r="F6774" s="11"/>
      <c r="G6774" s="73"/>
      <c r="H6774" s="12"/>
      <c r="I6774" s="12"/>
      <c r="J6774" s="33"/>
      <c r="K6774" s="12"/>
      <c r="L6774" s="15"/>
    </row>
    <row r="6775" spans="1:12">
      <c r="A6775" s="72"/>
      <c r="B6775" s="12"/>
      <c r="C6775" s="12"/>
      <c r="D6775" s="12"/>
      <c r="E6775" s="11"/>
      <c r="F6775" s="11"/>
      <c r="G6775" s="73"/>
      <c r="H6775" s="12"/>
      <c r="I6775" s="12"/>
      <c r="J6775" s="33"/>
      <c r="K6775" s="12"/>
      <c r="L6775" s="15"/>
    </row>
    <row r="6776" spans="1:12">
      <c r="A6776" s="72"/>
      <c r="B6776" s="12"/>
      <c r="C6776" s="12"/>
      <c r="D6776" s="12"/>
      <c r="E6776" s="11"/>
      <c r="F6776" s="11"/>
      <c r="G6776" s="73"/>
      <c r="H6776" s="12"/>
      <c r="I6776" s="12"/>
      <c r="J6776" s="33"/>
      <c r="K6776" s="12"/>
      <c r="L6776" s="15"/>
    </row>
    <row r="6777" spans="1:12">
      <c r="A6777" s="72"/>
      <c r="B6777" s="12"/>
      <c r="C6777" s="12"/>
      <c r="D6777" s="12"/>
      <c r="E6777" s="11"/>
      <c r="F6777" s="11"/>
      <c r="G6777" s="73"/>
      <c r="H6777" s="12"/>
      <c r="I6777" s="12"/>
      <c r="J6777" s="33"/>
      <c r="K6777" s="12"/>
      <c r="L6777" s="15"/>
    </row>
    <row r="6778" spans="1:12">
      <c r="A6778" s="72"/>
      <c r="B6778" s="12"/>
      <c r="C6778" s="12"/>
      <c r="D6778" s="12"/>
      <c r="E6778" s="11"/>
      <c r="F6778" s="11"/>
      <c r="G6778" s="73"/>
      <c r="H6778" s="12"/>
      <c r="I6778" s="12"/>
      <c r="J6778" s="33"/>
      <c r="K6778" s="12"/>
      <c r="L6778" s="15"/>
    </row>
    <row r="6779" spans="1:12">
      <c r="A6779" s="72"/>
      <c r="B6779" s="12"/>
      <c r="C6779" s="12"/>
      <c r="D6779" s="12"/>
      <c r="E6779" s="11"/>
      <c r="F6779" s="11"/>
      <c r="G6779" s="73"/>
      <c r="H6779" s="12"/>
      <c r="I6779" s="12"/>
      <c r="J6779" s="33"/>
      <c r="K6779" s="12"/>
      <c r="L6779" s="15"/>
    </row>
    <row r="6780" spans="1:12">
      <c r="A6780" s="72"/>
      <c r="B6780" s="12"/>
      <c r="C6780" s="12"/>
      <c r="D6780" s="12"/>
      <c r="E6780" s="11"/>
      <c r="F6780" s="11"/>
      <c r="G6780" s="73"/>
      <c r="H6780" s="12"/>
      <c r="I6780" s="12"/>
      <c r="J6780" s="33"/>
      <c r="K6780" s="12"/>
      <c r="L6780" s="15"/>
    </row>
    <row r="6781" spans="1:12">
      <c r="A6781" s="72"/>
      <c r="B6781" s="12"/>
      <c r="C6781" s="12"/>
      <c r="D6781" s="12"/>
      <c r="E6781" s="11"/>
      <c r="F6781" s="11"/>
      <c r="G6781" s="73"/>
      <c r="H6781" s="12"/>
      <c r="I6781" s="12"/>
      <c r="J6781" s="33"/>
      <c r="K6781" s="12"/>
      <c r="L6781" s="15"/>
    </row>
    <row r="6782" spans="1:12">
      <c r="A6782" s="72"/>
      <c r="B6782" s="12"/>
      <c r="C6782" s="12"/>
      <c r="D6782" s="12"/>
      <c r="E6782" s="11"/>
      <c r="F6782" s="11"/>
      <c r="G6782" s="73"/>
      <c r="H6782" s="12"/>
      <c r="I6782" s="12"/>
      <c r="J6782" s="33"/>
      <c r="K6782" s="12"/>
      <c r="L6782" s="15"/>
    </row>
    <row r="6783" spans="1:12">
      <c r="A6783" s="72"/>
      <c r="B6783" s="12"/>
      <c r="C6783" s="12"/>
      <c r="D6783" s="12"/>
      <c r="E6783" s="11"/>
      <c r="F6783" s="11"/>
      <c r="G6783" s="73"/>
      <c r="H6783" s="12"/>
      <c r="I6783" s="12"/>
      <c r="J6783" s="33"/>
      <c r="K6783" s="12"/>
      <c r="L6783" s="15"/>
    </row>
    <row r="6784" spans="1:12">
      <c r="A6784" s="72"/>
      <c r="B6784" s="12"/>
      <c r="C6784" s="12"/>
      <c r="D6784" s="12"/>
      <c r="E6784" s="11"/>
      <c r="F6784" s="11"/>
      <c r="G6784" s="73"/>
      <c r="H6784" s="12"/>
      <c r="I6784" s="12"/>
      <c r="J6784" s="33"/>
      <c r="K6784" s="12"/>
      <c r="L6784" s="15"/>
    </row>
    <row r="6785" spans="1:12">
      <c r="A6785" s="72"/>
      <c r="B6785" s="12"/>
      <c r="C6785" s="12"/>
      <c r="D6785" s="12"/>
      <c r="E6785" s="11"/>
      <c r="F6785" s="11"/>
      <c r="G6785" s="73"/>
      <c r="H6785" s="12"/>
      <c r="I6785" s="12"/>
      <c r="J6785" s="33"/>
      <c r="K6785" s="12"/>
      <c r="L6785" s="15"/>
    </row>
    <row r="6786" spans="1:12">
      <c r="A6786" s="72"/>
      <c r="B6786" s="12"/>
      <c r="C6786" s="12"/>
      <c r="D6786" s="12"/>
      <c r="E6786" s="11"/>
      <c r="F6786" s="11"/>
      <c r="G6786" s="73"/>
      <c r="H6786" s="12"/>
      <c r="I6786" s="12"/>
      <c r="J6786" s="33"/>
      <c r="K6786" s="12"/>
      <c r="L6786" s="15"/>
    </row>
    <row r="6787" spans="1:12">
      <c r="A6787" s="72"/>
      <c r="B6787" s="12"/>
      <c r="C6787" s="12"/>
      <c r="D6787" s="12"/>
      <c r="E6787" s="11"/>
      <c r="F6787" s="11"/>
      <c r="G6787" s="73"/>
      <c r="H6787" s="12"/>
      <c r="I6787" s="12"/>
      <c r="J6787" s="33"/>
      <c r="K6787" s="12"/>
      <c r="L6787" s="15"/>
    </row>
    <row r="6788" spans="1:12">
      <c r="A6788" s="72"/>
      <c r="B6788" s="12"/>
      <c r="C6788" s="12"/>
      <c r="D6788" s="12"/>
      <c r="E6788" s="11"/>
      <c r="F6788" s="11"/>
      <c r="G6788" s="73"/>
      <c r="H6788" s="12"/>
      <c r="I6788" s="12"/>
      <c r="J6788" s="33"/>
      <c r="K6788" s="12"/>
      <c r="L6788" s="15"/>
    </row>
    <row r="6789" spans="1:12">
      <c r="A6789" s="72"/>
      <c r="B6789" s="12"/>
      <c r="C6789" s="12"/>
      <c r="D6789" s="12"/>
      <c r="E6789" s="11"/>
      <c r="F6789" s="11"/>
      <c r="G6789" s="73"/>
      <c r="H6789" s="12"/>
      <c r="I6789" s="12"/>
      <c r="J6789" s="33"/>
      <c r="K6789" s="12"/>
      <c r="L6789" s="15"/>
    </row>
    <row r="6790" spans="1:12">
      <c r="A6790" s="72"/>
      <c r="B6790" s="12"/>
      <c r="C6790" s="12"/>
      <c r="D6790" s="12"/>
      <c r="E6790" s="11"/>
      <c r="F6790" s="11"/>
      <c r="G6790" s="73"/>
      <c r="H6790" s="12"/>
      <c r="I6790" s="12"/>
      <c r="J6790" s="33"/>
      <c r="K6790" s="12"/>
      <c r="L6790" s="15"/>
    </row>
    <row r="6791" spans="1:12">
      <c r="A6791" s="72"/>
      <c r="B6791" s="12"/>
      <c r="C6791" s="12"/>
      <c r="D6791" s="12"/>
      <c r="E6791" s="11"/>
      <c r="F6791" s="11"/>
      <c r="G6791" s="73"/>
      <c r="H6791" s="12"/>
      <c r="I6791" s="12"/>
      <c r="J6791" s="33"/>
      <c r="K6791" s="12"/>
      <c r="L6791" s="15"/>
    </row>
    <row r="6792" spans="1:12">
      <c r="A6792" s="72"/>
      <c r="B6792" s="12"/>
      <c r="C6792" s="12"/>
      <c r="D6792" s="12"/>
      <c r="E6792" s="11"/>
      <c r="F6792" s="11"/>
      <c r="G6792" s="73"/>
      <c r="H6792" s="12"/>
      <c r="I6792" s="12"/>
      <c r="J6792" s="33"/>
      <c r="K6792" s="12"/>
      <c r="L6792" s="15"/>
    </row>
    <row r="6793" spans="1:12">
      <c r="A6793" s="72"/>
      <c r="B6793" s="12"/>
      <c r="C6793" s="12"/>
      <c r="D6793" s="12"/>
      <c r="E6793" s="11"/>
      <c r="F6793" s="11"/>
      <c r="G6793" s="73"/>
      <c r="H6793" s="12"/>
      <c r="I6793" s="12"/>
      <c r="J6793" s="33"/>
      <c r="K6793" s="12"/>
      <c r="L6793" s="15"/>
    </row>
    <row r="6794" spans="1:12">
      <c r="A6794" s="72"/>
      <c r="B6794" s="12"/>
      <c r="C6794" s="12"/>
      <c r="D6794" s="12"/>
      <c r="E6794" s="11"/>
      <c r="F6794" s="11"/>
      <c r="G6794" s="73"/>
      <c r="H6794" s="12"/>
      <c r="I6794" s="12"/>
      <c r="J6794" s="33"/>
      <c r="K6794" s="12"/>
      <c r="L6794" s="15"/>
    </row>
    <row r="6795" spans="1:12">
      <c r="A6795" s="72"/>
      <c r="B6795" s="12"/>
      <c r="C6795" s="12"/>
      <c r="D6795" s="12"/>
      <c r="E6795" s="11"/>
      <c r="F6795" s="11"/>
      <c r="G6795" s="73"/>
      <c r="H6795" s="12"/>
      <c r="I6795" s="12"/>
      <c r="J6795" s="33"/>
      <c r="K6795" s="12"/>
      <c r="L6795" s="15"/>
    </row>
    <row r="6796" spans="1:12">
      <c r="A6796" s="72"/>
      <c r="B6796" s="12"/>
      <c r="C6796" s="12"/>
      <c r="D6796" s="12"/>
      <c r="E6796" s="11"/>
      <c r="F6796" s="11"/>
      <c r="G6796" s="73"/>
      <c r="H6796" s="12"/>
      <c r="I6796" s="12"/>
      <c r="J6796" s="33"/>
      <c r="K6796" s="12"/>
      <c r="L6796" s="15"/>
    </row>
    <row r="6797" spans="1:12">
      <c r="A6797" s="72"/>
      <c r="B6797" s="12"/>
      <c r="C6797" s="12"/>
      <c r="D6797" s="12"/>
      <c r="E6797" s="11"/>
      <c r="F6797" s="11"/>
      <c r="G6797" s="73"/>
      <c r="H6797" s="12"/>
      <c r="I6797" s="12"/>
      <c r="J6797" s="33"/>
      <c r="K6797" s="12"/>
      <c r="L6797" s="15"/>
    </row>
    <row r="6798" spans="1:12">
      <c r="A6798" s="72"/>
      <c r="B6798" s="12"/>
      <c r="C6798" s="12"/>
      <c r="D6798" s="12"/>
      <c r="E6798" s="11"/>
      <c r="F6798" s="11"/>
      <c r="G6798" s="73"/>
      <c r="H6798" s="12"/>
      <c r="I6798" s="12"/>
      <c r="J6798" s="33"/>
      <c r="K6798" s="12"/>
      <c r="L6798" s="15"/>
    </row>
    <row r="6799" spans="1:12">
      <c r="A6799" s="72"/>
      <c r="B6799" s="12"/>
      <c r="C6799" s="12"/>
      <c r="D6799" s="12"/>
      <c r="E6799" s="11"/>
      <c r="F6799" s="11"/>
      <c r="G6799" s="73"/>
      <c r="H6799" s="12"/>
      <c r="I6799" s="12"/>
      <c r="J6799" s="33"/>
      <c r="K6799" s="12"/>
      <c r="L6799" s="15"/>
    </row>
    <row r="6800" spans="1:12">
      <c r="A6800" s="72"/>
      <c r="B6800" s="12"/>
      <c r="C6800" s="12"/>
      <c r="D6800" s="12"/>
      <c r="E6800" s="11"/>
      <c r="F6800" s="11"/>
      <c r="G6800" s="73"/>
      <c r="H6800" s="12"/>
      <c r="I6800" s="12"/>
      <c r="J6800" s="33"/>
      <c r="K6800" s="12"/>
      <c r="L6800" s="15"/>
    </row>
    <row r="6801" spans="1:12">
      <c r="A6801" s="72"/>
      <c r="B6801" s="12"/>
      <c r="C6801" s="12"/>
      <c r="D6801" s="12"/>
      <c r="E6801" s="11"/>
      <c r="F6801" s="11"/>
      <c r="G6801" s="73"/>
      <c r="H6801" s="12"/>
      <c r="I6801" s="12"/>
      <c r="J6801" s="33"/>
      <c r="K6801" s="12"/>
      <c r="L6801" s="15"/>
    </row>
    <row r="6802" spans="1:12">
      <c r="A6802" s="72"/>
      <c r="B6802" s="12"/>
      <c r="C6802" s="12"/>
      <c r="D6802" s="12"/>
      <c r="E6802" s="11"/>
      <c r="F6802" s="11"/>
      <c r="G6802" s="73"/>
      <c r="H6802" s="12"/>
      <c r="I6802" s="12"/>
      <c r="J6802" s="33"/>
      <c r="K6802" s="12"/>
      <c r="L6802" s="15"/>
    </row>
    <row r="6803" spans="1:12">
      <c r="A6803" s="72"/>
      <c r="B6803" s="12"/>
      <c r="C6803" s="12"/>
      <c r="D6803" s="12"/>
      <c r="E6803" s="11"/>
      <c r="F6803" s="11"/>
      <c r="G6803" s="73"/>
      <c r="H6803" s="12"/>
      <c r="I6803" s="12"/>
      <c r="J6803" s="33"/>
      <c r="K6803" s="12"/>
      <c r="L6803" s="15"/>
    </row>
    <row r="6804" spans="1:12">
      <c r="A6804" s="72"/>
      <c r="B6804" s="12"/>
      <c r="C6804" s="12"/>
      <c r="D6804" s="12"/>
      <c r="E6804" s="11"/>
      <c r="F6804" s="11"/>
      <c r="G6804" s="73"/>
      <c r="H6804" s="12"/>
      <c r="I6804" s="12"/>
      <c r="J6804" s="33"/>
      <c r="K6804" s="12"/>
      <c r="L6804" s="15"/>
    </row>
    <row r="6805" spans="1:12">
      <c r="A6805" s="72"/>
      <c r="B6805" s="12"/>
      <c r="C6805" s="12"/>
      <c r="D6805" s="12"/>
      <c r="E6805" s="11"/>
      <c r="F6805" s="11"/>
      <c r="G6805" s="73"/>
      <c r="H6805" s="12"/>
      <c r="I6805" s="12"/>
      <c r="J6805" s="33"/>
      <c r="K6805" s="12"/>
      <c r="L6805" s="15"/>
    </row>
    <row r="6806" spans="1:12">
      <c r="A6806" s="72"/>
      <c r="B6806" s="12"/>
      <c r="C6806" s="12"/>
      <c r="D6806" s="12"/>
      <c r="E6806" s="11"/>
      <c r="F6806" s="11"/>
      <c r="G6806" s="73"/>
      <c r="H6806" s="12"/>
      <c r="I6806" s="12"/>
      <c r="J6806" s="33"/>
      <c r="K6806" s="12"/>
      <c r="L6806" s="15"/>
    </row>
    <row r="6807" spans="1:12">
      <c r="A6807" s="72"/>
      <c r="B6807" s="12"/>
      <c r="C6807" s="12"/>
      <c r="D6807" s="12"/>
      <c r="E6807" s="11"/>
      <c r="F6807" s="11"/>
      <c r="G6807" s="73"/>
      <c r="H6807" s="12"/>
      <c r="I6807" s="12"/>
      <c r="J6807" s="33"/>
      <c r="K6807" s="12"/>
      <c r="L6807" s="15"/>
    </row>
    <row r="6808" spans="1:12">
      <c r="A6808" s="72"/>
      <c r="B6808" s="12"/>
      <c r="C6808" s="12"/>
      <c r="D6808" s="12"/>
      <c r="E6808" s="11"/>
      <c r="F6808" s="11"/>
      <c r="G6808" s="73"/>
      <c r="H6808" s="12"/>
      <c r="I6808" s="12"/>
      <c r="J6808" s="33"/>
      <c r="K6808" s="12"/>
      <c r="L6808" s="15"/>
    </row>
    <row r="6809" spans="1:12">
      <c r="A6809" s="72"/>
      <c r="B6809" s="12"/>
      <c r="C6809" s="12"/>
      <c r="D6809" s="12"/>
      <c r="E6809" s="11"/>
      <c r="F6809" s="11"/>
      <c r="G6809" s="73"/>
      <c r="H6809" s="12"/>
      <c r="I6809" s="12"/>
      <c r="J6809" s="33"/>
      <c r="K6809" s="12"/>
      <c r="L6809" s="15"/>
    </row>
    <row r="6810" spans="1:12">
      <c r="A6810" s="72"/>
      <c r="B6810" s="12"/>
      <c r="C6810" s="12"/>
      <c r="D6810" s="12"/>
      <c r="E6810" s="11"/>
      <c r="F6810" s="11"/>
      <c r="G6810" s="73"/>
      <c r="H6810" s="12"/>
      <c r="I6810" s="12"/>
      <c r="J6810" s="33"/>
      <c r="K6810" s="12"/>
      <c r="L6810" s="15"/>
    </row>
    <row r="6811" spans="1:12">
      <c r="A6811" s="72"/>
      <c r="B6811" s="12"/>
      <c r="C6811" s="12"/>
      <c r="D6811" s="12"/>
      <c r="E6811" s="11"/>
      <c r="F6811" s="11"/>
      <c r="G6811" s="73"/>
      <c r="H6811" s="12"/>
      <c r="I6811" s="12"/>
      <c r="J6811" s="33"/>
      <c r="K6811" s="12"/>
      <c r="L6811" s="15"/>
    </row>
    <row r="6812" spans="1:12">
      <c r="A6812" s="72"/>
      <c r="B6812" s="12"/>
      <c r="C6812" s="12"/>
      <c r="D6812" s="12"/>
      <c r="E6812" s="11"/>
      <c r="F6812" s="11"/>
      <c r="G6812" s="73"/>
      <c r="H6812" s="12"/>
      <c r="I6812" s="12"/>
      <c r="J6812" s="33"/>
      <c r="K6812" s="12"/>
      <c r="L6812" s="15"/>
    </row>
    <row r="6813" spans="1:12">
      <c r="A6813" s="72"/>
      <c r="B6813" s="12"/>
      <c r="C6813" s="12"/>
      <c r="D6813" s="12"/>
      <c r="E6813" s="11"/>
      <c r="F6813" s="11"/>
      <c r="G6813" s="73"/>
      <c r="H6813" s="12"/>
      <c r="I6813" s="12"/>
      <c r="J6813" s="33"/>
      <c r="K6813" s="12"/>
      <c r="L6813" s="15"/>
    </row>
    <row r="6814" spans="1:12">
      <c r="A6814" s="72"/>
      <c r="B6814" s="12"/>
      <c r="C6814" s="12"/>
      <c r="D6814" s="12"/>
      <c r="E6814" s="11"/>
      <c r="F6814" s="11"/>
      <c r="G6814" s="73"/>
      <c r="H6814" s="12"/>
      <c r="I6814" s="12"/>
      <c r="J6814" s="33"/>
      <c r="K6814" s="12"/>
      <c r="L6814" s="15"/>
    </row>
    <row r="6815" spans="1:12">
      <c r="A6815" s="72"/>
      <c r="B6815" s="12"/>
      <c r="C6815" s="12"/>
      <c r="D6815" s="12"/>
      <c r="E6815" s="11"/>
      <c r="F6815" s="11"/>
      <c r="G6815" s="73"/>
      <c r="H6815" s="12"/>
      <c r="I6815" s="12"/>
      <c r="J6815" s="33"/>
      <c r="K6815" s="12"/>
      <c r="L6815" s="15"/>
    </row>
    <row r="6816" spans="1:12">
      <c r="A6816" s="72"/>
      <c r="B6816" s="12"/>
      <c r="C6816" s="12"/>
      <c r="D6816" s="12"/>
      <c r="E6816" s="11"/>
      <c r="F6816" s="11"/>
      <c r="G6816" s="73"/>
      <c r="H6816" s="12"/>
      <c r="I6816" s="12"/>
      <c r="J6816" s="33"/>
      <c r="K6816" s="12"/>
      <c r="L6816" s="15"/>
    </row>
    <row r="6817" spans="1:12">
      <c r="A6817" s="72"/>
      <c r="B6817" s="12"/>
      <c r="C6817" s="12"/>
      <c r="D6817" s="12"/>
      <c r="E6817" s="11"/>
      <c r="F6817" s="11"/>
      <c r="G6817" s="73"/>
      <c r="H6817" s="12"/>
      <c r="I6817" s="12"/>
      <c r="J6817" s="33"/>
      <c r="K6817" s="12"/>
      <c r="L6817" s="15"/>
    </row>
    <row r="6818" spans="1:12">
      <c r="A6818" s="72"/>
      <c r="B6818" s="12"/>
      <c r="C6818" s="12"/>
      <c r="D6818" s="12"/>
      <c r="E6818" s="11"/>
      <c r="F6818" s="11"/>
      <c r="G6818" s="73"/>
      <c r="H6818" s="12"/>
      <c r="I6818" s="12"/>
      <c r="J6818" s="33"/>
      <c r="K6818" s="12"/>
      <c r="L6818" s="15"/>
    </row>
    <row r="6819" spans="1:12">
      <c r="A6819" s="72"/>
      <c r="B6819" s="12"/>
      <c r="C6819" s="12"/>
      <c r="D6819" s="12"/>
      <c r="E6819" s="11"/>
      <c r="F6819" s="11"/>
      <c r="G6819" s="73"/>
      <c r="H6819" s="12"/>
      <c r="I6819" s="12"/>
      <c r="J6819" s="33"/>
      <c r="K6819" s="12"/>
      <c r="L6819" s="15"/>
    </row>
    <row r="6820" spans="1:12">
      <c r="A6820" s="72"/>
      <c r="B6820" s="12"/>
      <c r="C6820" s="12"/>
      <c r="D6820" s="12"/>
      <c r="E6820" s="11"/>
      <c r="F6820" s="11"/>
      <c r="G6820" s="73"/>
      <c r="H6820" s="12"/>
      <c r="I6820" s="12"/>
      <c r="J6820" s="33"/>
      <c r="K6820" s="12"/>
      <c r="L6820" s="15"/>
    </row>
    <row r="6821" spans="1:12">
      <c r="A6821" s="72"/>
      <c r="B6821" s="12"/>
      <c r="C6821" s="12"/>
      <c r="D6821" s="12"/>
      <c r="E6821" s="11"/>
      <c r="F6821" s="11"/>
      <c r="G6821" s="73"/>
      <c r="H6821" s="12"/>
      <c r="I6821" s="12"/>
      <c r="J6821" s="33"/>
      <c r="K6821" s="12"/>
      <c r="L6821" s="15"/>
    </row>
    <row r="6822" spans="1:12">
      <c r="A6822" s="72"/>
      <c r="B6822" s="12"/>
      <c r="C6822" s="12"/>
      <c r="D6822" s="12"/>
      <c r="E6822" s="11"/>
      <c r="F6822" s="11"/>
      <c r="G6822" s="73"/>
      <c r="H6822" s="12"/>
      <c r="I6822" s="12"/>
      <c r="J6822" s="33"/>
      <c r="K6822" s="12"/>
      <c r="L6822" s="15"/>
    </row>
    <row r="6823" spans="1:12">
      <c r="A6823" s="72"/>
      <c r="B6823" s="12"/>
      <c r="C6823" s="12"/>
      <c r="D6823" s="12"/>
      <c r="E6823" s="11"/>
      <c r="F6823" s="11"/>
      <c r="G6823" s="73"/>
      <c r="H6823" s="12"/>
      <c r="I6823" s="12"/>
      <c r="J6823" s="33"/>
      <c r="K6823" s="12"/>
      <c r="L6823" s="15"/>
    </row>
    <row r="6824" spans="1:12">
      <c r="A6824" s="72"/>
      <c r="B6824" s="12"/>
      <c r="C6824" s="12"/>
      <c r="D6824" s="12"/>
      <c r="E6824" s="11"/>
      <c r="F6824" s="11"/>
      <c r="G6824" s="73"/>
      <c r="H6824" s="12"/>
      <c r="I6824" s="12"/>
      <c r="J6824" s="33"/>
      <c r="K6824" s="12"/>
      <c r="L6824" s="15"/>
    </row>
    <row r="6825" spans="1:12">
      <c r="A6825" s="72"/>
      <c r="B6825" s="12"/>
      <c r="C6825" s="12"/>
      <c r="D6825" s="12"/>
      <c r="E6825" s="11"/>
      <c r="F6825" s="11"/>
      <c r="G6825" s="73"/>
      <c r="H6825" s="12"/>
      <c r="I6825" s="12"/>
      <c r="J6825" s="33"/>
      <c r="K6825" s="12"/>
      <c r="L6825" s="15"/>
    </row>
    <row r="6826" spans="1:12">
      <c r="A6826" s="72"/>
      <c r="B6826" s="12"/>
      <c r="C6826" s="12"/>
      <c r="D6826" s="12"/>
      <c r="E6826" s="11"/>
      <c r="F6826" s="11"/>
      <c r="G6826" s="73"/>
      <c r="H6826" s="12"/>
      <c r="I6826" s="12"/>
      <c r="J6826" s="33"/>
      <c r="K6826" s="12"/>
      <c r="L6826" s="15"/>
    </row>
    <row r="6827" spans="1:12">
      <c r="A6827" s="72"/>
      <c r="B6827" s="12"/>
      <c r="C6827" s="12"/>
      <c r="D6827" s="12"/>
      <c r="E6827" s="11"/>
      <c r="F6827" s="11"/>
      <c r="G6827" s="73"/>
      <c r="H6827" s="12"/>
      <c r="I6827" s="12"/>
      <c r="J6827" s="33"/>
      <c r="K6827" s="12"/>
      <c r="L6827" s="15"/>
    </row>
    <row r="6828" spans="1:12">
      <c r="A6828" s="72"/>
      <c r="B6828" s="12"/>
      <c r="C6828" s="12"/>
      <c r="D6828" s="12"/>
      <c r="E6828" s="11"/>
      <c r="F6828" s="11"/>
      <c r="G6828" s="73"/>
      <c r="H6828" s="12"/>
      <c r="I6828" s="12"/>
      <c r="J6828" s="33"/>
      <c r="K6828" s="12"/>
      <c r="L6828" s="15"/>
    </row>
    <row r="6829" spans="1:12">
      <c r="A6829" s="72"/>
      <c r="B6829" s="12"/>
      <c r="C6829" s="12"/>
      <c r="D6829" s="12"/>
      <c r="E6829" s="11"/>
      <c r="F6829" s="11"/>
      <c r="G6829" s="73"/>
      <c r="H6829" s="12"/>
      <c r="I6829" s="12"/>
      <c r="J6829" s="33"/>
      <c r="K6829" s="12"/>
      <c r="L6829" s="15"/>
    </row>
    <row r="6830" spans="1:12">
      <c r="A6830" s="72"/>
      <c r="B6830" s="12"/>
      <c r="C6830" s="12"/>
      <c r="D6830" s="12"/>
      <c r="E6830" s="11"/>
      <c r="F6830" s="11"/>
      <c r="G6830" s="73"/>
      <c r="H6830" s="12"/>
      <c r="I6830" s="12"/>
      <c r="J6830" s="33"/>
      <c r="K6830" s="12"/>
      <c r="L6830" s="15"/>
    </row>
    <row r="6831" spans="1:12">
      <c r="A6831" s="72"/>
      <c r="B6831" s="12"/>
      <c r="C6831" s="12"/>
      <c r="D6831" s="12"/>
      <c r="E6831" s="81"/>
      <c r="F6831" s="11"/>
      <c r="G6831" s="73"/>
      <c r="H6831" s="12"/>
      <c r="I6831" s="12"/>
      <c r="J6831" s="33"/>
      <c r="K6831" s="12"/>
      <c r="L6831" s="15"/>
    </row>
    <row r="6832" spans="1:12">
      <c r="A6832" s="72"/>
      <c r="B6832" s="12"/>
      <c r="C6832" s="12"/>
      <c r="D6832" s="12"/>
      <c r="E6832" s="130"/>
      <c r="F6832" s="11"/>
      <c r="G6832" s="73"/>
      <c r="H6832" s="12"/>
      <c r="I6832" s="12"/>
      <c r="J6832" s="33"/>
      <c r="K6832" s="12"/>
      <c r="L6832" s="15"/>
    </row>
    <row r="6833" spans="1:12">
      <c r="A6833" s="72"/>
      <c r="B6833" s="12"/>
      <c r="C6833" s="12"/>
      <c r="D6833" s="12"/>
      <c r="E6833" s="11"/>
      <c r="F6833" s="11"/>
      <c r="G6833" s="73"/>
      <c r="H6833" s="12"/>
      <c r="I6833" s="12"/>
      <c r="J6833" s="33"/>
      <c r="K6833" s="12"/>
      <c r="L6833" s="15"/>
    </row>
    <row r="6834" spans="1:12">
      <c r="A6834" s="72"/>
      <c r="B6834" s="12"/>
      <c r="C6834" s="12"/>
      <c r="D6834" s="12"/>
      <c r="E6834" s="11"/>
      <c r="F6834" s="11"/>
      <c r="G6834" s="73"/>
      <c r="H6834" s="12"/>
      <c r="I6834" s="12"/>
      <c r="J6834" s="33"/>
      <c r="K6834" s="12"/>
      <c r="L6834" s="15"/>
    </row>
    <row r="6835" spans="1:12">
      <c r="A6835" s="72"/>
      <c r="B6835" s="12"/>
      <c r="C6835" s="12"/>
      <c r="D6835" s="12"/>
      <c r="E6835" s="11"/>
      <c r="F6835" s="11"/>
      <c r="G6835" s="73"/>
      <c r="H6835" s="12"/>
      <c r="I6835" s="12"/>
      <c r="J6835" s="33"/>
      <c r="K6835" s="12"/>
      <c r="L6835" s="15"/>
    </row>
    <row r="6836" spans="1:12">
      <c r="A6836" s="72"/>
      <c r="B6836" s="12"/>
      <c r="C6836" s="12"/>
      <c r="D6836" s="12"/>
      <c r="E6836" s="11"/>
      <c r="F6836" s="11"/>
      <c r="G6836" s="73"/>
      <c r="H6836" s="12"/>
      <c r="I6836" s="12"/>
      <c r="J6836" s="33"/>
      <c r="K6836" s="12"/>
      <c r="L6836" s="15"/>
    </row>
    <row r="6837" spans="1:12">
      <c r="A6837" s="72"/>
      <c r="B6837" s="12"/>
      <c r="C6837" s="12"/>
      <c r="D6837" s="12"/>
      <c r="E6837" s="11"/>
      <c r="F6837" s="11"/>
      <c r="G6837" s="73"/>
      <c r="H6837" s="12"/>
      <c r="I6837" s="12"/>
      <c r="J6837" s="33"/>
      <c r="K6837" s="12"/>
      <c r="L6837" s="15"/>
    </row>
    <row r="6838" spans="1:12">
      <c r="A6838" s="72"/>
      <c r="B6838" s="12"/>
      <c r="C6838" s="12"/>
      <c r="D6838" s="12"/>
      <c r="E6838" s="11"/>
      <c r="F6838" s="11"/>
      <c r="G6838" s="73"/>
      <c r="H6838" s="12"/>
      <c r="I6838" s="12"/>
      <c r="J6838" s="33"/>
      <c r="K6838" s="12"/>
      <c r="L6838" s="15"/>
    </row>
    <row r="6839" spans="1:12">
      <c r="A6839" s="72"/>
      <c r="B6839" s="12"/>
      <c r="C6839" s="12"/>
      <c r="D6839" s="12"/>
      <c r="E6839" s="11"/>
      <c r="F6839" s="11"/>
      <c r="G6839" s="73"/>
      <c r="H6839" s="12"/>
      <c r="I6839" s="12"/>
      <c r="J6839" s="33"/>
      <c r="K6839" s="12"/>
      <c r="L6839" s="15"/>
    </row>
    <row r="6840" spans="1:12">
      <c r="A6840" s="72"/>
      <c r="B6840" s="12"/>
      <c r="C6840" s="12"/>
      <c r="D6840" s="12"/>
      <c r="E6840" s="11"/>
      <c r="F6840" s="11"/>
      <c r="G6840" s="73"/>
      <c r="H6840" s="12"/>
      <c r="I6840" s="12"/>
      <c r="J6840" s="33"/>
      <c r="K6840" s="12"/>
      <c r="L6840" s="15"/>
    </row>
    <row r="6841" spans="1:12">
      <c r="A6841" s="72"/>
      <c r="B6841" s="12"/>
      <c r="C6841" s="12"/>
      <c r="D6841" s="12"/>
      <c r="E6841" s="11"/>
      <c r="F6841" s="11"/>
      <c r="G6841" s="73"/>
      <c r="H6841" s="12"/>
      <c r="I6841" s="12"/>
      <c r="J6841" s="33"/>
      <c r="K6841" s="12"/>
      <c r="L6841" s="15"/>
    </row>
    <row r="6842" spans="1:12">
      <c r="A6842" s="72"/>
      <c r="B6842" s="12"/>
      <c r="C6842" s="12"/>
      <c r="D6842" s="12"/>
      <c r="E6842" s="11"/>
      <c r="F6842" s="11"/>
      <c r="G6842" s="73"/>
      <c r="H6842" s="12"/>
      <c r="I6842" s="12"/>
      <c r="J6842" s="33"/>
      <c r="K6842" s="12"/>
      <c r="L6842" s="15"/>
    </row>
    <row r="6843" spans="1:12">
      <c r="A6843" s="72"/>
      <c r="B6843" s="12"/>
      <c r="C6843" s="12"/>
      <c r="D6843" s="12"/>
      <c r="E6843" s="11"/>
      <c r="F6843" s="11"/>
      <c r="G6843" s="73"/>
      <c r="H6843" s="12"/>
      <c r="I6843" s="12"/>
      <c r="J6843" s="33"/>
      <c r="K6843" s="12"/>
      <c r="L6843" s="15"/>
    </row>
    <row r="6844" spans="1:12">
      <c r="A6844" s="72"/>
      <c r="B6844" s="12"/>
      <c r="C6844" s="12"/>
      <c r="D6844" s="12"/>
      <c r="E6844" s="11"/>
      <c r="F6844" s="11"/>
      <c r="G6844" s="73"/>
      <c r="H6844" s="12"/>
      <c r="I6844" s="12"/>
      <c r="J6844" s="33"/>
      <c r="K6844" s="12"/>
      <c r="L6844" s="15"/>
    </row>
    <row r="6845" spans="1:12">
      <c r="A6845" s="72"/>
      <c r="B6845" s="12"/>
      <c r="C6845" s="12"/>
      <c r="D6845" s="12"/>
      <c r="E6845" s="11"/>
      <c r="F6845" s="11"/>
      <c r="G6845" s="73"/>
      <c r="H6845" s="12"/>
      <c r="I6845" s="12"/>
      <c r="J6845" s="33"/>
      <c r="K6845" s="12"/>
      <c r="L6845" s="15"/>
    </row>
    <row r="6846" spans="1:12">
      <c r="A6846" s="72"/>
      <c r="B6846" s="12"/>
      <c r="C6846" s="12"/>
      <c r="D6846" s="12"/>
      <c r="E6846" s="11"/>
      <c r="F6846" s="11"/>
      <c r="G6846" s="73"/>
      <c r="H6846" s="12"/>
      <c r="I6846" s="12"/>
      <c r="J6846" s="33"/>
      <c r="K6846" s="12"/>
      <c r="L6846" s="15"/>
    </row>
    <row r="6847" spans="1:12">
      <c r="A6847" s="72"/>
      <c r="B6847" s="12"/>
      <c r="C6847" s="12"/>
      <c r="D6847" s="12"/>
      <c r="E6847" s="11"/>
      <c r="F6847" s="11"/>
      <c r="G6847" s="73"/>
      <c r="H6847" s="12"/>
      <c r="I6847" s="12"/>
      <c r="J6847" s="33"/>
      <c r="K6847" s="12"/>
      <c r="L6847" s="15"/>
    </row>
    <row r="6848" spans="1:12">
      <c r="A6848" s="72"/>
      <c r="B6848" s="12"/>
      <c r="C6848" s="12"/>
      <c r="D6848" s="12"/>
      <c r="E6848" s="11"/>
      <c r="F6848" s="11"/>
      <c r="G6848" s="73"/>
      <c r="H6848" s="12"/>
      <c r="I6848" s="12"/>
      <c r="J6848" s="33"/>
      <c r="K6848" s="12"/>
      <c r="L6848" s="15"/>
    </row>
    <row r="6849" spans="1:12">
      <c r="A6849" s="72"/>
      <c r="B6849" s="12"/>
      <c r="C6849" s="12"/>
      <c r="D6849" s="12"/>
      <c r="E6849" s="11"/>
      <c r="F6849" s="11"/>
      <c r="G6849" s="73"/>
      <c r="H6849" s="12"/>
      <c r="I6849" s="12"/>
      <c r="J6849" s="33"/>
      <c r="K6849" s="12"/>
      <c r="L6849" s="15"/>
    </row>
    <row r="6850" spans="1:12">
      <c r="A6850" s="72"/>
      <c r="B6850" s="12"/>
      <c r="C6850" s="12"/>
      <c r="D6850" s="12"/>
      <c r="E6850" s="11"/>
      <c r="F6850" s="11"/>
      <c r="G6850" s="73"/>
      <c r="H6850" s="12"/>
      <c r="I6850" s="12"/>
      <c r="J6850" s="33"/>
      <c r="K6850" s="12"/>
      <c r="L6850" s="15"/>
    </row>
    <row r="6851" spans="1:12">
      <c r="A6851" s="72"/>
      <c r="B6851" s="12"/>
      <c r="C6851" s="12"/>
      <c r="D6851" s="12"/>
      <c r="E6851" s="11"/>
      <c r="F6851" s="11"/>
      <c r="G6851" s="73"/>
      <c r="H6851" s="12"/>
      <c r="I6851" s="12"/>
      <c r="J6851" s="33"/>
      <c r="K6851" s="12"/>
      <c r="L6851" s="15"/>
    </row>
    <row r="6852" spans="1:12">
      <c r="A6852" s="72"/>
      <c r="B6852" s="12"/>
      <c r="C6852" s="12"/>
      <c r="D6852" s="12"/>
      <c r="E6852" s="11"/>
      <c r="F6852" s="11"/>
      <c r="G6852" s="73"/>
      <c r="H6852" s="12"/>
      <c r="I6852" s="12"/>
      <c r="J6852" s="33"/>
      <c r="K6852" s="12"/>
      <c r="L6852" s="15"/>
    </row>
    <row r="6853" spans="1:12">
      <c r="A6853" s="72"/>
      <c r="B6853" s="12"/>
      <c r="C6853" s="12"/>
      <c r="D6853" s="12"/>
      <c r="E6853" s="11"/>
      <c r="F6853" s="11"/>
      <c r="G6853" s="73"/>
      <c r="H6853" s="12"/>
      <c r="I6853" s="12"/>
      <c r="J6853" s="33"/>
      <c r="K6853" s="12"/>
      <c r="L6853" s="15"/>
    </row>
    <row r="6854" spans="1:12">
      <c r="A6854" s="72"/>
      <c r="B6854" s="12"/>
      <c r="C6854" s="12"/>
      <c r="D6854" s="12"/>
      <c r="E6854" s="11"/>
      <c r="F6854" s="11"/>
      <c r="G6854" s="73"/>
      <c r="H6854" s="12"/>
      <c r="I6854" s="12"/>
      <c r="J6854" s="33"/>
      <c r="K6854" s="12"/>
      <c r="L6854" s="15"/>
    </row>
    <row r="6855" spans="1:12">
      <c r="A6855" s="72"/>
      <c r="B6855" s="12"/>
      <c r="C6855" s="12"/>
      <c r="D6855" s="12"/>
      <c r="E6855" s="11"/>
      <c r="F6855" s="11"/>
      <c r="G6855" s="73"/>
      <c r="H6855" s="12"/>
      <c r="I6855" s="12"/>
      <c r="J6855" s="33"/>
      <c r="K6855" s="12"/>
      <c r="L6855" s="15"/>
    </row>
    <row r="6856" spans="1:12">
      <c r="A6856" s="72"/>
      <c r="B6856" s="12"/>
      <c r="C6856" s="12"/>
      <c r="D6856" s="12"/>
      <c r="E6856" s="11"/>
      <c r="F6856" s="11"/>
      <c r="G6856" s="73"/>
      <c r="H6856" s="12"/>
      <c r="I6856" s="12"/>
      <c r="J6856" s="33"/>
      <c r="K6856" s="12"/>
      <c r="L6856" s="15"/>
    </row>
    <row r="6857" spans="1:12">
      <c r="A6857" s="72"/>
      <c r="B6857" s="12"/>
      <c r="C6857" s="12"/>
      <c r="D6857" s="12"/>
      <c r="E6857" s="11"/>
      <c r="F6857" s="11"/>
      <c r="G6857" s="73"/>
      <c r="H6857" s="12"/>
      <c r="I6857" s="12"/>
      <c r="J6857" s="33"/>
      <c r="K6857" s="12"/>
      <c r="L6857" s="15"/>
    </row>
    <row r="6858" spans="1:12">
      <c r="A6858" s="72"/>
      <c r="B6858" s="12"/>
      <c r="C6858" s="12"/>
      <c r="D6858" s="12"/>
      <c r="E6858" s="11"/>
      <c r="F6858" s="11"/>
      <c r="G6858" s="73"/>
      <c r="H6858" s="12"/>
      <c r="I6858" s="12"/>
      <c r="J6858" s="33"/>
      <c r="K6858" s="12"/>
      <c r="L6858" s="15"/>
    </row>
    <row r="6859" spans="1:12">
      <c r="A6859" s="72"/>
      <c r="B6859" s="12"/>
      <c r="C6859" s="12"/>
      <c r="D6859" s="12"/>
      <c r="E6859" s="11"/>
      <c r="F6859" s="11"/>
      <c r="G6859" s="73"/>
      <c r="H6859" s="12"/>
      <c r="I6859" s="12"/>
      <c r="J6859" s="33"/>
      <c r="K6859" s="12"/>
      <c r="L6859" s="15"/>
    </row>
    <row r="6860" spans="1:12">
      <c r="A6860" s="72"/>
      <c r="B6860" s="12"/>
      <c r="C6860" s="12"/>
      <c r="D6860" s="12"/>
      <c r="E6860" s="11"/>
      <c r="F6860" s="11"/>
      <c r="G6860" s="73"/>
      <c r="H6860" s="12"/>
      <c r="I6860" s="12"/>
      <c r="J6860" s="33"/>
      <c r="K6860" s="12"/>
      <c r="L6860" s="15"/>
    </row>
    <row r="6861" spans="1:12">
      <c r="A6861" s="72"/>
      <c r="B6861" s="12"/>
      <c r="C6861" s="12"/>
      <c r="D6861" s="12"/>
      <c r="E6861" s="11"/>
      <c r="F6861" s="11"/>
      <c r="G6861" s="73"/>
      <c r="H6861" s="12"/>
      <c r="I6861" s="12"/>
      <c r="J6861" s="33"/>
      <c r="K6861" s="12"/>
      <c r="L6861" s="15"/>
    </row>
    <row r="6862" spans="1:12">
      <c r="A6862" s="72"/>
      <c r="B6862" s="12"/>
      <c r="C6862" s="12"/>
      <c r="D6862" s="12"/>
      <c r="E6862" s="11"/>
      <c r="F6862" s="11"/>
      <c r="G6862" s="73"/>
      <c r="H6862" s="12"/>
      <c r="I6862" s="12"/>
      <c r="J6862" s="33"/>
      <c r="K6862" s="12"/>
      <c r="L6862" s="15"/>
    </row>
    <row r="6863" spans="1:12">
      <c r="A6863" s="72"/>
      <c r="B6863" s="12"/>
      <c r="C6863" s="12"/>
      <c r="D6863" s="12"/>
      <c r="E6863" s="11"/>
      <c r="F6863" s="11"/>
      <c r="G6863" s="73"/>
      <c r="H6863" s="12"/>
      <c r="I6863" s="12"/>
      <c r="J6863" s="33"/>
      <c r="K6863" s="12"/>
      <c r="L6863" s="15"/>
    </row>
    <row r="6864" spans="1:12">
      <c r="A6864" s="72"/>
      <c r="B6864" s="12"/>
      <c r="C6864" s="12"/>
      <c r="D6864" s="12"/>
      <c r="E6864" s="11"/>
      <c r="F6864" s="11"/>
      <c r="G6864" s="73"/>
      <c r="H6864" s="12"/>
      <c r="I6864" s="12"/>
      <c r="J6864" s="33"/>
      <c r="K6864" s="12"/>
      <c r="L6864" s="15"/>
    </row>
    <row r="6865" spans="1:12">
      <c r="A6865" s="72"/>
      <c r="B6865" s="12"/>
      <c r="C6865" s="12"/>
      <c r="D6865" s="12"/>
      <c r="E6865" s="11"/>
      <c r="F6865" s="11"/>
      <c r="G6865" s="73"/>
      <c r="H6865" s="12"/>
      <c r="I6865" s="12"/>
      <c r="J6865" s="33"/>
      <c r="K6865" s="12"/>
      <c r="L6865" s="15"/>
    </row>
    <row r="6866" spans="1:12">
      <c r="A6866" s="72"/>
      <c r="B6866" s="12"/>
      <c r="C6866" s="12"/>
      <c r="D6866" s="12"/>
      <c r="E6866" s="11"/>
      <c r="F6866" s="11"/>
      <c r="G6866" s="73"/>
      <c r="H6866" s="12"/>
      <c r="I6866" s="12"/>
      <c r="J6866" s="33"/>
      <c r="K6866" s="12"/>
      <c r="L6866" s="15"/>
    </row>
    <row r="6867" spans="1:12">
      <c r="A6867" s="72"/>
      <c r="B6867" s="12"/>
      <c r="C6867" s="12"/>
      <c r="D6867" s="12"/>
      <c r="E6867" s="11"/>
      <c r="F6867" s="11"/>
      <c r="G6867" s="73"/>
      <c r="H6867" s="12"/>
      <c r="I6867" s="12"/>
      <c r="J6867" s="33"/>
      <c r="K6867" s="12"/>
      <c r="L6867" s="15"/>
    </row>
    <row r="6868" spans="1:12">
      <c r="A6868" s="72"/>
      <c r="B6868" s="12"/>
      <c r="C6868" s="12"/>
      <c r="D6868" s="12"/>
      <c r="E6868" s="11"/>
      <c r="F6868" s="11"/>
      <c r="G6868" s="73"/>
      <c r="H6868" s="12"/>
      <c r="I6868" s="12"/>
      <c r="J6868" s="33"/>
      <c r="K6868" s="12"/>
      <c r="L6868" s="15"/>
    </row>
    <row r="6869" spans="1:12">
      <c r="A6869" s="72"/>
      <c r="B6869" s="12"/>
      <c r="C6869" s="12"/>
      <c r="D6869" s="12"/>
      <c r="E6869" s="11"/>
      <c r="F6869" s="11"/>
      <c r="G6869" s="73"/>
      <c r="H6869" s="12"/>
      <c r="I6869" s="12"/>
      <c r="J6869" s="33"/>
      <c r="K6869" s="12"/>
      <c r="L6869" s="15"/>
    </row>
    <row r="6870" spans="1:12">
      <c r="A6870" s="72"/>
      <c r="B6870" s="12"/>
      <c r="C6870" s="12"/>
      <c r="D6870" s="12"/>
      <c r="E6870" s="11"/>
      <c r="F6870" s="11"/>
      <c r="G6870" s="73"/>
      <c r="H6870" s="12"/>
      <c r="I6870" s="12"/>
      <c r="J6870" s="33"/>
      <c r="K6870" s="12"/>
      <c r="L6870" s="15"/>
    </row>
    <row r="6871" spans="1:12">
      <c r="A6871" s="72"/>
      <c r="B6871" s="12"/>
      <c r="C6871" s="12"/>
      <c r="D6871" s="12"/>
      <c r="E6871" s="11"/>
      <c r="F6871" s="11"/>
      <c r="G6871" s="73"/>
      <c r="H6871" s="12"/>
      <c r="I6871" s="12"/>
      <c r="J6871" s="33"/>
      <c r="K6871" s="12"/>
      <c r="L6871" s="15"/>
    </row>
    <row r="6872" spans="1:12">
      <c r="A6872" s="72"/>
      <c r="B6872" s="12"/>
      <c r="C6872" s="12"/>
      <c r="D6872" s="12"/>
      <c r="E6872" s="11"/>
      <c r="F6872" s="11"/>
      <c r="G6872" s="73"/>
      <c r="H6872" s="12"/>
      <c r="I6872" s="12"/>
      <c r="J6872" s="33"/>
      <c r="K6872" s="12"/>
      <c r="L6872" s="15"/>
    </row>
    <row r="6873" spans="1:12">
      <c r="A6873" s="72"/>
      <c r="B6873" s="12"/>
      <c r="C6873" s="12"/>
      <c r="D6873" s="12"/>
      <c r="E6873" s="11"/>
      <c r="F6873" s="11"/>
      <c r="G6873" s="73"/>
      <c r="H6873" s="12"/>
      <c r="I6873" s="12"/>
      <c r="J6873" s="33"/>
      <c r="K6873" s="12"/>
      <c r="L6873" s="15"/>
    </row>
    <row r="6874" spans="1:12">
      <c r="A6874" s="72"/>
      <c r="B6874" s="12"/>
      <c r="C6874" s="12"/>
      <c r="D6874" s="12"/>
      <c r="E6874" s="11"/>
      <c r="F6874" s="11"/>
      <c r="G6874" s="73"/>
      <c r="H6874" s="12"/>
      <c r="I6874" s="12"/>
      <c r="J6874" s="33"/>
      <c r="K6874" s="12"/>
      <c r="L6874" s="15"/>
    </row>
    <row r="6875" spans="1:12">
      <c r="A6875" s="72"/>
      <c r="B6875" s="12"/>
      <c r="C6875" s="12"/>
      <c r="D6875" s="12"/>
      <c r="E6875" s="11"/>
      <c r="F6875" s="11"/>
      <c r="G6875" s="73"/>
      <c r="H6875" s="12"/>
      <c r="I6875" s="12"/>
      <c r="J6875" s="33"/>
      <c r="K6875" s="12"/>
      <c r="L6875" s="15"/>
    </row>
    <row r="6876" spans="1:12">
      <c r="A6876" s="72"/>
      <c r="B6876" s="12"/>
      <c r="C6876" s="12"/>
      <c r="D6876" s="12"/>
      <c r="E6876" s="11"/>
      <c r="F6876" s="11"/>
      <c r="G6876" s="73"/>
      <c r="H6876" s="12"/>
      <c r="I6876" s="12"/>
      <c r="J6876" s="33"/>
      <c r="K6876" s="12"/>
      <c r="L6876" s="15"/>
    </row>
    <row r="6877" spans="1:12">
      <c r="A6877" s="72"/>
      <c r="B6877" s="12"/>
      <c r="C6877" s="12"/>
      <c r="D6877" s="12"/>
      <c r="E6877" s="11"/>
      <c r="F6877" s="11"/>
      <c r="G6877" s="73"/>
      <c r="H6877" s="12"/>
      <c r="I6877" s="12"/>
      <c r="J6877" s="33"/>
      <c r="K6877" s="12"/>
      <c r="L6877" s="15"/>
    </row>
    <row r="6878" spans="1:12">
      <c r="A6878" s="72"/>
      <c r="B6878" s="12"/>
      <c r="C6878" s="12"/>
      <c r="D6878" s="12"/>
      <c r="E6878" s="11"/>
      <c r="F6878" s="11"/>
      <c r="G6878" s="73"/>
      <c r="H6878" s="12"/>
      <c r="I6878" s="12"/>
      <c r="J6878" s="33"/>
      <c r="K6878" s="12"/>
      <c r="L6878" s="15"/>
    </row>
    <row r="6879" spans="1:12">
      <c r="A6879" s="72"/>
      <c r="B6879" s="12"/>
      <c r="C6879" s="12"/>
      <c r="D6879" s="12"/>
      <c r="E6879" s="11"/>
      <c r="F6879" s="11"/>
      <c r="G6879" s="73"/>
      <c r="H6879" s="12"/>
      <c r="I6879" s="12"/>
      <c r="J6879" s="33"/>
      <c r="K6879" s="12"/>
      <c r="L6879" s="15"/>
    </row>
    <row r="6880" spans="1:12">
      <c r="A6880" s="72"/>
      <c r="B6880" s="12"/>
      <c r="C6880" s="12"/>
      <c r="D6880" s="12"/>
      <c r="E6880" s="11"/>
      <c r="F6880" s="11"/>
      <c r="G6880" s="73"/>
      <c r="H6880" s="12"/>
      <c r="I6880" s="12"/>
      <c r="J6880" s="33"/>
      <c r="K6880" s="12"/>
      <c r="L6880" s="15"/>
    </row>
    <row r="6881" spans="1:12">
      <c r="A6881" s="72"/>
      <c r="B6881" s="12"/>
      <c r="C6881" s="12"/>
      <c r="D6881" s="12"/>
      <c r="E6881" s="11"/>
      <c r="F6881" s="11"/>
      <c r="G6881" s="73"/>
      <c r="H6881" s="12"/>
      <c r="I6881" s="12"/>
      <c r="J6881" s="33"/>
      <c r="K6881" s="12"/>
      <c r="L6881" s="15"/>
    </row>
    <row r="6882" spans="1:12">
      <c r="A6882" s="72"/>
      <c r="B6882" s="12"/>
      <c r="C6882" s="12"/>
      <c r="D6882" s="12"/>
      <c r="E6882" s="11"/>
      <c r="F6882" s="11"/>
      <c r="G6882" s="73"/>
      <c r="H6882" s="12"/>
      <c r="I6882" s="12"/>
      <c r="J6882" s="33"/>
      <c r="K6882" s="12"/>
      <c r="L6882" s="15"/>
    </row>
    <row r="6883" spans="1:12">
      <c r="A6883" s="72"/>
      <c r="B6883" s="12"/>
      <c r="C6883" s="12"/>
      <c r="D6883" s="12"/>
      <c r="E6883" s="11"/>
      <c r="F6883" s="11"/>
      <c r="G6883" s="73"/>
      <c r="H6883" s="12"/>
      <c r="I6883" s="12"/>
      <c r="J6883" s="33"/>
      <c r="K6883" s="12"/>
      <c r="L6883" s="15"/>
    </row>
    <row r="6884" spans="1:12">
      <c r="A6884" s="72"/>
      <c r="B6884" s="12"/>
      <c r="C6884" s="12"/>
      <c r="D6884" s="12"/>
      <c r="E6884" s="11"/>
      <c r="F6884" s="11"/>
      <c r="G6884" s="73"/>
      <c r="H6884" s="12"/>
      <c r="I6884" s="12"/>
      <c r="J6884" s="33"/>
      <c r="K6884" s="12"/>
      <c r="L6884" s="15"/>
    </row>
    <row r="6885" spans="1:12">
      <c r="A6885" s="72"/>
      <c r="B6885" s="12"/>
      <c r="C6885" s="12"/>
      <c r="D6885" s="12"/>
      <c r="E6885" s="11"/>
      <c r="F6885" s="11"/>
      <c r="G6885" s="73"/>
      <c r="H6885" s="12"/>
      <c r="I6885" s="12"/>
      <c r="J6885" s="33"/>
      <c r="K6885" s="12"/>
      <c r="L6885" s="15"/>
    </row>
    <row r="6886" spans="1:12">
      <c r="A6886" s="72"/>
      <c r="B6886" s="12"/>
      <c r="C6886" s="12"/>
      <c r="D6886" s="12"/>
      <c r="E6886" s="11"/>
      <c r="F6886" s="11"/>
      <c r="G6886" s="73"/>
      <c r="H6886" s="12"/>
      <c r="I6886" s="12"/>
      <c r="J6886" s="33"/>
      <c r="K6886" s="12"/>
      <c r="L6886" s="15"/>
    </row>
    <row r="6887" spans="1:12">
      <c r="A6887" s="72"/>
      <c r="B6887" s="12"/>
      <c r="C6887" s="12"/>
      <c r="D6887" s="12"/>
      <c r="E6887" s="11"/>
      <c r="F6887" s="11"/>
      <c r="G6887" s="73"/>
      <c r="H6887" s="12"/>
      <c r="I6887" s="12"/>
      <c r="J6887" s="33"/>
      <c r="K6887" s="12"/>
      <c r="L6887" s="15"/>
    </row>
    <row r="6888" spans="1:12">
      <c r="A6888" s="72"/>
      <c r="B6888" s="12"/>
      <c r="C6888" s="12"/>
      <c r="D6888" s="12"/>
      <c r="E6888" s="11"/>
      <c r="F6888" s="11"/>
      <c r="G6888" s="73"/>
      <c r="H6888" s="12"/>
      <c r="I6888" s="12"/>
      <c r="J6888" s="33"/>
      <c r="K6888" s="12"/>
      <c r="L6888" s="15"/>
    </row>
    <row r="6889" spans="1:12">
      <c r="A6889" s="72"/>
      <c r="B6889" s="12"/>
      <c r="C6889" s="12"/>
      <c r="D6889" s="12"/>
      <c r="E6889" s="11"/>
      <c r="F6889" s="11"/>
      <c r="G6889" s="73"/>
      <c r="H6889" s="12"/>
      <c r="I6889" s="12"/>
      <c r="J6889" s="33"/>
      <c r="K6889" s="12"/>
      <c r="L6889" s="15"/>
    </row>
    <row r="6890" spans="1:12">
      <c r="A6890" s="72"/>
      <c r="B6890" s="12"/>
      <c r="C6890" s="12"/>
      <c r="D6890" s="12"/>
      <c r="E6890" s="11"/>
      <c r="F6890" s="11"/>
      <c r="G6890" s="73"/>
      <c r="H6890" s="12"/>
      <c r="I6890" s="12"/>
      <c r="J6890" s="33"/>
      <c r="K6890" s="12"/>
      <c r="L6890" s="15"/>
    </row>
    <row r="6891" spans="1:12">
      <c r="A6891" s="72"/>
      <c r="B6891" s="12"/>
      <c r="C6891" s="12"/>
      <c r="D6891" s="12"/>
      <c r="E6891" s="11"/>
      <c r="F6891" s="11"/>
      <c r="G6891" s="73"/>
      <c r="H6891" s="12"/>
      <c r="I6891" s="12"/>
      <c r="J6891" s="33"/>
      <c r="K6891" s="12"/>
      <c r="L6891" s="15"/>
    </row>
    <row r="6892" spans="1:12">
      <c r="A6892" s="72"/>
      <c r="B6892" s="12"/>
      <c r="C6892" s="12"/>
      <c r="D6892" s="12"/>
      <c r="E6892" s="11"/>
      <c r="F6892" s="11"/>
      <c r="G6892" s="73"/>
      <c r="H6892" s="12"/>
      <c r="I6892" s="12"/>
      <c r="J6892" s="33"/>
      <c r="K6892" s="12"/>
      <c r="L6892" s="15"/>
    </row>
    <row r="6893" spans="1:12">
      <c r="A6893" s="72"/>
      <c r="B6893" s="12"/>
      <c r="C6893" s="12"/>
      <c r="D6893" s="12"/>
      <c r="E6893" s="11"/>
      <c r="F6893" s="11"/>
      <c r="G6893" s="73"/>
      <c r="H6893" s="12"/>
      <c r="I6893" s="12"/>
      <c r="J6893" s="33"/>
      <c r="K6893" s="12"/>
      <c r="L6893" s="15"/>
    </row>
    <row r="6894" spans="1:12">
      <c r="A6894" s="72"/>
      <c r="B6894" s="12"/>
      <c r="C6894" s="12"/>
      <c r="D6894" s="12"/>
      <c r="E6894" s="11"/>
      <c r="F6894" s="11"/>
      <c r="G6894" s="73"/>
      <c r="H6894" s="12"/>
      <c r="I6894" s="12"/>
      <c r="J6894" s="33"/>
      <c r="K6894" s="12"/>
      <c r="L6894" s="15"/>
    </row>
    <row r="6895" spans="1:12">
      <c r="A6895" s="72"/>
      <c r="B6895" s="12"/>
      <c r="C6895" s="12"/>
      <c r="D6895" s="12"/>
      <c r="E6895" s="11"/>
      <c r="F6895" s="11"/>
      <c r="G6895" s="73"/>
      <c r="H6895" s="12"/>
      <c r="I6895" s="12"/>
      <c r="J6895" s="33"/>
      <c r="K6895" s="12"/>
      <c r="L6895" s="15"/>
    </row>
    <row r="6896" spans="1:12">
      <c r="A6896" s="72"/>
      <c r="B6896" s="12"/>
      <c r="C6896" s="12"/>
      <c r="D6896" s="12"/>
      <c r="E6896" s="11"/>
      <c r="F6896" s="11"/>
      <c r="G6896" s="73"/>
      <c r="H6896" s="12"/>
      <c r="I6896" s="12"/>
      <c r="J6896" s="33"/>
      <c r="K6896" s="12"/>
      <c r="L6896" s="15"/>
    </row>
    <row r="6897" spans="1:12">
      <c r="A6897" s="72"/>
      <c r="B6897" s="12"/>
      <c r="C6897" s="12"/>
      <c r="D6897" s="12"/>
      <c r="E6897" s="11"/>
      <c r="F6897" s="11"/>
      <c r="G6897" s="73"/>
      <c r="H6897" s="12"/>
      <c r="I6897" s="12"/>
      <c r="J6897" s="33"/>
      <c r="K6897" s="12"/>
      <c r="L6897" s="15"/>
    </row>
    <row r="6898" spans="1:12">
      <c r="A6898" s="72"/>
      <c r="B6898" s="12"/>
      <c r="C6898" s="12"/>
      <c r="D6898" s="12"/>
      <c r="E6898" s="11"/>
      <c r="F6898" s="11"/>
      <c r="G6898" s="73"/>
      <c r="H6898" s="12"/>
      <c r="I6898" s="12"/>
      <c r="J6898" s="33"/>
      <c r="K6898" s="12"/>
      <c r="L6898" s="15"/>
    </row>
    <row r="6899" spans="1:12">
      <c r="A6899" s="72"/>
      <c r="B6899" s="12"/>
      <c r="C6899" s="12"/>
      <c r="D6899" s="12"/>
      <c r="E6899" s="11"/>
      <c r="F6899" s="11"/>
      <c r="G6899" s="73"/>
      <c r="H6899" s="12"/>
      <c r="I6899" s="12"/>
      <c r="J6899" s="33"/>
      <c r="K6899" s="12"/>
      <c r="L6899" s="15"/>
    </row>
    <row r="6900" spans="1:12">
      <c r="A6900" s="72"/>
      <c r="B6900" s="12"/>
      <c r="C6900" s="12"/>
      <c r="D6900" s="12"/>
      <c r="E6900" s="11"/>
      <c r="F6900" s="11"/>
      <c r="G6900" s="73"/>
      <c r="H6900" s="12"/>
      <c r="I6900" s="12"/>
      <c r="J6900" s="33"/>
      <c r="K6900" s="12"/>
      <c r="L6900" s="15"/>
    </row>
    <row r="6901" spans="1:12">
      <c r="A6901" s="72"/>
      <c r="B6901" s="12"/>
      <c r="C6901" s="12"/>
      <c r="D6901" s="12"/>
      <c r="E6901" s="11"/>
      <c r="F6901" s="11"/>
      <c r="G6901" s="73"/>
      <c r="H6901" s="12"/>
      <c r="I6901" s="12"/>
      <c r="J6901" s="33"/>
      <c r="K6901" s="12"/>
      <c r="L6901" s="15"/>
    </row>
    <row r="6902" spans="1:12">
      <c r="A6902" s="72"/>
      <c r="B6902" s="12"/>
      <c r="C6902" s="12"/>
      <c r="D6902" s="12"/>
      <c r="E6902" s="11"/>
      <c r="F6902" s="11"/>
      <c r="G6902" s="73"/>
      <c r="H6902" s="12"/>
      <c r="I6902" s="12"/>
      <c r="J6902" s="33"/>
      <c r="K6902" s="12"/>
      <c r="L6902" s="15"/>
    </row>
    <row r="6903" spans="1:12">
      <c r="A6903" s="72"/>
      <c r="B6903" s="12"/>
      <c r="C6903" s="12"/>
      <c r="D6903" s="12"/>
      <c r="E6903" s="11"/>
      <c r="F6903" s="11"/>
      <c r="G6903" s="73"/>
      <c r="H6903" s="12"/>
      <c r="I6903" s="12"/>
      <c r="J6903" s="33"/>
      <c r="K6903" s="12"/>
      <c r="L6903" s="15"/>
    </row>
    <row r="6904" spans="1:12">
      <c r="A6904" s="72"/>
      <c r="B6904" s="12"/>
      <c r="C6904" s="12"/>
      <c r="D6904" s="12"/>
      <c r="E6904" s="11"/>
      <c r="F6904" s="11"/>
      <c r="G6904" s="73"/>
      <c r="H6904" s="12"/>
      <c r="I6904" s="12"/>
      <c r="J6904" s="33"/>
      <c r="K6904" s="12"/>
      <c r="L6904" s="15"/>
    </row>
    <row r="6905" spans="1:12">
      <c r="A6905" s="72"/>
      <c r="B6905" s="12"/>
      <c r="C6905" s="12"/>
      <c r="D6905" s="12"/>
      <c r="E6905" s="11"/>
      <c r="F6905" s="11"/>
      <c r="G6905" s="73"/>
      <c r="H6905" s="12"/>
      <c r="I6905" s="12"/>
      <c r="J6905" s="33"/>
      <c r="K6905" s="12"/>
      <c r="L6905" s="15"/>
    </row>
    <row r="6906" spans="1:12">
      <c r="A6906" s="72"/>
      <c r="B6906" s="12"/>
      <c r="C6906" s="12"/>
      <c r="D6906" s="12"/>
      <c r="E6906" s="11"/>
      <c r="F6906" s="11"/>
      <c r="G6906" s="73"/>
      <c r="H6906" s="12"/>
      <c r="I6906" s="12"/>
      <c r="J6906" s="33"/>
      <c r="K6906" s="12"/>
      <c r="L6906" s="15"/>
    </row>
    <row r="6907" spans="1:12">
      <c r="A6907" s="72"/>
      <c r="B6907" s="12"/>
      <c r="C6907" s="12"/>
      <c r="D6907" s="12"/>
      <c r="E6907" s="11"/>
      <c r="F6907" s="11"/>
      <c r="G6907" s="73"/>
      <c r="H6907" s="12"/>
      <c r="I6907" s="12"/>
      <c r="J6907" s="33"/>
      <c r="K6907" s="12"/>
      <c r="L6907" s="15"/>
    </row>
    <row r="6908" spans="1:12">
      <c r="A6908" s="72"/>
      <c r="B6908" s="12"/>
      <c r="C6908" s="12"/>
      <c r="D6908" s="12"/>
      <c r="E6908" s="11"/>
      <c r="F6908" s="11"/>
      <c r="G6908" s="73"/>
      <c r="H6908" s="12"/>
      <c r="I6908" s="12"/>
      <c r="J6908" s="33"/>
      <c r="K6908" s="12"/>
      <c r="L6908" s="15"/>
    </row>
    <row r="6909" spans="1:12">
      <c r="A6909" s="72"/>
      <c r="B6909" s="12"/>
      <c r="C6909" s="12"/>
      <c r="D6909" s="12"/>
      <c r="E6909" s="11"/>
      <c r="F6909" s="11"/>
      <c r="G6909" s="73"/>
      <c r="H6909" s="12"/>
      <c r="I6909" s="12"/>
      <c r="J6909" s="33"/>
      <c r="K6909" s="12"/>
      <c r="L6909" s="15"/>
    </row>
    <row r="6910" spans="1:12">
      <c r="A6910" s="72"/>
      <c r="B6910" s="12"/>
      <c r="C6910" s="12"/>
      <c r="D6910" s="12"/>
      <c r="E6910" s="11"/>
      <c r="F6910" s="11"/>
      <c r="G6910" s="73"/>
      <c r="H6910" s="12"/>
      <c r="I6910" s="12"/>
      <c r="J6910" s="33"/>
      <c r="K6910" s="12"/>
      <c r="L6910" s="15"/>
    </row>
    <row r="6911" spans="1:12">
      <c r="A6911" s="72"/>
      <c r="B6911" s="12"/>
      <c r="C6911" s="12"/>
      <c r="D6911" s="12"/>
      <c r="E6911" s="11"/>
      <c r="F6911" s="11"/>
      <c r="G6911" s="73"/>
      <c r="H6911" s="12"/>
      <c r="I6911" s="12"/>
      <c r="J6911" s="33"/>
      <c r="K6911" s="12"/>
      <c r="L6911" s="15"/>
    </row>
    <row r="6912" spans="1:12">
      <c r="A6912" s="72"/>
      <c r="B6912" s="12"/>
      <c r="C6912" s="12"/>
      <c r="D6912" s="12"/>
      <c r="E6912" s="11"/>
      <c r="F6912" s="11"/>
      <c r="G6912" s="73"/>
      <c r="H6912" s="12"/>
      <c r="I6912" s="12"/>
      <c r="J6912" s="33"/>
      <c r="K6912" s="12"/>
      <c r="L6912" s="15"/>
    </row>
    <row r="6913" spans="1:12">
      <c r="A6913" s="72"/>
      <c r="B6913" s="12"/>
      <c r="C6913" s="12"/>
      <c r="D6913" s="12"/>
      <c r="E6913" s="11"/>
      <c r="F6913" s="11"/>
      <c r="G6913" s="73"/>
      <c r="H6913" s="12"/>
      <c r="I6913" s="12"/>
      <c r="J6913" s="33"/>
      <c r="K6913" s="12"/>
      <c r="L6913" s="15"/>
    </row>
    <row r="6914" spans="1:12">
      <c r="A6914" s="72"/>
      <c r="B6914" s="12"/>
      <c r="C6914" s="12"/>
      <c r="D6914" s="12"/>
      <c r="E6914" s="11"/>
      <c r="F6914" s="11"/>
      <c r="G6914" s="73"/>
      <c r="H6914" s="12"/>
      <c r="I6914" s="12"/>
      <c r="J6914" s="33"/>
      <c r="K6914" s="12"/>
      <c r="L6914" s="15"/>
    </row>
    <row r="6915" spans="1:12">
      <c r="A6915" s="72"/>
      <c r="B6915" s="12"/>
      <c r="C6915" s="12"/>
      <c r="D6915" s="12"/>
      <c r="E6915" s="11"/>
      <c r="F6915" s="11"/>
      <c r="G6915" s="73"/>
      <c r="H6915" s="12"/>
      <c r="I6915" s="12"/>
      <c r="J6915" s="33"/>
      <c r="K6915" s="12"/>
      <c r="L6915" s="15"/>
    </row>
    <row r="6916" spans="1:12">
      <c r="A6916" s="72"/>
      <c r="B6916" s="12"/>
      <c r="C6916" s="12"/>
      <c r="D6916" s="12"/>
      <c r="E6916" s="11"/>
      <c r="F6916" s="11"/>
      <c r="G6916" s="73"/>
      <c r="H6916" s="12"/>
      <c r="I6916" s="12"/>
      <c r="J6916" s="33"/>
      <c r="K6916" s="12"/>
      <c r="L6916" s="15"/>
    </row>
    <row r="6917" spans="1:12">
      <c r="A6917" s="72"/>
      <c r="B6917" s="12"/>
      <c r="C6917" s="12"/>
      <c r="D6917" s="12"/>
      <c r="E6917" s="11"/>
      <c r="F6917" s="11"/>
      <c r="G6917" s="73"/>
      <c r="H6917" s="12"/>
      <c r="I6917" s="12"/>
      <c r="J6917" s="33"/>
      <c r="K6917" s="12"/>
      <c r="L6917" s="15"/>
    </row>
    <row r="6918" spans="1:12">
      <c r="A6918" s="72"/>
      <c r="B6918" s="12"/>
      <c r="C6918" s="12"/>
      <c r="D6918" s="12"/>
      <c r="E6918" s="11"/>
      <c r="F6918" s="11"/>
      <c r="G6918" s="73"/>
      <c r="H6918" s="12"/>
      <c r="I6918" s="12"/>
      <c r="J6918" s="33"/>
      <c r="K6918" s="12"/>
      <c r="L6918" s="15"/>
    </row>
    <row r="6919" spans="1:12">
      <c r="A6919" s="72"/>
      <c r="B6919" s="12"/>
      <c r="C6919" s="12"/>
      <c r="D6919" s="12"/>
      <c r="E6919" s="11"/>
      <c r="F6919" s="11"/>
      <c r="G6919" s="73"/>
      <c r="H6919" s="12"/>
      <c r="I6919" s="12"/>
      <c r="J6919" s="33"/>
      <c r="K6919" s="12"/>
      <c r="L6919" s="15"/>
    </row>
    <row r="6920" spans="1:12">
      <c r="A6920" s="72"/>
      <c r="B6920" s="12"/>
      <c r="C6920" s="12"/>
      <c r="D6920" s="12"/>
      <c r="E6920" s="11"/>
      <c r="F6920" s="11"/>
      <c r="G6920" s="73"/>
      <c r="H6920" s="12"/>
      <c r="I6920" s="12"/>
      <c r="J6920" s="33"/>
      <c r="K6920" s="12"/>
      <c r="L6920" s="15"/>
    </row>
    <row r="6921" spans="1:12">
      <c r="A6921" s="72"/>
      <c r="B6921" s="12"/>
      <c r="C6921" s="12"/>
      <c r="D6921" s="12"/>
      <c r="E6921" s="11"/>
      <c r="F6921" s="11"/>
      <c r="G6921" s="73"/>
      <c r="H6921" s="12"/>
      <c r="I6921" s="12"/>
      <c r="J6921" s="33"/>
      <c r="K6921" s="12"/>
      <c r="L6921" s="15"/>
    </row>
    <row r="6922" spans="1:12">
      <c r="A6922" s="72"/>
      <c r="B6922" s="12"/>
      <c r="C6922" s="12"/>
      <c r="D6922" s="12"/>
      <c r="E6922" s="11"/>
      <c r="F6922" s="11"/>
      <c r="G6922" s="73"/>
      <c r="H6922" s="12"/>
      <c r="I6922" s="12"/>
      <c r="J6922" s="33"/>
      <c r="K6922" s="12"/>
      <c r="L6922" s="15"/>
    </row>
    <row r="6923" spans="1:12">
      <c r="A6923" s="72"/>
      <c r="B6923" s="12"/>
      <c r="C6923" s="12"/>
      <c r="D6923" s="12"/>
      <c r="E6923" s="11"/>
      <c r="F6923" s="11"/>
      <c r="G6923" s="73"/>
      <c r="H6923" s="12"/>
      <c r="I6923" s="12"/>
      <c r="J6923" s="33"/>
      <c r="K6923" s="12"/>
      <c r="L6923" s="15"/>
    </row>
    <row r="6924" spans="1:12">
      <c r="A6924" s="72"/>
      <c r="B6924" s="12"/>
      <c r="C6924" s="12"/>
      <c r="D6924" s="12"/>
      <c r="E6924" s="11"/>
      <c r="F6924" s="11"/>
      <c r="G6924" s="73"/>
      <c r="H6924" s="12"/>
      <c r="I6924" s="12"/>
      <c r="J6924" s="33"/>
      <c r="K6924" s="12"/>
      <c r="L6924" s="15"/>
    </row>
    <row r="6925" spans="1:12">
      <c r="A6925" s="72"/>
      <c r="B6925" s="12"/>
      <c r="C6925" s="12"/>
      <c r="D6925" s="12"/>
      <c r="E6925" s="11"/>
      <c r="F6925" s="11"/>
      <c r="G6925" s="73"/>
      <c r="H6925" s="12"/>
      <c r="I6925" s="12"/>
      <c r="J6925" s="33"/>
      <c r="K6925" s="12"/>
      <c r="L6925" s="15"/>
    </row>
    <row r="6926" spans="1:12">
      <c r="A6926" s="72"/>
      <c r="B6926" s="12"/>
      <c r="C6926" s="12"/>
      <c r="D6926" s="12"/>
      <c r="E6926" s="11"/>
      <c r="F6926" s="11"/>
      <c r="G6926" s="73"/>
      <c r="H6926" s="12"/>
      <c r="I6926" s="12"/>
      <c r="J6926" s="33"/>
      <c r="K6926" s="12"/>
      <c r="L6926" s="15"/>
    </row>
    <row r="6927" spans="1:12">
      <c r="A6927" s="72"/>
      <c r="B6927" s="12"/>
      <c r="C6927" s="12"/>
      <c r="D6927" s="12"/>
      <c r="E6927" s="11"/>
      <c r="F6927" s="11"/>
      <c r="G6927" s="73"/>
      <c r="H6927" s="12"/>
      <c r="I6927" s="12"/>
      <c r="J6927" s="33"/>
      <c r="K6927" s="12"/>
      <c r="L6927" s="15"/>
    </row>
    <row r="6928" spans="1:12">
      <c r="A6928" s="72"/>
      <c r="B6928" s="12"/>
      <c r="C6928" s="12"/>
      <c r="D6928" s="12"/>
      <c r="E6928" s="11"/>
      <c r="F6928" s="11"/>
      <c r="G6928" s="73"/>
      <c r="H6928" s="12"/>
      <c r="I6928" s="12"/>
      <c r="J6928" s="33"/>
      <c r="K6928" s="12"/>
      <c r="L6928" s="15"/>
    </row>
    <row r="6929" spans="1:12">
      <c r="A6929" s="72"/>
      <c r="B6929" s="12"/>
      <c r="C6929" s="12"/>
      <c r="D6929" s="12"/>
      <c r="E6929" s="11"/>
      <c r="F6929" s="11"/>
      <c r="G6929" s="73"/>
      <c r="H6929" s="12"/>
      <c r="I6929" s="12"/>
      <c r="J6929" s="33"/>
      <c r="K6929" s="12"/>
      <c r="L6929" s="15"/>
    </row>
    <row r="6930" spans="1:12">
      <c r="A6930" s="72"/>
      <c r="B6930" s="12"/>
      <c r="C6930" s="12"/>
      <c r="D6930" s="12"/>
      <c r="E6930" s="11"/>
      <c r="F6930" s="11"/>
      <c r="G6930" s="73"/>
      <c r="H6930" s="12"/>
      <c r="I6930" s="12"/>
      <c r="J6930" s="33"/>
      <c r="K6930" s="12"/>
      <c r="L6930" s="15"/>
    </row>
    <row r="6931" spans="1:12">
      <c r="A6931" s="72"/>
      <c r="B6931" s="12"/>
      <c r="C6931" s="12"/>
      <c r="D6931" s="12"/>
      <c r="E6931" s="11"/>
      <c r="F6931" s="11"/>
      <c r="G6931" s="73"/>
      <c r="H6931" s="12"/>
      <c r="I6931" s="12"/>
      <c r="J6931" s="33"/>
      <c r="K6931" s="12"/>
      <c r="L6931" s="15"/>
    </row>
    <row r="6932" spans="1:12">
      <c r="A6932" s="72"/>
      <c r="B6932" s="12"/>
      <c r="C6932" s="12"/>
      <c r="D6932" s="12"/>
      <c r="E6932" s="11"/>
      <c r="F6932" s="11"/>
      <c r="G6932" s="73"/>
      <c r="H6932" s="12"/>
      <c r="I6932" s="12"/>
      <c r="J6932" s="33"/>
      <c r="K6932" s="12"/>
      <c r="L6932" s="15"/>
    </row>
    <row r="6933" spans="1:12">
      <c r="A6933" s="72"/>
      <c r="B6933" s="12"/>
      <c r="C6933" s="12"/>
      <c r="D6933" s="12"/>
      <c r="E6933" s="11"/>
      <c r="F6933" s="11"/>
      <c r="G6933" s="73"/>
      <c r="H6933" s="12"/>
      <c r="I6933" s="12"/>
      <c r="J6933" s="33"/>
      <c r="K6933" s="12"/>
      <c r="L6933" s="15"/>
    </row>
    <row r="6934" spans="1:12">
      <c r="A6934" s="72"/>
      <c r="B6934" s="12"/>
      <c r="C6934" s="12"/>
      <c r="D6934" s="12"/>
      <c r="E6934" s="11"/>
      <c r="F6934" s="11"/>
      <c r="G6934" s="73"/>
      <c r="H6934" s="12"/>
      <c r="I6934" s="12"/>
      <c r="J6934" s="33"/>
      <c r="K6934" s="12"/>
      <c r="L6934" s="15"/>
    </row>
    <row r="6935" spans="1:12">
      <c r="A6935" s="72"/>
      <c r="B6935" s="12"/>
      <c r="C6935" s="12"/>
      <c r="D6935" s="12"/>
      <c r="E6935" s="11"/>
      <c r="F6935" s="11"/>
      <c r="G6935" s="73"/>
      <c r="H6935" s="12"/>
      <c r="I6935" s="12"/>
      <c r="J6935" s="33"/>
      <c r="K6935" s="12"/>
      <c r="L6935" s="15"/>
    </row>
    <row r="6936" spans="1:12">
      <c r="A6936" s="72"/>
      <c r="B6936" s="12"/>
      <c r="C6936" s="12"/>
      <c r="D6936" s="12"/>
      <c r="E6936" s="11"/>
      <c r="F6936" s="11"/>
      <c r="G6936" s="73"/>
      <c r="H6936" s="12"/>
      <c r="I6936" s="12"/>
      <c r="J6936" s="33"/>
      <c r="K6936" s="12"/>
      <c r="L6936" s="15"/>
    </row>
    <row r="6937" spans="1:12">
      <c r="A6937" s="72"/>
      <c r="B6937" s="12"/>
      <c r="C6937" s="12"/>
      <c r="D6937" s="12"/>
      <c r="E6937" s="11"/>
      <c r="F6937" s="11"/>
      <c r="G6937" s="73"/>
      <c r="H6937" s="12"/>
      <c r="I6937" s="12"/>
      <c r="J6937" s="33"/>
      <c r="K6937" s="12"/>
      <c r="L6937" s="15"/>
    </row>
    <row r="6938" spans="1:12">
      <c r="A6938" s="72"/>
      <c r="B6938" s="12"/>
      <c r="C6938" s="12"/>
      <c r="D6938" s="12"/>
      <c r="E6938" s="11"/>
      <c r="F6938" s="11"/>
      <c r="G6938" s="73"/>
      <c r="H6938" s="12"/>
      <c r="I6938" s="12"/>
      <c r="J6938" s="33"/>
      <c r="K6938" s="12"/>
      <c r="L6938" s="15"/>
    </row>
    <row r="6939" spans="1:12">
      <c r="A6939" s="72"/>
      <c r="B6939" s="12"/>
      <c r="C6939" s="12"/>
      <c r="D6939" s="12"/>
      <c r="E6939" s="11"/>
      <c r="F6939" s="11"/>
      <c r="G6939" s="73"/>
      <c r="H6939" s="12"/>
      <c r="I6939" s="12"/>
      <c r="J6939" s="33"/>
      <c r="K6939" s="12"/>
      <c r="L6939" s="15"/>
    </row>
    <row r="6940" spans="1:12">
      <c r="A6940" s="72"/>
      <c r="B6940" s="12"/>
      <c r="C6940" s="12"/>
      <c r="D6940" s="12"/>
      <c r="E6940" s="11"/>
      <c r="F6940" s="11"/>
      <c r="G6940" s="73"/>
      <c r="H6940" s="12"/>
      <c r="I6940" s="12"/>
      <c r="J6940" s="33"/>
      <c r="K6940" s="12"/>
      <c r="L6940" s="15"/>
    </row>
    <row r="6941" spans="1:12">
      <c r="A6941" s="72"/>
      <c r="B6941" s="12"/>
      <c r="C6941" s="12"/>
      <c r="D6941" s="12"/>
      <c r="E6941" s="11"/>
      <c r="F6941" s="11"/>
      <c r="G6941" s="73"/>
      <c r="H6941" s="12"/>
      <c r="I6941" s="12"/>
      <c r="J6941" s="33"/>
      <c r="K6941" s="12"/>
      <c r="L6941" s="15"/>
    </row>
    <row r="6942" spans="1:12">
      <c r="A6942" s="72"/>
      <c r="B6942" s="12"/>
      <c r="C6942" s="12"/>
      <c r="D6942" s="12"/>
      <c r="E6942" s="11"/>
      <c r="F6942" s="11"/>
      <c r="G6942" s="73"/>
      <c r="H6942" s="12"/>
      <c r="I6942" s="12"/>
      <c r="J6942" s="33"/>
      <c r="K6942" s="12"/>
      <c r="L6942" s="15"/>
    </row>
    <row r="6943" spans="1:12">
      <c r="A6943" s="72"/>
      <c r="B6943" s="12"/>
      <c r="C6943" s="12"/>
      <c r="D6943" s="12"/>
      <c r="E6943" s="11"/>
      <c r="F6943" s="11"/>
      <c r="G6943" s="73"/>
      <c r="H6943" s="12"/>
      <c r="I6943" s="12"/>
      <c r="J6943" s="33"/>
      <c r="K6943" s="12"/>
      <c r="L6943" s="15"/>
    </row>
    <row r="6944" spans="1:12">
      <c r="A6944" s="72"/>
      <c r="B6944" s="12"/>
      <c r="C6944" s="12"/>
      <c r="D6944" s="12"/>
      <c r="E6944" s="11"/>
      <c r="F6944" s="11"/>
      <c r="G6944" s="73"/>
      <c r="H6944" s="12"/>
      <c r="I6944" s="12"/>
      <c r="J6944" s="33"/>
      <c r="K6944" s="12"/>
      <c r="L6944" s="15"/>
    </row>
    <row r="6945" spans="1:12">
      <c r="A6945" s="72"/>
      <c r="B6945" s="12"/>
      <c r="C6945" s="12"/>
      <c r="D6945" s="12"/>
      <c r="E6945" s="11"/>
      <c r="F6945" s="11"/>
      <c r="G6945" s="73"/>
      <c r="H6945" s="12"/>
      <c r="I6945" s="12"/>
      <c r="J6945" s="33"/>
      <c r="K6945" s="12"/>
      <c r="L6945" s="15"/>
    </row>
    <row r="6946" spans="1:12">
      <c r="A6946" s="72"/>
      <c r="B6946" s="12"/>
      <c r="C6946" s="12"/>
      <c r="D6946" s="12"/>
      <c r="E6946" s="11"/>
      <c r="F6946" s="11"/>
      <c r="G6946" s="73"/>
      <c r="H6946" s="12"/>
      <c r="I6946" s="12"/>
      <c r="J6946" s="33"/>
      <c r="K6946" s="12"/>
      <c r="L6946" s="15"/>
    </row>
    <row r="6947" spans="1:12">
      <c r="A6947" s="72"/>
      <c r="B6947" s="12"/>
      <c r="C6947" s="12"/>
      <c r="D6947" s="12"/>
      <c r="E6947" s="11"/>
      <c r="F6947" s="11"/>
      <c r="G6947" s="73"/>
      <c r="H6947" s="12"/>
      <c r="I6947" s="12"/>
      <c r="J6947" s="33"/>
      <c r="K6947" s="12"/>
      <c r="L6947" s="15"/>
    </row>
    <row r="6948" spans="1:12">
      <c r="A6948" s="72"/>
      <c r="B6948" s="12"/>
      <c r="C6948" s="12"/>
      <c r="D6948" s="12"/>
      <c r="E6948" s="11"/>
      <c r="F6948" s="11"/>
      <c r="G6948" s="73"/>
      <c r="H6948" s="12"/>
      <c r="I6948" s="12"/>
      <c r="J6948" s="33"/>
      <c r="K6948" s="12"/>
      <c r="L6948" s="15"/>
    </row>
    <row r="6949" spans="1:12">
      <c r="A6949" s="72"/>
      <c r="B6949" s="12"/>
      <c r="C6949" s="12"/>
      <c r="D6949" s="12"/>
      <c r="E6949" s="11"/>
      <c r="F6949" s="11"/>
      <c r="G6949" s="73"/>
      <c r="H6949" s="12"/>
      <c r="I6949" s="12"/>
      <c r="J6949" s="33"/>
      <c r="K6949" s="12"/>
      <c r="L6949" s="15"/>
    </row>
    <row r="6950" spans="1:12">
      <c r="A6950" s="72"/>
      <c r="B6950" s="12"/>
      <c r="C6950" s="12"/>
      <c r="D6950" s="12"/>
      <c r="E6950" s="11"/>
      <c r="F6950" s="11"/>
      <c r="G6950" s="73"/>
      <c r="H6950" s="12"/>
      <c r="I6950" s="12"/>
      <c r="J6950" s="33"/>
      <c r="K6950" s="12"/>
      <c r="L6950" s="15"/>
    </row>
    <row r="6951" spans="1:12">
      <c r="A6951" s="72"/>
      <c r="B6951" s="12"/>
      <c r="C6951" s="12"/>
      <c r="D6951" s="12"/>
      <c r="E6951" s="11"/>
      <c r="F6951" s="11"/>
      <c r="G6951" s="73"/>
      <c r="H6951" s="12"/>
      <c r="I6951" s="12"/>
      <c r="J6951" s="33"/>
      <c r="K6951" s="12"/>
      <c r="L6951" s="15"/>
    </row>
    <row r="6952" spans="1:12">
      <c r="A6952" s="72"/>
      <c r="B6952" s="12"/>
      <c r="C6952" s="12"/>
      <c r="D6952" s="12"/>
      <c r="E6952" s="11"/>
      <c r="F6952" s="11"/>
      <c r="G6952" s="73"/>
      <c r="H6952" s="12"/>
      <c r="I6952" s="12"/>
      <c r="J6952" s="33"/>
      <c r="K6952" s="12"/>
      <c r="L6952" s="15"/>
    </row>
    <row r="6953" spans="1:12">
      <c r="A6953" s="72"/>
      <c r="B6953" s="12"/>
      <c r="C6953" s="12"/>
      <c r="D6953" s="12"/>
      <c r="E6953" s="11"/>
      <c r="F6953" s="11"/>
      <c r="G6953" s="73"/>
      <c r="H6953" s="12"/>
      <c r="I6953" s="12"/>
      <c r="J6953" s="33"/>
      <c r="K6953" s="12"/>
      <c r="L6953" s="15"/>
    </row>
    <row r="6954" spans="1:12">
      <c r="A6954" s="72"/>
      <c r="B6954" s="12"/>
      <c r="C6954" s="12"/>
      <c r="D6954" s="12"/>
      <c r="E6954" s="11"/>
      <c r="F6954" s="11"/>
      <c r="G6954" s="73"/>
      <c r="H6954" s="12"/>
      <c r="I6954" s="12"/>
      <c r="J6954" s="33"/>
      <c r="K6954" s="12"/>
      <c r="L6954" s="15"/>
    </row>
    <row r="6955" spans="1:12">
      <c r="A6955" s="72"/>
      <c r="B6955" s="12"/>
      <c r="C6955" s="12"/>
      <c r="D6955" s="12"/>
      <c r="E6955" s="11"/>
      <c r="F6955" s="11"/>
      <c r="G6955" s="73"/>
      <c r="H6955" s="12"/>
      <c r="I6955" s="12"/>
      <c r="J6955" s="33"/>
      <c r="K6955" s="12"/>
      <c r="L6955" s="15"/>
    </row>
    <row r="6956" spans="1:12">
      <c r="A6956" s="72"/>
      <c r="B6956" s="12"/>
      <c r="C6956" s="12"/>
      <c r="D6956" s="12"/>
      <c r="E6956" s="11"/>
      <c r="F6956" s="11"/>
      <c r="G6956" s="73"/>
      <c r="H6956" s="12"/>
      <c r="I6956" s="12"/>
      <c r="J6956" s="33"/>
      <c r="K6956" s="12"/>
      <c r="L6956" s="15"/>
    </row>
    <row r="6957" spans="1:12">
      <c r="A6957" s="72"/>
      <c r="B6957" s="12"/>
      <c r="C6957" s="12"/>
      <c r="D6957" s="12"/>
      <c r="E6957" s="11"/>
      <c r="F6957" s="11"/>
      <c r="G6957" s="73"/>
      <c r="H6957" s="12"/>
      <c r="I6957" s="12"/>
      <c r="J6957" s="33"/>
      <c r="K6957" s="12"/>
      <c r="L6957" s="15"/>
    </row>
    <row r="6958" spans="1:12">
      <c r="A6958" s="72"/>
      <c r="B6958" s="12"/>
      <c r="C6958" s="12"/>
      <c r="D6958" s="12"/>
      <c r="E6958" s="11"/>
      <c r="F6958" s="11"/>
      <c r="G6958" s="73"/>
      <c r="H6958" s="12"/>
      <c r="I6958" s="12"/>
      <c r="J6958" s="33"/>
      <c r="K6958" s="12"/>
      <c r="L6958" s="15"/>
    </row>
    <row r="6959" spans="1:12">
      <c r="A6959" s="72"/>
      <c r="B6959" s="12"/>
      <c r="C6959" s="12"/>
      <c r="D6959" s="12"/>
      <c r="E6959" s="11"/>
      <c r="F6959" s="11"/>
      <c r="G6959" s="73"/>
      <c r="H6959" s="12"/>
      <c r="I6959" s="12"/>
      <c r="J6959" s="33"/>
      <c r="K6959" s="12"/>
      <c r="L6959" s="15"/>
    </row>
    <row r="6960" spans="1:12">
      <c r="A6960" s="72"/>
      <c r="B6960" s="12"/>
      <c r="C6960" s="12"/>
      <c r="D6960" s="12"/>
      <c r="E6960" s="11"/>
      <c r="F6960" s="11"/>
      <c r="G6960" s="73"/>
      <c r="H6960" s="12"/>
      <c r="I6960" s="12"/>
      <c r="J6960" s="33"/>
      <c r="K6960" s="12"/>
      <c r="L6960" s="15"/>
    </row>
    <row r="6961" spans="1:12">
      <c r="A6961" s="72"/>
      <c r="B6961" s="12"/>
      <c r="C6961" s="12"/>
      <c r="D6961" s="12"/>
      <c r="E6961" s="11"/>
      <c r="F6961" s="11"/>
      <c r="G6961" s="73"/>
      <c r="H6961" s="12"/>
      <c r="I6961" s="12"/>
      <c r="J6961" s="33"/>
      <c r="K6961" s="12"/>
      <c r="L6961" s="15"/>
    </row>
    <row r="6962" spans="1:12">
      <c r="A6962" s="72"/>
      <c r="B6962" s="12"/>
      <c r="C6962" s="12"/>
      <c r="D6962" s="12"/>
      <c r="E6962" s="11"/>
      <c r="F6962" s="11"/>
      <c r="G6962" s="73"/>
      <c r="H6962" s="12"/>
      <c r="I6962" s="12"/>
      <c r="J6962" s="33"/>
      <c r="K6962" s="12"/>
      <c r="L6962" s="15"/>
    </row>
    <row r="6963" spans="1:12">
      <c r="A6963" s="72"/>
      <c r="B6963" s="12"/>
      <c r="C6963" s="12"/>
      <c r="D6963" s="12"/>
      <c r="E6963" s="11"/>
      <c r="F6963" s="11"/>
      <c r="G6963" s="73"/>
      <c r="H6963" s="12"/>
      <c r="I6963" s="12"/>
      <c r="J6963" s="33"/>
      <c r="K6963" s="12"/>
      <c r="L6963" s="15"/>
    </row>
    <row r="6964" spans="1:12">
      <c r="A6964" s="72"/>
      <c r="B6964" s="12"/>
      <c r="C6964" s="12"/>
      <c r="D6964" s="12"/>
      <c r="E6964" s="11"/>
      <c r="F6964" s="11"/>
      <c r="G6964" s="73"/>
      <c r="H6964" s="12"/>
      <c r="I6964" s="12"/>
      <c r="J6964" s="33"/>
      <c r="K6964" s="12"/>
      <c r="L6964" s="15"/>
    </row>
    <row r="6965" spans="1:12">
      <c r="A6965" s="72"/>
      <c r="B6965" s="12"/>
      <c r="C6965" s="12"/>
      <c r="D6965" s="12"/>
      <c r="E6965" s="11"/>
      <c r="F6965" s="11"/>
      <c r="G6965" s="73"/>
      <c r="H6965" s="12"/>
      <c r="I6965" s="12"/>
      <c r="J6965" s="33"/>
      <c r="K6965" s="12"/>
      <c r="L6965" s="15"/>
    </row>
    <row r="6966" spans="1:12">
      <c r="A6966" s="72"/>
      <c r="B6966" s="12"/>
      <c r="C6966" s="12"/>
      <c r="D6966" s="12"/>
      <c r="E6966" s="11"/>
      <c r="F6966" s="11"/>
      <c r="G6966" s="73"/>
      <c r="H6966" s="12"/>
      <c r="I6966" s="12"/>
      <c r="J6966" s="33"/>
      <c r="K6966" s="12"/>
      <c r="L6966" s="15"/>
    </row>
    <row r="6967" spans="1:12">
      <c r="A6967" s="72"/>
      <c r="B6967" s="12"/>
      <c r="C6967" s="12"/>
      <c r="D6967" s="12"/>
      <c r="E6967" s="11"/>
      <c r="F6967" s="11"/>
      <c r="G6967" s="73"/>
      <c r="H6967" s="12"/>
      <c r="I6967" s="12"/>
      <c r="J6967" s="33"/>
      <c r="K6967" s="12"/>
      <c r="L6967" s="15"/>
    </row>
    <row r="6968" spans="1:12">
      <c r="A6968" s="72"/>
      <c r="B6968" s="12"/>
      <c r="C6968" s="12"/>
      <c r="D6968" s="12"/>
      <c r="E6968" s="11"/>
      <c r="F6968" s="11"/>
      <c r="G6968" s="73"/>
      <c r="H6968" s="12"/>
      <c r="I6968" s="12"/>
      <c r="J6968" s="33"/>
      <c r="K6968" s="12"/>
      <c r="L6968" s="15"/>
    </row>
    <row r="6969" spans="1:12">
      <c r="A6969" s="72"/>
      <c r="B6969" s="12"/>
      <c r="C6969" s="12"/>
      <c r="D6969" s="12"/>
      <c r="E6969" s="11"/>
      <c r="F6969" s="11"/>
      <c r="G6969" s="73"/>
      <c r="H6969" s="12"/>
      <c r="I6969" s="12"/>
      <c r="J6969" s="33"/>
      <c r="K6969" s="12"/>
      <c r="L6969" s="15"/>
    </row>
    <row r="6970" spans="1:12">
      <c r="A6970" s="72"/>
      <c r="B6970" s="12"/>
      <c r="C6970" s="12"/>
      <c r="D6970" s="12"/>
      <c r="E6970" s="11"/>
      <c r="F6970" s="11"/>
      <c r="G6970" s="73"/>
      <c r="H6970" s="12"/>
      <c r="I6970" s="12"/>
      <c r="J6970" s="33"/>
      <c r="K6970" s="12"/>
      <c r="L6970" s="15"/>
    </row>
    <row r="6971" spans="1:12">
      <c r="A6971" s="72"/>
      <c r="B6971" s="12"/>
      <c r="C6971" s="12"/>
      <c r="D6971" s="12"/>
      <c r="E6971" s="11"/>
      <c r="F6971" s="11"/>
      <c r="G6971" s="73"/>
      <c r="H6971" s="12"/>
      <c r="I6971" s="12"/>
      <c r="J6971" s="33"/>
      <c r="K6971" s="12"/>
      <c r="L6971" s="15"/>
    </row>
    <row r="6972" spans="1:12">
      <c r="A6972" s="72"/>
      <c r="B6972" s="12"/>
      <c r="C6972" s="12"/>
      <c r="D6972" s="12"/>
      <c r="E6972" s="11"/>
      <c r="F6972" s="11"/>
      <c r="G6972" s="73"/>
      <c r="H6972" s="12"/>
      <c r="I6972" s="12"/>
      <c r="J6972" s="33"/>
      <c r="K6972" s="12"/>
      <c r="L6972" s="15"/>
    </row>
    <row r="6973" spans="1:12">
      <c r="A6973" s="72"/>
      <c r="B6973" s="12"/>
      <c r="C6973" s="12"/>
      <c r="D6973" s="12"/>
      <c r="E6973" s="11"/>
      <c r="F6973" s="11"/>
      <c r="G6973" s="73"/>
      <c r="H6973" s="12"/>
      <c r="I6973" s="12"/>
      <c r="J6973" s="33"/>
      <c r="K6973" s="12"/>
      <c r="L6973" s="15"/>
    </row>
    <row r="6974" spans="1:12">
      <c r="A6974" s="72"/>
      <c r="B6974" s="12"/>
      <c r="C6974" s="12"/>
      <c r="D6974" s="12"/>
      <c r="E6974" s="11"/>
      <c r="F6974" s="11"/>
      <c r="G6974" s="73"/>
      <c r="H6974" s="12"/>
      <c r="I6974" s="12"/>
      <c r="J6974" s="33"/>
      <c r="K6974" s="12"/>
      <c r="L6974" s="15"/>
    </row>
    <row r="6975" spans="1:12">
      <c r="A6975" s="72"/>
      <c r="B6975" s="12"/>
      <c r="C6975" s="12"/>
      <c r="D6975" s="12"/>
      <c r="E6975" s="11"/>
      <c r="F6975" s="11"/>
      <c r="G6975" s="73"/>
      <c r="H6975" s="12"/>
      <c r="I6975" s="12"/>
      <c r="J6975" s="33"/>
      <c r="K6975" s="12"/>
      <c r="L6975" s="15"/>
    </row>
    <row r="6976" spans="1:12">
      <c r="A6976" s="72"/>
      <c r="B6976" s="12"/>
      <c r="C6976" s="12"/>
      <c r="D6976" s="12"/>
      <c r="E6976" s="11"/>
      <c r="F6976" s="11"/>
      <c r="G6976" s="73"/>
      <c r="H6976" s="12"/>
      <c r="I6976" s="12"/>
      <c r="J6976" s="33"/>
      <c r="K6976" s="12"/>
      <c r="L6976" s="15"/>
    </row>
    <row r="6977" spans="1:12">
      <c r="A6977" s="72"/>
      <c r="B6977" s="12"/>
      <c r="C6977" s="12"/>
      <c r="D6977" s="12"/>
      <c r="E6977" s="11"/>
      <c r="F6977" s="11"/>
      <c r="G6977" s="73"/>
      <c r="H6977" s="12"/>
      <c r="I6977" s="12"/>
      <c r="J6977" s="33"/>
      <c r="K6977" s="12"/>
      <c r="L6977" s="15"/>
    </row>
    <row r="6978" spans="1:12">
      <c r="A6978" s="72"/>
      <c r="B6978" s="12"/>
      <c r="C6978" s="106"/>
      <c r="D6978" s="107"/>
      <c r="E6978" s="106"/>
      <c r="F6978" s="106"/>
      <c r="G6978" s="9"/>
      <c r="H6978" s="106"/>
      <c r="I6978" s="106"/>
      <c r="J6978" s="106"/>
      <c r="K6978" s="106"/>
      <c r="L6978" s="109"/>
    </row>
    <row r="6979" spans="1:12">
      <c r="A6979" s="72"/>
      <c r="B6979" s="12"/>
      <c r="C6979" s="111"/>
      <c r="D6979" s="112"/>
      <c r="E6979" s="111"/>
      <c r="F6979" s="111"/>
      <c r="G6979" s="9"/>
      <c r="H6979" s="111"/>
      <c r="I6979" s="111"/>
      <c r="J6979" s="111"/>
      <c r="K6979" s="111"/>
      <c r="L6979" s="114"/>
    </row>
    <row r="6980" spans="1:12">
      <c r="A6980" s="72"/>
      <c r="B6980" s="105"/>
      <c r="C6980" s="106"/>
      <c r="D6980" s="107"/>
      <c r="E6980" s="106"/>
      <c r="F6980" s="106"/>
      <c r="G6980" s="9"/>
      <c r="H6980" s="106"/>
      <c r="I6980" s="106"/>
      <c r="J6980" s="106"/>
      <c r="K6980" s="106"/>
      <c r="L6980" s="109"/>
    </row>
    <row r="6981" spans="1:12">
      <c r="A6981" s="72"/>
      <c r="B6981" s="105"/>
      <c r="C6981" s="106"/>
      <c r="D6981" s="107"/>
      <c r="E6981" s="106"/>
      <c r="F6981" s="106"/>
      <c r="G6981" s="9"/>
      <c r="H6981" s="106"/>
      <c r="I6981" s="131"/>
      <c r="J6981" s="106"/>
      <c r="K6981" s="106"/>
      <c r="L6981" s="109"/>
    </row>
    <row r="6982" spans="1:12">
      <c r="A6982" s="72"/>
      <c r="B6982" s="105"/>
      <c r="C6982" s="106"/>
      <c r="D6982" s="107"/>
      <c r="E6982" s="106"/>
      <c r="F6982" s="106"/>
      <c r="G6982" s="9"/>
      <c r="H6982" s="106"/>
      <c r="I6982" s="131"/>
      <c r="J6982" s="106"/>
      <c r="K6982" s="106"/>
      <c r="L6982" s="132"/>
    </row>
    <row r="6983" spans="1:12">
      <c r="A6983" s="72"/>
      <c r="B6983" s="110"/>
      <c r="C6983" s="111"/>
      <c r="D6983" s="112"/>
      <c r="E6983" s="111"/>
      <c r="F6983" s="111"/>
      <c r="G6983" s="9"/>
      <c r="H6983" s="111"/>
      <c r="I6983" s="131"/>
      <c r="J6983" s="111"/>
      <c r="K6983" s="111"/>
      <c r="L6983" s="133"/>
    </row>
    <row r="6984" spans="1:12">
      <c r="A6984" s="72"/>
      <c r="B6984" s="105"/>
      <c r="C6984" s="106"/>
      <c r="D6984" s="107"/>
      <c r="E6984" s="106"/>
      <c r="F6984" s="106"/>
      <c r="G6984" s="9"/>
      <c r="H6984" s="106"/>
      <c r="I6984" s="131"/>
      <c r="J6984" s="106"/>
      <c r="K6984" s="106"/>
      <c r="L6984" s="109"/>
    </row>
    <row r="6985" spans="1:12">
      <c r="A6985" s="72"/>
      <c r="B6985" s="105"/>
      <c r="C6985" s="106"/>
      <c r="D6985" s="107"/>
      <c r="E6985" s="106"/>
      <c r="F6985" s="106"/>
      <c r="G6985" s="9"/>
      <c r="H6985" s="106"/>
      <c r="I6985" s="131"/>
      <c r="J6985" s="106"/>
      <c r="K6985" s="106"/>
      <c r="L6985" s="132"/>
    </row>
    <row r="6986" spans="1:12">
      <c r="A6986" s="72"/>
      <c r="B6986" s="93"/>
      <c r="C6986" s="106"/>
      <c r="D6986" s="107"/>
      <c r="E6986" s="106"/>
      <c r="F6986" s="93"/>
      <c r="G6986" s="9"/>
      <c r="H6986" s="91"/>
      <c r="I6986" s="106"/>
      <c r="J6986" s="106"/>
      <c r="K6986" s="106"/>
      <c r="L6986" s="134"/>
    </row>
    <row r="6987" spans="1:12">
      <c r="A6987" s="72"/>
      <c r="B6987" s="93"/>
      <c r="C6987" s="106"/>
      <c r="D6987" s="107"/>
      <c r="E6987" s="106"/>
      <c r="F6987" s="106"/>
      <c r="G6987" s="9"/>
      <c r="H6987" s="106"/>
      <c r="I6987" s="106"/>
      <c r="J6987" s="106"/>
      <c r="K6987" s="106"/>
      <c r="L6987" s="109"/>
    </row>
    <row r="6988" spans="1:12">
      <c r="A6988" s="72"/>
      <c r="B6988" s="93"/>
      <c r="C6988" s="106"/>
      <c r="D6988" s="107"/>
      <c r="E6988" s="106"/>
      <c r="F6988" s="106"/>
      <c r="G6988" s="9"/>
      <c r="H6988" s="106"/>
      <c r="I6988" s="106"/>
      <c r="J6988" s="106"/>
      <c r="K6988" s="106"/>
      <c r="L6988" s="109"/>
    </row>
    <row r="6989" spans="1:12">
      <c r="A6989" s="72"/>
      <c r="B6989" s="93"/>
      <c r="C6989" s="106"/>
      <c r="D6989" s="107"/>
      <c r="E6989" s="106"/>
      <c r="F6989" s="106"/>
      <c r="G6989" s="9"/>
      <c r="H6989" s="106"/>
      <c r="I6989" s="106"/>
      <c r="J6989" s="106"/>
      <c r="K6989" s="106"/>
      <c r="L6989" s="109"/>
    </row>
    <row r="6990" spans="1:12">
      <c r="A6990" s="72"/>
      <c r="B6990" s="11"/>
      <c r="C6990" s="106"/>
      <c r="D6990" s="107"/>
      <c r="E6990" s="135"/>
      <c r="F6990" s="93"/>
      <c r="G6990" s="9"/>
      <c r="H6990" s="106"/>
      <c r="I6990" s="106"/>
      <c r="J6990" s="106"/>
      <c r="K6990" s="136"/>
      <c r="L6990" s="109"/>
    </row>
    <row r="6991" spans="1:12">
      <c r="A6991" s="72"/>
      <c r="B6991" s="105"/>
      <c r="C6991" s="106"/>
      <c r="D6991" s="107"/>
      <c r="E6991" s="106"/>
      <c r="F6991" s="106"/>
      <c r="G6991" s="9"/>
      <c r="H6991" s="106"/>
      <c r="I6991" s="106"/>
      <c r="J6991" s="106"/>
      <c r="K6991" s="106"/>
      <c r="L6991" s="109"/>
    </row>
    <row r="6992" spans="1:12">
      <c r="A6992" s="72"/>
      <c r="B6992" s="105"/>
      <c r="C6992" s="106"/>
      <c r="D6992" s="107"/>
      <c r="E6992" s="106"/>
      <c r="F6992" s="106"/>
      <c r="G6992" s="9"/>
      <c r="H6992" s="106"/>
      <c r="I6992" s="106"/>
      <c r="J6992" s="106"/>
      <c r="K6992" s="137"/>
      <c r="L6992" s="109"/>
    </row>
    <row r="6993" spans="1:12">
      <c r="A6993" s="72"/>
      <c r="B6993" s="105"/>
      <c r="C6993" s="106"/>
      <c r="D6993" s="107"/>
      <c r="E6993" s="106"/>
      <c r="F6993" s="106"/>
      <c r="G6993" s="9"/>
      <c r="H6993" s="106"/>
      <c r="I6993" s="106"/>
      <c r="J6993" s="106"/>
      <c r="K6993" s="106"/>
      <c r="L6993" s="139"/>
    </row>
    <row r="6994" spans="1:12">
      <c r="A6994" s="72"/>
      <c r="B6994" s="110"/>
      <c r="C6994" s="111"/>
      <c r="D6994" s="112"/>
      <c r="E6994" s="111"/>
      <c r="F6994" s="111"/>
      <c r="G6994" s="9"/>
      <c r="H6994" s="111"/>
      <c r="I6994" s="111"/>
      <c r="J6994" s="111"/>
      <c r="K6994" s="111"/>
      <c r="L6994" s="142"/>
    </row>
    <row r="6995" spans="1:12">
      <c r="A6995" s="72"/>
      <c r="B6995" s="144"/>
      <c r="C6995" s="137"/>
      <c r="D6995" s="138"/>
      <c r="E6995" s="137"/>
      <c r="F6995" s="137"/>
      <c r="G6995" s="9"/>
      <c r="H6995" s="137"/>
      <c r="I6995" s="137"/>
      <c r="J6995" s="137"/>
      <c r="K6995" s="137"/>
      <c r="L6995" s="145"/>
    </row>
    <row r="6996" spans="1:12">
      <c r="A6996" s="72"/>
      <c r="B6996" s="105"/>
      <c r="C6996" s="106"/>
      <c r="D6996" s="107"/>
      <c r="E6996" s="106"/>
      <c r="F6996" s="106"/>
      <c r="G6996" s="9"/>
      <c r="H6996" s="106"/>
      <c r="I6996" s="106"/>
      <c r="J6996" s="106"/>
      <c r="K6996" s="137"/>
      <c r="L6996" s="146"/>
    </row>
    <row r="6997" spans="1:12">
      <c r="A6997" s="72"/>
      <c r="B6997" s="93"/>
      <c r="C6997" s="106"/>
      <c r="D6997" s="107"/>
      <c r="E6997" s="106"/>
      <c r="F6997" s="137"/>
      <c r="G6997" s="9"/>
      <c r="H6997" s="106"/>
      <c r="I6997" s="106"/>
      <c r="J6997" s="106"/>
      <c r="K6997" s="106"/>
      <c r="L6997" s="146"/>
    </row>
    <row r="6998" spans="1:12">
      <c r="A6998" s="72"/>
      <c r="B6998" s="147"/>
      <c r="C6998" s="111"/>
      <c r="D6998" s="112"/>
      <c r="E6998" s="111"/>
      <c r="F6998" s="141"/>
      <c r="G6998" s="9"/>
      <c r="H6998" s="111"/>
      <c r="I6998" s="111"/>
      <c r="J6998" s="111"/>
      <c r="K6998" s="111"/>
      <c r="L6998" s="148"/>
    </row>
    <row r="6999" spans="1:12">
      <c r="A6999" s="72"/>
      <c r="B6999" s="93"/>
      <c r="C6999" s="106"/>
      <c r="D6999" s="107"/>
      <c r="E6999" s="106"/>
      <c r="F6999" s="106"/>
      <c r="G6999" s="9"/>
      <c r="H6999" s="106"/>
      <c r="I6999" s="106"/>
      <c r="J6999" s="106"/>
      <c r="K6999" s="106"/>
      <c r="L6999" s="134"/>
    </row>
    <row r="7000" spans="1:12">
      <c r="A7000" s="72"/>
      <c r="B7000" s="93"/>
      <c r="C7000" s="106"/>
      <c r="D7000" s="107"/>
      <c r="E7000" s="106"/>
      <c r="F7000" s="106"/>
      <c r="G7000" s="9"/>
      <c r="H7000" s="106"/>
      <c r="I7000" s="106"/>
      <c r="J7000" s="106"/>
      <c r="K7000" s="106"/>
      <c r="L7000" s="109"/>
    </row>
    <row r="7001" spans="1:12">
      <c r="A7001" s="72"/>
      <c r="B7001" s="93"/>
      <c r="C7001" s="106"/>
      <c r="D7001" s="107"/>
      <c r="E7001" s="106"/>
      <c r="F7001" s="106"/>
      <c r="G7001" s="9"/>
      <c r="H7001" s="106"/>
      <c r="I7001" s="106"/>
      <c r="J7001" s="106"/>
      <c r="K7001" s="106"/>
      <c r="L7001" s="109"/>
    </row>
    <row r="7002" spans="1:12">
      <c r="A7002" s="72"/>
      <c r="B7002" s="11"/>
      <c r="C7002" s="93"/>
      <c r="D7002" s="107"/>
      <c r="E7002" s="93"/>
      <c r="F7002" s="93"/>
      <c r="G7002" s="9"/>
      <c r="H7002" s="137"/>
      <c r="I7002" s="106"/>
      <c r="J7002" s="106"/>
      <c r="K7002" s="106"/>
      <c r="L7002" s="149"/>
    </row>
    <row r="7003" spans="1:12">
      <c r="A7003" s="72"/>
      <c r="B7003" s="11"/>
      <c r="C7003" s="106"/>
      <c r="D7003" s="107"/>
      <c r="E7003" s="106"/>
      <c r="F7003" s="106"/>
      <c r="G7003" s="9"/>
      <c r="H7003" s="137"/>
      <c r="I7003" s="106"/>
      <c r="J7003" s="106"/>
      <c r="K7003" s="106"/>
      <c r="L7003" s="132"/>
    </row>
    <row r="7004" spans="1:12">
      <c r="A7004" s="72"/>
      <c r="B7004" s="11"/>
      <c r="C7004" s="93"/>
      <c r="D7004" s="107"/>
      <c r="E7004" s="106"/>
      <c r="F7004" s="93"/>
      <c r="G7004" s="9"/>
      <c r="H7004" s="106"/>
      <c r="I7004" s="106"/>
      <c r="J7004" s="150"/>
      <c r="K7004" s="106"/>
      <c r="L7004" s="149"/>
    </row>
    <row r="7005" spans="1:12">
      <c r="A7005" s="72"/>
      <c r="B7005" s="11"/>
      <c r="C7005" s="93"/>
      <c r="D7005" s="96"/>
      <c r="E7005" s="93"/>
      <c r="F7005" s="93"/>
      <c r="G7005" s="9"/>
      <c r="H7005" s="93"/>
      <c r="I7005" s="93"/>
      <c r="J7005" s="106"/>
      <c r="K7005" s="106"/>
      <c r="L7005" s="109"/>
    </row>
    <row r="7006" spans="1:12">
      <c r="A7006" s="72"/>
      <c r="B7006" s="11"/>
      <c r="C7006" s="93"/>
      <c r="D7006" s="96"/>
      <c r="E7006" s="93"/>
      <c r="F7006" s="93"/>
      <c r="G7006" s="9"/>
      <c r="H7006" s="93"/>
      <c r="I7006" s="93"/>
      <c r="J7006" s="106"/>
      <c r="K7006" s="106"/>
      <c r="L7006" s="109"/>
    </row>
    <row r="7007" spans="1:12">
      <c r="A7007" s="72"/>
      <c r="B7007" s="11"/>
      <c r="C7007" s="93"/>
      <c r="D7007" s="107"/>
      <c r="E7007" s="151"/>
      <c r="F7007" s="93"/>
      <c r="G7007" s="9"/>
      <c r="H7007" s="106"/>
      <c r="I7007" s="106"/>
      <c r="J7007" s="150"/>
      <c r="K7007" s="106"/>
      <c r="L7007" s="109"/>
    </row>
    <row r="7008" spans="1:12">
      <c r="A7008" s="72"/>
      <c r="B7008" s="11"/>
      <c r="C7008" s="93"/>
      <c r="D7008" s="107"/>
      <c r="E7008" s="151"/>
      <c r="F7008" s="93"/>
      <c r="G7008" s="9"/>
      <c r="H7008" s="106"/>
      <c r="I7008" s="106"/>
      <c r="J7008" s="106"/>
      <c r="K7008" s="106"/>
      <c r="L7008" s="152"/>
    </row>
    <row r="7009" spans="1:12">
      <c r="A7009" s="72"/>
      <c r="B7009" s="11"/>
      <c r="C7009" s="93"/>
      <c r="D7009" s="107"/>
      <c r="E7009" s="106"/>
      <c r="F7009" s="106"/>
      <c r="G7009" s="9"/>
      <c r="H7009" s="106"/>
      <c r="I7009" s="106"/>
      <c r="J7009" s="106"/>
      <c r="K7009" s="106"/>
      <c r="L7009" s="149"/>
    </row>
    <row r="7010" spans="1:12">
      <c r="A7010" s="72"/>
      <c r="B7010" s="11"/>
      <c r="C7010" s="93"/>
      <c r="D7010" s="107"/>
      <c r="E7010" s="106"/>
      <c r="F7010" s="111"/>
      <c r="G7010" s="9"/>
      <c r="H7010" s="106"/>
      <c r="I7010" s="106"/>
      <c r="J7010" s="106"/>
      <c r="K7010" s="106"/>
      <c r="L7010" s="134"/>
    </row>
    <row r="7011" spans="1:12">
      <c r="A7011" s="72"/>
      <c r="B7011" s="11"/>
      <c r="C7011" s="106"/>
      <c r="D7011" s="107"/>
      <c r="E7011" s="106"/>
      <c r="F7011" s="106"/>
      <c r="G7011" s="9"/>
      <c r="H7011" s="106"/>
      <c r="I7011" s="106"/>
      <c r="J7011" s="106"/>
      <c r="K7011" s="106"/>
      <c r="L7011" s="109"/>
    </row>
    <row r="7012" spans="1:12">
      <c r="A7012" s="72"/>
      <c r="B7012" s="11"/>
      <c r="C7012" s="106"/>
      <c r="D7012" s="107"/>
      <c r="E7012" s="106"/>
      <c r="F7012" s="106"/>
      <c r="G7012" s="9"/>
      <c r="H7012" s="106"/>
      <c r="I7012" s="106"/>
      <c r="J7012" s="106"/>
      <c r="K7012" s="106"/>
      <c r="L7012" s="109"/>
    </row>
    <row r="7013" spans="1:12">
      <c r="A7013" s="72"/>
      <c r="B7013" s="11"/>
      <c r="C7013" s="106"/>
      <c r="D7013" s="107"/>
      <c r="E7013" s="106"/>
      <c r="F7013" s="106"/>
      <c r="G7013" s="9"/>
      <c r="H7013" s="106"/>
      <c r="I7013" s="106"/>
      <c r="J7013" s="106"/>
      <c r="K7013" s="106"/>
      <c r="L7013" s="109"/>
    </row>
    <row r="7014" spans="1:12">
      <c r="A7014" s="72"/>
      <c r="B7014" s="11"/>
      <c r="C7014" s="106"/>
      <c r="D7014" s="107"/>
      <c r="E7014" s="106"/>
      <c r="F7014" s="106"/>
      <c r="G7014" s="9"/>
      <c r="H7014" s="106"/>
      <c r="I7014" s="106"/>
      <c r="J7014" s="106"/>
      <c r="K7014" s="106"/>
      <c r="L7014" s="109"/>
    </row>
    <row r="7015" spans="1:12">
      <c r="A7015" s="72"/>
      <c r="B7015" s="11"/>
      <c r="C7015" s="106"/>
      <c r="D7015" s="107"/>
      <c r="E7015" s="106"/>
      <c r="F7015" s="106"/>
      <c r="G7015" s="9"/>
      <c r="H7015" s="106"/>
      <c r="I7015" s="106"/>
      <c r="J7015" s="106"/>
      <c r="K7015" s="106"/>
      <c r="L7015" s="109"/>
    </row>
    <row r="7016" spans="1:12">
      <c r="A7016" s="72"/>
      <c r="B7016" s="11"/>
      <c r="C7016" s="106"/>
      <c r="D7016" s="107"/>
      <c r="E7016" s="106"/>
      <c r="F7016" s="150"/>
      <c r="G7016" s="9"/>
      <c r="H7016" s="106"/>
      <c r="I7016" s="106"/>
      <c r="J7016" s="106"/>
      <c r="K7016" s="106"/>
      <c r="L7016" s="109"/>
    </row>
    <row r="7017" spans="1:12">
      <c r="A7017" s="72"/>
      <c r="B7017" s="11"/>
      <c r="C7017" s="106"/>
      <c r="D7017" s="107"/>
      <c r="E7017" s="106"/>
      <c r="F7017" s="106"/>
      <c r="G7017" s="9"/>
      <c r="H7017" s="106"/>
      <c r="I7017" s="106"/>
      <c r="J7017" s="106"/>
      <c r="K7017" s="106"/>
      <c r="L7017" s="109"/>
    </row>
    <row r="7018" spans="1:12">
      <c r="A7018" s="72"/>
      <c r="B7018" s="93"/>
      <c r="C7018" s="106"/>
      <c r="D7018" s="107"/>
      <c r="E7018" s="106"/>
      <c r="F7018" s="106"/>
      <c r="G7018" s="9"/>
      <c r="H7018" s="106"/>
      <c r="I7018" s="106"/>
      <c r="J7018" s="106"/>
      <c r="K7018" s="106"/>
      <c r="L7018" s="109"/>
    </row>
    <row r="7019" spans="1:12">
      <c r="A7019" s="72"/>
      <c r="B7019" s="105"/>
      <c r="C7019" s="106"/>
      <c r="D7019" s="107"/>
      <c r="E7019" s="106"/>
      <c r="F7019" s="106"/>
      <c r="G7019" s="9"/>
      <c r="H7019" s="106"/>
      <c r="I7019" s="106"/>
      <c r="J7019" s="106"/>
      <c r="K7019" s="106"/>
      <c r="L7019" s="109"/>
    </row>
    <row r="7020" spans="1:12">
      <c r="A7020" s="72"/>
      <c r="B7020" s="110"/>
      <c r="C7020" s="111"/>
      <c r="D7020" s="107"/>
      <c r="E7020" s="111"/>
      <c r="F7020" s="111"/>
      <c r="G7020" s="9"/>
      <c r="H7020" s="111"/>
      <c r="I7020" s="111"/>
      <c r="J7020" s="111"/>
      <c r="K7020" s="111"/>
      <c r="L7020" s="114"/>
    </row>
    <row r="7021" spans="1:12">
      <c r="A7021" s="72"/>
      <c r="B7021" s="110"/>
      <c r="C7021" s="111"/>
      <c r="D7021" s="107"/>
      <c r="E7021" s="111"/>
      <c r="F7021" s="111"/>
      <c r="G7021" s="9"/>
      <c r="H7021" s="111"/>
      <c r="I7021" s="111"/>
      <c r="J7021" s="111"/>
      <c r="K7021" s="111"/>
      <c r="L7021" s="114"/>
    </row>
    <row r="7022" spans="1:12">
      <c r="A7022" s="72"/>
      <c r="B7022" s="93"/>
      <c r="C7022" s="106"/>
      <c r="D7022" s="107"/>
      <c r="E7022" s="106"/>
      <c r="F7022" s="106"/>
      <c r="G7022" s="9"/>
      <c r="H7022" s="106"/>
      <c r="I7022" s="106"/>
      <c r="J7022" s="106"/>
      <c r="K7022" s="106"/>
      <c r="L7022" s="109"/>
    </row>
    <row r="7023" spans="1:12">
      <c r="A7023" s="72"/>
      <c r="B7023" s="93"/>
      <c r="C7023" s="106"/>
      <c r="D7023" s="107"/>
      <c r="E7023" s="106"/>
      <c r="F7023" s="106"/>
      <c r="G7023" s="9"/>
      <c r="H7023" s="106"/>
      <c r="I7023" s="106"/>
      <c r="J7023" s="106"/>
      <c r="K7023" s="106"/>
      <c r="L7023" s="109"/>
    </row>
    <row r="7024" spans="1:12">
      <c r="A7024" s="72"/>
      <c r="B7024" s="93"/>
      <c r="C7024" s="106"/>
      <c r="D7024" s="107"/>
      <c r="E7024" s="106"/>
      <c r="F7024" s="106"/>
      <c r="G7024" s="9"/>
      <c r="H7024" s="106"/>
      <c r="I7024" s="106"/>
      <c r="J7024" s="106"/>
      <c r="K7024" s="106"/>
      <c r="L7024" s="109"/>
    </row>
    <row r="7025" spans="1:12">
      <c r="A7025" s="72"/>
      <c r="B7025" s="93"/>
      <c r="C7025" s="111"/>
      <c r="D7025" s="112"/>
      <c r="E7025" s="106"/>
      <c r="F7025" s="111"/>
      <c r="G7025" s="9"/>
      <c r="H7025" s="106"/>
      <c r="I7025" s="111"/>
      <c r="J7025" s="111"/>
      <c r="K7025" s="111"/>
      <c r="L7025" s="114"/>
    </row>
    <row r="7026" spans="1:12">
      <c r="A7026" s="72"/>
      <c r="B7026" s="93"/>
      <c r="C7026" s="106"/>
      <c r="D7026" s="107"/>
      <c r="E7026" s="106"/>
      <c r="F7026" s="106"/>
      <c r="G7026" s="9"/>
      <c r="H7026" s="106"/>
      <c r="I7026" s="106"/>
      <c r="J7026" s="106"/>
      <c r="K7026" s="106"/>
      <c r="L7026" s="109"/>
    </row>
    <row r="7027" spans="1:12">
      <c r="A7027" s="72"/>
      <c r="B7027" s="93"/>
      <c r="C7027" s="106"/>
      <c r="D7027" s="107"/>
      <c r="E7027" s="106"/>
      <c r="F7027" s="106"/>
      <c r="G7027" s="9"/>
      <c r="H7027" s="106"/>
      <c r="I7027" s="106"/>
      <c r="J7027" s="106"/>
      <c r="K7027" s="106"/>
      <c r="L7027" s="153"/>
    </row>
    <row r="7028" spans="1:12">
      <c r="A7028" s="72"/>
      <c r="B7028" s="93"/>
      <c r="C7028" s="106"/>
      <c r="D7028" s="107"/>
      <c r="E7028" s="106"/>
      <c r="F7028" s="106"/>
      <c r="G7028" s="9"/>
      <c r="H7028" s="106"/>
      <c r="I7028" s="106"/>
      <c r="J7028" s="106"/>
      <c r="K7028" s="106"/>
      <c r="L7028" s="153"/>
    </row>
    <row r="7029" spans="1:12">
      <c r="A7029" s="72"/>
      <c r="B7029" s="93"/>
      <c r="C7029" s="106"/>
      <c r="D7029" s="107"/>
      <c r="E7029" s="106"/>
      <c r="F7029" s="106"/>
      <c r="G7029" s="9"/>
      <c r="H7029" s="137"/>
      <c r="I7029" s="106"/>
      <c r="J7029" s="106"/>
      <c r="K7029" s="137"/>
      <c r="L7029" s="153"/>
    </row>
    <row r="7030" spans="1:12">
      <c r="A7030" s="72"/>
      <c r="B7030" s="93"/>
      <c r="C7030" s="106"/>
      <c r="D7030" s="107"/>
      <c r="E7030" s="106"/>
      <c r="F7030" s="106"/>
      <c r="G7030" s="9"/>
      <c r="H7030" s="106"/>
      <c r="I7030" s="106"/>
      <c r="J7030" s="106"/>
      <c r="K7030" s="106"/>
      <c r="L7030" s="153"/>
    </row>
    <row r="7031" spans="1:12">
      <c r="A7031" s="72"/>
      <c r="B7031" s="147"/>
      <c r="C7031" s="111"/>
      <c r="D7031" s="107"/>
      <c r="E7031" s="111"/>
      <c r="F7031" s="111"/>
      <c r="G7031" s="9"/>
      <c r="H7031" s="111"/>
      <c r="I7031" s="111"/>
      <c r="J7031" s="111"/>
      <c r="K7031" s="111"/>
      <c r="L7031" s="154"/>
    </row>
    <row r="7032" spans="1:12">
      <c r="A7032" s="72"/>
      <c r="B7032" s="147"/>
      <c r="C7032" s="111"/>
      <c r="D7032" s="107"/>
      <c r="E7032" s="111"/>
      <c r="F7032" s="111"/>
      <c r="G7032" s="9"/>
      <c r="H7032" s="111"/>
      <c r="I7032" s="111"/>
      <c r="J7032" s="111"/>
      <c r="K7032" s="111"/>
      <c r="L7032" s="154"/>
    </row>
    <row r="7033" spans="1:12">
      <c r="A7033" s="72"/>
      <c r="B7033" s="93"/>
      <c r="C7033" s="106"/>
      <c r="D7033" s="107"/>
      <c r="E7033" s="106"/>
      <c r="F7033" s="106"/>
      <c r="G7033" s="9"/>
      <c r="H7033" s="106"/>
      <c r="I7033" s="106"/>
      <c r="J7033" s="106"/>
      <c r="K7033" s="106"/>
      <c r="L7033" s="153"/>
    </row>
    <row r="7034" spans="1:12">
      <c r="A7034" s="72"/>
      <c r="B7034" s="147"/>
      <c r="C7034" s="111"/>
      <c r="D7034" s="112"/>
      <c r="E7034" s="111"/>
      <c r="F7034" s="111"/>
      <c r="G7034" s="9"/>
      <c r="H7034" s="111"/>
      <c r="I7034" s="111"/>
      <c r="J7034" s="111"/>
      <c r="K7034" s="111"/>
      <c r="L7034" s="154"/>
    </row>
    <row r="7035" spans="1:12">
      <c r="A7035" s="72"/>
      <c r="B7035" s="93"/>
      <c r="C7035" s="106"/>
      <c r="D7035" s="112"/>
      <c r="E7035" s="106"/>
      <c r="F7035" s="106"/>
      <c r="G7035" s="9"/>
      <c r="H7035" s="106"/>
      <c r="I7035" s="106"/>
      <c r="J7035" s="106"/>
      <c r="K7035" s="106"/>
      <c r="L7035" s="153"/>
    </row>
    <row r="7036" spans="1:12">
      <c r="A7036" s="72"/>
      <c r="B7036" s="147"/>
      <c r="C7036" s="111"/>
      <c r="D7036" s="112"/>
      <c r="E7036" s="111"/>
      <c r="F7036" s="111"/>
      <c r="G7036" s="9"/>
      <c r="H7036" s="111"/>
      <c r="I7036" s="111"/>
      <c r="J7036" s="111"/>
      <c r="K7036" s="111"/>
      <c r="L7036" s="154"/>
    </row>
    <row r="7037" spans="1:12">
      <c r="A7037" s="72"/>
      <c r="B7037" s="93"/>
      <c r="C7037" s="106"/>
      <c r="D7037" s="107"/>
      <c r="E7037" s="106"/>
      <c r="F7037" s="106"/>
      <c r="G7037" s="9"/>
      <c r="H7037" s="106"/>
      <c r="I7037" s="106"/>
      <c r="J7037" s="106"/>
      <c r="K7037" s="137"/>
      <c r="L7037" s="153"/>
    </row>
    <row r="7038" spans="1:12">
      <c r="A7038" s="72"/>
      <c r="B7038" s="93"/>
      <c r="C7038" s="106"/>
      <c r="D7038" s="107"/>
      <c r="E7038" s="106"/>
      <c r="F7038" s="106"/>
      <c r="G7038" s="9"/>
      <c r="H7038" s="137"/>
      <c r="I7038" s="106"/>
      <c r="J7038" s="106"/>
      <c r="K7038" s="137"/>
      <c r="L7038" s="153"/>
    </row>
    <row r="7039" spans="1:12">
      <c r="A7039" s="72"/>
      <c r="B7039" s="93"/>
      <c r="C7039" s="106"/>
      <c r="D7039" s="107"/>
      <c r="E7039" s="106"/>
      <c r="F7039" s="106"/>
      <c r="G7039" s="9"/>
      <c r="H7039" s="106"/>
      <c r="I7039" s="106"/>
      <c r="J7039" s="106"/>
      <c r="K7039" s="106"/>
      <c r="L7039" s="109"/>
    </row>
    <row r="7040" spans="1:12">
      <c r="A7040" s="72"/>
      <c r="B7040" s="147"/>
      <c r="C7040" s="111"/>
      <c r="D7040" s="107"/>
      <c r="E7040" s="111"/>
      <c r="F7040" s="111"/>
      <c r="G7040" s="9"/>
      <c r="H7040" s="111"/>
      <c r="I7040" s="111"/>
      <c r="J7040" s="111"/>
      <c r="K7040" s="111"/>
      <c r="L7040" s="114"/>
    </row>
    <row r="7041" spans="1:12">
      <c r="A7041" s="72"/>
      <c r="B7041" s="147"/>
      <c r="C7041" s="111"/>
      <c r="D7041" s="107"/>
      <c r="E7041" s="111"/>
      <c r="F7041" s="111"/>
      <c r="G7041" s="9"/>
      <c r="H7041" s="111"/>
      <c r="I7041" s="111"/>
      <c r="J7041" s="111"/>
      <c r="K7041" s="111"/>
      <c r="L7041" s="114"/>
    </row>
    <row r="7042" spans="1:12">
      <c r="A7042" s="72"/>
      <c r="B7042" s="147"/>
      <c r="C7042" s="106"/>
      <c r="D7042" s="107"/>
      <c r="E7042" s="106"/>
      <c r="F7042" s="106"/>
      <c r="G7042" s="9"/>
      <c r="H7042" s="106"/>
      <c r="I7042" s="106"/>
      <c r="J7042" s="106"/>
      <c r="K7042" s="106"/>
      <c r="L7042" s="109"/>
    </row>
    <row r="7043" spans="1:12">
      <c r="A7043" s="72"/>
      <c r="B7043" s="93"/>
      <c r="C7043" s="106"/>
      <c r="D7043" s="107"/>
      <c r="E7043" s="106"/>
      <c r="F7043" s="106"/>
      <c r="G7043" s="9"/>
      <c r="H7043" s="106"/>
      <c r="I7043" s="106"/>
      <c r="J7043" s="106"/>
      <c r="K7043" s="106"/>
      <c r="L7043" s="109"/>
    </row>
    <row r="7044" spans="1:12">
      <c r="A7044" s="72"/>
      <c r="B7044" s="93"/>
      <c r="C7044" s="106"/>
      <c r="D7044" s="107"/>
      <c r="E7044" s="106"/>
      <c r="F7044" s="106"/>
      <c r="G7044" s="9"/>
      <c r="H7044" s="106"/>
      <c r="I7044" s="106"/>
      <c r="J7044" s="106"/>
      <c r="K7044" s="106"/>
      <c r="L7044" s="109"/>
    </row>
    <row r="7045" spans="1:12">
      <c r="A7045" s="72"/>
      <c r="B7045" s="93"/>
      <c r="C7045" s="106"/>
      <c r="D7045" s="107"/>
      <c r="E7045" s="106"/>
      <c r="F7045" s="106"/>
      <c r="G7045" s="9"/>
      <c r="H7045" s="106"/>
      <c r="I7045" s="106"/>
      <c r="J7045" s="106"/>
      <c r="K7045" s="106"/>
      <c r="L7045" s="109"/>
    </row>
    <row r="7046" spans="1:12">
      <c r="A7046" s="72"/>
      <c r="B7046" s="93"/>
      <c r="C7046" s="106"/>
      <c r="D7046" s="107"/>
      <c r="E7046" s="106"/>
      <c r="F7046" s="106"/>
      <c r="G7046" s="9"/>
      <c r="H7046" s="106"/>
      <c r="I7046" s="106"/>
      <c r="J7046" s="106"/>
      <c r="K7046" s="106"/>
      <c r="L7046" s="109"/>
    </row>
    <row r="7047" spans="1:12">
      <c r="A7047" s="72"/>
      <c r="B7047" s="156"/>
      <c r="C7047" s="157"/>
      <c r="D7047" s="158"/>
      <c r="E7047" s="157"/>
      <c r="F7047" s="157"/>
      <c r="G7047" s="9"/>
      <c r="H7047" s="157"/>
      <c r="I7047" s="157"/>
      <c r="J7047" s="159"/>
      <c r="K7047" s="157"/>
      <c r="L7047" s="160"/>
    </row>
    <row r="7048" spans="1:12">
      <c r="A7048" s="72"/>
      <c r="B7048" s="156"/>
      <c r="C7048" s="157"/>
      <c r="D7048" s="161"/>
      <c r="E7048" s="162"/>
      <c r="F7048" s="131"/>
      <c r="G7048" s="9"/>
      <c r="H7048" s="157"/>
      <c r="I7048" s="157"/>
      <c r="J7048" s="159"/>
      <c r="K7048" s="157"/>
      <c r="L7048" s="160"/>
    </row>
    <row r="7049" spans="1:12">
      <c r="A7049" s="72"/>
      <c r="B7049" s="156"/>
      <c r="C7049" s="157"/>
      <c r="D7049" s="158"/>
      <c r="E7049" s="157"/>
      <c r="F7049" s="157"/>
      <c r="G7049" s="9"/>
      <c r="H7049" s="157"/>
      <c r="I7049" s="157"/>
      <c r="J7049" s="159"/>
      <c r="K7049" s="157"/>
      <c r="L7049" s="160"/>
    </row>
    <row r="7050" spans="1:12">
      <c r="A7050" s="72"/>
      <c r="B7050" s="156"/>
      <c r="C7050" s="157"/>
      <c r="D7050" s="158"/>
      <c r="E7050" s="157"/>
      <c r="F7050" s="157"/>
      <c r="G7050" s="9"/>
      <c r="H7050" s="157"/>
      <c r="I7050" s="157"/>
      <c r="J7050" s="159"/>
      <c r="K7050" s="157"/>
      <c r="L7050" s="160"/>
    </row>
    <row r="7051" spans="1:12">
      <c r="A7051" s="72"/>
      <c r="B7051" s="163"/>
      <c r="C7051" s="164"/>
      <c r="D7051" s="165"/>
      <c r="E7051" s="164"/>
      <c r="F7051" s="164"/>
      <c r="G7051" s="9"/>
      <c r="H7051" s="164"/>
      <c r="I7051" s="164"/>
      <c r="J7051" s="166"/>
      <c r="K7051" s="164"/>
      <c r="L7051" s="167"/>
    </row>
    <row r="7052" spans="1:12">
      <c r="A7052" s="72"/>
      <c r="B7052" s="156"/>
      <c r="C7052" s="157"/>
      <c r="D7052" s="161"/>
      <c r="E7052" s="93"/>
      <c r="F7052" s="106"/>
      <c r="G7052" s="9"/>
      <c r="H7052" s="157"/>
      <c r="I7052" s="157"/>
      <c r="J7052" s="159"/>
      <c r="K7052" s="157"/>
      <c r="L7052" s="160"/>
    </row>
    <row r="7053" spans="1:12">
      <c r="A7053" s="72"/>
      <c r="B7053" s="163"/>
      <c r="C7053" s="164"/>
      <c r="D7053" s="161"/>
      <c r="E7053" s="147"/>
      <c r="F7053" s="111"/>
      <c r="G7053" s="9"/>
      <c r="H7053" s="164"/>
      <c r="I7053" s="164"/>
      <c r="J7053" s="166"/>
      <c r="K7053" s="164"/>
      <c r="L7053" s="167"/>
    </row>
    <row r="7054" spans="1:12">
      <c r="A7054" s="72"/>
      <c r="B7054" s="156"/>
      <c r="C7054" s="157"/>
      <c r="D7054" s="158"/>
      <c r="E7054" s="157"/>
      <c r="F7054" s="157"/>
      <c r="G7054" s="9"/>
      <c r="H7054" s="157"/>
      <c r="I7054" s="157"/>
      <c r="J7054" s="159"/>
      <c r="K7054" s="157"/>
      <c r="L7054" s="160"/>
    </row>
    <row r="7055" spans="1:12">
      <c r="A7055" s="72"/>
      <c r="B7055" s="156"/>
      <c r="C7055" s="157"/>
      <c r="D7055" s="158"/>
      <c r="E7055" s="164"/>
      <c r="F7055" s="150"/>
      <c r="G7055" s="9"/>
      <c r="H7055" s="157"/>
      <c r="I7055" s="157"/>
      <c r="J7055" s="159"/>
      <c r="K7055" s="157"/>
      <c r="L7055" s="160"/>
    </row>
    <row r="7056" spans="1:12">
      <c r="A7056" s="72"/>
      <c r="B7056" s="163"/>
      <c r="C7056" s="164"/>
      <c r="D7056" s="165"/>
      <c r="E7056" s="164"/>
      <c r="F7056" s="106"/>
      <c r="G7056" s="9"/>
      <c r="H7056" s="164"/>
      <c r="I7056" s="164"/>
      <c r="J7056" s="166"/>
      <c r="K7056" s="164"/>
      <c r="L7056" s="167"/>
    </row>
    <row r="7057" spans="1:12">
      <c r="A7057" s="72"/>
      <c r="B7057" s="11"/>
      <c r="C7057" s="111"/>
      <c r="D7057" s="112"/>
      <c r="E7057" s="108"/>
      <c r="F7057" s="106"/>
      <c r="G7057" s="9"/>
      <c r="H7057" s="108"/>
      <c r="I7057" s="106"/>
      <c r="J7057" s="106"/>
      <c r="K7057" s="136"/>
      <c r="L7057" s="109"/>
    </row>
    <row r="7058" spans="1:12">
      <c r="A7058" s="72"/>
      <c r="B7058" s="93"/>
      <c r="C7058" s="106"/>
      <c r="D7058" s="107"/>
      <c r="E7058" s="106"/>
      <c r="F7058" s="106"/>
      <c r="G7058" s="9"/>
      <c r="H7058" s="106"/>
      <c r="I7058" s="106"/>
      <c r="J7058" s="106"/>
      <c r="K7058" s="106"/>
      <c r="L7058" s="168"/>
    </row>
    <row r="7059" spans="1:12">
      <c r="A7059" s="72"/>
      <c r="B7059" s="11"/>
      <c r="C7059" s="106"/>
      <c r="D7059" s="107"/>
      <c r="E7059" s="131"/>
      <c r="F7059" s="150"/>
      <c r="G7059" s="9"/>
      <c r="H7059" s="106"/>
      <c r="I7059" s="106"/>
      <c r="J7059" s="106"/>
      <c r="K7059" s="106"/>
      <c r="L7059" s="149"/>
    </row>
    <row r="7060" spans="1:12">
      <c r="A7060" s="72"/>
      <c r="B7060" s="11"/>
      <c r="C7060" s="106"/>
      <c r="D7060" s="107"/>
      <c r="E7060" s="106"/>
      <c r="F7060" s="106"/>
      <c r="G7060" s="9"/>
      <c r="H7060" s="106"/>
      <c r="I7060" s="106"/>
      <c r="J7060" s="106"/>
      <c r="K7060" s="106"/>
      <c r="L7060" s="132"/>
    </row>
    <row r="7061" spans="1:12">
      <c r="A7061" s="72"/>
      <c r="B7061" s="11"/>
      <c r="C7061" s="106"/>
      <c r="D7061" s="107"/>
      <c r="E7061" s="169"/>
      <c r="F7061" s="106"/>
      <c r="G7061" s="9"/>
      <c r="H7061" s="106"/>
      <c r="I7061" s="106"/>
      <c r="J7061" s="106"/>
      <c r="K7061" s="136"/>
      <c r="L7061" s="149"/>
    </row>
    <row r="7062" spans="1:12">
      <c r="A7062" s="72"/>
      <c r="B7062" s="11"/>
      <c r="C7062" s="106"/>
      <c r="D7062" s="107"/>
      <c r="E7062" s="108"/>
      <c r="F7062" s="108"/>
      <c r="G7062" s="9"/>
      <c r="H7062" s="108"/>
      <c r="I7062" s="106"/>
      <c r="J7062" s="106"/>
      <c r="K7062" s="106"/>
      <c r="L7062" s="134"/>
    </row>
    <row r="7063" spans="1:12">
      <c r="A7063" s="72"/>
      <c r="B7063" s="11"/>
      <c r="C7063" s="170"/>
      <c r="D7063" s="171"/>
      <c r="E7063" s="113"/>
      <c r="F7063" s="111"/>
      <c r="G7063" s="9"/>
      <c r="H7063" s="170"/>
      <c r="I7063" s="170"/>
      <c r="J7063" s="170"/>
      <c r="K7063" s="170"/>
      <c r="L7063" s="134"/>
    </row>
    <row r="7064" spans="1:12">
      <c r="A7064" s="72"/>
      <c r="B7064" s="93"/>
      <c r="C7064" s="106"/>
      <c r="D7064" s="107"/>
      <c r="E7064" s="172"/>
      <c r="F7064" s="106"/>
      <c r="G7064" s="9"/>
      <c r="H7064" s="106"/>
      <c r="I7064" s="106"/>
      <c r="J7064" s="106"/>
      <c r="K7064" s="106"/>
      <c r="L7064" s="109"/>
    </row>
    <row r="7065" spans="1:12">
      <c r="A7065" s="72"/>
      <c r="B7065" s="93"/>
      <c r="C7065" s="106"/>
      <c r="D7065" s="107"/>
      <c r="E7065" s="106"/>
      <c r="F7065" s="106"/>
      <c r="G7065" s="9"/>
      <c r="H7065" s="106"/>
      <c r="I7065" s="106"/>
      <c r="J7065" s="106"/>
      <c r="K7065" s="106"/>
      <c r="L7065" s="109"/>
    </row>
    <row r="7066" spans="1:12">
      <c r="A7066" s="72"/>
      <c r="B7066" s="93"/>
      <c r="C7066" s="106"/>
      <c r="D7066" s="107"/>
      <c r="E7066" s="106"/>
      <c r="F7066" s="93"/>
      <c r="G7066" s="96"/>
      <c r="H7066" s="106"/>
      <c r="I7066" s="106"/>
      <c r="J7066" s="106"/>
      <c r="K7066" s="106"/>
      <c r="L7066" s="152"/>
    </row>
    <row r="7067" spans="1:12">
      <c r="A7067" s="72"/>
      <c r="B7067" s="93"/>
      <c r="C7067" s="106"/>
      <c r="D7067" s="107"/>
      <c r="E7067" s="106"/>
      <c r="F7067" s="106"/>
      <c r="G7067" s="9"/>
      <c r="H7067" s="106"/>
      <c r="I7067" s="106"/>
      <c r="J7067" s="106"/>
      <c r="K7067" s="106"/>
      <c r="L7067" s="109"/>
    </row>
    <row r="7068" spans="1:12">
      <c r="A7068" s="72"/>
      <c r="B7068" s="93"/>
      <c r="C7068" s="106"/>
      <c r="D7068" s="107"/>
      <c r="E7068" s="106"/>
      <c r="F7068" s="106"/>
      <c r="G7068" s="9"/>
      <c r="H7068" s="106"/>
      <c r="I7068" s="106"/>
      <c r="J7068" s="106"/>
      <c r="K7068" s="106"/>
      <c r="L7068" s="109"/>
    </row>
    <row r="7069" spans="1:12">
      <c r="A7069" s="72"/>
      <c r="B7069" s="93"/>
      <c r="C7069" s="106"/>
      <c r="D7069" s="107"/>
      <c r="E7069" s="106"/>
      <c r="F7069" s="106"/>
      <c r="G7069" s="9"/>
      <c r="H7069" s="106"/>
      <c r="I7069" s="131"/>
      <c r="J7069" s="106"/>
      <c r="K7069" s="106"/>
      <c r="L7069" s="109"/>
    </row>
    <row r="7070" spans="1:12">
      <c r="A7070" s="72"/>
      <c r="B7070" s="147"/>
      <c r="C7070" s="111"/>
      <c r="D7070" s="112"/>
      <c r="E7070" s="111"/>
      <c r="F7070" s="111"/>
      <c r="G7070" s="9"/>
      <c r="H7070" s="111"/>
      <c r="I7070" s="131"/>
      <c r="J7070" s="111"/>
      <c r="K7070" s="111"/>
      <c r="L7070" s="114"/>
    </row>
    <row r="7071" spans="1:12">
      <c r="A7071" s="72"/>
      <c r="B7071" s="147"/>
      <c r="C7071" s="111"/>
      <c r="D7071" s="112"/>
      <c r="E7071" s="111"/>
      <c r="F7071" s="111"/>
      <c r="G7071" s="9"/>
      <c r="H7071" s="111"/>
      <c r="I7071" s="131"/>
      <c r="J7071" s="111"/>
      <c r="K7071" s="111"/>
      <c r="L7071" s="114"/>
    </row>
    <row r="7072" spans="1:12">
      <c r="A7072" s="72"/>
      <c r="B7072" s="147"/>
      <c r="C7072" s="111"/>
      <c r="D7072" s="112"/>
      <c r="E7072" s="111"/>
      <c r="F7072" s="111"/>
      <c r="G7072" s="9"/>
      <c r="H7072" s="111"/>
      <c r="I7072" s="131"/>
      <c r="J7072" s="111"/>
      <c r="K7072" s="111"/>
      <c r="L7072" s="114"/>
    </row>
    <row r="7073" spans="1:12">
      <c r="A7073" s="72"/>
      <c r="B7073" s="93"/>
      <c r="C7073" s="106"/>
      <c r="D7073" s="107"/>
      <c r="E7073" s="106"/>
      <c r="F7073" s="106"/>
      <c r="G7073" s="9"/>
      <c r="H7073" s="106"/>
      <c r="I7073" s="131"/>
      <c r="J7073" s="106"/>
      <c r="K7073" s="106"/>
      <c r="L7073" s="109"/>
    </row>
    <row r="7074" spans="1:12">
      <c r="A7074" s="72"/>
      <c r="B7074" s="93"/>
      <c r="C7074" s="106"/>
      <c r="D7074" s="173"/>
      <c r="E7074" s="106"/>
      <c r="F7074" s="106"/>
      <c r="G7074" s="9"/>
      <c r="H7074" s="106"/>
      <c r="I7074" s="174"/>
      <c r="J7074" s="106"/>
      <c r="K7074" s="106"/>
      <c r="L7074" s="109"/>
    </row>
    <row r="7075" spans="1:12">
      <c r="A7075" s="72"/>
      <c r="B7075" s="93"/>
      <c r="C7075" s="106"/>
      <c r="D7075" s="173"/>
      <c r="E7075" s="106"/>
      <c r="F7075" s="106"/>
      <c r="G7075" s="9"/>
      <c r="H7075" s="106"/>
      <c r="I7075" s="174"/>
      <c r="J7075" s="106"/>
      <c r="K7075" s="106"/>
      <c r="L7075" s="109"/>
    </row>
    <row r="7076" spans="1:12">
      <c r="A7076" s="72"/>
      <c r="B7076" s="93"/>
      <c r="C7076" s="106"/>
      <c r="D7076" s="173"/>
      <c r="E7076" s="106"/>
      <c r="F7076" s="106"/>
      <c r="G7076" s="9"/>
      <c r="H7076" s="106"/>
      <c r="I7076" s="174"/>
      <c r="J7076" s="106"/>
      <c r="K7076" s="106"/>
      <c r="L7076" s="109"/>
    </row>
    <row r="7077" spans="1:12">
      <c r="A7077" s="72"/>
      <c r="B7077" s="93"/>
      <c r="C7077" s="106"/>
      <c r="D7077" s="173"/>
      <c r="E7077" s="106"/>
      <c r="F7077" s="106"/>
      <c r="G7077" s="9"/>
      <c r="H7077" s="106"/>
      <c r="I7077" s="174"/>
      <c r="J7077" s="106"/>
      <c r="K7077" s="106"/>
      <c r="L7077" s="109"/>
    </row>
    <row r="7078" spans="1:12">
      <c r="A7078" s="72"/>
      <c r="B7078" s="93"/>
      <c r="C7078" s="106"/>
      <c r="D7078" s="173"/>
      <c r="E7078" s="106"/>
      <c r="F7078" s="106"/>
      <c r="G7078" s="9"/>
      <c r="H7078" s="106"/>
      <c r="I7078" s="174"/>
      <c r="J7078" s="106"/>
      <c r="K7078" s="106"/>
      <c r="L7078" s="109"/>
    </row>
    <row r="7079" spans="1:12">
      <c r="A7079" s="72"/>
      <c r="B7079" s="93"/>
      <c r="C7079" s="106"/>
      <c r="D7079" s="173"/>
      <c r="E7079" s="106"/>
      <c r="F7079" s="106"/>
      <c r="G7079" s="9"/>
      <c r="H7079" s="106"/>
      <c r="I7079" s="174"/>
      <c r="J7079" s="106"/>
      <c r="K7079" s="106"/>
      <c r="L7079" s="109"/>
    </row>
    <row r="7080" spans="1:12">
      <c r="A7080" s="72"/>
      <c r="B7080" s="93"/>
      <c r="C7080" s="106"/>
      <c r="D7080" s="173"/>
      <c r="E7080" s="106"/>
      <c r="F7080" s="106"/>
      <c r="G7080" s="9"/>
      <c r="H7080" s="106"/>
      <c r="I7080" s="174"/>
      <c r="J7080" s="106"/>
      <c r="K7080" s="106"/>
      <c r="L7080" s="109"/>
    </row>
    <row r="7081" spans="1:12">
      <c r="A7081" s="72"/>
      <c r="B7081" s="93"/>
      <c r="C7081" s="106"/>
      <c r="D7081" s="173"/>
      <c r="E7081" s="106"/>
      <c r="F7081" s="106"/>
      <c r="G7081" s="9"/>
      <c r="H7081" s="106"/>
      <c r="I7081" s="174"/>
      <c r="J7081" s="106"/>
      <c r="K7081" s="106"/>
      <c r="L7081" s="109"/>
    </row>
    <row r="7082" spans="1:12">
      <c r="A7082" s="72"/>
      <c r="B7082" s="93"/>
      <c r="C7082" s="106"/>
      <c r="D7082" s="173"/>
      <c r="E7082" s="106"/>
      <c r="F7082" s="106"/>
      <c r="G7082" s="106"/>
      <c r="H7082" s="106"/>
      <c r="I7082" s="106"/>
      <c r="J7082" s="106"/>
      <c r="K7082" s="106"/>
      <c r="L7082" s="109"/>
    </row>
    <row r="7083" spans="1:12">
      <c r="A7083" s="72"/>
      <c r="B7083" s="93"/>
      <c r="C7083" s="175"/>
      <c r="D7083" s="107"/>
      <c r="E7083" s="106"/>
      <c r="F7083" s="106"/>
      <c r="G7083" s="106"/>
      <c r="H7083" s="106"/>
      <c r="I7083" s="106"/>
      <c r="J7083" s="106"/>
      <c r="K7083" s="106"/>
      <c r="L7083" s="109"/>
    </row>
    <row r="7084" spans="1:12">
      <c r="A7084" s="72"/>
      <c r="B7084" s="11"/>
      <c r="C7084" s="106"/>
      <c r="D7084" s="107"/>
      <c r="E7084" s="172"/>
      <c r="F7084" s="108"/>
      <c r="G7084" s="9"/>
      <c r="H7084" s="106"/>
      <c r="I7084" s="106"/>
      <c r="J7084" s="106"/>
      <c r="K7084" s="106"/>
      <c r="L7084" s="149"/>
    </row>
    <row r="7085" spans="1:12">
      <c r="A7085" s="72"/>
      <c r="B7085" s="11"/>
      <c r="C7085" s="106"/>
      <c r="D7085" s="107"/>
      <c r="E7085" s="176"/>
      <c r="F7085" s="108"/>
      <c r="G7085" s="9"/>
      <c r="H7085" s="106"/>
      <c r="I7085" s="106"/>
      <c r="J7085" s="106"/>
      <c r="K7085" s="106"/>
      <c r="L7085" s="149"/>
    </row>
    <row r="7086" spans="1:12">
      <c r="A7086" s="72"/>
      <c r="B7086" s="11"/>
      <c r="C7086" s="106"/>
      <c r="D7086" s="107"/>
      <c r="E7086" s="108"/>
      <c r="F7086" s="177"/>
      <c r="G7086" s="9"/>
      <c r="H7086" s="106"/>
      <c r="I7086" s="106"/>
      <c r="J7086" s="106"/>
      <c r="K7086" s="106"/>
      <c r="L7086" s="109"/>
    </row>
    <row r="7087" spans="1:12">
      <c r="A7087" s="72"/>
      <c r="B7087" s="93"/>
      <c r="C7087" s="106"/>
      <c r="D7087" s="107"/>
      <c r="E7087" s="106"/>
      <c r="F7087" s="106"/>
      <c r="G7087" s="9"/>
      <c r="H7087" s="178"/>
      <c r="I7087" s="93"/>
      <c r="J7087" s="106"/>
      <c r="K7087" s="106"/>
      <c r="L7087" s="109"/>
    </row>
    <row r="7088" spans="1:12">
      <c r="A7088" s="72"/>
      <c r="B7088" s="93"/>
      <c r="C7088" s="106"/>
      <c r="D7088" s="107"/>
      <c r="E7088" s="106"/>
      <c r="F7088" s="106"/>
      <c r="G7088" s="9"/>
      <c r="H7088" s="106"/>
      <c r="I7088" s="106"/>
      <c r="J7088" s="106"/>
      <c r="K7088" s="106"/>
      <c r="L7088" s="149"/>
    </row>
    <row r="7089" spans="1:12">
      <c r="A7089" s="72"/>
      <c r="B7089" s="93"/>
      <c r="C7089" s="106"/>
      <c r="D7089" s="107"/>
      <c r="E7089" s="106"/>
      <c r="F7089" s="106"/>
      <c r="G7089" s="9"/>
      <c r="H7089" s="106"/>
      <c r="I7089" s="106"/>
      <c r="J7089" s="106"/>
      <c r="K7089" s="106"/>
      <c r="L7089" s="149"/>
    </row>
    <row r="7090" spans="1:12">
      <c r="A7090" s="72"/>
      <c r="B7090" s="93"/>
      <c r="C7090" s="106"/>
      <c r="D7090" s="107"/>
      <c r="E7090" s="106"/>
      <c r="F7090" s="106"/>
      <c r="G7090" s="9"/>
      <c r="H7090" s="106"/>
      <c r="I7090" s="106"/>
      <c r="J7090" s="106"/>
      <c r="K7090" s="106"/>
      <c r="L7090" s="109"/>
    </row>
    <row r="7091" spans="1:12">
      <c r="A7091" s="72"/>
      <c r="B7091" s="93"/>
      <c r="C7091" s="106"/>
      <c r="D7091" s="107"/>
      <c r="E7091" s="108"/>
      <c r="F7091" s="108"/>
      <c r="G7091" s="9"/>
      <c r="H7091" s="106"/>
      <c r="I7091" s="106"/>
      <c r="J7091" s="106"/>
      <c r="K7091" s="179"/>
      <c r="L7091" s="109"/>
    </row>
    <row r="7092" spans="1:12">
      <c r="A7092" s="72"/>
      <c r="B7092" s="93"/>
      <c r="C7092" s="106"/>
      <c r="D7092" s="107"/>
      <c r="E7092" s="106"/>
      <c r="F7092" s="180"/>
      <c r="G7092" s="9"/>
      <c r="H7092" s="92"/>
      <c r="I7092" s="106"/>
      <c r="J7092" s="106"/>
      <c r="K7092" s="179"/>
      <c r="L7092" s="109"/>
    </row>
    <row r="7093" spans="1:12">
      <c r="A7093" s="72"/>
      <c r="B7093" s="93"/>
      <c r="C7093" s="106"/>
      <c r="D7093" s="106"/>
      <c r="E7093" s="106"/>
      <c r="F7093" s="106"/>
      <c r="G7093" s="9"/>
      <c r="H7093" s="106"/>
      <c r="I7093" s="106"/>
      <c r="J7093" s="106"/>
      <c r="K7093" s="106"/>
      <c r="L7093" s="109"/>
    </row>
    <row r="7094" spans="1:12">
      <c r="A7094" s="72"/>
      <c r="B7094" s="93"/>
      <c r="C7094" s="106"/>
      <c r="D7094" s="106"/>
      <c r="E7094" s="106"/>
      <c r="F7094" s="106"/>
      <c r="G7094" s="9"/>
      <c r="H7094" s="106"/>
      <c r="I7094" s="106"/>
      <c r="J7094" s="106"/>
      <c r="K7094" s="106"/>
      <c r="L7094" s="149"/>
    </row>
    <row r="7095" spans="1:12">
      <c r="A7095" s="72"/>
      <c r="B7095" s="93"/>
      <c r="C7095" s="106"/>
      <c r="D7095" s="106"/>
      <c r="E7095" s="106"/>
      <c r="F7095" s="106"/>
      <c r="G7095" s="9"/>
      <c r="H7095" s="106"/>
      <c r="I7095" s="106"/>
      <c r="J7095" s="106"/>
      <c r="K7095" s="106"/>
      <c r="L7095" s="109"/>
    </row>
    <row r="7096" spans="1:12">
      <c r="A7096" s="72"/>
      <c r="B7096" s="93"/>
      <c r="C7096" s="106"/>
      <c r="D7096" s="106"/>
      <c r="E7096" s="106"/>
      <c r="F7096" s="106"/>
      <c r="G7096" s="9"/>
      <c r="H7096" s="106"/>
      <c r="I7096" s="106"/>
      <c r="J7096" s="106"/>
      <c r="K7096" s="106"/>
      <c r="L7096" s="109"/>
    </row>
    <row r="7097" spans="1:12">
      <c r="A7097" s="72"/>
      <c r="B7097" s="181"/>
      <c r="C7097" s="106"/>
      <c r="D7097" s="106"/>
      <c r="E7097" s="106"/>
      <c r="F7097" s="106"/>
      <c r="G7097" s="9"/>
      <c r="H7097" s="106"/>
      <c r="I7097" s="106"/>
      <c r="J7097" s="106"/>
      <c r="K7097" s="106"/>
      <c r="L7097" s="109"/>
    </row>
    <row r="7098" spans="1:12">
      <c r="A7098" s="72"/>
      <c r="B7098" s="93"/>
      <c r="C7098" s="106"/>
      <c r="D7098" s="106"/>
      <c r="E7098" s="106"/>
      <c r="F7098" s="106"/>
      <c r="G7098" s="9"/>
      <c r="H7098" s="106"/>
      <c r="I7098" s="106"/>
      <c r="J7098" s="106"/>
      <c r="K7098" s="106"/>
      <c r="L7098" s="109"/>
    </row>
    <row r="7099" spans="1:12">
      <c r="A7099" s="72"/>
      <c r="B7099" s="93"/>
      <c r="C7099" s="106"/>
      <c r="D7099" s="106"/>
      <c r="E7099" s="106"/>
      <c r="F7099" s="106"/>
      <c r="G7099" s="106"/>
      <c r="H7099" s="106"/>
      <c r="I7099" s="106"/>
      <c r="J7099" s="106"/>
      <c r="K7099" s="106"/>
      <c r="L7099" s="134"/>
    </row>
    <row r="7100" spans="1:12">
      <c r="A7100" s="72"/>
      <c r="B7100" s="93"/>
      <c r="C7100" s="106"/>
      <c r="D7100" s="106"/>
      <c r="E7100" s="106"/>
      <c r="F7100" s="106"/>
      <c r="G7100" s="9"/>
      <c r="H7100" s="106"/>
      <c r="I7100" s="106"/>
      <c r="J7100" s="106"/>
      <c r="K7100" s="106"/>
      <c r="L7100" s="149"/>
    </row>
    <row r="7101" spans="1:12">
      <c r="A7101" s="72"/>
      <c r="B7101" s="93"/>
      <c r="C7101" s="106"/>
      <c r="D7101" s="106"/>
      <c r="E7101" s="106"/>
      <c r="F7101" s="106"/>
      <c r="G7101" s="9"/>
      <c r="H7101" s="106"/>
      <c r="I7101" s="106"/>
      <c r="J7101" s="106"/>
      <c r="K7101" s="106"/>
      <c r="L7101" s="109"/>
    </row>
    <row r="7102" spans="1:12">
      <c r="A7102" s="72"/>
      <c r="B7102" s="93"/>
      <c r="C7102" s="106"/>
      <c r="D7102" s="106"/>
      <c r="E7102" s="106"/>
      <c r="F7102" s="106"/>
      <c r="G7102" s="9"/>
      <c r="H7102" s="106"/>
      <c r="I7102" s="106"/>
      <c r="J7102" s="106"/>
      <c r="K7102" s="106"/>
      <c r="L7102" s="109"/>
    </row>
    <row r="7103" spans="1:12">
      <c r="A7103" s="72"/>
      <c r="B7103" s="93"/>
      <c r="C7103" s="106"/>
      <c r="D7103" s="106"/>
      <c r="E7103" s="106"/>
      <c r="F7103" s="106"/>
      <c r="G7103" s="9"/>
      <c r="H7103" s="106"/>
      <c r="I7103" s="106"/>
      <c r="J7103" s="106"/>
      <c r="K7103" s="106"/>
      <c r="L7103" s="109"/>
    </row>
    <row r="7104" spans="1:12">
      <c r="A7104" s="72"/>
      <c r="B7104" s="93"/>
      <c r="C7104" s="106"/>
      <c r="D7104" s="106"/>
      <c r="E7104" s="106"/>
      <c r="F7104" s="106"/>
      <c r="G7104" s="9"/>
      <c r="H7104" s="106"/>
      <c r="I7104" s="106"/>
      <c r="J7104" s="106"/>
      <c r="K7104" s="106"/>
      <c r="L7104" s="109"/>
    </row>
    <row r="7105" spans="1:12">
      <c r="A7105" s="72"/>
      <c r="B7105" s="105"/>
      <c r="C7105" s="106"/>
      <c r="D7105" s="106"/>
      <c r="E7105" s="106"/>
      <c r="F7105" s="106"/>
      <c r="G7105" s="9"/>
      <c r="H7105" s="131"/>
      <c r="I7105" s="131"/>
      <c r="J7105" s="106"/>
      <c r="K7105" s="106"/>
      <c r="L7105" s="109"/>
    </row>
    <row r="7106" spans="1:12">
      <c r="A7106" s="72"/>
      <c r="B7106" s="105"/>
      <c r="C7106" s="106"/>
      <c r="D7106" s="106"/>
      <c r="E7106" s="106"/>
      <c r="F7106" s="106"/>
      <c r="G7106" s="9"/>
      <c r="H7106" s="106"/>
      <c r="I7106" s="131"/>
      <c r="J7106" s="106"/>
      <c r="K7106" s="106"/>
      <c r="L7106" s="109"/>
    </row>
    <row r="7107" spans="1:12">
      <c r="A7107" s="72"/>
      <c r="B7107" s="183"/>
      <c r="C7107" s="106"/>
      <c r="D7107" s="106"/>
      <c r="E7107" s="106"/>
      <c r="F7107" s="106"/>
      <c r="G7107" s="9"/>
      <c r="H7107" s="106"/>
      <c r="I7107" s="131"/>
      <c r="J7107" s="106"/>
      <c r="K7107" s="106"/>
      <c r="L7107" s="109"/>
    </row>
    <row r="7108" spans="1:12">
      <c r="A7108" s="72"/>
      <c r="B7108" s="105"/>
      <c r="C7108" s="106"/>
      <c r="D7108" s="106"/>
      <c r="E7108" s="106"/>
      <c r="F7108" s="106"/>
      <c r="G7108" s="9"/>
      <c r="H7108" s="106"/>
      <c r="I7108" s="106"/>
      <c r="J7108" s="106"/>
      <c r="K7108" s="106"/>
      <c r="L7108" s="109"/>
    </row>
    <row r="7109" spans="1:12">
      <c r="A7109" s="72"/>
      <c r="B7109" s="110"/>
      <c r="C7109" s="111"/>
      <c r="D7109" s="111"/>
      <c r="E7109" s="111"/>
      <c r="F7109" s="111"/>
      <c r="G7109" s="9"/>
      <c r="H7109" s="111"/>
      <c r="I7109" s="111"/>
      <c r="J7109" s="111"/>
      <c r="K7109" s="111"/>
      <c r="L7109" s="114"/>
    </row>
    <row r="7110" spans="1:12">
      <c r="A7110" s="72"/>
      <c r="B7110" s="183"/>
      <c r="C7110" s="131"/>
      <c r="D7110" s="131"/>
      <c r="E7110" s="131"/>
      <c r="F7110" s="131"/>
      <c r="G7110" s="9"/>
      <c r="H7110" s="131"/>
      <c r="I7110" s="131"/>
      <c r="J7110" s="131"/>
      <c r="K7110" s="131"/>
      <c r="L7110" s="184"/>
    </row>
    <row r="7111" spans="1:12">
      <c r="A7111" s="72"/>
      <c r="B7111" s="105"/>
      <c r="C7111" s="106"/>
      <c r="D7111" s="106"/>
      <c r="E7111" s="106"/>
      <c r="F7111" s="106"/>
      <c r="G7111" s="9"/>
      <c r="H7111" s="106"/>
      <c r="I7111" s="106"/>
      <c r="J7111" s="106"/>
      <c r="K7111" s="106"/>
      <c r="L7111" s="109"/>
    </row>
    <row r="7112" spans="1:12">
      <c r="A7112" s="72"/>
      <c r="B7112" s="110"/>
      <c r="C7112" s="111"/>
      <c r="D7112" s="111"/>
      <c r="E7112" s="111"/>
      <c r="F7112" s="111"/>
      <c r="G7112" s="9"/>
      <c r="H7112" s="111"/>
      <c r="I7112" s="111"/>
      <c r="J7112" s="111"/>
      <c r="K7112" s="111"/>
      <c r="L7112" s="114"/>
    </row>
    <row r="7113" spans="1:12">
      <c r="A7113" s="72"/>
      <c r="B7113" s="105"/>
      <c r="C7113" s="106"/>
      <c r="D7113" s="106"/>
      <c r="E7113" s="106"/>
      <c r="F7113" s="106"/>
      <c r="G7113" s="9"/>
      <c r="H7113" s="106"/>
      <c r="I7113" s="106"/>
      <c r="J7113" s="106"/>
      <c r="K7113" s="106"/>
      <c r="L7113" s="109"/>
    </row>
    <row r="7114" spans="1:12">
      <c r="A7114" s="72"/>
      <c r="B7114" s="105"/>
      <c r="C7114" s="106"/>
      <c r="D7114" s="106"/>
      <c r="E7114" s="106"/>
      <c r="F7114" s="106"/>
      <c r="G7114" s="9"/>
      <c r="H7114" s="106"/>
      <c r="I7114" s="106"/>
      <c r="J7114" s="106"/>
      <c r="K7114" s="106"/>
      <c r="L7114" s="109"/>
    </row>
    <row r="7115" spans="1:12">
      <c r="A7115" s="72"/>
      <c r="B7115" s="93"/>
      <c r="C7115" s="106"/>
      <c r="D7115" s="106"/>
      <c r="E7115" s="106"/>
      <c r="F7115" s="106"/>
      <c r="G7115" s="9"/>
      <c r="H7115" s="106"/>
      <c r="I7115" s="106"/>
      <c r="J7115" s="106"/>
      <c r="K7115" s="106"/>
      <c r="L7115" s="109"/>
    </row>
    <row r="7116" spans="1:12">
      <c r="A7116" s="72"/>
      <c r="B7116" s="147"/>
      <c r="C7116" s="111"/>
      <c r="D7116" s="111"/>
      <c r="E7116" s="111"/>
      <c r="F7116" s="111"/>
      <c r="G7116" s="9"/>
      <c r="H7116" s="111"/>
      <c r="I7116" s="111"/>
      <c r="J7116" s="111"/>
      <c r="K7116" s="106"/>
      <c r="L7116" s="114"/>
    </row>
    <row r="7117" spans="1:12">
      <c r="A7117" s="72"/>
      <c r="B7117" s="93"/>
      <c r="C7117" s="106"/>
      <c r="D7117" s="106"/>
      <c r="E7117" s="106"/>
      <c r="F7117" s="185"/>
      <c r="G7117" s="185"/>
      <c r="H7117" s="185"/>
      <c r="I7117" s="185"/>
      <c r="J7117" s="185"/>
      <c r="K7117" s="106"/>
      <c r="L7117" s="109"/>
    </row>
    <row r="7118" spans="1:12">
      <c r="A7118" s="72"/>
      <c r="B7118" s="93"/>
      <c r="C7118" s="106"/>
      <c r="D7118" s="106"/>
      <c r="E7118" s="106"/>
      <c r="F7118" s="106"/>
      <c r="G7118" s="9"/>
      <c r="H7118" s="106"/>
      <c r="I7118" s="106"/>
      <c r="J7118" s="106"/>
      <c r="K7118" s="106"/>
      <c r="L7118" s="109"/>
    </row>
    <row r="7119" spans="1:12">
      <c r="A7119" s="72"/>
      <c r="B7119" s="93"/>
      <c r="C7119" s="106"/>
      <c r="D7119" s="106"/>
      <c r="E7119" s="106"/>
      <c r="F7119" s="106"/>
      <c r="G7119" s="9"/>
      <c r="H7119" s="106"/>
      <c r="I7119" s="106"/>
      <c r="J7119" s="106"/>
      <c r="K7119" s="106"/>
      <c r="L7119" s="109"/>
    </row>
    <row r="7120" spans="1:12">
      <c r="A7120" s="72"/>
      <c r="B7120" s="93"/>
      <c r="C7120" s="106"/>
      <c r="D7120" s="106"/>
      <c r="E7120" s="106"/>
      <c r="F7120" s="106"/>
      <c r="G7120" s="9"/>
      <c r="H7120" s="106"/>
      <c r="I7120" s="106"/>
      <c r="J7120" s="106"/>
      <c r="K7120" s="106"/>
      <c r="L7120" s="109"/>
    </row>
    <row r="7121" spans="1:12">
      <c r="A7121" s="72"/>
      <c r="B7121" s="93"/>
      <c r="C7121" s="106"/>
      <c r="D7121" s="106"/>
      <c r="E7121" s="106"/>
      <c r="F7121" s="106"/>
      <c r="G7121" s="9"/>
      <c r="H7121" s="106"/>
      <c r="I7121" s="106"/>
      <c r="J7121" s="106"/>
      <c r="K7121" s="106"/>
      <c r="L7121" s="109"/>
    </row>
    <row r="7122" spans="1:12">
      <c r="A7122" s="72"/>
      <c r="B7122" s="93"/>
      <c r="C7122" s="106"/>
      <c r="D7122" s="106"/>
      <c r="E7122" s="106"/>
      <c r="F7122" s="106"/>
      <c r="G7122" s="9"/>
      <c r="H7122" s="106"/>
      <c r="I7122" s="106"/>
      <c r="J7122" s="106"/>
      <c r="K7122" s="106"/>
      <c r="L7122" s="109"/>
    </row>
    <row r="7123" spans="1:12">
      <c r="A7123" s="72"/>
      <c r="B7123" s="93"/>
      <c r="C7123" s="106"/>
      <c r="D7123" s="106"/>
      <c r="E7123" s="106"/>
      <c r="F7123" s="106"/>
      <c r="G7123" s="9"/>
      <c r="H7123" s="106"/>
      <c r="I7123" s="106"/>
      <c r="J7123" s="106"/>
      <c r="K7123" s="106"/>
      <c r="L7123" s="109"/>
    </row>
    <row r="7124" spans="1:12">
      <c r="A7124" s="72"/>
      <c r="B7124" s="93"/>
      <c r="C7124" s="106"/>
      <c r="D7124" s="106"/>
      <c r="E7124" s="106"/>
      <c r="F7124" s="106"/>
      <c r="G7124" s="9"/>
      <c r="H7124" s="106"/>
      <c r="I7124" s="106"/>
      <c r="J7124" s="106"/>
      <c r="K7124" s="106"/>
      <c r="L7124" s="109"/>
    </row>
    <row r="7125" spans="1:12">
      <c r="A7125" s="72"/>
      <c r="B7125" s="93"/>
      <c r="C7125" s="106"/>
      <c r="D7125" s="106"/>
      <c r="E7125" s="106"/>
      <c r="F7125" s="106"/>
      <c r="G7125" s="9"/>
      <c r="H7125" s="106"/>
      <c r="I7125" s="106"/>
      <c r="J7125" s="106"/>
      <c r="K7125" s="106"/>
      <c r="L7125" s="109"/>
    </row>
    <row r="7126" spans="1:12">
      <c r="A7126" s="72"/>
      <c r="B7126" s="93"/>
      <c r="C7126" s="106"/>
      <c r="D7126" s="106"/>
      <c r="E7126" s="106"/>
      <c r="F7126" s="106"/>
      <c r="G7126" s="9"/>
      <c r="H7126" s="106"/>
      <c r="I7126" s="106"/>
      <c r="J7126" s="106"/>
      <c r="K7126" s="106"/>
      <c r="L7126" s="109"/>
    </row>
    <row r="7127" spans="1:12">
      <c r="A7127" s="72"/>
      <c r="B7127" s="93"/>
      <c r="C7127" s="106"/>
      <c r="D7127" s="106"/>
      <c r="E7127" s="150"/>
      <c r="F7127" s="93"/>
      <c r="G7127" s="9"/>
      <c r="H7127" s="106"/>
      <c r="I7127" s="106"/>
      <c r="J7127" s="106"/>
      <c r="K7127" s="106"/>
      <c r="L7127" s="109"/>
    </row>
    <row r="7128" spans="1:12">
      <c r="A7128" s="72"/>
      <c r="B7128" s="93"/>
      <c r="C7128" s="106"/>
      <c r="D7128" s="106"/>
      <c r="E7128" s="106"/>
      <c r="F7128" s="106"/>
      <c r="G7128" s="9"/>
      <c r="H7128" s="106"/>
      <c r="I7128" s="106"/>
      <c r="J7128" s="106"/>
      <c r="K7128" s="106"/>
      <c r="L7128" s="109"/>
    </row>
    <row r="7129" spans="1:12">
      <c r="A7129" s="72"/>
      <c r="B7129" s="93"/>
      <c r="C7129" s="106"/>
      <c r="D7129" s="106"/>
      <c r="E7129" s="93"/>
      <c r="F7129" s="106"/>
      <c r="G7129" s="9"/>
      <c r="H7129" s="106"/>
      <c r="I7129" s="106"/>
      <c r="J7129" s="106"/>
      <c r="K7129" s="106"/>
      <c r="L7129" s="109"/>
    </row>
    <row r="7130" spans="1:12">
      <c r="A7130" s="72"/>
      <c r="B7130" s="93"/>
      <c r="C7130" s="106"/>
      <c r="D7130" s="106"/>
      <c r="E7130" s="106"/>
      <c r="F7130" s="106"/>
      <c r="G7130" s="9"/>
      <c r="H7130" s="106"/>
      <c r="I7130" s="106"/>
      <c r="J7130" s="106"/>
      <c r="K7130" s="106"/>
      <c r="L7130" s="109"/>
    </row>
    <row r="7131" spans="1:12">
      <c r="A7131" s="72"/>
      <c r="B7131" s="93"/>
      <c r="C7131" s="106"/>
      <c r="D7131" s="106"/>
      <c r="E7131" s="106"/>
      <c r="F7131" s="106"/>
      <c r="G7131" s="9"/>
      <c r="H7131" s="106"/>
      <c r="I7131" s="106"/>
      <c r="J7131" s="106"/>
      <c r="K7131" s="106"/>
      <c r="L7131" s="109"/>
    </row>
    <row r="7132" spans="1:12">
      <c r="A7132" s="72"/>
      <c r="B7132" s="93"/>
      <c r="C7132" s="106"/>
      <c r="D7132" s="106"/>
      <c r="E7132" s="106"/>
      <c r="F7132" s="106"/>
      <c r="G7132" s="9"/>
      <c r="H7132" s="106"/>
      <c r="I7132" s="106"/>
      <c r="J7132" s="106"/>
      <c r="K7132" s="106"/>
      <c r="L7132" s="109"/>
    </row>
    <row r="7133" spans="1:12">
      <c r="A7133" s="72"/>
      <c r="B7133" s="147"/>
      <c r="C7133" s="111"/>
      <c r="D7133" s="111"/>
      <c r="E7133" s="111"/>
      <c r="F7133" s="111"/>
      <c r="G7133" s="9"/>
      <c r="H7133" s="111"/>
      <c r="I7133" s="111"/>
      <c r="J7133" s="111"/>
      <c r="K7133" s="111"/>
      <c r="L7133" s="114"/>
    </row>
    <row r="7134" spans="1:12">
      <c r="A7134" s="72"/>
      <c r="B7134" s="93"/>
      <c r="C7134" s="106"/>
      <c r="D7134" s="106"/>
      <c r="E7134" s="106"/>
      <c r="F7134" s="106"/>
      <c r="G7134" s="9"/>
      <c r="H7134" s="106"/>
      <c r="I7134" s="106"/>
      <c r="J7134" s="106"/>
      <c r="K7134" s="106"/>
      <c r="L7134" s="109"/>
    </row>
    <row r="7135" spans="1:12">
      <c r="A7135" s="72"/>
      <c r="B7135" s="93"/>
      <c r="C7135" s="106"/>
      <c r="D7135" s="106"/>
      <c r="E7135" s="106"/>
      <c r="F7135" s="106"/>
      <c r="G7135" s="9"/>
      <c r="H7135" s="106"/>
      <c r="I7135" s="106"/>
      <c r="J7135" s="106"/>
      <c r="K7135" s="106"/>
      <c r="L7135" s="149"/>
    </row>
    <row r="7136" spans="1:12">
      <c r="A7136" s="72"/>
      <c r="B7136" s="93"/>
      <c r="C7136" s="106"/>
      <c r="D7136" s="106"/>
      <c r="E7136" s="106"/>
      <c r="F7136" s="106"/>
      <c r="G7136" s="9"/>
      <c r="H7136" s="106"/>
      <c r="I7136" s="106"/>
      <c r="J7136" s="106"/>
      <c r="K7136" s="106"/>
      <c r="L7136" s="149"/>
    </row>
    <row r="7137" spans="1:12">
      <c r="A7137" s="72"/>
      <c r="B7137" s="93"/>
      <c r="C7137" s="106"/>
      <c r="D7137" s="106"/>
      <c r="E7137" s="106"/>
      <c r="F7137" s="106"/>
      <c r="G7137" s="9"/>
      <c r="H7137" s="106"/>
      <c r="I7137" s="106"/>
      <c r="J7137" s="106"/>
      <c r="K7137" s="106"/>
      <c r="L7137" s="149"/>
    </row>
    <row r="7138" spans="1:12">
      <c r="A7138" s="72"/>
      <c r="B7138" s="93"/>
      <c r="C7138" s="106"/>
      <c r="D7138" s="106"/>
      <c r="E7138" s="106"/>
      <c r="F7138" s="106"/>
      <c r="G7138" s="9"/>
      <c r="H7138" s="106"/>
      <c r="I7138" s="106"/>
      <c r="J7138" s="106"/>
      <c r="K7138" s="106"/>
      <c r="L7138" s="149"/>
    </row>
    <row r="7139" spans="1:12">
      <c r="A7139" s="72"/>
      <c r="B7139" s="147"/>
      <c r="C7139" s="111"/>
      <c r="D7139" s="106"/>
      <c r="E7139" s="111"/>
      <c r="F7139" s="111"/>
      <c r="G7139" s="9"/>
      <c r="H7139" s="111"/>
      <c r="I7139" s="111"/>
      <c r="J7139" s="111"/>
      <c r="K7139" s="111"/>
      <c r="L7139" s="149"/>
    </row>
    <row r="7140" spans="1:12">
      <c r="A7140" s="72"/>
      <c r="B7140" s="93"/>
      <c r="C7140" s="106"/>
      <c r="D7140" s="106"/>
      <c r="E7140" s="106"/>
      <c r="F7140" s="106"/>
      <c r="G7140" s="9"/>
      <c r="H7140" s="106"/>
      <c r="I7140" s="106"/>
      <c r="J7140" s="106"/>
      <c r="K7140" s="106"/>
      <c r="L7140" s="109"/>
    </row>
    <row r="7141" spans="1:12">
      <c r="A7141" s="72"/>
      <c r="B7141" s="93"/>
      <c r="C7141" s="106"/>
      <c r="D7141" s="106"/>
      <c r="E7141" s="106"/>
      <c r="F7141" s="106"/>
      <c r="G7141" s="9"/>
      <c r="H7141" s="106"/>
      <c r="I7141" s="131"/>
      <c r="J7141" s="106"/>
      <c r="K7141" s="106"/>
      <c r="L7141" s="109"/>
    </row>
    <row r="7142" spans="1:12">
      <c r="A7142" s="72"/>
      <c r="B7142" s="147"/>
      <c r="C7142" s="111"/>
      <c r="D7142" s="111"/>
      <c r="E7142" s="111"/>
      <c r="F7142" s="111"/>
      <c r="G7142" s="9"/>
      <c r="H7142" s="111"/>
      <c r="I7142" s="131"/>
      <c r="J7142" s="111"/>
      <c r="K7142" s="111"/>
      <c r="L7142" s="114"/>
    </row>
    <row r="7143" spans="1:12">
      <c r="A7143" s="72"/>
      <c r="B7143" s="147"/>
      <c r="C7143" s="111"/>
      <c r="D7143" s="111"/>
      <c r="E7143" s="111"/>
      <c r="F7143" s="111"/>
      <c r="G7143" s="9"/>
      <c r="H7143" s="111"/>
      <c r="I7143" s="131"/>
      <c r="J7143" s="111"/>
      <c r="K7143" s="111"/>
      <c r="L7143" s="114"/>
    </row>
    <row r="7144" spans="1:12">
      <c r="A7144" s="72"/>
      <c r="B7144" s="93"/>
      <c r="C7144" s="106"/>
      <c r="D7144" s="106"/>
      <c r="E7144" s="106"/>
      <c r="F7144" s="106"/>
      <c r="G7144" s="9"/>
      <c r="H7144" s="106"/>
      <c r="I7144" s="106"/>
      <c r="J7144" s="106"/>
      <c r="K7144" s="106"/>
      <c r="L7144" s="109"/>
    </row>
    <row r="7145" spans="1:12">
      <c r="A7145" s="72"/>
      <c r="B7145" s="93"/>
      <c r="C7145" s="106"/>
      <c r="D7145" s="106"/>
      <c r="E7145" s="106"/>
      <c r="F7145" s="106"/>
      <c r="G7145" s="9"/>
      <c r="H7145" s="106"/>
      <c r="I7145" s="131"/>
      <c r="J7145" s="106"/>
      <c r="K7145" s="106"/>
      <c r="L7145" s="109"/>
    </row>
    <row r="7146" spans="1:12">
      <c r="A7146" s="72"/>
      <c r="B7146" s="93"/>
      <c r="C7146" s="106"/>
      <c r="D7146" s="106"/>
      <c r="E7146" s="106"/>
      <c r="F7146" s="106"/>
      <c r="G7146" s="9"/>
      <c r="H7146" s="106"/>
      <c r="I7146" s="131"/>
      <c r="J7146" s="106"/>
      <c r="K7146" s="106"/>
      <c r="L7146" s="109"/>
    </row>
    <row r="7147" spans="1:12">
      <c r="A7147" s="72"/>
      <c r="B7147" s="140"/>
      <c r="C7147" s="137"/>
      <c r="D7147" s="137"/>
      <c r="E7147" s="159"/>
      <c r="F7147" s="137"/>
      <c r="G7147" s="9"/>
      <c r="H7147" s="137"/>
      <c r="I7147" s="137"/>
      <c r="J7147" s="137"/>
      <c r="K7147" s="137"/>
      <c r="L7147" s="146"/>
    </row>
    <row r="7148" spans="1:12">
      <c r="A7148" s="72"/>
      <c r="B7148" s="93"/>
      <c r="C7148" s="131"/>
      <c r="D7148" s="106"/>
      <c r="E7148" s="157"/>
      <c r="F7148" s="106"/>
      <c r="G7148" s="9"/>
      <c r="H7148" s="131"/>
      <c r="I7148" s="131"/>
      <c r="J7148" s="106"/>
      <c r="K7148" s="106"/>
      <c r="L7148" s="109"/>
    </row>
    <row r="7149" spans="1:12">
      <c r="A7149" s="72"/>
      <c r="B7149" s="156"/>
      <c r="C7149" s="187"/>
      <c r="D7149" s="157"/>
      <c r="E7149" s="157"/>
      <c r="F7149" s="157"/>
      <c r="G7149" s="9"/>
      <c r="H7149" s="187"/>
      <c r="I7149" s="187"/>
      <c r="J7149" s="157"/>
      <c r="K7149" s="157"/>
      <c r="L7149" s="160"/>
    </row>
    <row r="7150" spans="1:12">
      <c r="A7150" s="72"/>
      <c r="B7150" s="163"/>
      <c r="C7150" s="187"/>
      <c r="D7150" s="164"/>
      <c r="E7150" s="164"/>
      <c r="F7150" s="164"/>
      <c r="G7150" s="9"/>
      <c r="H7150" s="187"/>
      <c r="I7150" s="187"/>
      <c r="J7150" s="164"/>
      <c r="K7150" s="164"/>
      <c r="L7150" s="167"/>
    </row>
    <row r="7151" spans="1:12">
      <c r="A7151" s="72"/>
      <c r="B7151" s="156"/>
      <c r="C7151" s="187"/>
      <c r="D7151" s="157"/>
      <c r="E7151" s="157"/>
      <c r="F7151" s="157"/>
      <c r="G7151" s="9"/>
      <c r="H7151" s="187"/>
      <c r="I7151" s="187"/>
      <c r="J7151" s="157"/>
      <c r="K7151" s="157"/>
      <c r="L7151" s="160"/>
    </row>
    <row r="7152" spans="1:12">
      <c r="A7152" s="72"/>
      <c r="B7152" s="163"/>
      <c r="C7152" s="187"/>
      <c r="D7152" s="157"/>
      <c r="E7152" s="164"/>
      <c r="F7152" s="164"/>
      <c r="G7152" s="9"/>
      <c r="H7152" s="187"/>
      <c r="I7152" s="187"/>
      <c r="J7152" s="164"/>
      <c r="K7152" s="164"/>
      <c r="L7152" s="167"/>
    </row>
    <row r="7153" spans="1:12">
      <c r="A7153" s="72"/>
      <c r="B7153" s="93"/>
      <c r="C7153" s="131"/>
      <c r="D7153" s="106"/>
      <c r="E7153" s="137"/>
      <c r="F7153" s="150"/>
      <c r="G7153" s="9"/>
      <c r="H7153" s="106"/>
      <c r="I7153" s="131"/>
      <c r="J7153" s="106"/>
      <c r="K7153" s="106"/>
      <c r="L7153" s="109"/>
    </row>
    <row r="7154" spans="1:12">
      <c r="A7154" s="72"/>
      <c r="B7154" s="93"/>
      <c r="C7154" s="131"/>
      <c r="D7154" s="131"/>
      <c r="E7154" s="188"/>
      <c r="F7154" s="189"/>
      <c r="G7154" s="9"/>
      <c r="H7154" s="131"/>
      <c r="I7154" s="131"/>
      <c r="J7154" s="131"/>
      <c r="K7154" s="131"/>
      <c r="L7154" s="191"/>
    </row>
    <row r="7155" spans="1:12">
      <c r="A7155" s="72"/>
      <c r="B7155" s="140"/>
      <c r="C7155" s="137"/>
      <c r="D7155" s="137"/>
      <c r="E7155" s="137"/>
      <c r="F7155" s="137"/>
      <c r="G7155" s="9"/>
      <c r="H7155" s="137"/>
      <c r="I7155" s="137"/>
      <c r="J7155" s="137"/>
      <c r="K7155" s="137"/>
      <c r="L7155" s="146"/>
    </row>
    <row r="7156" spans="1:12">
      <c r="A7156" s="72"/>
      <c r="B7156" s="140"/>
      <c r="C7156" s="137"/>
      <c r="D7156" s="137"/>
      <c r="E7156" s="137"/>
      <c r="F7156" s="137"/>
      <c r="G7156" s="9"/>
      <c r="H7156" s="137"/>
      <c r="I7156" s="137"/>
      <c r="J7156" s="137"/>
      <c r="K7156" s="137"/>
      <c r="L7156" s="146"/>
    </row>
    <row r="7157" spans="1:12">
      <c r="A7157" s="72"/>
      <c r="B7157" s="93"/>
      <c r="C7157" s="106"/>
      <c r="D7157" s="106"/>
      <c r="E7157" s="106"/>
      <c r="F7157" s="106"/>
      <c r="G7157" s="9"/>
      <c r="H7157" s="106"/>
      <c r="I7157" s="106"/>
      <c r="J7157" s="106"/>
      <c r="K7157" s="106"/>
      <c r="L7157" s="134"/>
    </row>
    <row r="7158" spans="1:12">
      <c r="A7158" s="72"/>
      <c r="B7158" s="93"/>
      <c r="C7158" s="106"/>
      <c r="D7158" s="106"/>
      <c r="E7158" s="106"/>
      <c r="F7158" s="106"/>
      <c r="G7158" s="9"/>
      <c r="H7158" s="106"/>
      <c r="I7158" s="106"/>
      <c r="J7158" s="106"/>
      <c r="K7158" s="106"/>
      <c r="L7158" s="109"/>
    </row>
    <row r="7159" spans="1:12">
      <c r="A7159" s="72"/>
      <c r="B7159" s="147"/>
      <c r="C7159" s="111"/>
      <c r="D7159" s="111"/>
      <c r="E7159" s="106"/>
      <c r="F7159" s="111"/>
      <c r="G7159" s="9"/>
      <c r="H7159" s="111"/>
      <c r="I7159" s="111"/>
      <c r="J7159" s="111"/>
      <c r="K7159" s="111"/>
      <c r="L7159" s="114"/>
    </row>
    <row r="7160" spans="1:12">
      <c r="A7160" s="72"/>
      <c r="B7160" s="93"/>
      <c r="C7160" s="106"/>
      <c r="D7160" s="106"/>
      <c r="E7160" s="106"/>
      <c r="F7160" s="106"/>
      <c r="G7160" s="9"/>
      <c r="H7160" s="106"/>
      <c r="I7160" s="106"/>
      <c r="J7160" s="106"/>
      <c r="K7160" s="106"/>
      <c r="L7160" s="149"/>
    </row>
    <row r="7161" spans="1:12">
      <c r="A7161" s="72"/>
      <c r="B7161" s="93"/>
      <c r="C7161" s="106"/>
      <c r="D7161" s="174"/>
      <c r="E7161" s="106"/>
      <c r="F7161" s="150"/>
      <c r="G7161" s="9"/>
      <c r="H7161" s="106"/>
      <c r="I7161" s="106"/>
      <c r="J7161" s="174"/>
      <c r="K7161" s="106"/>
      <c r="L7161" s="109"/>
    </row>
    <row r="7162" spans="1:12">
      <c r="A7162" s="72"/>
      <c r="B7162" s="93"/>
      <c r="C7162" s="106"/>
      <c r="D7162" s="106"/>
      <c r="E7162" s="106"/>
      <c r="F7162" s="106"/>
      <c r="G7162" s="9"/>
      <c r="H7162" s="106"/>
      <c r="I7162" s="106"/>
      <c r="J7162" s="106"/>
      <c r="K7162" s="106"/>
      <c r="L7162" s="109"/>
    </row>
    <row r="7163" spans="1:12">
      <c r="A7163" s="72"/>
      <c r="B7163" s="93"/>
      <c r="C7163" s="106"/>
      <c r="D7163" s="106"/>
      <c r="E7163" s="106"/>
      <c r="F7163" s="106"/>
      <c r="G7163" s="9"/>
      <c r="H7163" s="106"/>
      <c r="I7163" s="106"/>
      <c r="J7163" s="106"/>
      <c r="K7163" s="106"/>
      <c r="L7163" s="109"/>
    </row>
    <row r="7164" spans="1:12">
      <c r="A7164" s="72"/>
      <c r="B7164" s="93"/>
      <c r="C7164" s="106"/>
      <c r="D7164" s="155"/>
      <c r="E7164" s="106"/>
      <c r="F7164" s="106"/>
      <c r="G7164" s="9"/>
      <c r="H7164" s="106"/>
      <c r="I7164" s="106"/>
      <c r="J7164" s="106"/>
      <c r="K7164" s="106"/>
      <c r="L7164" s="109"/>
    </row>
    <row r="7165" spans="1:12">
      <c r="A7165" s="72"/>
      <c r="B7165" s="93"/>
      <c r="C7165" s="106"/>
      <c r="D7165" s="106"/>
      <c r="E7165" s="150"/>
      <c r="F7165" s="93"/>
      <c r="G7165" s="9"/>
      <c r="H7165" s="106"/>
      <c r="I7165" s="106"/>
      <c r="J7165" s="106"/>
      <c r="K7165" s="106"/>
      <c r="L7165" s="109"/>
    </row>
    <row r="7166" spans="1:12">
      <c r="A7166" s="72"/>
      <c r="B7166" s="93"/>
      <c r="C7166" s="106"/>
      <c r="D7166" s="106"/>
      <c r="E7166" s="106"/>
      <c r="F7166" s="150"/>
      <c r="G7166" s="9"/>
      <c r="H7166" s="106"/>
      <c r="I7166" s="106"/>
      <c r="J7166" s="106"/>
      <c r="K7166" s="106"/>
      <c r="L7166" s="109"/>
    </row>
    <row r="7167" spans="1:12">
      <c r="A7167" s="72"/>
      <c r="B7167" s="147"/>
      <c r="C7167" s="111"/>
      <c r="D7167" s="111"/>
      <c r="E7167" s="111"/>
      <c r="F7167" s="106"/>
      <c r="G7167" s="9"/>
      <c r="H7167" s="111"/>
      <c r="I7167" s="111"/>
      <c r="J7167" s="111"/>
      <c r="K7167" s="111"/>
      <c r="L7167" s="114"/>
    </row>
    <row r="7168" spans="1:12">
      <c r="A7168" s="72"/>
      <c r="B7168" s="93"/>
      <c r="C7168" s="106"/>
      <c r="D7168" s="106"/>
      <c r="E7168" s="106"/>
      <c r="F7168" s="108"/>
      <c r="G7168" s="9"/>
      <c r="H7168" s="106"/>
      <c r="I7168" s="106"/>
      <c r="J7168" s="106"/>
      <c r="K7168" s="106"/>
      <c r="L7168" s="109"/>
    </row>
    <row r="7169" spans="1:12">
      <c r="A7169" s="72"/>
      <c r="B7169" s="93"/>
      <c r="C7169" s="106"/>
      <c r="D7169" s="106"/>
      <c r="E7169" s="180"/>
      <c r="F7169" s="192"/>
      <c r="G7169" s="9"/>
      <c r="H7169" s="106"/>
      <c r="I7169" s="106"/>
      <c r="J7169" s="106"/>
      <c r="K7169" s="106"/>
      <c r="L7169" s="109"/>
    </row>
    <row r="7170" spans="1:12">
      <c r="A7170" s="72"/>
      <c r="B7170" s="93"/>
      <c r="C7170" s="106"/>
      <c r="D7170" s="106"/>
      <c r="E7170" s="106"/>
      <c r="F7170" s="106"/>
      <c r="G7170" s="9"/>
      <c r="H7170" s="106"/>
      <c r="I7170" s="106"/>
      <c r="J7170" s="106"/>
      <c r="K7170" s="106"/>
      <c r="L7170" s="109"/>
    </row>
    <row r="7171" spans="1:12">
      <c r="A7171" s="72"/>
      <c r="B7171" s="93"/>
      <c r="C7171" s="106"/>
      <c r="D7171" s="106"/>
      <c r="E7171" s="106"/>
      <c r="F7171" s="106"/>
      <c r="G7171" s="9"/>
      <c r="H7171" s="106"/>
      <c r="I7171" s="106"/>
      <c r="J7171" s="106"/>
      <c r="K7171" s="137"/>
      <c r="L7171" s="134"/>
    </row>
    <row r="7172" spans="1:12">
      <c r="A7172" s="72"/>
      <c r="B7172" s="93"/>
      <c r="C7172" s="131"/>
      <c r="D7172" s="106"/>
      <c r="E7172" s="137"/>
      <c r="F7172" s="106"/>
      <c r="G7172" s="9"/>
      <c r="H7172" s="106"/>
      <c r="I7172" s="131"/>
      <c r="J7172" s="106"/>
      <c r="K7172" s="137"/>
      <c r="L7172" s="160"/>
    </row>
    <row r="7173" spans="1:12">
      <c r="A7173" s="72"/>
      <c r="B7173" s="140"/>
      <c r="C7173" s="137"/>
      <c r="D7173" s="137"/>
      <c r="E7173" s="137"/>
      <c r="F7173" s="137"/>
      <c r="G7173" s="9"/>
      <c r="H7173" s="137"/>
      <c r="I7173" s="137"/>
      <c r="J7173" s="137"/>
      <c r="K7173" s="137"/>
      <c r="L7173" s="146"/>
    </row>
    <row r="7174" spans="1:12">
      <c r="A7174" s="72"/>
      <c r="B7174" s="181"/>
      <c r="C7174" s="131"/>
      <c r="D7174" s="106"/>
      <c r="E7174" s="159"/>
      <c r="F7174" s="106"/>
      <c r="G7174" s="9"/>
      <c r="H7174" s="106"/>
      <c r="I7174" s="131"/>
      <c r="J7174" s="106"/>
      <c r="K7174" s="137"/>
      <c r="L7174" s="160"/>
    </row>
    <row r="7175" spans="1:12">
      <c r="A7175" s="72"/>
      <c r="B7175" s="93"/>
      <c r="C7175" s="131"/>
      <c r="D7175" s="174"/>
      <c r="E7175" s="157"/>
      <c r="F7175" s="106"/>
      <c r="G7175" s="9"/>
      <c r="H7175" s="131"/>
      <c r="I7175" s="131"/>
      <c r="J7175" s="106"/>
      <c r="K7175" s="106"/>
      <c r="L7175" s="109"/>
    </row>
    <row r="7176" spans="1:12">
      <c r="A7176" s="72"/>
      <c r="B7176" s="93"/>
      <c r="C7176" s="106"/>
      <c r="D7176" s="106"/>
      <c r="E7176" s="106"/>
      <c r="F7176" s="106"/>
      <c r="G7176" s="9"/>
      <c r="H7176" s="106"/>
      <c r="I7176" s="106"/>
      <c r="J7176" s="106"/>
      <c r="K7176" s="106"/>
      <c r="L7176" s="109"/>
    </row>
    <row r="7177" spans="1:12">
      <c r="A7177" s="72"/>
      <c r="B7177" s="93"/>
      <c r="C7177" s="106"/>
      <c r="D7177" s="106"/>
      <c r="E7177" s="106"/>
      <c r="F7177" s="106"/>
      <c r="G7177" s="9"/>
      <c r="H7177" s="106"/>
      <c r="I7177" s="106"/>
      <c r="J7177" s="106"/>
      <c r="K7177" s="150"/>
      <c r="L7177" s="149"/>
    </row>
    <row r="7178" spans="1:12">
      <c r="A7178" s="72"/>
      <c r="B7178" s="147"/>
      <c r="C7178" s="111"/>
      <c r="D7178" s="111"/>
      <c r="E7178" s="111"/>
      <c r="F7178" s="111"/>
      <c r="G7178" s="9"/>
      <c r="H7178" s="111"/>
      <c r="I7178" s="111"/>
      <c r="J7178" s="111"/>
      <c r="K7178" s="150"/>
      <c r="L7178" s="149"/>
    </row>
    <row r="7179" spans="1:12">
      <c r="A7179" s="72"/>
      <c r="B7179" s="93"/>
      <c r="C7179" s="106"/>
      <c r="D7179" s="106"/>
      <c r="E7179" s="106"/>
      <c r="F7179" s="106"/>
      <c r="G7179" s="9"/>
      <c r="H7179" s="106"/>
      <c r="I7179" s="106"/>
      <c r="J7179" s="106"/>
      <c r="K7179" s="150"/>
      <c r="L7179" s="109"/>
    </row>
    <row r="7180" spans="1:12">
      <c r="A7180" s="72"/>
      <c r="B7180" s="147"/>
      <c r="C7180" s="111"/>
      <c r="D7180" s="111"/>
      <c r="E7180" s="111"/>
      <c r="F7180" s="111"/>
      <c r="G7180" s="9"/>
      <c r="H7180" s="111"/>
      <c r="I7180" s="111"/>
      <c r="J7180" s="111"/>
      <c r="K7180" s="150"/>
      <c r="L7180" s="114"/>
    </row>
    <row r="7181" spans="1:12">
      <c r="A7181" s="72"/>
      <c r="B7181" s="93"/>
      <c r="C7181" s="106"/>
      <c r="D7181" s="106"/>
      <c r="E7181" s="106"/>
      <c r="F7181" s="106"/>
      <c r="G7181" s="9"/>
      <c r="H7181" s="106"/>
      <c r="I7181" s="106"/>
      <c r="J7181" s="106"/>
      <c r="K7181" s="106"/>
      <c r="L7181" s="109"/>
    </row>
    <row r="7182" spans="1:12">
      <c r="A7182" s="72"/>
      <c r="B7182" s="93"/>
      <c r="C7182" s="106"/>
      <c r="D7182" s="106"/>
      <c r="E7182" s="106"/>
      <c r="F7182" s="106"/>
      <c r="G7182" s="9"/>
      <c r="H7182" s="106"/>
      <c r="I7182" s="106"/>
      <c r="J7182" s="106"/>
      <c r="K7182" s="106"/>
      <c r="L7182" s="109"/>
    </row>
    <row r="7183" spans="1:12">
      <c r="A7183" s="72"/>
      <c r="B7183" s="93"/>
      <c r="C7183" s="106"/>
      <c r="D7183" s="106"/>
      <c r="E7183" s="106"/>
      <c r="F7183" s="106"/>
      <c r="G7183" s="9"/>
      <c r="H7183" s="106"/>
      <c r="I7183" s="93"/>
      <c r="J7183" s="106"/>
      <c r="K7183" s="106"/>
      <c r="L7183" s="109"/>
    </row>
    <row r="7184" spans="1:12">
      <c r="A7184" s="72"/>
      <c r="B7184" s="93"/>
      <c r="C7184" s="106"/>
      <c r="D7184" s="106"/>
      <c r="E7184" s="106"/>
      <c r="F7184" s="106"/>
      <c r="G7184" s="9"/>
      <c r="H7184" s="106"/>
      <c r="I7184" s="106"/>
      <c r="J7184" s="106"/>
      <c r="K7184" s="106"/>
      <c r="L7184" s="109"/>
    </row>
    <row r="7185" spans="1:12">
      <c r="A7185" s="72"/>
      <c r="B7185" s="93"/>
      <c r="C7185" s="106"/>
      <c r="D7185" s="106"/>
      <c r="E7185" s="106"/>
      <c r="F7185" s="106"/>
      <c r="G7185" s="9"/>
      <c r="H7185" s="106"/>
      <c r="I7185" s="106"/>
      <c r="J7185" s="106"/>
      <c r="K7185" s="106"/>
      <c r="L7185" s="109"/>
    </row>
    <row r="7186" spans="1:12">
      <c r="A7186" s="72"/>
      <c r="B7186" s="93"/>
      <c r="C7186" s="106"/>
      <c r="D7186" s="106"/>
      <c r="E7186" s="106"/>
      <c r="F7186" s="106"/>
      <c r="G7186" s="9"/>
      <c r="H7186" s="106"/>
      <c r="I7186" s="106"/>
      <c r="J7186" s="106"/>
      <c r="K7186" s="106"/>
      <c r="L7186" s="109"/>
    </row>
    <row r="7187" spans="1:12">
      <c r="A7187" s="72"/>
      <c r="B7187" s="93"/>
      <c r="C7187" s="106"/>
      <c r="D7187" s="106"/>
      <c r="E7187" s="106"/>
      <c r="F7187" s="137"/>
      <c r="G7187" s="9"/>
      <c r="H7187" s="106"/>
      <c r="I7187" s="106"/>
      <c r="J7187" s="106"/>
      <c r="K7187" s="137"/>
      <c r="L7187" s="109"/>
    </row>
    <row r="7188" spans="1:12">
      <c r="A7188" s="72"/>
      <c r="B7188" s="147"/>
      <c r="C7188" s="111"/>
      <c r="D7188" s="111"/>
      <c r="E7188" s="111"/>
      <c r="F7188" s="141"/>
      <c r="G7188" s="9"/>
      <c r="H7188" s="111"/>
      <c r="I7188" s="111"/>
      <c r="J7188" s="111"/>
      <c r="K7188" s="141"/>
      <c r="L7188" s="114"/>
    </row>
    <row r="7189" spans="1:12">
      <c r="A7189" s="72"/>
      <c r="B7189" s="147"/>
      <c r="C7189" s="111"/>
      <c r="D7189" s="111"/>
      <c r="E7189" s="111"/>
      <c r="F7189" s="141"/>
      <c r="G7189" s="9"/>
      <c r="H7189" s="111"/>
      <c r="I7189" s="111"/>
      <c r="J7189" s="111"/>
      <c r="K7189" s="141"/>
      <c r="L7189" s="114"/>
    </row>
    <row r="7190" spans="1:12">
      <c r="A7190" s="72"/>
      <c r="B7190" s="140"/>
      <c r="C7190" s="137"/>
      <c r="D7190" s="106"/>
      <c r="E7190" s="106"/>
      <c r="F7190" s="106"/>
      <c r="G7190" s="9"/>
      <c r="H7190" s="106"/>
      <c r="I7190" s="106"/>
      <c r="J7190" s="106"/>
      <c r="K7190" s="106"/>
      <c r="L7190" s="109"/>
    </row>
    <row r="7191" spans="1:12">
      <c r="A7191" s="72"/>
      <c r="B7191" s="93"/>
      <c r="C7191" s="106"/>
      <c r="D7191" s="106"/>
      <c r="E7191" s="106"/>
      <c r="F7191" s="106"/>
      <c r="G7191" s="9"/>
      <c r="H7191" s="106"/>
      <c r="I7191" s="106"/>
      <c r="J7191" s="106"/>
      <c r="K7191" s="106"/>
      <c r="L7191" s="109"/>
    </row>
    <row r="7192" spans="1:12">
      <c r="A7192" s="72"/>
      <c r="B7192" s="140"/>
      <c r="C7192" s="137"/>
      <c r="D7192" s="137"/>
      <c r="E7192" s="137"/>
      <c r="F7192" s="137"/>
      <c r="G7192" s="9"/>
      <c r="H7192" s="137"/>
      <c r="I7192" s="137"/>
      <c r="J7192" s="137"/>
      <c r="K7192" s="137"/>
      <c r="L7192" s="193"/>
    </row>
    <row r="7193" spans="1:12">
      <c r="A7193" s="72"/>
      <c r="B7193" s="93"/>
      <c r="C7193" s="106"/>
      <c r="D7193" s="106"/>
      <c r="E7193" s="106"/>
      <c r="F7193" s="106"/>
      <c r="G7193" s="9"/>
      <c r="H7193" s="106"/>
      <c r="I7193" s="106"/>
      <c r="J7193" s="106"/>
      <c r="K7193" s="106"/>
      <c r="L7193" s="109"/>
    </row>
    <row r="7194" spans="1:12">
      <c r="A7194" s="72"/>
      <c r="B7194" s="93"/>
      <c r="C7194" s="106"/>
      <c r="D7194" s="106"/>
      <c r="E7194" s="106"/>
      <c r="F7194" s="106"/>
      <c r="G7194" s="9"/>
      <c r="H7194" s="106"/>
      <c r="I7194" s="106"/>
      <c r="J7194" s="106"/>
      <c r="K7194" s="106"/>
      <c r="L7194" s="109"/>
    </row>
    <row r="7195" spans="1:12">
      <c r="A7195" s="72"/>
      <c r="B7195" s="93"/>
      <c r="C7195" s="106"/>
      <c r="D7195" s="106"/>
      <c r="E7195" s="106"/>
      <c r="F7195" s="106"/>
      <c r="G7195" s="9"/>
      <c r="H7195" s="106"/>
      <c r="I7195" s="106"/>
      <c r="J7195" s="106"/>
      <c r="K7195" s="106"/>
      <c r="L7195" s="109"/>
    </row>
    <row r="7196" spans="1:12">
      <c r="A7196" s="72"/>
      <c r="B7196" s="93"/>
      <c r="C7196" s="106"/>
      <c r="D7196" s="106"/>
      <c r="E7196" s="106"/>
      <c r="F7196" s="106"/>
      <c r="G7196" s="9"/>
      <c r="H7196" s="106"/>
      <c r="I7196" s="106"/>
      <c r="J7196" s="106"/>
      <c r="K7196" s="106"/>
      <c r="L7196" s="109"/>
    </row>
    <row r="7197" spans="1:12">
      <c r="A7197" s="72"/>
      <c r="B7197" s="93"/>
      <c r="C7197" s="106"/>
      <c r="D7197" s="106"/>
      <c r="E7197" s="106"/>
      <c r="F7197" s="106"/>
      <c r="G7197" s="9"/>
      <c r="H7197" s="106"/>
      <c r="I7197" s="106"/>
      <c r="J7197" s="106"/>
      <c r="K7197" s="106"/>
      <c r="L7197" s="109"/>
    </row>
    <row r="7198" spans="1:12">
      <c r="A7198" s="72"/>
      <c r="B7198" s="93"/>
      <c r="C7198" s="106"/>
      <c r="D7198" s="106"/>
      <c r="E7198" s="106"/>
      <c r="F7198" s="106"/>
      <c r="G7198" s="9"/>
      <c r="H7198" s="106"/>
      <c r="I7198" s="106"/>
      <c r="J7198" s="106"/>
      <c r="K7198" s="106"/>
      <c r="L7198" s="109"/>
    </row>
    <row r="7199" spans="1:12">
      <c r="A7199" s="72"/>
      <c r="B7199" s="93"/>
      <c r="C7199" s="106"/>
      <c r="D7199" s="106"/>
      <c r="E7199" s="106"/>
      <c r="F7199" s="150"/>
      <c r="G7199" s="9"/>
      <c r="H7199" s="106"/>
      <c r="I7199" s="106"/>
      <c r="J7199" s="106"/>
      <c r="K7199" s="106"/>
      <c r="L7199" s="109"/>
    </row>
    <row r="7200" spans="1:12">
      <c r="A7200" s="72"/>
      <c r="B7200" s="93"/>
      <c r="C7200" s="106"/>
      <c r="D7200" s="106"/>
      <c r="E7200" s="106"/>
      <c r="F7200" s="93"/>
      <c r="G7200" s="9"/>
      <c r="H7200" s="106"/>
      <c r="I7200" s="106"/>
      <c r="J7200" s="106"/>
      <c r="K7200" s="106"/>
      <c r="L7200" s="134"/>
    </row>
    <row r="7201" spans="1:12">
      <c r="A7201" s="125"/>
      <c r="B7201" s="93"/>
      <c r="C7201" s="106"/>
      <c r="D7201" s="106"/>
      <c r="E7201" s="106"/>
      <c r="F7201" s="93"/>
      <c r="G7201" s="9"/>
      <c r="H7201" s="106"/>
      <c r="I7201" s="106"/>
      <c r="J7201" s="106"/>
      <c r="K7201" s="106"/>
      <c r="L7201" s="109"/>
    </row>
    <row r="7202" spans="1:12">
      <c r="A7202" s="125"/>
      <c r="B7202" s="93"/>
      <c r="C7202" s="106"/>
      <c r="D7202" s="106"/>
      <c r="E7202" s="106"/>
      <c r="F7202" s="106"/>
      <c r="G7202" s="9"/>
      <c r="H7202" s="106"/>
      <c r="I7202" s="106"/>
      <c r="J7202" s="106"/>
      <c r="K7202" s="106"/>
      <c r="L7202" s="109"/>
    </row>
    <row r="7203" spans="1:12">
      <c r="A7203" s="125"/>
      <c r="B7203" s="93"/>
      <c r="C7203" s="106"/>
      <c r="D7203" s="106"/>
      <c r="E7203" s="106"/>
      <c r="F7203" s="106"/>
      <c r="G7203" s="9"/>
      <c r="H7203" s="106"/>
      <c r="I7203" s="106"/>
      <c r="J7203" s="106"/>
      <c r="K7203" s="106"/>
      <c r="L7203" s="109"/>
    </row>
    <row r="7204" spans="1:12">
      <c r="A7204" s="72"/>
      <c r="B7204" s="93"/>
      <c r="C7204" s="106"/>
      <c r="D7204" s="106"/>
      <c r="E7204" s="106"/>
      <c r="F7204" s="106"/>
      <c r="G7204" s="9"/>
      <c r="H7204" s="106"/>
      <c r="I7204" s="106"/>
      <c r="J7204" s="106"/>
      <c r="K7204" s="106"/>
      <c r="L7204" s="109"/>
    </row>
    <row r="7205" spans="1:12">
      <c r="A7205" s="72"/>
      <c r="B7205" s="93"/>
      <c r="C7205" s="106"/>
      <c r="D7205" s="106"/>
      <c r="E7205" s="106"/>
      <c r="F7205" s="150"/>
      <c r="G7205" s="9"/>
      <c r="H7205" s="106"/>
      <c r="I7205" s="106"/>
      <c r="J7205" s="106"/>
      <c r="K7205" s="106"/>
      <c r="L7205" s="149"/>
    </row>
    <row r="7206" spans="1:12">
      <c r="A7206" s="72"/>
      <c r="B7206" s="93"/>
      <c r="C7206" s="106"/>
      <c r="D7206" s="106"/>
      <c r="E7206" s="106"/>
      <c r="F7206" s="106"/>
      <c r="G7206" s="9"/>
      <c r="H7206" s="106"/>
      <c r="I7206" s="106"/>
      <c r="J7206" s="106"/>
      <c r="K7206" s="106"/>
      <c r="L7206" s="109"/>
    </row>
    <row r="7207" spans="1:12">
      <c r="A7207" s="72"/>
      <c r="B7207" s="93"/>
      <c r="C7207" s="106"/>
      <c r="D7207" s="106"/>
      <c r="E7207" s="106"/>
      <c r="F7207" s="150"/>
      <c r="G7207" s="9"/>
      <c r="H7207" s="150"/>
      <c r="I7207" s="93"/>
      <c r="J7207" s="106"/>
      <c r="K7207" s="106"/>
      <c r="L7207" s="109"/>
    </row>
    <row r="7208" spans="1:12">
      <c r="A7208" s="72"/>
      <c r="B7208" s="93"/>
      <c r="C7208" s="106"/>
      <c r="D7208" s="106"/>
      <c r="E7208" s="194"/>
      <c r="F7208" s="106"/>
      <c r="G7208" s="9"/>
      <c r="H7208" s="195"/>
      <c r="I7208" s="93"/>
      <c r="J7208" s="106"/>
      <c r="K7208" s="106"/>
      <c r="L7208" s="109"/>
    </row>
    <row r="7209" spans="1:12">
      <c r="A7209" s="72"/>
      <c r="B7209" s="93"/>
      <c r="C7209" s="106"/>
      <c r="D7209" s="106"/>
      <c r="E7209" s="106"/>
      <c r="F7209" s="106"/>
      <c r="G7209" s="9"/>
      <c r="H7209" s="106"/>
      <c r="I7209" s="106"/>
      <c r="J7209" s="106"/>
      <c r="K7209" s="106"/>
      <c r="L7209" s="109"/>
    </row>
    <row r="7210" spans="1:12">
      <c r="A7210" s="72"/>
      <c r="B7210" s="93"/>
      <c r="C7210" s="106"/>
      <c r="D7210" s="106"/>
      <c r="E7210" s="106"/>
      <c r="F7210" s="106"/>
      <c r="G7210" s="9"/>
      <c r="H7210" s="106"/>
      <c r="I7210" s="106"/>
      <c r="J7210" s="106"/>
      <c r="K7210" s="106"/>
      <c r="L7210" s="109"/>
    </row>
    <row r="7211" spans="1:12">
      <c r="A7211" s="72"/>
      <c r="B7211" s="147"/>
      <c r="C7211" s="111"/>
      <c r="D7211" s="111"/>
      <c r="E7211" s="111"/>
      <c r="F7211" s="111"/>
      <c r="G7211" s="9"/>
      <c r="H7211" s="111"/>
      <c r="I7211" s="111"/>
      <c r="J7211" s="111"/>
      <c r="K7211" s="111"/>
      <c r="L7211" s="114"/>
    </row>
    <row r="7212" spans="1:12">
      <c r="A7212" s="72"/>
      <c r="B7212" s="93"/>
      <c r="C7212" s="106"/>
      <c r="D7212" s="106"/>
      <c r="E7212" s="106"/>
      <c r="F7212" s="106"/>
      <c r="G7212" s="9"/>
      <c r="H7212" s="106"/>
      <c r="I7212" s="106"/>
      <c r="J7212" s="106"/>
      <c r="K7212" s="106"/>
      <c r="L7212" s="109"/>
    </row>
    <row r="7213" spans="1:12">
      <c r="A7213" s="72"/>
      <c r="B7213" s="93"/>
      <c r="C7213" s="106"/>
      <c r="D7213" s="106"/>
      <c r="E7213" s="106"/>
      <c r="F7213" s="106"/>
      <c r="G7213" s="9"/>
      <c r="H7213" s="106"/>
      <c r="I7213" s="106"/>
      <c r="J7213" s="106"/>
      <c r="K7213" s="106"/>
      <c r="L7213" s="109"/>
    </row>
    <row r="7214" spans="1:12">
      <c r="A7214" s="72"/>
      <c r="B7214" s="147"/>
      <c r="C7214" s="111"/>
      <c r="D7214" s="111"/>
      <c r="E7214" s="111"/>
      <c r="F7214" s="111"/>
      <c r="G7214" s="9"/>
      <c r="H7214" s="111"/>
      <c r="I7214" s="111"/>
      <c r="J7214" s="111"/>
      <c r="K7214" s="111"/>
      <c r="L7214" s="114"/>
    </row>
    <row r="7215" spans="1:12">
      <c r="A7215" s="72"/>
      <c r="B7215" s="93"/>
      <c r="C7215" s="106"/>
      <c r="D7215" s="106"/>
      <c r="E7215" s="106"/>
      <c r="F7215" s="106"/>
      <c r="G7215" s="9"/>
      <c r="H7215" s="106"/>
      <c r="I7215" s="106"/>
      <c r="J7215" s="106"/>
      <c r="K7215" s="106"/>
      <c r="L7215" s="109"/>
    </row>
    <row r="7216" spans="1:12">
      <c r="A7216" s="72"/>
      <c r="B7216" s="93"/>
      <c r="C7216" s="106"/>
      <c r="D7216" s="106"/>
      <c r="E7216" s="106"/>
      <c r="F7216" s="106"/>
      <c r="G7216" s="9"/>
      <c r="H7216" s="106"/>
      <c r="I7216" s="106"/>
      <c r="J7216" s="106"/>
      <c r="K7216" s="106"/>
      <c r="L7216" s="109"/>
    </row>
    <row r="7217" spans="1:12">
      <c r="A7217" s="72"/>
      <c r="B7217" s="93"/>
      <c r="C7217" s="106"/>
      <c r="D7217" s="106"/>
      <c r="E7217" s="106"/>
      <c r="F7217" s="106"/>
      <c r="G7217" s="9"/>
      <c r="H7217" s="106"/>
      <c r="I7217" s="106"/>
      <c r="J7217" s="106"/>
      <c r="K7217" s="106"/>
      <c r="L7217" s="109"/>
    </row>
    <row r="7218" spans="1:12">
      <c r="A7218" s="72"/>
      <c r="B7218" s="93"/>
      <c r="C7218" s="106"/>
      <c r="D7218" s="106"/>
      <c r="E7218" s="106"/>
      <c r="F7218" s="106"/>
      <c r="G7218" s="9"/>
      <c r="H7218" s="106"/>
      <c r="I7218" s="106"/>
      <c r="J7218" s="106"/>
      <c r="K7218" s="106"/>
      <c r="L7218" s="109"/>
    </row>
    <row r="7219" spans="1:12">
      <c r="A7219" s="72"/>
      <c r="B7219" s="93"/>
      <c r="C7219" s="106"/>
      <c r="D7219" s="106"/>
      <c r="E7219" s="106"/>
      <c r="F7219" s="106"/>
      <c r="G7219" s="9"/>
      <c r="H7219" s="106"/>
      <c r="I7219" s="106"/>
      <c r="J7219" s="106"/>
      <c r="K7219" s="106"/>
      <c r="L7219" s="109"/>
    </row>
    <row r="7220" spans="1:12">
      <c r="A7220" s="72"/>
      <c r="B7220" s="93"/>
      <c r="C7220" s="106"/>
      <c r="D7220" s="106"/>
      <c r="E7220" s="106"/>
      <c r="F7220" s="106"/>
      <c r="G7220" s="9"/>
      <c r="H7220" s="106"/>
      <c r="I7220" s="106"/>
      <c r="J7220" s="106"/>
      <c r="K7220" s="106"/>
      <c r="L7220" s="109"/>
    </row>
    <row r="7221" spans="1:12">
      <c r="A7221" s="72"/>
      <c r="B7221" s="93"/>
      <c r="C7221" s="106"/>
      <c r="D7221" s="106"/>
      <c r="E7221" s="106"/>
      <c r="F7221" s="106"/>
      <c r="G7221" s="9"/>
      <c r="H7221" s="106"/>
      <c r="I7221" s="131"/>
      <c r="J7221" s="106"/>
      <c r="K7221" s="106"/>
      <c r="L7221" s="109"/>
    </row>
    <row r="7222" spans="1:12">
      <c r="A7222" s="72"/>
      <c r="B7222" s="93"/>
      <c r="C7222" s="106"/>
      <c r="D7222" s="106"/>
      <c r="E7222" s="106"/>
      <c r="F7222" s="106"/>
      <c r="G7222" s="9"/>
      <c r="H7222" s="106"/>
      <c r="I7222" s="131"/>
      <c r="J7222" s="106"/>
      <c r="K7222" s="106"/>
      <c r="L7222" s="109"/>
    </row>
    <row r="7223" spans="1:12">
      <c r="A7223" s="72"/>
      <c r="B7223" s="93"/>
      <c r="C7223" s="106"/>
      <c r="D7223" s="106"/>
      <c r="E7223" s="106"/>
      <c r="F7223" s="106"/>
      <c r="G7223" s="9"/>
      <c r="H7223" s="106"/>
      <c r="I7223" s="131"/>
      <c r="J7223" s="106"/>
      <c r="K7223" s="106"/>
      <c r="L7223" s="109"/>
    </row>
    <row r="7224" spans="1:12">
      <c r="A7224" s="72"/>
      <c r="B7224" s="93"/>
      <c r="C7224" s="106"/>
      <c r="D7224" s="106"/>
      <c r="E7224" s="106"/>
      <c r="F7224" s="106"/>
      <c r="G7224" s="9"/>
      <c r="H7224" s="106"/>
      <c r="I7224" s="131"/>
      <c r="J7224" s="106"/>
      <c r="K7224" s="106"/>
      <c r="L7224" s="109"/>
    </row>
    <row r="7225" spans="1:12">
      <c r="A7225" s="72"/>
      <c r="B7225" s="93"/>
      <c r="C7225" s="106"/>
      <c r="D7225" s="106"/>
      <c r="E7225" s="106"/>
      <c r="F7225" s="106"/>
      <c r="G7225" s="9"/>
      <c r="H7225" s="106"/>
      <c r="I7225" s="131"/>
      <c r="J7225" s="106"/>
      <c r="K7225" s="106"/>
      <c r="L7225" s="109"/>
    </row>
    <row r="7226" spans="1:12">
      <c r="A7226" s="72"/>
      <c r="B7226" s="93"/>
      <c r="C7226" s="106"/>
      <c r="D7226" s="106"/>
      <c r="E7226" s="106"/>
      <c r="F7226" s="106"/>
      <c r="G7226" s="9"/>
      <c r="H7226" s="106"/>
      <c r="I7226" s="106"/>
      <c r="J7226" s="106"/>
      <c r="K7226" s="106"/>
      <c r="L7226" s="109"/>
    </row>
    <row r="7227" spans="1:12">
      <c r="A7227" s="72"/>
      <c r="B7227" s="105"/>
      <c r="C7227" s="106"/>
      <c r="D7227" s="106"/>
      <c r="E7227" s="106"/>
      <c r="F7227" s="106"/>
      <c r="G7227" s="9"/>
      <c r="H7227" s="106"/>
      <c r="I7227" s="106"/>
      <c r="J7227" s="106"/>
      <c r="K7227" s="106"/>
      <c r="L7227" s="109"/>
    </row>
    <row r="7228" spans="1:12">
      <c r="A7228" s="72"/>
      <c r="B7228" s="105"/>
      <c r="C7228" s="106"/>
      <c r="D7228" s="106"/>
      <c r="E7228" s="106"/>
      <c r="F7228" s="106"/>
      <c r="G7228" s="9"/>
      <c r="H7228" s="106"/>
      <c r="I7228" s="106"/>
      <c r="J7228" s="106"/>
      <c r="K7228" s="106"/>
      <c r="L7228" s="109"/>
    </row>
    <row r="7229" spans="1:12">
      <c r="A7229" s="72"/>
      <c r="B7229" s="105"/>
      <c r="C7229" s="106"/>
      <c r="D7229" s="106"/>
      <c r="E7229" s="106"/>
      <c r="F7229" s="106"/>
      <c r="G7229" s="9"/>
      <c r="H7229" s="106"/>
      <c r="I7229" s="106"/>
      <c r="J7229" s="106"/>
      <c r="K7229" s="106"/>
      <c r="L7229" s="109"/>
    </row>
    <row r="7230" spans="1:12">
      <c r="A7230" s="72"/>
      <c r="B7230" s="105"/>
      <c r="C7230" s="106"/>
      <c r="D7230" s="106"/>
      <c r="E7230" s="106"/>
      <c r="F7230" s="106"/>
      <c r="G7230" s="9"/>
      <c r="H7230" s="106"/>
      <c r="I7230" s="106"/>
      <c r="J7230" s="106"/>
      <c r="K7230" s="106"/>
      <c r="L7230" s="109"/>
    </row>
    <row r="7231" spans="1:12">
      <c r="A7231" s="72"/>
      <c r="B7231" s="105"/>
      <c r="C7231" s="106"/>
      <c r="D7231" s="106"/>
      <c r="E7231" s="106"/>
      <c r="F7231" s="106"/>
      <c r="G7231" s="9"/>
      <c r="H7231" s="106"/>
      <c r="I7231" s="106"/>
      <c r="J7231" s="106"/>
      <c r="K7231" s="106"/>
      <c r="L7231" s="109"/>
    </row>
    <row r="7232" spans="1:12">
      <c r="A7232" s="72"/>
      <c r="B7232" s="105"/>
      <c r="C7232" s="175"/>
      <c r="D7232" s="106"/>
      <c r="E7232" s="106"/>
      <c r="F7232" s="106"/>
      <c r="G7232" s="9"/>
      <c r="H7232" s="106"/>
      <c r="I7232" s="106"/>
      <c r="J7232" s="106"/>
      <c r="K7232" s="106"/>
      <c r="L7232" s="109"/>
    </row>
    <row r="7233" spans="1:12">
      <c r="A7233" s="72"/>
      <c r="B7233" s="105"/>
      <c r="C7233" s="106"/>
      <c r="D7233" s="106"/>
      <c r="E7233" s="106"/>
      <c r="F7233" s="106"/>
      <c r="G7233" s="9"/>
      <c r="H7233" s="106"/>
      <c r="I7233" s="106"/>
      <c r="J7233" s="106"/>
      <c r="K7233" s="106"/>
      <c r="L7233" s="109"/>
    </row>
    <row r="7234" spans="1:12">
      <c r="A7234" s="72"/>
      <c r="B7234" s="93"/>
      <c r="C7234" s="106"/>
      <c r="D7234" s="106"/>
      <c r="E7234" s="106"/>
      <c r="F7234" s="106"/>
      <c r="G7234" s="9"/>
      <c r="H7234" s="106"/>
      <c r="I7234" s="106"/>
      <c r="J7234" s="106"/>
      <c r="K7234" s="106"/>
      <c r="L7234" s="109"/>
    </row>
    <row r="7235" spans="1:12">
      <c r="A7235" s="72"/>
      <c r="B7235" s="93"/>
      <c r="C7235" s="106"/>
      <c r="D7235" s="106"/>
      <c r="E7235" s="106"/>
      <c r="F7235" s="106"/>
      <c r="G7235" s="9"/>
      <c r="H7235" s="106"/>
      <c r="I7235" s="106"/>
      <c r="J7235" s="106"/>
      <c r="K7235" s="106"/>
      <c r="L7235" s="109"/>
    </row>
    <row r="7236" spans="1:12">
      <c r="A7236" s="72"/>
      <c r="B7236" s="196"/>
      <c r="C7236" s="157"/>
      <c r="D7236" s="197"/>
      <c r="E7236" s="105"/>
      <c r="F7236" s="159"/>
      <c r="G7236" s="9"/>
      <c r="H7236" s="159"/>
      <c r="I7236" s="159"/>
      <c r="J7236" s="159"/>
      <c r="K7236" s="198"/>
      <c r="L7236" s="160"/>
    </row>
    <row r="7237" spans="1:12">
      <c r="A7237" s="72"/>
      <c r="B7237" s="196"/>
      <c r="C7237" s="157"/>
      <c r="D7237" s="197"/>
      <c r="E7237" s="105"/>
      <c r="F7237" s="159"/>
      <c r="G7237" s="9"/>
      <c r="H7237" s="159"/>
      <c r="I7237" s="159"/>
      <c r="J7237" s="159"/>
      <c r="K7237" s="198"/>
      <c r="L7237" s="160"/>
    </row>
    <row r="7238" spans="1:12">
      <c r="A7238" s="72"/>
      <c r="B7238" s="196"/>
      <c r="C7238" s="157"/>
      <c r="D7238" s="197"/>
      <c r="E7238" s="93"/>
      <c r="F7238" s="106"/>
      <c r="G7238" s="9"/>
      <c r="H7238" s="159"/>
      <c r="I7238" s="159"/>
      <c r="J7238" s="159"/>
      <c r="K7238" s="198"/>
      <c r="L7238" s="160"/>
    </row>
    <row r="7239" spans="1:12">
      <c r="A7239" s="72"/>
      <c r="B7239" s="156"/>
      <c r="C7239" s="157"/>
      <c r="D7239" s="197"/>
      <c r="E7239" s="93"/>
      <c r="F7239" s="106"/>
      <c r="G7239" s="9"/>
      <c r="H7239" s="159"/>
      <c r="I7239" s="159"/>
      <c r="J7239" s="159"/>
      <c r="K7239" s="198"/>
      <c r="L7239" s="160"/>
    </row>
    <row r="7240" spans="1:12">
      <c r="A7240" s="72"/>
      <c r="B7240" s="196"/>
      <c r="C7240" s="157"/>
      <c r="D7240" s="197"/>
      <c r="E7240" s="93"/>
      <c r="F7240" s="159"/>
      <c r="G7240" s="9"/>
      <c r="H7240" s="159"/>
      <c r="I7240" s="159"/>
      <c r="J7240" s="159"/>
      <c r="K7240" s="198"/>
      <c r="L7240" s="160"/>
    </row>
    <row r="7241" spans="1:12">
      <c r="A7241" s="72"/>
      <c r="B7241" s="196"/>
      <c r="C7241" s="157"/>
      <c r="D7241" s="197"/>
      <c r="E7241" s="93"/>
      <c r="F7241" s="159"/>
      <c r="G7241" s="9"/>
      <c r="H7241" s="159"/>
      <c r="I7241" s="159"/>
      <c r="J7241" s="159"/>
      <c r="K7241" s="198"/>
      <c r="L7241" s="160"/>
    </row>
    <row r="7242" spans="1:12">
      <c r="A7242" s="72"/>
      <c r="B7242" s="196"/>
      <c r="C7242" s="157"/>
      <c r="D7242" s="197"/>
      <c r="E7242" s="93"/>
      <c r="F7242" s="159"/>
      <c r="G7242" s="9"/>
      <c r="H7242" s="159"/>
      <c r="I7242" s="159"/>
      <c r="J7242" s="159"/>
      <c r="K7242" s="198"/>
      <c r="L7242" s="160"/>
    </row>
    <row r="7243" spans="1:12">
      <c r="A7243" s="72"/>
      <c r="B7243" s="196"/>
      <c r="C7243" s="159"/>
      <c r="D7243" s="199"/>
      <c r="E7243" s="196"/>
      <c r="F7243" s="166"/>
      <c r="G7243" s="9"/>
      <c r="H7243" s="159"/>
      <c r="I7243" s="159"/>
      <c r="J7243" s="159"/>
      <c r="K7243" s="198"/>
      <c r="L7243" s="193"/>
    </row>
    <row r="7244" spans="1:12">
      <c r="A7244" s="72"/>
      <c r="B7244" s="196"/>
      <c r="C7244" s="200"/>
      <c r="D7244" s="199"/>
      <c r="E7244" s="93"/>
      <c r="F7244" s="106"/>
      <c r="G7244" s="9"/>
      <c r="H7244" s="159"/>
      <c r="I7244" s="159"/>
      <c r="J7244" s="159"/>
      <c r="K7244" s="198"/>
      <c r="L7244" s="193"/>
    </row>
    <row r="7245" spans="1:12">
      <c r="A7245" s="72"/>
      <c r="B7245" s="196"/>
      <c r="C7245" s="159"/>
      <c r="D7245" s="199"/>
      <c r="E7245" s="93"/>
      <c r="F7245" s="106"/>
      <c r="G7245" s="9"/>
      <c r="H7245" s="178"/>
      <c r="I7245" s="196"/>
      <c r="J7245" s="159"/>
      <c r="K7245" s="198"/>
      <c r="L7245" s="193"/>
    </row>
    <row r="7246" spans="1:12">
      <c r="A7246" s="72"/>
      <c r="B7246" s="147"/>
      <c r="C7246" s="111"/>
      <c r="D7246" s="112"/>
      <c r="E7246" s="111"/>
      <c r="F7246" s="111"/>
      <c r="G7246" s="9"/>
      <c r="H7246" s="164"/>
      <c r="I7246" s="164"/>
      <c r="J7246" s="164"/>
      <c r="K7246" s="93"/>
      <c r="L7246" s="153"/>
    </row>
    <row r="7247" spans="1:12">
      <c r="A7247" s="72"/>
      <c r="B7247" s="147"/>
      <c r="C7247" s="111"/>
      <c r="D7247" s="112"/>
      <c r="E7247" s="111"/>
      <c r="F7247" s="111"/>
      <c r="G7247" s="9"/>
      <c r="H7247" s="164"/>
      <c r="I7247" s="164"/>
      <c r="J7247" s="164"/>
      <c r="K7247" s="147"/>
      <c r="L7247" s="154"/>
    </row>
    <row r="7248" spans="1:12">
      <c r="A7248" s="72"/>
      <c r="B7248" s="93"/>
      <c r="C7248" s="106"/>
      <c r="D7248" s="107"/>
      <c r="E7248" s="106"/>
      <c r="F7248" s="106"/>
      <c r="G7248" s="9"/>
      <c r="H7248" s="106"/>
      <c r="I7248" s="106"/>
      <c r="J7248" s="157"/>
      <c r="K7248" s="93"/>
      <c r="L7248" s="153"/>
    </row>
    <row r="7249" spans="1:12">
      <c r="A7249" s="72"/>
      <c r="B7249" s="147"/>
      <c r="C7249" s="111"/>
      <c r="D7249" s="107"/>
      <c r="E7249" s="111"/>
      <c r="F7249" s="111"/>
      <c r="G7249" s="9"/>
      <c r="H7249" s="111"/>
      <c r="I7249" s="111"/>
      <c r="J7249" s="164"/>
      <c r="K7249" s="147"/>
      <c r="L7249" s="154"/>
    </row>
    <row r="7250" spans="1:12">
      <c r="A7250" s="72"/>
      <c r="B7250" s="93"/>
      <c r="C7250" s="106"/>
      <c r="D7250" s="107"/>
      <c r="E7250" s="106"/>
      <c r="F7250" s="106"/>
      <c r="G7250" s="9"/>
      <c r="H7250" s="106"/>
      <c r="I7250" s="106"/>
      <c r="J7250" s="157"/>
      <c r="K7250" s="93"/>
      <c r="L7250" s="153"/>
    </row>
    <row r="7251" spans="1:12">
      <c r="A7251" s="72"/>
      <c r="B7251" s="147"/>
      <c r="C7251" s="111"/>
      <c r="D7251" s="112"/>
      <c r="E7251" s="111"/>
      <c r="F7251" s="111"/>
      <c r="G7251" s="9"/>
      <c r="H7251" s="111"/>
      <c r="I7251" s="111"/>
      <c r="J7251" s="164"/>
      <c r="K7251" s="147"/>
      <c r="L7251" s="154"/>
    </row>
    <row r="7252" spans="1:12">
      <c r="A7252" s="72"/>
      <c r="B7252" s="93"/>
      <c r="C7252" s="106"/>
      <c r="D7252" s="107"/>
      <c r="E7252" s="106"/>
      <c r="F7252" s="106"/>
      <c r="G7252" s="9"/>
      <c r="H7252" s="106"/>
      <c r="I7252" s="106"/>
      <c r="J7252" s="157"/>
      <c r="K7252" s="93"/>
      <c r="L7252" s="153"/>
    </row>
    <row r="7253" spans="1:12">
      <c r="A7253" s="72"/>
      <c r="B7253" s="147"/>
      <c r="C7253" s="111"/>
      <c r="D7253" s="112"/>
      <c r="E7253" s="111"/>
      <c r="F7253" s="111"/>
      <c r="G7253" s="9"/>
      <c r="H7253" s="111"/>
      <c r="I7253" s="111"/>
      <c r="J7253" s="164"/>
      <c r="K7253" s="147"/>
      <c r="L7253" s="154"/>
    </row>
    <row r="7254" spans="1:12">
      <c r="A7254" s="72"/>
      <c r="B7254" s="93"/>
      <c r="C7254" s="106"/>
      <c r="D7254" s="107"/>
      <c r="E7254" s="106"/>
      <c r="F7254" s="106"/>
      <c r="G7254" s="9"/>
      <c r="H7254" s="157"/>
      <c r="I7254" s="157"/>
      <c r="J7254" s="157"/>
      <c r="K7254" s="93"/>
      <c r="L7254" s="153"/>
    </row>
    <row r="7255" spans="1:12">
      <c r="A7255" s="72"/>
      <c r="B7255" s="147"/>
      <c r="C7255" s="111"/>
      <c r="D7255" s="107"/>
      <c r="E7255" s="111"/>
      <c r="F7255" s="111"/>
      <c r="G7255" s="9"/>
      <c r="H7255" s="164"/>
      <c r="I7255" s="164"/>
      <c r="J7255" s="164"/>
      <c r="K7255" s="147"/>
      <c r="L7255" s="154"/>
    </row>
    <row r="7256" spans="1:12">
      <c r="A7256" s="72"/>
      <c r="B7256" s="93"/>
      <c r="C7256" s="106"/>
      <c r="D7256" s="107"/>
      <c r="E7256" s="106"/>
      <c r="F7256" s="106"/>
      <c r="G7256" s="9"/>
      <c r="H7256" s="157"/>
      <c r="I7256" s="157"/>
      <c r="J7256" s="157"/>
      <c r="K7256" s="93"/>
      <c r="L7256" s="201"/>
    </row>
    <row r="7257" spans="1:12">
      <c r="A7257" s="72"/>
      <c r="B7257" s="93"/>
      <c r="C7257" s="106"/>
      <c r="D7257" s="106"/>
      <c r="E7257" s="106"/>
      <c r="F7257" s="106"/>
      <c r="G7257" s="9"/>
      <c r="H7257" s="106"/>
      <c r="I7257" s="106"/>
      <c r="J7257" s="106"/>
      <c r="K7257" s="106"/>
      <c r="L7257" s="109"/>
    </row>
    <row r="7258" spans="1:12">
      <c r="A7258" s="72"/>
      <c r="B7258" s="147"/>
      <c r="C7258" s="111"/>
      <c r="D7258" s="111"/>
      <c r="E7258" s="111"/>
      <c r="F7258" s="111"/>
      <c r="G7258" s="9"/>
      <c r="H7258" s="111"/>
      <c r="I7258" s="111"/>
      <c r="J7258" s="111"/>
      <c r="K7258" s="111"/>
      <c r="L7258" s="114"/>
    </row>
    <row r="7259" spans="1:12">
      <c r="A7259" s="72"/>
      <c r="B7259" s="93"/>
      <c r="C7259" s="106"/>
      <c r="D7259" s="106"/>
      <c r="E7259" s="106"/>
      <c r="F7259" s="106"/>
      <c r="G7259" s="9"/>
      <c r="H7259" s="106"/>
      <c r="I7259" s="106"/>
      <c r="J7259" s="106"/>
      <c r="K7259" s="106"/>
      <c r="L7259" s="109"/>
    </row>
    <row r="7260" spans="1:12">
      <c r="A7260" s="72"/>
      <c r="B7260" s="147"/>
      <c r="C7260" s="111"/>
      <c r="D7260" s="111"/>
      <c r="E7260" s="111"/>
      <c r="F7260" s="111"/>
      <c r="G7260" s="9"/>
      <c r="H7260" s="111"/>
      <c r="I7260" s="111"/>
      <c r="J7260" s="111"/>
      <c r="K7260" s="111"/>
      <c r="L7260" s="114"/>
    </row>
    <row r="7261" spans="1:12">
      <c r="A7261" s="72"/>
      <c r="B7261" s="93"/>
      <c r="C7261" s="106"/>
      <c r="D7261" s="106"/>
      <c r="E7261" s="106"/>
      <c r="F7261" s="106"/>
      <c r="G7261" s="9"/>
      <c r="H7261" s="106"/>
      <c r="I7261" s="106"/>
      <c r="J7261" s="106"/>
      <c r="K7261" s="106"/>
      <c r="L7261" s="109"/>
    </row>
    <row r="7262" spans="1:12">
      <c r="A7262" s="72"/>
      <c r="B7262" s="147"/>
      <c r="C7262" s="111"/>
      <c r="D7262" s="111"/>
      <c r="E7262" s="111"/>
      <c r="F7262" s="111"/>
      <c r="G7262" s="9"/>
      <c r="H7262" s="111"/>
      <c r="I7262" s="111"/>
      <c r="J7262" s="111"/>
      <c r="K7262" s="111"/>
      <c r="L7262" s="109"/>
    </row>
    <row r="7263" spans="1:12">
      <c r="A7263" s="72"/>
      <c r="B7263" s="93"/>
      <c r="C7263" s="106"/>
      <c r="D7263" s="106"/>
      <c r="E7263" s="93"/>
      <c r="F7263" s="106"/>
      <c r="G7263" s="9"/>
      <c r="H7263" s="106"/>
      <c r="I7263" s="106"/>
      <c r="J7263" s="106"/>
      <c r="K7263" s="106"/>
      <c r="L7263" s="109"/>
    </row>
    <row r="7264" spans="1:12">
      <c r="A7264" s="72"/>
      <c r="B7264" s="147"/>
      <c r="C7264" s="106"/>
      <c r="D7264" s="111"/>
      <c r="E7264" s="93"/>
      <c r="F7264" s="106"/>
      <c r="G7264" s="9"/>
      <c r="H7264" s="106"/>
      <c r="I7264" s="111"/>
      <c r="J7264" s="111"/>
      <c r="K7264" s="111"/>
      <c r="L7264" s="114"/>
    </row>
    <row r="7265" spans="1:12">
      <c r="A7265" s="72"/>
      <c r="B7265" s="147"/>
      <c r="C7265" s="106"/>
      <c r="D7265" s="111"/>
      <c r="E7265" s="93"/>
      <c r="F7265" s="106"/>
      <c r="G7265" s="9"/>
      <c r="H7265" s="106"/>
      <c r="I7265" s="111"/>
      <c r="J7265" s="111"/>
      <c r="K7265" s="111"/>
      <c r="L7265" s="114"/>
    </row>
    <row r="7266" spans="1:12">
      <c r="A7266" s="202"/>
      <c r="B7266" s="106"/>
      <c r="C7266" s="106"/>
      <c r="D7266" s="106"/>
      <c r="E7266" s="106"/>
      <c r="F7266" s="106"/>
      <c r="G7266" s="9"/>
      <c r="H7266" s="106"/>
      <c r="I7266" s="106"/>
      <c r="J7266" s="106"/>
      <c r="K7266" s="106"/>
      <c r="L7266" s="109"/>
    </row>
    <row r="7267" spans="1:12">
      <c r="A7267" s="203"/>
      <c r="B7267" s="111"/>
      <c r="C7267" s="111"/>
      <c r="D7267" s="111"/>
      <c r="E7267" s="111"/>
      <c r="F7267" s="111"/>
      <c r="G7267" s="9"/>
      <c r="H7267" s="111"/>
      <c r="I7267" s="111"/>
      <c r="J7267" s="111"/>
      <c r="K7267" s="111"/>
      <c r="L7267" s="114"/>
    </row>
    <row r="7268" spans="1:12">
      <c r="A7268" s="203"/>
      <c r="B7268" s="111"/>
      <c r="C7268" s="111"/>
      <c r="D7268" s="111"/>
      <c r="E7268" s="111"/>
      <c r="F7268" s="111"/>
      <c r="G7268" s="9"/>
      <c r="H7268" s="111"/>
      <c r="I7268" s="111"/>
      <c r="J7268" s="111"/>
      <c r="K7268" s="111"/>
      <c r="L7268" s="114"/>
    </row>
    <row r="7269" spans="1:12">
      <c r="A7269" s="72"/>
      <c r="B7269" s="93"/>
      <c r="C7269" s="106"/>
      <c r="D7269" s="106"/>
      <c r="E7269" s="106"/>
      <c r="F7269" s="106"/>
      <c r="G7269" s="9"/>
      <c r="H7269" s="106"/>
      <c r="I7269" s="106"/>
      <c r="J7269" s="106"/>
      <c r="K7269" s="106"/>
      <c r="L7269" s="204"/>
    </row>
    <row r="7270" spans="1:12">
      <c r="A7270" s="72"/>
      <c r="B7270" s="147"/>
      <c r="C7270" s="111"/>
      <c r="D7270" s="106"/>
      <c r="E7270" s="111"/>
      <c r="F7270" s="111"/>
      <c r="G7270" s="9"/>
      <c r="H7270" s="111"/>
      <c r="I7270" s="111"/>
      <c r="J7270" s="111"/>
      <c r="K7270" s="111"/>
      <c r="L7270" s="204"/>
    </row>
    <row r="7271" spans="1:12">
      <c r="A7271" s="72"/>
      <c r="B7271" s="93"/>
      <c r="C7271" s="106"/>
      <c r="D7271" s="106"/>
      <c r="E7271" s="106"/>
      <c r="F7271" s="137"/>
      <c r="G7271" s="9"/>
      <c r="H7271" s="106"/>
      <c r="I7271" s="106"/>
      <c r="J7271" s="106"/>
      <c r="K7271" s="137"/>
      <c r="L7271" s="109"/>
    </row>
    <row r="7272" spans="1:12">
      <c r="A7272" s="72"/>
      <c r="B7272" s="93"/>
      <c r="C7272" s="106"/>
      <c r="D7272" s="106"/>
      <c r="E7272" s="106"/>
      <c r="F7272" s="108"/>
      <c r="G7272" s="9"/>
      <c r="H7272" s="106"/>
      <c r="I7272" s="106"/>
      <c r="J7272" s="106"/>
      <c r="K7272" s="106"/>
      <c r="L7272" s="109"/>
    </row>
    <row r="7273" spans="1:12">
      <c r="A7273" s="72"/>
      <c r="B7273" s="93"/>
      <c r="C7273" s="106"/>
      <c r="D7273" s="106"/>
      <c r="E7273" s="106"/>
      <c r="F7273" s="106"/>
      <c r="G7273" s="9"/>
      <c r="H7273" s="106"/>
      <c r="I7273" s="106"/>
      <c r="J7273" s="106"/>
      <c r="K7273" s="106"/>
      <c r="L7273" s="109"/>
    </row>
    <row r="7274" spans="1:12">
      <c r="A7274" s="72"/>
      <c r="B7274" s="93"/>
      <c r="C7274" s="106"/>
      <c r="D7274" s="106"/>
      <c r="E7274" s="106"/>
      <c r="F7274" s="106"/>
      <c r="G7274" s="9"/>
      <c r="H7274" s="106"/>
      <c r="I7274" s="106"/>
      <c r="J7274" s="106"/>
      <c r="K7274" s="106"/>
      <c r="L7274" s="109"/>
    </row>
    <row r="7275" spans="1:12">
      <c r="A7275" s="72"/>
      <c r="B7275" s="93"/>
      <c r="C7275" s="106"/>
      <c r="D7275" s="106"/>
      <c r="E7275" s="106"/>
      <c r="F7275" s="106"/>
      <c r="G7275" s="9"/>
      <c r="H7275" s="106"/>
      <c r="I7275" s="106"/>
      <c r="J7275" s="106"/>
      <c r="K7275" s="106"/>
      <c r="L7275" s="132"/>
    </row>
    <row r="7276" spans="1:12">
      <c r="A7276" s="72"/>
      <c r="B7276" s="93"/>
      <c r="C7276" s="106"/>
      <c r="D7276" s="106"/>
      <c r="E7276" s="106"/>
      <c r="F7276" s="106"/>
      <c r="G7276" s="9"/>
      <c r="H7276" s="106"/>
      <c r="I7276" s="106"/>
      <c r="J7276" s="106"/>
      <c r="K7276" s="106"/>
      <c r="L7276" s="109"/>
    </row>
    <row r="7277" spans="1:12">
      <c r="A7277" s="72"/>
      <c r="B7277" s="93"/>
      <c r="C7277" s="106"/>
      <c r="D7277" s="106"/>
      <c r="E7277" s="106"/>
      <c r="F7277" s="106"/>
      <c r="G7277" s="9"/>
      <c r="H7277" s="106"/>
      <c r="I7277" s="106"/>
      <c r="J7277" s="106"/>
      <c r="K7277" s="106"/>
      <c r="L7277" s="132"/>
    </row>
    <row r="7278" spans="1:12">
      <c r="A7278" s="72"/>
      <c r="B7278" s="93"/>
      <c r="C7278" s="106"/>
      <c r="D7278" s="106"/>
      <c r="E7278" s="106"/>
      <c r="F7278" s="106"/>
      <c r="G7278" s="9"/>
      <c r="H7278" s="106"/>
      <c r="I7278" s="106"/>
      <c r="J7278" s="106"/>
      <c r="K7278" s="106"/>
      <c r="L7278" s="109"/>
    </row>
    <row r="7279" spans="1:12">
      <c r="A7279" s="72"/>
      <c r="B7279" s="147"/>
      <c r="C7279" s="111"/>
      <c r="D7279" s="106"/>
      <c r="E7279" s="111"/>
      <c r="F7279" s="111"/>
      <c r="G7279" s="9"/>
      <c r="H7279" s="111"/>
      <c r="I7279" s="111"/>
      <c r="J7279" s="111"/>
      <c r="K7279" s="111"/>
      <c r="L7279" s="114"/>
    </row>
    <row r="7280" spans="1:12">
      <c r="A7280" s="72"/>
      <c r="B7280" s="147"/>
      <c r="C7280" s="111"/>
      <c r="D7280" s="106"/>
      <c r="E7280" s="111"/>
      <c r="F7280" s="111"/>
      <c r="G7280" s="9"/>
      <c r="H7280" s="111"/>
      <c r="I7280" s="111"/>
      <c r="J7280" s="111"/>
      <c r="K7280" s="111"/>
      <c r="L7280" s="114"/>
    </row>
    <row r="7281" spans="1:12">
      <c r="A7281" s="72"/>
      <c r="B7281" s="93"/>
      <c r="C7281" s="106"/>
      <c r="D7281" s="106"/>
      <c r="E7281" s="106"/>
      <c r="F7281" s="106"/>
      <c r="G7281" s="9"/>
      <c r="H7281" s="106"/>
      <c r="I7281" s="106"/>
      <c r="J7281" s="106"/>
      <c r="K7281" s="106"/>
      <c r="L7281" s="109"/>
    </row>
    <row r="7282" spans="1:12">
      <c r="A7282" s="72"/>
      <c r="B7282" s="162"/>
      <c r="C7282" s="131"/>
      <c r="D7282" s="131"/>
      <c r="E7282" s="131"/>
      <c r="F7282" s="131"/>
      <c r="G7282" s="9"/>
      <c r="H7282" s="131"/>
      <c r="I7282" s="131"/>
      <c r="J7282" s="131"/>
      <c r="K7282" s="131"/>
      <c r="L7282" s="184"/>
    </row>
    <row r="7283" spans="1:12">
      <c r="A7283" s="72"/>
      <c r="B7283" s="93"/>
      <c r="C7283" s="106"/>
      <c r="D7283" s="106"/>
      <c r="E7283" s="106"/>
      <c r="F7283" s="106"/>
      <c r="G7283" s="9"/>
      <c r="H7283" s="108"/>
      <c r="I7283" s="106"/>
      <c r="J7283" s="106"/>
      <c r="K7283" s="106"/>
      <c r="L7283" s="152"/>
    </row>
    <row r="7284" spans="1:12">
      <c r="A7284" s="72"/>
      <c r="B7284" s="93"/>
      <c r="C7284" s="106"/>
      <c r="D7284" s="106"/>
      <c r="E7284" s="106"/>
      <c r="F7284" s="195"/>
      <c r="G7284" s="9"/>
      <c r="H7284" s="108"/>
      <c r="I7284" s="106"/>
      <c r="J7284" s="106"/>
      <c r="K7284" s="106"/>
      <c r="L7284" s="109"/>
    </row>
    <row r="7285" spans="1:12">
      <c r="A7285" s="72"/>
      <c r="B7285" s="105"/>
      <c r="C7285" s="106"/>
      <c r="D7285" s="106"/>
      <c r="E7285" s="106"/>
      <c r="F7285" s="106"/>
      <c r="G7285" s="9"/>
      <c r="H7285" s="106"/>
      <c r="I7285" s="131"/>
      <c r="J7285" s="106"/>
      <c r="K7285" s="106"/>
      <c r="L7285" s="132"/>
    </row>
    <row r="7286" spans="1:12">
      <c r="A7286" s="72"/>
      <c r="B7286" s="110"/>
      <c r="C7286" s="111"/>
      <c r="D7286" s="111"/>
      <c r="E7286" s="111"/>
      <c r="F7286" s="111"/>
      <c r="G7286" s="9"/>
      <c r="H7286" s="111"/>
      <c r="I7286" s="131"/>
      <c r="J7286" s="111"/>
      <c r="K7286" s="111"/>
      <c r="L7286" s="133"/>
    </row>
    <row r="7287" spans="1:12">
      <c r="A7287" s="72"/>
      <c r="B7287" s="93"/>
      <c r="C7287" s="106"/>
      <c r="D7287" s="106"/>
      <c r="E7287" s="106"/>
      <c r="F7287" s="106"/>
      <c r="G7287" s="9"/>
      <c r="H7287" s="106"/>
      <c r="I7287" s="106"/>
      <c r="J7287" s="106"/>
      <c r="K7287" s="106"/>
      <c r="L7287" s="152"/>
    </row>
    <row r="7288" spans="1:12">
      <c r="A7288" s="72"/>
      <c r="B7288" s="93"/>
      <c r="C7288" s="106"/>
      <c r="D7288" s="106"/>
      <c r="E7288" s="106"/>
      <c r="F7288" s="106"/>
      <c r="G7288" s="9"/>
      <c r="H7288" s="106"/>
      <c r="I7288" s="106"/>
      <c r="J7288" s="106"/>
      <c r="K7288" s="106"/>
      <c r="L7288" s="152"/>
    </row>
    <row r="7289" spans="1:12">
      <c r="A7289" s="72"/>
      <c r="B7289" s="93"/>
      <c r="C7289" s="106"/>
      <c r="D7289" s="106"/>
      <c r="E7289" s="106"/>
      <c r="F7289" s="106"/>
      <c r="G7289" s="9"/>
      <c r="H7289" s="106"/>
      <c r="I7289" s="106"/>
      <c r="J7289" s="106"/>
      <c r="K7289" s="150"/>
      <c r="L7289" s="152"/>
    </row>
    <row r="7290" spans="1:12">
      <c r="A7290" s="72"/>
      <c r="B7290" s="93"/>
      <c r="C7290" s="106"/>
      <c r="D7290" s="174"/>
      <c r="E7290" s="106"/>
      <c r="F7290" s="106"/>
      <c r="G7290" s="9"/>
      <c r="H7290" s="106"/>
      <c r="I7290" s="106"/>
      <c r="J7290" s="106"/>
      <c r="K7290" s="106"/>
      <c r="L7290" s="205"/>
    </row>
    <row r="7291" spans="1:12">
      <c r="A7291" s="72"/>
      <c r="B7291" s="147"/>
      <c r="C7291" s="111"/>
      <c r="D7291" s="174"/>
      <c r="E7291" s="111"/>
      <c r="F7291" s="111"/>
      <c r="G7291" s="9"/>
      <c r="H7291" s="111"/>
      <c r="I7291" s="111"/>
      <c r="J7291" s="111"/>
      <c r="K7291" s="111"/>
      <c r="L7291" s="54"/>
    </row>
    <row r="7292" spans="1:12">
      <c r="A7292" s="72"/>
      <c r="B7292" s="147"/>
      <c r="C7292" s="111"/>
      <c r="D7292" s="174"/>
      <c r="E7292" s="111"/>
      <c r="F7292" s="111"/>
      <c r="G7292" s="9"/>
      <c r="H7292" s="111"/>
      <c r="I7292" s="111"/>
      <c r="J7292" s="111"/>
      <c r="K7292" s="111"/>
      <c r="L7292" s="54"/>
    </row>
    <row r="7293" spans="1:12">
      <c r="A7293" s="72"/>
      <c r="B7293" s="147"/>
      <c r="C7293" s="111"/>
      <c r="D7293" s="174"/>
      <c r="E7293" s="111"/>
      <c r="F7293" s="111"/>
      <c r="G7293" s="9"/>
      <c r="H7293" s="111"/>
      <c r="I7293" s="111"/>
      <c r="J7293" s="111"/>
      <c r="K7293" s="111"/>
      <c r="L7293" s="54"/>
    </row>
    <row r="7294" spans="1:12">
      <c r="A7294" s="72"/>
      <c r="B7294" s="93"/>
      <c r="C7294" s="106"/>
      <c r="D7294" s="174"/>
      <c r="E7294" s="106"/>
      <c r="F7294" s="180"/>
      <c r="G7294" s="9"/>
      <c r="H7294" s="108"/>
      <c r="I7294" s="106"/>
      <c r="J7294" s="106"/>
      <c r="K7294" s="106"/>
      <c r="L7294" s="109"/>
    </row>
    <row r="7295" spans="1:12">
      <c r="A7295" s="72"/>
      <c r="B7295" s="93"/>
      <c r="C7295" s="106"/>
      <c r="D7295" s="174"/>
      <c r="E7295" s="106"/>
      <c r="F7295" s="180"/>
      <c r="G7295" s="9"/>
      <c r="H7295" s="106"/>
      <c r="I7295" s="106"/>
      <c r="J7295" s="106"/>
      <c r="K7295" s="106"/>
      <c r="L7295" s="205"/>
    </row>
    <row r="7296" spans="1:12">
      <c r="A7296" s="72"/>
      <c r="B7296" s="93"/>
      <c r="C7296" s="106"/>
      <c r="D7296" s="174"/>
      <c r="E7296" s="106"/>
      <c r="F7296" s="180"/>
      <c r="G7296" s="9"/>
      <c r="H7296" s="106"/>
      <c r="I7296" s="106"/>
      <c r="J7296" s="106"/>
      <c r="K7296" s="106"/>
      <c r="L7296" s="205"/>
    </row>
    <row r="7297" spans="1:12">
      <c r="A7297" s="72"/>
      <c r="B7297" s="93"/>
      <c r="C7297" s="106"/>
      <c r="D7297" s="174"/>
      <c r="E7297" s="106"/>
      <c r="F7297" s="180"/>
      <c r="G7297" s="9"/>
      <c r="H7297" s="106"/>
      <c r="I7297" s="106"/>
      <c r="J7297" s="106"/>
      <c r="K7297" s="106"/>
      <c r="L7297" s="205"/>
    </row>
    <row r="7298" spans="1:12">
      <c r="A7298" s="72"/>
      <c r="B7298" s="93"/>
      <c r="C7298" s="106"/>
      <c r="D7298" s="106"/>
      <c r="E7298" s="106"/>
      <c r="F7298" s="106"/>
      <c r="G7298" s="9"/>
      <c r="H7298" s="106"/>
      <c r="I7298" s="106"/>
      <c r="J7298" s="106"/>
      <c r="K7298" s="106"/>
      <c r="L7298" s="109"/>
    </row>
    <row r="7299" spans="1:12">
      <c r="A7299" s="72"/>
      <c r="B7299" s="93"/>
      <c r="C7299" s="106"/>
      <c r="D7299" s="106"/>
      <c r="E7299" s="93"/>
      <c r="F7299" s="93"/>
      <c r="G7299" s="9"/>
      <c r="H7299" s="150"/>
      <c r="I7299" s="93"/>
      <c r="J7299" s="106"/>
      <c r="K7299" s="106"/>
      <c r="L7299" s="134"/>
    </row>
    <row r="7300" spans="1:12">
      <c r="A7300" s="72"/>
      <c r="B7300" s="93"/>
      <c r="C7300" s="175"/>
      <c r="D7300" s="106"/>
      <c r="E7300" s="93"/>
      <c r="F7300" s="93"/>
      <c r="G7300" s="9"/>
      <c r="H7300" s="106"/>
      <c r="I7300" s="106"/>
      <c r="J7300" s="106"/>
      <c r="K7300" s="106"/>
      <c r="L7300" s="109"/>
    </row>
    <row r="7301" spans="1:12">
      <c r="A7301" s="72"/>
      <c r="B7301" s="93"/>
      <c r="C7301" s="175"/>
      <c r="D7301" s="106"/>
      <c r="E7301" s="93"/>
      <c r="F7301" s="93"/>
      <c r="G7301" s="9"/>
      <c r="H7301" s="150"/>
      <c r="I7301" s="93"/>
      <c r="J7301" s="106"/>
      <c r="K7301" s="106"/>
      <c r="L7301" s="134"/>
    </row>
    <row r="7302" spans="1:12">
      <c r="A7302" s="72"/>
      <c r="B7302" s="93"/>
      <c r="C7302" s="106"/>
      <c r="D7302" s="106"/>
      <c r="E7302" s="93"/>
      <c r="F7302" s="93"/>
      <c r="G7302" s="9"/>
      <c r="H7302" s="106"/>
      <c r="I7302" s="106"/>
      <c r="J7302" s="106"/>
      <c r="K7302" s="106"/>
      <c r="L7302" s="205"/>
    </row>
    <row r="7303" spans="1:12">
      <c r="A7303" s="72"/>
      <c r="B7303" s="93"/>
      <c r="C7303" s="106"/>
      <c r="D7303" s="106"/>
      <c r="E7303" s="106"/>
      <c r="F7303" s="106"/>
      <c r="G7303" s="9"/>
      <c r="H7303" s="93"/>
      <c r="I7303" s="93"/>
      <c r="J7303" s="106"/>
      <c r="K7303" s="106"/>
      <c r="L7303" s="134"/>
    </row>
    <row r="7304" spans="1:12">
      <c r="A7304" s="72"/>
      <c r="B7304" s="93"/>
      <c r="C7304" s="106"/>
      <c r="D7304" s="106"/>
      <c r="E7304" s="106"/>
      <c r="F7304" s="106"/>
      <c r="G7304" s="9"/>
      <c r="H7304" s="106"/>
      <c r="I7304" s="106"/>
      <c r="J7304" s="106"/>
      <c r="K7304" s="106"/>
      <c r="L7304" s="109"/>
    </row>
    <row r="7305" spans="1:12">
      <c r="A7305" s="72"/>
      <c r="B7305" s="93"/>
      <c r="C7305" s="106"/>
      <c r="D7305" s="106"/>
      <c r="E7305" s="106"/>
      <c r="F7305" s="106"/>
      <c r="G7305" s="9"/>
      <c r="H7305" s="106"/>
      <c r="I7305" s="106"/>
      <c r="J7305" s="106"/>
      <c r="K7305" s="106"/>
      <c r="L7305" s="109"/>
    </row>
    <row r="7306" spans="1:12">
      <c r="A7306" s="72"/>
      <c r="B7306" s="93"/>
      <c r="C7306" s="106"/>
      <c r="D7306" s="106"/>
      <c r="E7306" s="106"/>
      <c r="F7306" s="106"/>
      <c r="G7306" s="9"/>
      <c r="H7306" s="106"/>
      <c r="I7306" s="106"/>
      <c r="J7306" s="106"/>
      <c r="K7306" s="106"/>
      <c r="L7306" s="109"/>
    </row>
    <row r="7307" spans="1:12">
      <c r="A7307" s="72"/>
      <c r="B7307" s="93"/>
      <c r="C7307" s="106"/>
      <c r="D7307" s="106"/>
      <c r="E7307" s="106"/>
      <c r="F7307" s="106"/>
      <c r="G7307" s="9"/>
      <c r="H7307" s="106"/>
      <c r="I7307" s="106"/>
      <c r="J7307" s="106"/>
      <c r="K7307" s="106"/>
      <c r="L7307" s="109"/>
    </row>
    <row r="7308" spans="1:12">
      <c r="A7308" s="72"/>
      <c r="B7308" s="105"/>
      <c r="C7308" s="175"/>
      <c r="D7308" s="106"/>
      <c r="E7308" s="106"/>
      <c r="F7308" s="106"/>
      <c r="G7308" s="9"/>
      <c r="H7308" s="106"/>
      <c r="I7308" s="131"/>
      <c r="J7308" s="106"/>
      <c r="K7308" s="106"/>
      <c r="L7308" s="132"/>
    </row>
    <row r="7309" spans="1:12">
      <c r="A7309" s="72"/>
      <c r="B7309" s="105"/>
      <c r="C7309" s="106"/>
      <c r="D7309" s="106"/>
      <c r="E7309" s="106"/>
      <c r="F7309" s="106"/>
      <c r="G7309" s="9"/>
      <c r="H7309" s="106"/>
      <c r="I7309" s="131"/>
      <c r="J7309" s="106"/>
      <c r="K7309" s="106"/>
      <c r="L7309" s="132"/>
    </row>
    <row r="7310" spans="1:12">
      <c r="A7310" s="72"/>
      <c r="B7310" s="110"/>
      <c r="C7310" s="111"/>
      <c r="D7310" s="106"/>
      <c r="E7310" s="111"/>
      <c r="F7310" s="111"/>
      <c r="G7310" s="9"/>
      <c r="H7310" s="111"/>
      <c r="I7310" s="131"/>
      <c r="J7310" s="111"/>
      <c r="K7310" s="111"/>
      <c r="L7310" s="133"/>
    </row>
    <row r="7311" spans="1:12">
      <c r="A7311" s="72"/>
      <c r="B7311" s="105"/>
      <c r="C7311" s="106"/>
      <c r="D7311" s="106"/>
      <c r="E7311" s="106"/>
      <c r="F7311" s="106"/>
      <c r="G7311" s="9"/>
      <c r="H7311" s="106"/>
      <c r="I7311" s="131"/>
      <c r="J7311" s="106"/>
      <c r="K7311" s="106"/>
      <c r="L7311" s="132"/>
    </row>
    <row r="7312" spans="1:12">
      <c r="A7312" s="72"/>
      <c r="B7312" s="105"/>
      <c r="C7312" s="106"/>
      <c r="D7312" s="106"/>
      <c r="E7312" s="106"/>
      <c r="F7312" s="180"/>
      <c r="G7312" s="9"/>
      <c r="H7312" s="106"/>
      <c r="I7312" s="131"/>
      <c r="J7312" s="106"/>
      <c r="K7312" s="106"/>
      <c r="L7312" s="132"/>
    </row>
    <row r="7313" spans="1:12">
      <c r="A7313" s="72"/>
      <c r="B7313" s="110"/>
      <c r="C7313" s="111"/>
      <c r="D7313" s="111"/>
      <c r="E7313" s="111"/>
      <c r="F7313" s="52"/>
      <c r="G7313" s="9"/>
      <c r="H7313" s="111"/>
      <c r="I7313" s="131"/>
      <c r="J7313" s="111"/>
      <c r="K7313" s="111"/>
      <c r="L7313" s="133"/>
    </row>
    <row r="7314" spans="1:12">
      <c r="A7314" s="72"/>
      <c r="B7314" s="105"/>
      <c r="C7314" s="106"/>
      <c r="D7314" s="106"/>
      <c r="E7314" s="106"/>
      <c r="F7314" s="180"/>
      <c r="G7314" s="9"/>
      <c r="H7314" s="106"/>
      <c r="I7314" s="131"/>
      <c r="J7314" s="106"/>
      <c r="K7314" s="106"/>
      <c r="L7314" s="132"/>
    </row>
    <row r="7315" spans="1:12">
      <c r="A7315" s="72"/>
      <c r="B7315" s="110"/>
      <c r="C7315" s="111"/>
      <c r="D7315" s="106"/>
      <c r="E7315" s="111"/>
      <c r="F7315" s="52"/>
      <c r="G7315" s="9"/>
      <c r="H7315" s="111"/>
      <c r="I7315" s="131"/>
      <c r="J7315" s="111"/>
      <c r="K7315" s="111"/>
      <c r="L7315" s="133"/>
    </row>
    <row r="7316" spans="1:12">
      <c r="A7316" s="72"/>
      <c r="B7316" s="105"/>
      <c r="C7316" s="106"/>
      <c r="D7316" s="106"/>
      <c r="E7316" s="106"/>
      <c r="F7316" s="106"/>
      <c r="G7316" s="9"/>
      <c r="H7316" s="106"/>
      <c r="I7316" s="131"/>
      <c r="J7316" s="106"/>
      <c r="K7316" s="106"/>
      <c r="L7316" s="134"/>
    </row>
    <row r="7317" spans="1:12">
      <c r="A7317" s="72"/>
      <c r="B7317" s="93"/>
      <c r="C7317" s="106"/>
      <c r="D7317" s="106"/>
      <c r="E7317" s="106"/>
      <c r="F7317" s="106"/>
      <c r="G7317" s="9"/>
      <c r="H7317" s="106"/>
      <c r="I7317" s="106"/>
      <c r="J7317" s="106"/>
      <c r="K7317" s="106"/>
      <c r="L7317" s="109"/>
    </row>
    <row r="7318" spans="1:12">
      <c r="A7318" s="72"/>
      <c r="B7318" s="147"/>
      <c r="C7318" s="111"/>
      <c r="D7318" s="106"/>
      <c r="E7318" s="111"/>
      <c r="F7318" s="111"/>
      <c r="G7318" s="9"/>
      <c r="H7318" s="111"/>
      <c r="I7318" s="111"/>
      <c r="J7318" s="111"/>
      <c r="K7318" s="111"/>
      <c r="L7318" s="114"/>
    </row>
    <row r="7319" spans="1:12">
      <c r="A7319" s="72"/>
      <c r="B7319" s="93"/>
      <c r="C7319" s="106"/>
      <c r="D7319" s="106"/>
      <c r="E7319" s="106"/>
      <c r="F7319" s="106"/>
      <c r="G7319" s="9"/>
      <c r="H7319" s="106"/>
      <c r="I7319" s="106"/>
      <c r="J7319" s="106"/>
      <c r="K7319" s="106"/>
      <c r="L7319" s="109"/>
    </row>
    <row r="7320" spans="1:12">
      <c r="A7320" s="72"/>
      <c r="B7320" s="93"/>
      <c r="C7320" s="175"/>
      <c r="D7320" s="106"/>
      <c r="E7320" s="106"/>
      <c r="F7320" s="106"/>
      <c r="G7320" s="9"/>
      <c r="H7320" s="106"/>
      <c r="I7320" s="106"/>
      <c r="J7320" s="106"/>
      <c r="K7320" s="106"/>
      <c r="L7320" s="109"/>
    </row>
    <row r="7321" spans="1:12">
      <c r="A7321" s="72"/>
      <c r="B7321" s="93"/>
      <c r="C7321" s="106"/>
      <c r="D7321" s="106"/>
      <c r="E7321" s="106"/>
      <c r="F7321" s="106"/>
      <c r="G7321" s="9"/>
      <c r="H7321" s="106"/>
      <c r="I7321" s="106"/>
      <c r="J7321" s="106"/>
      <c r="K7321" s="106"/>
      <c r="L7321" s="109"/>
    </row>
    <row r="7322" spans="1:12">
      <c r="A7322" s="72"/>
      <c r="B7322" s="93"/>
      <c r="C7322" s="106"/>
      <c r="D7322" s="106"/>
      <c r="E7322" s="106"/>
      <c r="F7322" s="106"/>
      <c r="G7322" s="9"/>
      <c r="H7322" s="106"/>
      <c r="I7322" s="106"/>
      <c r="J7322" s="106"/>
      <c r="K7322" s="106"/>
      <c r="L7322" s="109"/>
    </row>
    <row r="7323" spans="1:12">
      <c r="A7323" s="72"/>
      <c r="B7323" s="93"/>
      <c r="C7323" s="106"/>
      <c r="D7323" s="106"/>
      <c r="E7323" s="106"/>
      <c r="F7323" s="106"/>
      <c r="G7323" s="9"/>
      <c r="H7323" s="106"/>
      <c r="I7323" s="106"/>
      <c r="J7323" s="106"/>
      <c r="K7323" s="106"/>
      <c r="L7323" s="109"/>
    </row>
    <row r="7324" spans="1:12">
      <c r="A7324" s="72"/>
      <c r="B7324" s="93"/>
      <c r="C7324" s="106"/>
      <c r="D7324" s="106"/>
      <c r="E7324" s="106"/>
      <c r="F7324" s="106"/>
      <c r="G7324" s="9"/>
      <c r="H7324" s="106"/>
      <c r="I7324" s="106"/>
      <c r="J7324" s="106"/>
      <c r="K7324" s="106"/>
      <c r="L7324" s="109"/>
    </row>
    <row r="7325" spans="1:12">
      <c r="A7325" s="72"/>
      <c r="B7325" s="93"/>
      <c r="C7325" s="106"/>
      <c r="D7325" s="106"/>
      <c r="E7325" s="106"/>
      <c r="F7325" s="106"/>
      <c r="G7325" s="9"/>
      <c r="H7325" s="106"/>
      <c r="I7325" s="106"/>
      <c r="J7325" s="106"/>
      <c r="K7325" s="106"/>
      <c r="L7325" s="109"/>
    </row>
    <row r="7326" spans="1:12">
      <c r="A7326" s="72"/>
      <c r="B7326" s="93"/>
      <c r="C7326" s="106"/>
      <c r="D7326" s="106"/>
      <c r="E7326" s="106"/>
      <c r="F7326" s="106"/>
      <c r="G7326" s="9"/>
      <c r="H7326" s="106"/>
      <c r="I7326" s="106"/>
      <c r="J7326" s="106"/>
      <c r="K7326" s="106"/>
      <c r="L7326" s="109"/>
    </row>
    <row r="7327" spans="1:12">
      <c r="A7327" s="72"/>
      <c r="B7327" s="93"/>
      <c r="C7327" s="106"/>
      <c r="D7327" s="106"/>
      <c r="E7327" s="106"/>
      <c r="F7327" s="106"/>
      <c r="G7327" s="9"/>
      <c r="H7327" s="93"/>
      <c r="I7327" s="106"/>
      <c r="J7327" s="106"/>
      <c r="K7327" s="106"/>
      <c r="L7327" s="109"/>
    </row>
    <row r="7328" spans="1:12">
      <c r="A7328" s="72"/>
      <c r="B7328" s="147"/>
      <c r="C7328" s="111"/>
      <c r="D7328" s="111"/>
      <c r="E7328" s="111"/>
      <c r="F7328" s="111"/>
      <c r="G7328" s="9"/>
      <c r="H7328" s="147"/>
      <c r="I7328" s="111"/>
      <c r="J7328" s="111"/>
      <c r="K7328" s="106"/>
      <c r="L7328" s="114"/>
    </row>
    <row r="7329" spans="1:12">
      <c r="A7329" s="72"/>
      <c r="B7329" s="147"/>
      <c r="C7329" s="111"/>
      <c r="D7329" s="111"/>
      <c r="E7329" s="111"/>
      <c r="F7329" s="111"/>
      <c r="G7329" s="9"/>
      <c r="H7329" s="147"/>
      <c r="I7329" s="111"/>
      <c r="J7329" s="111"/>
      <c r="K7329" s="106"/>
      <c r="L7329" s="114"/>
    </row>
    <row r="7330" spans="1:12">
      <c r="A7330" s="72"/>
      <c r="B7330" s="147"/>
      <c r="C7330" s="111"/>
      <c r="D7330" s="111"/>
      <c r="E7330" s="111"/>
      <c r="F7330" s="111"/>
      <c r="G7330" s="9"/>
      <c r="H7330" s="147"/>
      <c r="I7330" s="111"/>
      <c r="J7330" s="111"/>
      <c r="K7330" s="106"/>
      <c r="L7330" s="114"/>
    </row>
    <row r="7331" spans="1:12">
      <c r="A7331" s="72"/>
      <c r="B7331" s="93"/>
      <c r="C7331" s="106"/>
      <c r="D7331" s="106"/>
      <c r="E7331" s="111"/>
      <c r="F7331" s="106"/>
      <c r="G7331" s="9"/>
      <c r="H7331" s="106"/>
      <c r="I7331" s="106"/>
      <c r="J7331" s="106"/>
      <c r="K7331" s="106"/>
      <c r="L7331" s="109"/>
    </row>
    <row r="7332" spans="1:12">
      <c r="A7332" s="72"/>
      <c r="B7332" s="93"/>
      <c r="C7332" s="106"/>
      <c r="D7332" s="106"/>
      <c r="E7332" s="106"/>
      <c r="F7332" s="106"/>
      <c r="G7332" s="9"/>
      <c r="H7332" s="93"/>
      <c r="I7332" s="106"/>
      <c r="J7332" s="106"/>
      <c r="K7332" s="106"/>
      <c r="L7332" s="109"/>
    </row>
    <row r="7333" spans="1:12">
      <c r="A7333" s="72"/>
      <c r="B7333" s="93"/>
      <c r="C7333" s="208"/>
      <c r="D7333" s="106"/>
      <c r="E7333" s="106"/>
      <c r="F7333" s="106"/>
      <c r="G7333" s="9"/>
      <c r="H7333" s="106"/>
      <c r="I7333" s="106"/>
      <c r="J7333" s="106"/>
      <c r="K7333" s="106"/>
      <c r="L7333" s="109"/>
    </row>
    <row r="7334" spans="1:12">
      <c r="A7334" s="72"/>
      <c r="B7334" s="93"/>
      <c r="C7334" s="106"/>
      <c r="D7334" s="106"/>
      <c r="E7334" s="106"/>
      <c r="F7334" s="106"/>
      <c r="G7334" s="9"/>
      <c r="H7334" s="106"/>
      <c r="I7334" s="106"/>
      <c r="J7334" s="106"/>
      <c r="K7334" s="106"/>
      <c r="L7334" s="109"/>
    </row>
    <row r="7335" spans="1:12">
      <c r="A7335" s="72"/>
      <c r="B7335" s="93"/>
      <c r="C7335" s="106"/>
      <c r="D7335" s="106"/>
      <c r="E7335" s="106"/>
      <c r="F7335" s="157"/>
      <c r="G7335" s="9"/>
      <c r="H7335" s="106"/>
      <c r="I7335" s="106"/>
      <c r="J7335" s="106"/>
      <c r="K7335" s="106"/>
      <c r="L7335" s="109"/>
    </row>
    <row r="7336" spans="1:12">
      <c r="A7336" s="72"/>
      <c r="B7336" s="147"/>
      <c r="C7336" s="111"/>
      <c r="D7336" s="111"/>
      <c r="E7336" s="111"/>
      <c r="F7336" s="164"/>
      <c r="G7336" s="9"/>
      <c r="H7336" s="111"/>
      <c r="I7336" s="111"/>
      <c r="J7336" s="111"/>
      <c r="K7336" s="106"/>
      <c r="L7336" s="114"/>
    </row>
    <row r="7337" spans="1:12">
      <c r="A7337" s="72"/>
      <c r="B7337" s="93"/>
      <c r="C7337" s="106"/>
      <c r="D7337" s="106"/>
      <c r="E7337" s="106"/>
      <c r="F7337" s="106"/>
      <c r="G7337" s="9"/>
      <c r="H7337" s="106"/>
      <c r="I7337" s="106"/>
      <c r="J7337" s="106"/>
      <c r="K7337" s="106"/>
      <c r="L7337" s="109"/>
    </row>
    <row r="7338" spans="1:12">
      <c r="A7338" s="72"/>
      <c r="B7338" s="147"/>
      <c r="C7338" s="111"/>
      <c r="D7338" s="111"/>
      <c r="E7338" s="111"/>
      <c r="F7338" s="111"/>
      <c r="G7338" s="9"/>
      <c r="H7338" s="111"/>
      <c r="I7338" s="111"/>
      <c r="J7338" s="111"/>
      <c r="K7338" s="106"/>
      <c r="L7338" s="114"/>
    </row>
    <row r="7339" spans="1:12">
      <c r="A7339" s="72"/>
      <c r="B7339" s="147"/>
      <c r="C7339" s="111"/>
      <c r="D7339" s="111"/>
      <c r="E7339" s="111"/>
      <c r="F7339" s="111"/>
      <c r="G7339" s="9"/>
      <c r="H7339" s="111"/>
      <c r="I7339" s="111"/>
      <c r="J7339" s="111"/>
      <c r="K7339" s="106"/>
      <c r="L7339" s="114"/>
    </row>
    <row r="7340" spans="1:12">
      <c r="A7340" s="72"/>
      <c r="B7340" s="147"/>
      <c r="C7340" s="111"/>
      <c r="D7340" s="111"/>
      <c r="E7340" s="111"/>
      <c r="F7340" s="111"/>
      <c r="G7340" s="9"/>
      <c r="H7340" s="111"/>
      <c r="I7340" s="111"/>
      <c r="J7340" s="111"/>
      <c r="K7340" s="106"/>
      <c r="L7340" s="114"/>
    </row>
    <row r="7341" spans="1:12">
      <c r="A7341" s="72"/>
      <c r="B7341" s="147"/>
      <c r="C7341" s="111"/>
      <c r="D7341" s="111"/>
      <c r="E7341" s="111"/>
      <c r="F7341" s="111"/>
      <c r="G7341" s="9"/>
      <c r="H7341" s="111"/>
      <c r="I7341" s="111"/>
      <c r="J7341" s="111"/>
      <c r="K7341" s="106"/>
      <c r="L7341" s="114"/>
    </row>
    <row r="7342" spans="1:12">
      <c r="A7342" s="72"/>
      <c r="B7342" s="147"/>
      <c r="C7342" s="111"/>
      <c r="D7342" s="111"/>
      <c r="E7342" s="111"/>
      <c r="F7342" s="111"/>
      <c r="G7342" s="9"/>
      <c r="H7342" s="111"/>
      <c r="I7342" s="111"/>
      <c r="J7342" s="111"/>
      <c r="K7342" s="106"/>
      <c r="L7342" s="114"/>
    </row>
    <row r="7343" spans="1:12">
      <c r="A7343" s="72"/>
      <c r="B7343" s="147"/>
      <c r="C7343" s="111"/>
      <c r="D7343" s="111"/>
      <c r="E7343" s="111"/>
      <c r="F7343" s="111"/>
      <c r="G7343" s="9"/>
      <c r="H7343" s="111"/>
      <c r="I7343" s="111"/>
      <c r="J7343" s="111"/>
      <c r="K7343" s="106"/>
      <c r="L7343" s="114"/>
    </row>
    <row r="7344" spans="1:12">
      <c r="A7344" s="72"/>
      <c r="B7344" s="147"/>
      <c r="C7344" s="111"/>
      <c r="D7344" s="111"/>
      <c r="E7344" s="111"/>
      <c r="F7344" s="111"/>
      <c r="G7344" s="9"/>
      <c r="H7344" s="111"/>
      <c r="I7344" s="111"/>
      <c r="J7344" s="111"/>
      <c r="K7344" s="106"/>
      <c r="L7344" s="114"/>
    </row>
    <row r="7345" spans="1:12">
      <c r="A7345" s="72"/>
      <c r="B7345" s="147"/>
      <c r="C7345" s="111"/>
      <c r="D7345" s="111"/>
      <c r="E7345" s="111"/>
      <c r="F7345" s="111"/>
      <c r="G7345" s="9"/>
      <c r="H7345" s="111"/>
      <c r="I7345" s="111"/>
      <c r="J7345" s="111"/>
      <c r="K7345" s="106"/>
      <c r="L7345" s="114"/>
    </row>
    <row r="7346" spans="1:12">
      <c r="A7346" s="72"/>
      <c r="B7346" s="93"/>
      <c r="C7346" s="106"/>
      <c r="D7346" s="106"/>
      <c r="E7346" s="106"/>
      <c r="F7346" s="106"/>
      <c r="G7346" s="9"/>
      <c r="H7346" s="106"/>
      <c r="I7346" s="106"/>
      <c r="J7346" s="106"/>
      <c r="K7346" s="106"/>
      <c r="L7346" s="134"/>
    </row>
    <row r="7347" spans="1:12">
      <c r="A7347" s="72"/>
      <c r="B7347" s="93"/>
      <c r="C7347" s="106"/>
      <c r="D7347" s="106"/>
      <c r="E7347" s="106"/>
      <c r="F7347" s="150"/>
      <c r="G7347" s="9"/>
      <c r="H7347" s="150"/>
      <c r="I7347" s="93"/>
      <c r="J7347" s="106"/>
      <c r="K7347" s="106"/>
      <c r="L7347" s="109"/>
    </row>
    <row r="7348" spans="1:12">
      <c r="A7348" s="72"/>
      <c r="B7348" s="93"/>
      <c r="C7348" s="106"/>
      <c r="D7348" s="106"/>
      <c r="E7348" s="106"/>
      <c r="F7348" s="106"/>
      <c r="G7348" s="9"/>
      <c r="H7348" s="106"/>
      <c r="I7348" s="106"/>
      <c r="J7348" s="106"/>
      <c r="K7348" s="106"/>
      <c r="L7348" s="109"/>
    </row>
    <row r="7349" spans="1:12">
      <c r="A7349" s="72"/>
      <c r="B7349" s="93"/>
      <c r="C7349" s="106"/>
      <c r="D7349" s="106"/>
      <c r="E7349" s="106"/>
      <c r="F7349" s="106"/>
      <c r="G7349" s="9"/>
      <c r="H7349" s="106"/>
      <c r="I7349" s="106"/>
      <c r="J7349" s="106"/>
      <c r="K7349" s="106"/>
      <c r="L7349" s="109"/>
    </row>
    <row r="7350" spans="1:12">
      <c r="A7350" s="72"/>
      <c r="B7350" s="93"/>
      <c r="C7350" s="106"/>
      <c r="D7350" s="106"/>
      <c r="E7350" s="106"/>
      <c r="F7350" s="106"/>
      <c r="G7350" s="9"/>
      <c r="H7350" s="106"/>
      <c r="I7350" s="106"/>
      <c r="J7350" s="106"/>
      <c r="K7350" s="106"/>
      <c r="L7350" s="109"/>
    </row>
    <row r="7351" spans="1:12">
      <c r="A7351" s="72"/>
      <c r="B7351" s="93"/>
      <c r="C7351" s="106"/>
      <c r="D7351" s="106"/>
      <c r="E7351" s="106"/>
      <c r="F7351" s="106"/>
      <c r="G7351" s="9"/>
      <c r="H7351" s="106"/>
      <c r="I7351" s="106"/>
      <c r="J7351" s="106"/>
      <c r="K7351" s="106"/>
      <c r="L7351" s="109"/>
    </row>
    <row r="7352" spans="1:12">
      <c r="A7352" s="72"/>
      <c r="B7352" s="93"/>
      <c r="C7352" s="106"/>
      <c r="D7352" s="106"/>
      <c r="E7352" s="106"/>
      <c r="F7352" s="106"/>
      <c r="G7352" s="9"/>
      <c r="H7352" s="106"/>
      <c r="I7352" s="106"/>
      <c r="J7352" s="106"/>
      <c r="K7352" s="106"/>
      <c r="L7352" s="109"/>
    </row>
    <row r="7353" spans="1:12">
      <c r="A7353" s="72"/>
      <c r="B7353" s="93"/>
      <c r="C7353" s="106"/>
      <c r="D7353" s="106"/>
      <c r="E7353" s="106"/>
      <c r="F7353" s="106"/>
      <c r="G7353" s="9"/>
      <c r="H7353" s="106"/>
      <c r="I7353" s="106"/>
      <c r="J7353" s="106"/>
      <c r="K7353" s="106"/>
      <c r="L7353" s="109"/>
    </row>
    <row r="7354" spans="1:12">
      <c r="A7354" s="72"/>
      <c r="B7354" s="93"/>
      <c r="C7354" s="106"/>
      <c r="D7354" s="106"/>
      <c r="E7354" s="106"/>
      <c r="F7354" s="106"/>
      <c r="G7354" s="9"/>
      <c r="H7354" s="106"/>
      <c r="I7354" s="106"/>
      <c r="J7354" s="106"/>
      <c r="K7354" s="106"/>
      <c r="L7354" s="109"/>
    </row>
    <row r="7355" spans="1:12">
      <c r="A7355" s="72"/>
      <c r="B7355" s="147"/>
      <c r="C7355" s="111"/>
      <c r="D7355" s="106"/>
      <c r="E7355" s="111"/>
      <c r="F7355" s="111"/>
      <c r="G7355" s="9"/>
      <c r="H7355" s="111"/>
      <c r="I7355" s="111"/>
      <c r="J7355" s="111"/>
      <c r="K7355" s="111"/>
      <c r="L7355" s="114"/>
    </row>
    <row r="7356" spans="1:12">
      <c r="A7356" s="72"/>
      <c r="B7356" s="93"/>
      <c r="C7356" s="106"/>
      <c r="D7356" s="106"/>
      <c r="E7356" s="106"/>
      <c r="F7356" s="106"/>
      <c r="G7356" s="9"/>
      <c r="H7356" s="106"/>
      <c r="I7356" s="106"/>
      <c r="J7356" s="106"/>
      <c r="K7356" s="106"/>
      <c r="L7356" s="209"/>
    </row>
    <row r="7357" spans="1:12">
      <c r="A7357" s="72"/>
      <c r="B7357" s="147"/>
      <c r="C7357" s="111"/>
      <c r="D7357" s="111"/>
      <c r="E7357" s="111"/>
      <c r="F7357" s="111"/>
      <c r="G7357" s="9"/>
      <c r="H7357" s="111"/>
      <c r="I7357" s="111"/>
      <c r="J7357" s="111"/>
      <c r="K7357" s="111"/>
      <c r="L7357" s="210"/>
    </row>
    <row r="7358" spans="1:12">
      <c r="A7358" s="72"/>
      <c r="B7358" s="147"/>
      <c r="C7358" s="111"/>
      <c r="D7358" s="111"/>
      <c r="E7358" s="111"/>
      <c r="F7358" s="111"/>
      <c r="G7358" s="9"/>
      <c r="H7358" s="111"/>
      <c r="I7358" s="111"/>
      <c r="J7358" s="111"/>
      <c r="K7358" s="111"/>
      <c r="L7358" s="211"/>
    </row>
    <row r="7359" spans="1:12">
      <c r="A7359" s="72"/>
      <c r="B7359" s="147"/>
      <c r="C7359" s="111"/>
      <c r="D7359" s="111"/>
      <c r="E7359" s="111"/>
      <c r="F7359" s="111"/>
      <c r="G7359" s="9"/>
      <c r="H7359" s="111"/>
      <c r="I7359" s="111"/>
      <c r="J7359" s="111"/>
      <c r="K7359" s="111"/>
      <c r="L7359" s="211"/>
    </row>
    <row r="7360" spans="1:12">
      <c r="A7360" s="72"/>
      <c r="B7360" s="93"/>
      <c r="C7360" s="106"/>
      <c r="D7360" s="106"/>
      <c r="E7360" s="106"/>
      <c r="F7360" s="106"/>
      <c r="G7360" s="9"/>
      <c r="H7360" s="106"/>
      <c r="I7360" s="106"/>
      <c r="J7360" s="106"/>
      <c r="K7360" s="106"/>
      <c r="L7360" s="109"/>
    </row>
    <row r="7361" spans="1:12">
      <c r="A7361" s="72"/>
      <c r="B7361" s="93"/>
      <c r="C7361" s="106"/>
      <c r="D7361" s="106"/>
      <c r="E7361" s="106"/>
      <c r="F7361" s="106"/>
      <c r="G7361" s="9"/>
      <c r="H7361" s="106"/>
      <c r="I7361" s="106"/>
      <c r="J7361" s="106"/>
      <c r="K7361" s="106"/>
      <c r="L7361" s="109"/>
    </row>
    <row r="7362" spans="1:12">
      <c r="A7362" s="72"/>
      <c r="B7362" s="147"/>
      <c r="C7362" s="111"/>
      <c r="D7362" s="106"/>
      <c r="E7362" s="111"/>
      <c r="F7362" s="111"/>
      <c r="G7362" s="9"/>
      <c r="H7362" s="111"/>
      <c r="I7362" s="111"/>
      <c r="J7362" s="111"/>
      <c r="K7362" s="111"/>
      <c r="L7362" s="114"/>
    </row>
    <row r="7363" spans="1:12">
      <c r="A7363" s="72"/>
      <c r="B7363" s="93"/>
      <c r="C7363" s="106"/>
      <c r="D7363" s="106"/>
      <c r="E7363" s="93"/>
      <c r="F7363" s="93"/>
      <c r="G7363" s="9"/>
      <c r="H7363" s="150"/>
      <c r="I7363" s="93"/>
      <c r="J7363" s="106"/>
      <c r="K7363" s="106"/>
      <c r="L7363" s="109"/>
    </row>
    <row r="7364" spans="1:12">
      <c r="A7364" s="72"/>
      <c r="B7364" s="93"/>
      <c r="C7364" s="106"/>
      <c r="D7364" s="106"/>
      <c r="E7364" s="106"/>
      <c r="F7364" s="106"/>
      <c r="G7364" s="9"/>
      <c r="H7364" s="106"/>
      <c r="I7364" s="106"/>
      <c r="J7364" s="106"/>
      <c r="K7364" s="106"/>
      <c r="L7364" s="109"/>
    </row>
    <row r="7365" spans="1:12">
      <c r="A7365" s="72"/>
      <c r="B7365" s="147"/>
      <c r="C7365" s="111"/>
      <c r="D7365" s="111"/>
      <c r="E7365" s="111"/>
      <c r="F7365" s="111"/>
      <c r="G7365" s="9"/>
      <c r="H7365" s="111"/>
      <c r="I7365" s="111"/>
      <c r="J7365" s="106"/>
      <c r="K7365" s="106"/>
      <c r="L7365" s="114"/>
    </row>
    <row r="7366" spans="1:12">
      <c r="A7366" s="72"/>
      <c r="B7366" s="147"/>
      <c r="C7366" s="111"/>
      <c r="D7366" s="111"/>
      <c r="E7366" s="111"/>
      <c r="F7366" s="111"/>
      <c r="G7366" s="9"/>
      <c r="H7366" s="111"/>
      <c r="I7366" s="111"/>
      <c r="J7366" s="106"/>
      <c r="K7366" s="106"/>
      <c r="L7366" s="114"/>
    </row>
    <row r="7367" spans="1:12">
      <c r="A7367" s="72"/>
      <c r="B7367" s="93"/>
      <c r="C7367" s="106"/>
      <c r="D7367" s="106"/>
      <c r="E7367" s="106"/>
      <c r="F7367" s="106"/>
      <c r="G7367" s="9"/>
      <c r="H7367" s="106"/>
      <c r="I7367" s="106"/>
      <c r="J7367" s="106"/>
      <c r="K7367" s="106"/>
      <c r="L7367" s="109"/>
    </row>
    <row r="7368" spans="1:12">
      <c r="A7368" s="72"/>
      <c r="B7368" s="93"/>
      <c r="C7368" s="106"/>
      <c r="D7368" s="106"/>
      <c r="E7368" s="106"/>
      <c r="F7368" s="106"/>
      <c r="G7368" s="9"/>
      <c r="H7368" s="150"/>
      <c r="I7368" s="93"/>
      <c r="J7368" s="106"/>
      <c r="K7368" s="106"/>
      <c r="L7368" s="109"/>
    </row>
    <row r="7369" spans="1:12">
      <c r="A7369" s="72"/>
      <c r="B7369" s="93"/>
      <c r="C7369" s="106"/>
      <c r="D7369" s="106"/>
      <c r="E7369" s="106"/>
      <c r="F7369" s="106"/>
      <c r="G7369" s="9"/>
      <c r="H7369" s="137"/>
      <c r="I7369" s="106"/>
      <c r="J7369" s="106"/>
      <c r="K7369" s="106"/>
      <c r="L7369" s="109"/>
    </row>
    <row r="7370" spans="1:12">
      <c r="A7370" s="72"/>
      <c r="B7370" s="93"/>
      <c r="C7370" s="106"/>
      <c r="D7370" s="107"/>
      <c r="E7370" s="106"/>
      <c r="F7370" s="106"/>
      <c r="G7370" s="9"/>
      <c r="H7370" s="137"/>
      <c r="I7370" s="106"/>
      <c r="J7370" s="106"/>
      <c r="K7370" s="137"/>
      <c r="L7370" s="212"/>
    </row>
    <row r="7371" spans="1:12">
      <c r="A7371" s="72"/>
      <c r="B7371" s="156"/>
      <c r="C7371" s="157"/>
      <c r="D7371" s="197"/>
      <c r="E7371" s="196"/>
      <c r="F7371" s="126"/>
      <c r="G7371" s="9"/>
      <c r="H7371" s="159"/>
      <c r="I7371" s="159"/>
      <c r="J7371" s="159"/>
      <c r="K7371" s="157"/>
      <c r="L7371" s="160"/>
    </row>
    <row r="7372" spans="1:12">
      <c r="A7372" s="72"/>
      <c r="B7372" s="207"/>
      <c r="C7372" s="185"/>
      <c r="D7372" s="185"/>
      <c r="E7372" s="185"/>
      <c r="F7372" s="185"/>
      <c r="G7372" s="9"/>
      <c r="H7372" s="185"/>
      <c r="I7372" s="185"/>
      <c r="J7372" s="185"/>
      <c r="K7372" s="185"/>
      <c r="L7372" s="213"/>
    </row>
    <row r="7373" spans="1:12">
      <c r="A7373" s="72"/>
      <c r="B7373" s="214"/>
      <c r="C7373" s="208"/>
      <c r="D7373" s="185"/>
      <c r="E7373" s="208"/>
      <c r="F7373" s="208"/>
      <c r="G7373" s="9"/>
      <c r="H7373" s="208"/>
      <c r="I7373" s="208"/>
      <c r="J7373" s="208"/>
      <c r="K7373" s="208"/>
      <c r="L7373" s="215"/>
    </row>
    <row r="7374" spans="1:12">
      <c r="A7374" s="72"/>
      <c r="B7374" s="207"/>
      <c r="C7374" s="185"/>
      <c r="D7374" s="185"/>
      <c r="E7374" s="185"/>
      <c r="F7374" s="185"/>
      <c r="G7374" s="9"/>
      <c r="H7374" s="185"/>
      <c r="I7374" s="185"/>
      <c r="J7374" s="185"/>
      <c r="K7374" s="185"/>
      <c r="L7374" s="213"/>
    </row>
    <row r="7375" spans="1:12">
      <c r="A7375" s="72"/>
      <c r="B7375" s="207"/>
      <c r="C7375" s="185"/>
      <c r="D7375" s="185"/>
      <c r="E7375" s="185"/>
      <c r="F7375" s="216"/>
      <c r="G7375" s="9"/>
      <c r="H7375" s="185"/>
      <c r="I7375" s="185"/>
      <c r="J7375" s="185"/>
      <c r="K7375" s="185"/>
      <c r="L7375" s="213"/>
    </row>
    <row r="7376" spans="1:12">
      <c r="A7376" s="72"/>
      <c r="B7376" s="207"/>
      <c r="C7376" s="185"/>
      <c r="D7376" s="185"/>
      <c r="E7376" s="185"/>
      <c r="F7376" s="185"/>
      <c r="G7376" s="9"/>
      <c r="H7376" s="185"/>
      <c r="I7376" s="185"/>
      <c r="J7376" s="185"/>
      <c r="K7376" s="185"/>
      <c r="L7376" s="213"/>
    </row>
    <row r="7377" spans="1:12">
      <c r="A7377" s="72"/>
      <c r="B7377" s="207"/>
      <c r="C7377" s="185"/>
      <c r="D7377" s="185"/>
      <c r="E7377" s="185"/>
      <c r="F7377" s="185"/>
      <c r="G7377" s="9"/>
      <c r="H7377" s="185"/>
      <c r="I7377" s="185"/>
      <c r="J7377" s="185"/>
      <c r="K7377" s="185"/>
      <c r="L7377" s="213"/>
    </row>
    <row r="7378" spans="1:12">
      <c r="A7378" s="72"/>
      <c r="B7378" s="207"/>
      <c r="C7378" s="185"/>
      <c r="D7378" s="186"/>
      <c r="E7378" s="185"/>
      <c r="F7378" s="185"/>
      <c r="G7378" s="9"/>
      <c r="H7378" s="185"/>
      <c r="I7378" s="185"/>
      <c r="J7378" s="185"/>
      <c r="K7378" s="185"/>
      <c r="L7378" s="213"/>
    </row>
    <row r="7379" spans="1:12">
      <c r="A7379" s="72"/>
      <c r="B7379" s="207"/>
      <c r="C7379" s="185"/>
      <c r="D7379" s="185"/>
      <c r="E7379" s="185"/>
      <c r="F7379" s="185"/>
      <c r="G7379" s="9"/>
      <c r="H7379" s="185"/>
      <c r="I7379" s="185"/>
      <c r="J7379" s="185"/>
      <c r="K7379" s="185"/>
      <c r="L7379" s="213"/>
    </row>
    <row r="7380" spans="1:12">
      <c r="A7380" s="72"/>
      <c r="B7380" s="214"/>
      <c r="C7380" s="208"/>
      <c r="D7380" s="185"/>
      <c r="E7380" s="208"/>
      <c r="F7380" s="208"/>
      <c r="G7380" s="9"/>
      <c r="H7380" s="208"/>
      <c r="I7380" s="208"/>
      <c r="J7380" s="208"/>
      <c r="K7380" s="208"/>
      <c r="L7380" s="215"/>
    </row>
    <row r="7381" spans="1:12">
      <c r="A7381" s="72"/>
      <c r="B7381" s="207"/>
      <c r="C7381" s="185"/>
      <c r="D7381" s="185"/>
      <c r="E7381" s="185"/>
      <c r="F7381" s="185"/>
      <c r="G7381" s="9"/>
      <c r="H7381" s="185"/>
      <c r="I7381" s="185"/>
      <c r="J7381" s="185"/>
      <c r="K7381" s="185"/>
      <c r="L7381" s="213"/>
    </row>
    <row r="7382" spans="1:12">
      <c r="A7382" s="72"/>
      <c r="B7382" s="93"/>
      <c r="C7382" s="106"/>
      <c r="D7382" s="106"/>
      <c r="E7382" s="106"/>
      <c r="F7382" s="180"/>
      <c r="G7382" s="9"/>
      <c r="H7382" s="106"/>
      <c r="I7382" s="111"/>
      <c r="J7382" s="106"/>
      <c r="K7382" s="106"/>
      <c r="L7382" s="217"/>
    </row>
    <row r="7383" spans="1:12">
      <c r="A7383" s="72"/>
      <c r="B7383" s="93"/>
      <c r="C7383" s="106"/>
      <c r="D7383" s="106"/>
      <c r="E7383" s="106"/>
      <c r="F7383" s="180"/>
      <c r="G7383" s="9"/>
      <c r="H7383" s="106"/>
      <c r="I7383" s="111"/>
      <c r="J7383" s="106"/>
      <c r="K7383" s="106"/>
      <c r="L7383" s="109"/>
    </row>
    <row r="7384" spans="1:12">
      <c r="A7384" s="72"/>
      <c r="B7384" s="93"/>
      <c r="C7384" s="106"/>
      <c r="D7384" s="111"/>
      <c r="E7384" s="106"/>
      <c r="F7384" s="111"/>
      <c r="G7384" s="9"/>
      <c r="H7384" s="106"/>
      <c r="I7384" s="111"/>
      <c r="J7384" s="111"/>
      <c r="K7384" s="111"/>
      <c r="L7384" s="134"/>
    </row>
    <row r="7385" spans="1:12">
      <c r="A7385" s="72"/>
      <c r="B7385" s="147"/>
      <c r="C7385" s="111"/>
      <c r="D7385" s="111"/>
      <c r="E7385" s="111"/>
      <c r="F7385" s="111"/>
      <c r="G7385" s="9"/>
      <c r="H7385" s="111"/>
      <c r="I7385" s="111"/>
      <c r="J7385" s="111"/>
      <c r="K7385" s="111"/>
      <c r="L7385" s="134"/>
    </row>
    <row r="7386" spans="1:12">
      <c r="A7386" s="72"/>
      <c r="B7386" s="93"/>
      <c r="C7386" s="106"/>
      <c r="D7386" s="106"/>
      <c r="E7386" s="106"/>
      <c r="F7386" s="106"/>
      <c r="G7386" s="9"/>
      <c r="H7386" s="106"/>
      <c r="I7386" s="106"/>
      <c r="J7386" s="106"/>
      <c r="K7386" s="106"/>
      <c r="L7386" s="109"/>
    </row>
    <row r="7387" spans="1:12">
      <c r="A7387" s="72"/>
      <c r="B7387" s="93"/>
      <c r="C7387" s="106"/>
      <c r="D7387" s="174"/>
      <c r="E7387" s="106"/>
      <c r="F7387" s="106"/>
      <c r="G7387" s="9"/>
      <c r="H7387" s="106"/>
      <c r="I7387" s="106"/>
      <c r="J7387" s="106"/>
      <c r="K7387" s="106"/>
      <c r="L7387" s="109"/>
    </row>
    <row r="7388" spans="1:12">
      <c r="A7388" s="72"/>
      <c r="B7388" s="93"/>
      <c r="C7388" s="106"/>
      <c r="D7388" s="106"/>
      <c r="E7388" s="180"/>
      <c r="F7388" s="180"/>
      <c r="G7388" s="9"/>
      <c r="H7388" s="106"/>
      <c r="I7388" s="106"/>
      <c r="J7388" s="106"/>
      <c r="K7388" s="106"/>
      <c r="L7388" s="109"/>
    </row>
    <row r="7389" spans="1:12">
      <c r="A7389" s="72"/>
      <c r="B7389" s="93"/>
      <c r="C7389" s="106"/>
      <c r="D7389" s="106"/>
      <c r="E7389" s="106"/>
      <c r="F7389" s="106"/>
      <c r="G7389" s="9"/>
      <c r="H7389" s="106"/>
      <c r="I7389" s="111"/>
      <c r="J7389" s="106"/>
      <c r="K7389" s="106"/>
      <c r="L7389" s="109"/>
    </row>
    <row r="7390" spans="1:12">
      <c r="A7390" s="72"/>
      <c r="B7390" s="93"/>
      <c r="C7390" s="106"/>
      <c r="D7390" s="106"/>
      <c r="E7390" s="150"/>
      <c r="F7390" s="93"/>
      <c r="G7390" s="9"/>
      <c r="H7390" s="106"/>
      <c r="I7390" s="106"/>
      <c r="J7390" s="106"/>
      <c r="K7390" s="106"/>
      <c r="L7390" s="109"/>
    </row>
    <row r="7391" spans="1:12">
      <c r="A7391" s="72"/>
      <c r="B7391" s="93"/>
      <c r="C7391" s="106"/>
      <c r="D7391" s="106"/>
      <c r="E7391" s="106"/>
      <c r="F7391" s="150"/>
      <c r="G7391" s="9"/>
      <c r="H7391" s="106"/>
      <c r="I7391" s="106"/>
      <c r="J7391" s="106"/>
      <c r="K7391" s="106"/>
      <c r="L7391" s="109"/>
    </row>
    <row r="7392" spans="1:12">
      <c r="A7392" s="72"/>
      <c r="B7392" s="93"/>
      <c r="C7392" s="106"/>
      <c r="D7392" s="106"/>
      <c r="E7392" s="106"/>
      <c r="F7392" s="106"/>
      <c r="G7392" s="9"/>
      <c r="H7392" s="106"/>
      <c r="I7392" s="106"/>
      <c r="J7392" s="106"/>
      <c r="K7392" s="106"/>
      <c r="L7392" s="109"/>
    </row>
    <row r="7393" spans="1:12">
      <c r="A7393" s="72"/>
      <c r="B7393" s="93"/>
      <c r="C7393" s="106"/>
      <c r="D7393" s="106"/>
      <c r="E7393" s="106"/>
      <c r="F7393" s="106"/>
      <c r="G7393" s="9"/>
      <c r="H7393" s="106"/>
      <c r="I7393" s="106"/>
      <c r="J7393" s="106"/>
      <c r="K7393" s="106"/>
      <c r="L7393" s="168"/>
    </row>
    <row r="7394" spans="1:12">
      <c r="A7394" s="72"/>
      <c r="B7394" s="93"/>
      <c r="C7394" s="106"/>
      <c r="D7394" s="106"/>
      <c r="E7394" s="106"/>
      <c r="F7394" s="106"/>
      <c r="G7394" s="9"/>
      <c r="H7394" s="106"/>
      <c r="I7394" s="106"/>
      <c r="J7394" s="106"/>
      <c r="K7394" s="106"/>
      <c r="L7394" s="109"/>
    </row>
    <row r="7395" spans="1:12">
      <c r="A7395" s="72"/>
      <c r="B7395" s="93"/>
      <c r="C7395" s="106"/>
      <c r="D7395" s="106"/>
      <c r="E7395" s="106"/>
      <c r="F7395" s="106"/>
      <c r="G7395" s="9"/>
      <c r="H7395" s="106"/>
      <c r="I7395" s="106"/>
      <c r="J7395" s="106"/>
      <c r="K7395" s="106"/>
      <c r="L7395" s="109"/>
    </row>
    <row r="7396" spans="1:12">
      <c r="A7396" s="72"/>
      <c r="B7396" s="147"/>
      <c r="C7396" s="106"/>
      <c r="D7396" s="111"/>
      <c r="E7396" s="111"/>
      <c r="F7396" s="111"/>
      <c r="G7396" s="9"/>
      <c r="H7396" s="111"/>
      <c r="I7396" s="111"/>
      <c r="J7396" s="111"/>
      <c r="K7396" s="106"/>
      <c r="L7396" s="114"/>
    </row>
    <row r="7397" spans="1:12">
      <c r="A7397" s="72"/>
      <c r="B7397" s="218"/>
      <c r="C7397" s="216"/>
      <c r="D7397" s="216"/>
      <c r="E7397" s="216"/>
      <c r="F7397" s="216"/>
      <c r="G7397" s="9"/>
      <c r="H7397" s="216"/>
      <c r="I7397" s="216"/>
      <c r="J7397" s="216"/>
      <c r="K7397" s="216"/>
      <c r="L7397" s="219"/>
    </row>
    <row r="7398" spans="1:12">
      <c r="A7398" s="72"/>
      <c r="B7398" s="220"/>
      <c r="C7398" s="221"/>
      <c r="D7398" s="216"/>
      <c r="E7398" s="221"/>
      <c r="F7398" s="221"/>
      <c r="G7398" s="9"/>
      <c r="H7398" s="221"/>
      <c r="I7398" s="221"/>
      <c r="J7398" s="221"/>
      <c r="K7398" s="221"/>
      <c r="L7398" s="219"/>
    </row>
    <row r="7399" spans="1:12">
      <c r="A7399" s="72"/>
      <c r="B7399" s="93"/>
      <c r="C7399" s="106"/>
      <c r="D7399" s="106"/>
      <c r="E7399" s="106"/>
      <c r="F7399" s="106"/>
      <c r="G7399" s="9"/>
      <c r="H7399" s="106"/>
      <c r="I7399" s="106"/>
      <c r="J7399" s="106"/>
      <c r="K7399" s="106"/>
      <c r="L7399" s="109"/>
    </row>
    <row r="7400" spans="1:12">
      <c r="A7400" s="72"/>
      <c r="B7400" s="93"/>
      <c r="C7400" s="106"/>
      <c r="D7400" s="106"/>
      <c r="E7400" s="106"/>
      <c r="F7400" s="106"/>
      <c r="G7400" s="9"/>
      <c r="H7400" s="106"/>
      <c r="I7400" s="106"/>
      <c r="J7400" s="106"/>
      <c r="K7400" s="106"/>
      <c r="L7400" s="109"/>
    </row>
    <row r="7401" spans="1:12">
      <c r="A7401" s="72"/>
      <c r="B7401" s="93"/>
      <c r="C7401" s="106"/>
      <c r="D7401" s="106"/>
      <c r="E7401" s="106"/>
      <c r="F7401" s="106"/>
      <c r="G7401" s="9"/>
      <c r="H7401" s="106"/>
      <c r="I7401" s="106"/>
      <c r="J7401" s="106"/>
      <c r="K7401" s="106"/>
      <c r="L7401" s="109"/>
    </row>
    <row r="7402" spans="1:12">
      <c r="A7402" s="72"/>
      <c r="B7402" s="93"/>
      <c r="C7402" s="106"/>
      <c r="D7402" s="106"/>
      <c r="E7402" s="106"/>
      <c r="F7402" s="106"/>
      <c r="G7402" s="9"/>
      <c r="H7402" s="106"/>
      <c r="I7402" s="106"/>
      <c r="J7402" s="106"/>
      <c r="K7402" s="106"/>
      <c r="L7402" s="109"/>
    </row>
    <row r="7403" spans="1:12">
      <c r="A7403" s="72"/>
      <c r="B7403" s="93"/>
      <c r="C7403" s="106"/>
      <c r="D7403" s="106"/>
      <c r="E7403" s="106"/>
      <c r="F7403" s="106"/>
      <c r="G7403" s="9"/>
      <c r="H7403" s="106"/>
      <c r="I7403" s="106"/>
      <c r="J7403" s="106"/>
      <c r="K7403" s="106"/>
      <c r="L7403" s="109"/>
    </row>
    <row r="7404" spans="1:12">
      <c r="A7404" s="72"/>
      <c r="B7404" s="93"/>
      <c r="C7404" s="106"/>
      <c r="D7404" s="106"/>
      <c r="E7404" s="106"/>
      <c r="F7404" s="106"/>
      <c r="G7404" s="9"/>
      <c r="H7404" s="106"/>
      <c r="I7404" s="106"/>
      <c r="J7404" s="106"/>
      <c r="K7404" s="106"/>
      <c r="L7404" s="109"/>
    </row>
    <row r="7405" spans="1:12">
      <c r="A7405" s="72"/>
      <c r="B7405" s="93"/>
      <c r="C7405" s="106"/>
      <c r="D7405" s="106"/>
      <c r="E7405" s="106"/>
      <c r="F7405" s="106"/>
      <c r="G7405" s="9"/>
      <c r="H7405" s="106"/>
      <c r="I7405" s="106"/>
      <c r="J7405" s="106"/>
      <c r="K7405" s="106"/>
      <c r="L7405" s="109"/>
    </row>
    <row r="7406" spans="1:12">
      <c r="A7406" s="72"/>
      <c r="B7406" s="93"/>
      <c r="C7406" s="106"/>
      <c r="D7406" s="106"/>
      <c r="E7406" s="106"/>
      <c r="F7406" s="106"/>
      <c r="G7406" s="9"/>
      <c r="H7406" s="106"/>
      <c r="I7406" s="106"/>
      <c r="J7406" s="106"/>
      <c r="K7406" s="106"/>
      <c r="L7406" s="109"/>
    </row>
    <row r="7407" spans="1:12">
      <c r="A7407" s="72"/>
      <c r="B7407" s="93"/>
      <c r="C7407" s="106"/>
      <c r="D7407" s="106"/>
      <c r="E7407" s="106"/>
      <c r="F7407" s="106"/>
      <c r="G7407" s="9"/>
      <c r="H7407" s="106"/>
      <c r="I7407" s="106"/>
      <c r="J7407" s="106"/>
      <c r="K7407" s="106"/>
      <c r="L7407" s="109"/>
    </row>
    <row r="7408" spans="1:12">
      <c r="A7408" s="72"/>
      <c r="B7408" s="93"/>
      <c r="C7408" s="106"/>
      <c r="D7408" s="106"/>
      <c r="E7408" s="106"/>
      <c r="F7408" s="106"/>
      <c r="G7408" s="9"/>
      <c r="H7408" s="106"/>
      <c r="I7408" s="106"/>
      <c r="J7408" s="106"/>
      <c r="K7408" s="106"/>
      <c r="L7408" s="149"/>
    </row>
    <row r="7409" spans="1:12">
      <c r="A7409" s="72"/>
      <c r="B7409" s="93"/>
      <c r="C7409" s="106"/>
      <c r="D7409" s="106"/>
      <c r="E7409" s="106"/>
      <c r="F7409" s="106"/>
      <c r="G7409" s="9"/>
      <c r="H7409" s="106"/>
      <c r="I7409" s="106"/>
      <c r="J7409" s="106"/>
      <c r="K7409" s="106"/>
      <c r="L7409" s="109"/>
    </row>
    <row r="7410" spans="1:12">
      <c r="A7410" s="72"/>
      <c r="B7410" s="93"/>
      <c r="C7410" s="106"/>
      <c r="D7410" s="106"/>
      <c r="E7410" s="106"/>
      <c r="F7410" s="106"/>
      <c r="G7410" s="9"/>
      <c r="H7410" s="106"/>
      <c r="I7410" s="106"/>
      <c r="J7410" s="106"/>
      <c r="K7410" s="106"/>
      <c r="L7410" s="109"/>
    </row>
    <row r="7411" spans="1:12">
      <c r="A7411" s="72"/>
      <c r="B7411" s="93"/>
      <c r="C7411" s="106"/>
      <c r="D7411" s="106"/>
      <c r="E7411" s="106"/>
      <c r="F7411" s="106"/>
      <c r="G7411" s="9"/>
      <c r="H7411" s="106"/>
      <c r="I7411" s="106"/>
      <c r="J7411" s="106"/>
      <c r="K7411" s="106"/>
      <c r="L7411" s="109"/>
    </row>
    <row r="7412" spans="1:12">
      <c r="A7412" s="72"/>
      <c r="B7412" s="218"/>
      <c r="C7412" s="185"/>
      <c r="D7412" s="185"/>
      <c r="E7412" s="185"/>
      <c r="F7412" s="185"/>
      <c r="G7412" s="9"/>
      <c r="H7412" s="185"/>
      <c r="I7412" s="216"/>
      <c r="J7412" s="185"/>
      <c r="K7412" s="216"/>
      <c r="L7412" s="213"/>
    </row>
    <row r="7413" spans="1:12">
      <c r="A7413" s="72"/>
      <c r="B7413" s="220"/>
      <c r="C7413" s="208"/>
      <c r="D7413" s="208"/>
      <c r="E7413" s="208"/>
      <c r="F7413" s="208"/>
      <c r="G7413" s="9"/>
      <c r="H7413" s="208"/>
      <c r="I7413" s="221"/>
      <c r="J7413" s="208"/>
      <c r="K7413" s="221"/>
      <c r="L7413" s="215"/>
    </row>
    <row r="7414" spans="1:12">
      <c r="A7414" s="72"/>
      <c r="B7414" s="93"/>
      <c r="C7414" s="106"/>
      <c r="D7414" s="106"/>
      <c r="E7414" s="126"/>
      <c r="F7414" s="150"/>
      <c r="G7414" s="9"/>
      <c r="H7414" s="150"/>
      <c r="I7414" s="93"/>
      <c r="J7414" s="106"/>
      <c r="K7414" s="106"/>
      <c r="L7414" s="134"/>
    </row>
    <row r="7415" spans="1:12">
      <c r="A7415" s="72"/>
      <c r="B7415" s="93"/>
      <c r="C7415" s="106"/>
      <c r="D7415" s="106"/>
      <c r="E7415" s="106"/>
      <c r="F7415" s="106"/>
      <c r="G7415" s="9"/>
      <c r="H7415" s="106"/>
      <c r="I7415" s="106"/>
      <c r="J7415" s="106"/>
      <c r="K7415" s="106"/>
      <c r="L7415" s="109"/>
    </row>
    <row r="7416" spans="1:12">
      <c r="A7416" s="72"/>
      <c r="B7416" s="93"/>
      <c r="C7416" s="106"/>
      <c r="D7416" s="106"/>
      <c r="E7416" s="106"/>
      <c r="F7416" s="106"/>
      <c r="G7416" s="9"/>
      <c r="H7416" s="106"/>
      <c r="I7416" s="106"/>
      <c r="J7416" s="106"/>
      <c r="K7416" s="106"/>
      <c r="L7416" s="109"/>
    </row>
    <row r="7417" spans="1:12">
      <c r="A7417" s="72"/>
      <c r="B7417" s="93"/>
      <c r="C7417" s="106"/>
      <c r="D7417" s="106"/>
      <c r="E7417" s="106"/>
      <c r="F7417" s="106"/>
      <c r="G7417" s="9"/>
      <c r="H7417" s="106"/>
      <c r="I7417" s="106"/>
      <c r="J7417" s="106"/>
      <c r="K7417" s="106"/>
      <c r="L7417" s="109"/>
    </row>
    <row r="7418" spans="1:12">
      <c r="A7418" s="72"/>
      <c r="B7418" s="93"/>
      <c r="C7418" s="106"/>
      <c r="D7418" s="106"/>
      <c r="E7418" s="106"/>
      <c r="F7418" s="106"/>
      <c r="G7418" s="9"/>
      <c r="H7418" s="106"/>
      <c r="I7418" s="106"/>
      <c r="J7418" s="106"/>
      <c r="K7418" s="106"/>
      <c r="L7418" s="109"/>
    </row>
    <row r="7419" spans="1:12">
      <c r="A7419" s="72"/>
      <c r="B7419" s="147"/>
      <c r="C7419" s="111"/>
      <c r="D7419" s="111"/>
      <c r="E7419" s="111"/>
      <c r="F7419" s="93"/>
      <c r="G7419" s="9"/>
      <c r="H7419" s="111"/>
      <c r="I7419" s="111"/>
      <c r="J7419" s="111"/>
      <c r="K7419" s="111"/>
      <c r="L7419" s="114"/>
    </row>
    <row r="7420" spans="1:12">
      <c r="A7420" s="72"/>
      <c r="B7420" s="105"/>
      <c r="C7420" s="106"/>
      <c r="D7420" s="106"/>
      <c r="E7420" s="106"/>
      <c r="F7420" s="106"/>
      <c r="G7420" s="9"/>
      <c r="H7420" s="106"/>
      <c r="I7420" s="106"/>
      <c r="J7420" s="106"/>
      <c r="K7420" s="106"/>
      <c r="L7420" s="109"/>
    </row>
    <row r="7421" spans="1:12">
      <c r="A7421" s="72"/>
      <c r="B7421" s="105"/>
      <c r="C7421" s="106"/>
      <c r="D7421" s="106"/>
      <c r="E7421" s="106"/>
      <c r="F7421" s="106"/>
      <c r="G7421" s="9"/>
      <c r="H7421" s="106"/>
      <c r="I7421" s="106"/>
      <c r="J7421" s="106"/>
      <c r="K7421" s="106"/>
      <c r="L7421" s="109"/>
    </row>
    <row r="7422" spans="1:12">
      <c r="A7422" s="72"/>
      <c r="B7422" s="162"/>
      <c r="C7422" s="131"/>
      <c r="D7422" s="131"/>
      <c r="E7422" s="131"/>
      <c r="F7422" s="131"/>
      <c r="G7422" s="9"/>
      <c r="H7422" s="131"/>
      <c r="I7422" s="131"/>
      <c r="J7422" s="131"/>
      <c r="K7422" s="131"/>
      <c r="L7422" s="184"/>
    </row>
    <row r="7423" spans="1:12">
      <c r="A7423" s="72"/>
      <c r="B7423" s="93"/>
      <c r="C7423" s="106"/>
      <c r="D7423" s="106"/>
      <c r="E7423" s="106"/>
      <c r="F7423" s="106"/>
      <c r="G7423" s="9"/>
      <c r="H7423" s="106"/>
      <c r="I7423" s="106"/>
      <c r="J7423" s="106"/>
      <c r="K7423" s="106"/>
      <c r="L7423" s="109"/>
    </row>
    <row r="7424" spans="1:12">
      <c r="A7424" s="72"/>
      <c r="B7424" s="93"/>
      <c r="C7424" s="106"/>
      <c r="D7424" s="106"/>
      <c r="E7424" s="137"/>
      <c r="F7424" s="106"/>
      <c r="G7424" s="9"/>
      <c r="H7424" s="106"/>
      <c r="I7424" s="106"/>
      <c r="J7424" s="106"/>
      <c r="K7424" s="106"/>
      <c r="L7424" s="109"/>
    </row>
    <row r="7425" spans="1:12">
      <c r="A7425" s="72"/>
      <c r="B7425" s="162"/>
      <c r="C7425" s="131"/>
      <c r="D7425" s="131"/>
      <c r="E7425" s="131"/>
      <c r="F7425" s="131"/>
      <c r="G7425" s="9"/>
      <c r="H7425" s="131"/>
      <c r="I7425" s="131"/>
      <c r="J7425" s="131"/>
      <c r="K7425" s="131"/>
      <c r="L7425" s="184"/>
    </row>
    <row r="7426" spans="1:12">
      <c r="A7426" s="72"/>
      <c r="B7426" s="93"/>
      <c r="C7426" s="157"/>
      <c r="D7426" s="106"/>
      <c r="E7426" s="157"/>
      <c r="F7426" s="106"/>
      <c r="G7426" s="9"/>
      <c r="H7426" s="157"/>
      <c r="I7426" s="106"/>
      <c r="J7426" s="106"/>
      <c r="K7426" s="106"/>
      <c r="L7426" s="109"/>
    </row>
    <row r="7427" spans="1:12">
      <c r="A7427" s="72"/>
      <c r="B7427" s="93"/>
      <c r="C7427" s="157"/>
      <c r="D7427" s="106"/>
      <c r="E7427" s="157"/>
      <c r="F7427" s="106"/>
      <c r="G7427" s="9"/>
      <c r="H7427" s="157"/>
      <c r="I7427" s="106"/>
      <c r="J7427" s="106"/>
      <c r="K7427" s="106"/>
      <c r="L7427" s="109"/>
    </row>
    <row r="7428" spans="1:12">
      <c r="A7428" s="72"/>
      <c r="B7428" s="156"/>
      <c r="C7428" s="157"/>
      <c r="D7428" s="157"/>
      <c r="E7428" s="157"/>
      <c r="F7428" s="157"/>
      <c r="G7428" s="9"/>
      <c r="H7428" s="157"/>
      <c r="I7428" s="157"/>
      <c r="J7428" s="157"/>
      <c r="K7428" s="137"/>
      <c r="L7428" s="193"/>
    </row>
    <row r="7429" spans="1:12">
      <c r="A7429" s="72"/>
      <c r="B7429" s="93"/>
      <c r="C7429" s="106"/>
      <c r="D7429" s="106"/>
      <c r="E7429" s="106"/>
      <c r="F7429" s="106"/>
      <c r="G7429" s="9"/>
      <c r="H7429" s="106"/>
      <c r="I7429" s="106"/>
      <c r="J7429" s="106"/>
      <c r="K7429" s="106"/>
      <c r="L7429" s="109"/>
    </row>
    <row r="7430" spans="1:12">
      <c r="A7430" s="72"/>
      <c r="B7430" s="147"/>
      <c r="C7430" s="111"/>
      <c r="D7430" s="106"/>
      <c r="E7430" s="111"/>
      <c r="F7430" s="111"/>
      <c r="G7430" s="9"/>
      <c r="H7430" s="111"/>
      <c r="I7430" s="111"/>
      <c r="J7430" s="111"/>
      <c r="K7430" s="111"/>
      <c r="L7430" s="114"/>
    </row>
    <row r="7431" spans="1:12">
      <c r="A7431" s="72"/>
      <c r="B7431" s="93"/>
      <c r="C7431" s="106"/>
      <c r="D7431" s="106"/>
      <c r="E7431" s="106"/>
      <c r="F7431" s="106"/>
      <c r="G7431" s="9"/>
      <c r="H7431" s="106"/>
      <c r="I7431" s="106"/>
      <c r="J7431" s="106"/>
      <c r="K7431" s="106"/>
      <c r="L7431" s="109"/>
    </row>
    <row r="7432" spans="1:12">
      <c r="A7432" s="72"/>
      <c r="B7432" s="93"/>
      <c r="C7432" s="106"/>
      <c r="D7432" s="106"/>
      <c r="E7432" s="106"/>
      <c r="F7432" s="150"/>
      <c r="G7432" s="9"/>
      <c r="H7432" s="106"/>
      <c r="I7432" s="106"/>
      <c r="J7432" s="106"/>
      <c r="K7432" s="157"/>
      <c r="L7432" s="109"/>
    </row>
    <row r="7433" spans="1:12">
      <c r="A7433" s="72"/>
      <c r="B7433" s="93"/>
      <c r="C7433" s="106"/>
      <c r="D7433" s="106"/>
      <c r="E7433" s="106"/>
      <c r="F7433" s="106"/>
      <c r="G7433" s="9"/>
      <c r="H7433" s="106"/>
      <c r="I7433" s="106"/>
      <c r="J7433" s="106"/>
      <c r="K7433" s="157"/>
      <c r="L7433" s="109"/>
    </row>
    <row r="7434" spans="1:12">
      <c r="A7434" s="72"/>
      <c r="B7434" s="93"/>
      <c r="C7434" s="106"/>
      <c r="D7434" s="106"/>
      <c r="E7434" s="106"/>
      <c r="F7434" s="106"/>
      <c r="G7434" s="9"/>
      <c r="H7434" s="106"/>
      <c r="I7434" s="106"/>
      <c r="J7434" s="106"/>
      <c r="K7434" s="157"/>
      <c r="L7434" s="109"/>
    </row>
    <row r="7435" spans="1:12">
      <c r="A7435" s="72"/>
      <c r="B7435" s="93"/>
      <c r="C7435" s="157"/>
      <c r="D7435" s="106"/>
      <c r="E7435" s="157"/>
      <c r="F7435" s="106"/>
      <c r="G7435" s="9"/>
      <c r="H7435" s="157"/>
      <c r="I7435" s="106"/>
      <c r="J7435" s="106"/>
      <c r="K7435" s="106"/>
      <c r="L7435" s="160"/>
    </row>
    <row r="7436" spans="1:12">
      <c r="A7436" s="72"/>
      <c r="B7436" s="156"/>
      <c r="C7436" s="157"/>
      <c r="D7436" s="157"/>
      <c r="E7436" s="157"/>
      <c r="F7436" s="157"/>
      <c r="G7436" s="9"/>
      <c r="H7436" s="157"/>
      <c r="I7436" s="157"/>
      <c r="J7436" s="157"/>
      <c r="K7436" s="106"/>
      <c r="L7436" s="168"/>
    </row>
    <row r="7437" spans="1:12">
      <c r="A7437" s="72"/>
      <c r="B7437" s="93"/>
      <c r="C7437" s="157"/>
      <c r="D7437" s="106"/>
      <c r="E7437" s="157"/>
      <c r="F7437" s="150"/>
      <c r="G7437" s="9"/>
      <c r="H7437" s="157"/>
      <c r="I7437" s="106"/>
      <c r="J7437" s="106"/>
      <c r="K7437" s="106"/>
      <c r="L7437" s="134"/>
    </row>
    <row r="7438" spans="1:12">
      <c r="A7438" s="72"/>
      <c r="B7438" s="105"/>
      <c r="C7438" s="106"/>
      <c r="D7438" s="106"/>
      <c r="E7438" s="106"/>
      <c r="F7438" s="106"/>
      <c r="G7438" s="9"/>
      <c r="H7438" s="106"/>
      <c r="I7438" s="106"/>
      <c r="J7438" s="106"/>
      <c r="K7438" s="106"/>
      <c r="L7438" s="109"/>
    </row>
    <row r="7439" spans="1:12">
      <c r="A7439" s="72"/>
      <c r="B7439" s="93"/>
      <c r="C7439" s="106"/>
      <c r="D7439" s="106"/>
      <c r="E7439" s="106"/>
      <c r="F7439" s="106"/>
      <c r="G7439" s="9"/>
      <c r="H7439" s="106"/>
      <c r="I7439" s="106"/>
      <c r="J7439" s="106"/>
      <c r="K7439" s="106"/>
      <c r="L7439" s="109"/>
    </row>
    <row r="7440" spans="1:12">
      <c r="A7440" s="72"/>
      <c r="B7440" s="93"/>
      <c r="C7440" s="106"/>
      <c r="D7440" s="106"/>
      <c r="E7440" s="106"/>
      <c r="F7440" s="106"/>
      <c r="G7440" s="9"/>
      <c r="H7440" s="106"/>
      <c r="I7440" s="106"/>
      <c r="J7440" s="106"/>
      <c r="K7440" s="106"/>
      <c r="L7440" s="109"/>
    </row>
    <row r="7441" spans="1:12">
      <c r="A7441" s="72"/>
      <c r="B7441" s="147"/>
      <c r="C7441" s="111"/>
      <c r="D7441" s="106"/>
      <c r="E7441" s="111"/>
      <c r="F7441" s="111"/>
      <c r="G7441" s="9"/>
      <c r="H7441" s="111"/>
      <c r="I7441" s="111"/>
      <c r="J7441" s="111"/>
      <c r="K7441" s="111"/>
      <c r="L7441" s="114"/>
    </row>
    <row r="7442" spans="1:12">
      <c r="A7442" s="72"/>
      <c r="B7442" s="93"/>
      <c r="C7442" s="106"/>
      <c r="D7442" s="106"/>
      <c r="E7442" s="106"/>
      <c r="F7442" s="106"/>
      <c r="G7442" s="9"/>
      <c r="H7442" s="106"/>
      <c r="I7442" s="106"/>
      <c r="J7442" s="106"/>
      <c r="K7442" s="106"/>
      <c r="L7442" s="109"/>
    </row>
    <row r="7443" spans="1:12">
      <c r="A7443" s="72"/>
      <c r="B7443" s="93"/>
      <c r="C7443" s="175"/>
      <c r="D7443" s="106"/>
      <c r="E7443" s="106"/>
      <c r="F7443" s="106"/>
      <c r="G7443" s="9"/>
      <c r="H7443" s="106"/>
      <c r="I7443" s="106"/>
      <c r="J7443" s="106"/>
      <c r="K7443" s="106"/>
      <c r="L7443" s="109"/>
    </row>
    <row r="7444" spans="1:12">
      <c r="A7444" s="72"/>
      <c r="B7444" s="93"/>
      <c r="C7444" s="106"/>
      <c r="D7444" s="106"/>
      <c r="E7444" s="106"/>
      <c r="F7444" s="106"/>
      <c r="G7444" s="9"/>
      <c r="H7444" s="106"/>
      <c r="I7444" s="106"/>
      <c r="J7444" s="106"/>
      <c r="K7444" s="106"/>
      <c r="L7444" s="109"/>
    </row>
    <row r="7445" spans="1:12">
      <c r="A7445" s="72"/>
      <c r="B7445" s="147"/>
      <c r="C7445" s="111"/>
      <c r="D7445" s="111"/>
      <c r="E7445" s="111"/>
      <c r="F7445" s="111"/>
      <c r="G7445" s="9"/>
      <c r="H7445" s="111"/>
      <c r="I7445" s="111"/>
      <c r="J7445" s="111"/>
      <c r="K7445" s="111"/>
      <c r="L7445" s="114"/>
    </row>
    <row r="7446" spans="1:12">
      <c r="A7446" s="72"/>
      <c r="B7446" s="93"/>
      <c r="C7446" s="106"/>
      <c r="D7446" s="106"/>
      <c r="E7446" s="106"/>
      <c r="F7446" s="106"/>
      <c r="G7446" s="9"/>
      <c r="H7446" s="106"/>
      <c r="I7446" s="106"/>
      <c r="J7446" s="106"/>
      <c r="K7446" s="106"/>
      <c r="L7446" s="109"/>
    </row>
    <row r="7447" spans="1:12">
      <c r="A7447" s="72"/>
      <c r="B7447" s="93"/>
      <c r="C7447" s="106"/>
      <c r="D7447" s="106"/>
      <c r="E7447" s="106"/>
      <c r="F7447" s="106"/>
      <c r="G7447" s="9"/>
      <c r="H7447" s="106"/>
      <c r="I7447" s="106"/>
      <c r="J7447" s="106"/>
      <c r="K7447" s="106"/>
      <c r="L7447" s="134"/>
    </row>
    <row r="7448" spans="1:12">
      <c r="A7448" s="72"/>
      <c r="B7448" s="93"/>
      <c r="C7448" s="106"/>
      <c r="D7448" s="106"/>
      <c r="E7448" s="108"/>
      <c r="F7448" s="108"/>
      <c r="G7448" s="9"/>
      <c r="H7448" s="150"/>
      <c r="I7448" s="93"/>
      <c r="J7448" s="106"/>
      <c r="K7448" s="106"/>
      <c r="L7448" s="134"/>
    </row>
    <row r="7449" spans="1:12">
      <c r="A7449" s="72"/>
      <c r="B7449" s="93"/>
      <c r="C7449" s="106"/>
      <c r="D7449" s="106"/>
      <c r="E7449" s="106"/>
      <c r="F7449" s="108"/>
      <c r="G7449" s="9"/>
      <c r="H7449" s="106"/>
      <c r="I7449" s="106"/>
      <c r="J7449" s="106"/>
      <c r="K7449" s="106"/>
      <c r="L7449" s="132"/>
    </row>
    <row r="7450" spans="1:12">
      <c r="A7450" s="72"/>
      <c r="B7450" s="93"/>
      <c r="C7450" s="106"/>
      <c r="D7450" s="106"/>
      <c r="E7450" s="106"/>
      <c r="F7450" s="108"/>
      <c r="G7450" s="9"/>
      <c r="H7450" s="106"/>
      <c r="I7450" s="106"/>
      <c r="J7450" s="106"/>
      <c r="K7450" s="106"/>
      <c r="L7450" s="149"/>
    </row>
    <row r="7451" spans="1:12">
      <c r="A7451" s="72"/>
      <c r="B7451" s="93"/>
      <c r="C7451" s="106"/>
      <c r="D7451" s="106"/>
      <c r="E7451" s="106"/>
      <c r="F7451" s="106"/>
      <c r="G7451" s="9"/>
      <c r="H7451" s="106"/>
      <c r="I7451" s="106"/>
      <c r="J7451" s="106"/>
      <c r="K7451" s="106"/>
      <c r="L7451" s="149"/>
    </row>
    <row r="7452" spans="1:12">
      <c r="A7452" s="72"/>
      <c r="B7452" s="93"/>
      <c r="C7452" s="106"/>
      <c r="D7452" s="106"/>
      <c r="E7452" s="108"/>
      <c r="F7452" s="106"/>
      <c r="G7452" s="9"/>
      <c r="H7452" s="106"/>
      <c r="I7452" s="106"/>
      <c r="J7452" s="106"/>
      <c r="K7452" s="106"/>
      <c r="L7452" s="109"/>
    </row>
    <row r="7453" spans="1:12">
      <c r="A7453" s="72"/>
      <c r="B7453" s="9"/>
      <c r="C7453" s="10"/>
      <c r="D7453" s="10"/>
      <c r="E7453" s="11"/>
      <c r="F7453" s="11"/>
      <c r="G7453" s="9"/>
      <c r="H7453" s="12"/>
      <c r="I7453" s="10"/>
      <c r="J7453" s="222"/>
      <c r="K7453" s="12"/>
      <c r="L7453" s="15"/>
    </row>
    <row r="7454" spans="1:12">
      <c r="A7454" s="72"/>
      <c r="B7454" s="9"/>
      <c r="C7454" s="10"/>
      <c r="D7454" s="10"/>
      <c r="E7454" s="11"/>
      <c r="F7454" s="11"/>
      <c r="G7454" s="9"/>
      <c r="H7454" s="12"/>
      <c r="I7454" s="10"/>
      <c r="J7454" s="223"/>
      <c r="K7454" s="12"/>
      <c r="L7454" s="15"/>
    </row>
    <row r="7455" spans="1:12">
      <c r="A7455" s="72"/>
      <c r="B7455" s="93"/>
      <c r="C7455" s="106"/>
      <c r="D7455" s="106"/>
      <c r="E7455" s="106"/>
      <c r="F7455" s="106"/>
      <c r="G7455" s="9"/>
      <c r="H7455" s="106"/>
      <c r="I7455" s="106"/>
      <c r="J7455" s="106"/>
      <c r="K7455" s="106"/>
      <c r="L7455" s="149"/>
    </row>
    <row r="7456" spans="1:12">
      <c r="A7456" s="72"/>
      <c r="B7456" s="93"/>
      <c r="C7456" s="106"/>
      <c r="D7456" s="106"/>
      <c r="E7456" s="106"/>
      <c r="F7456" s="106"/>
      <c r="G7456" s="9"/>
      <c r="H7456" s="106"/>
      <c r="I7456" s="106"/>
      <c r="J7456" s="106"/>
      <c r="K7456" s="106"/>
      <c r="L7456" s="109"/>
    </row>
    <row r="7457" spans="1:12">
      <c r="A7457" s="72"/>
      <c r="B7457" s="93"/>
      <c r="C7457" s="106"/>
      <c r="D7457" s="106"/>
      <c r="E7457" s="106"/>
      <c r="F7457" s="106"/>
      <c r="G7457" s="9"/>
      <c r="H7457" s="106"/>
      <c r="I7457" s="106"/>
      <c r="J7457" s="106"/>
      <c r="K7457" s="185"/>
      <c r="L7457" s="149"/>
    </row>
    <row r="7458" spans="1:12">
      <c r="A7458" s="72"/>
      <c r="B7458" s="93"/>
      <c r="C7458" s="106"/>
      <c r="D7458" s="106"/>
      <c r="E7458" s="106"/>
      <c r="F7458" s="106"/>
      <c r="G7458" s="9"/>
      <c r="H7458" s="106"/>
      <c r="I7458" s="106"/>
      <c r="J7458" s="106"/>
      <c r="K7458" s="106"/>
      <c r="L7458" s="149"/>
    </row>
    <row r="7459" spans="1:12">
      <c r="A7459" s="72"/>
      <c r="B7459" s="147"/>
      <c r="C7459" s="111"/>
      <c r="D7459" s="111"/>
      <c r="E7459" s="111"/>
      <c r="F7459" s="111"/>
      <c r="G7459" s="9"/>
      <c r="H7459" s="111"/>
      <c r="I7459" s="111"/>
      <c r="J7459" s="111"/>
      <c r="K7459" s="111"/>
      <c r="L7459" s="149"/>
    </row>
    <row r="7460" spans="1:12">
      <c r="A7460" s="72"/>
      <c r="B7460" s="93"/>
      <c r="C7460" s="175"/>
      <c r="D7460" s="106"/>
      <c r="E7460" s="106"/>
      <c r="F7460" s="106"/>
      <c r="G7460" s="9"/>
      <c r="H7460" s="106"/>
      <c r="I7460" s="106"/>
      <c r="J7460" s="106"/>
      <c r="K7460" s="106"/>
      <c r="L7460" s="149"/>
    </row>
    <row r="7461" spans="1:12">
      <c r="A7461" s="72"/>
      <c r="B7461" s="93"/>
      <c r="C7461" s="106"/>
      <c r="D7461" s="106"/>
      <c r="E7461" s="106"/>
      <c r="F7461" s="106"/>
      <c r="G7461" s="9"/>
      <c r="H7461" s="150"/>
      <c r="I7461" s="93"/>
      <c r="J7461" s="106"/>
      <c r="K7461" s="106"/>
      <c r="L7461" s="109"/>
    </row>
    <row r="7462" spans="1:12">
      <c r="A7462" s="72"/>
      <c r="B7462" s="147"/>
      <c r="C7462" s="111"/>
      <c r="D7462" s="111"/>
      <c r="E7462" s="111"/>
      <c r="F7462" s="111"/>
      <c r="G7462" s="9"/>
      <c r="H7462" s="150"/>
      <c r="I7462" s="147"/>
      <c r="J7462" s="111"/>
      <c r="K7462" s="111"/>
      <c r="L7462" s="114"/>
    </row>
    <row r="7463" spans="1:12">
      <c r="A7463" s="72"/>
      <c r="B7463" s="93"/>
      <c r="C7463" s="106"/>
      <c r="D7463" s="106"/>
      <c r="E7463" s="106"/>
      <c r="F7463" s="106"/>
      <c r="G7463" s="9"/>
      <c r="H7463" s="150"/>
      <c r="I7463" s="93"/>
      <c r="J7463" s="106"/>
      <c r="K7463" s="106"/>
      <c r="L7463" s="109"/>
    </row>
    <row r="7464" spans="1:12">
      <c r="A7464" s="72"/>
      <c r="B7464" s="147"/>
      <c r="C7464" s="111"/>
      <c r="D7464" s="111"/>
      <c r="E7464" s="111"/>
      <c r="F7464" s="111"/>
      <c r="G7464" s="9"/>
      <c r="H7464" s="150"/>
      <c r="I7464" s="147"/>
      <c r="J7464" s="111"/>
      <c r="K7464" s="111"/>
      <c r="L7464" s="114"/>
    </row>
    <row r="7465" spans="1:12">
      <c r="A7465" s="72"/>
      <c r="B7465" s="93"/>
      <c r="C7465" s="106"/>
      <c r="D7465" s="106"/>
      <c r="E7465" s="106"/>
      <c r="F7465" s="106"/>
      <c r="G7465" s="9"/>
      <c r="H7465" s="106"/>
      <c r="I7465" s="106"/>
      <c r="J7465" s="106"/>
      <c r="K7465" s="106"/>
      <c r="L7465" s="109"/>
    </row>
    <row r="7466" spans="1:12">
      <c r="A7466" s="72"/>
      <c r="B7466" s="147"/>
      <c r="C7466" s="111"/>
      <c r="D7466" s="106"/>
      <c r="E7466" s="111"/>
      <c r="F7466" s="111"/>
      <c r="G7466" s="9"/>
      <c r="H7466" s="111"/>
      <c r="I7466" s="111"/>
      <c r="J7466" s="111"/>
      <c r="K7466" s="111"/>
      <c r="L7466" s="114"/>
    </row>
    <row r="7467" spans="1:12">
      <c r="A7467" s="72"/>
      <c r="B7467" s="93"/>
      <c r="C7467" s="106"/>
      <c r="D7467" s="106"/>
      <c r="E7467" s="150"/>
      <c r="F7467" s="93"/>
      <c r="G7467" s="9"/>
      <c r="H7467" s="150"/>
      <c r="I7467" s="93"/>
      <c r="J7467" s="106"/>
      <c r="K7467" s="106"/>
      <c r="L7467" s="109"/>
    </row>
    <row r="7468" spans="1:12">
      <c r="A7468" s="72"/>
      <c r="B7468" s="93"/>
      <c r="C7468" s="106"/>
      <c r="D7468" s="106"/>
      <c r="E7468" s="106"/>
      <c r="F7468" s="106"/>
      <c r="G7468" s="9"/>
      <c r="H7468" s="106"/>
      <c r="I7468" s="106"/>
      <c r="J7468" s="106"/>
      <c r="K7468" s="106"/>
      <c r="L7468" s="109"/>
    </row>
    <row r="7469" spans="1:12">
      <c r="A7469" s="72"/>
      <c r="B7469" s="93"/>
      <c r="C7469" s="106"/>
      <c r="D7469" s="106"/>
      <c r="E7469" s="106"/>
      <c r="F7469" s="106"/>
      <c r="G7469" s="9"/>
      <c r="H7469" s="150"/>
      <c r="I7469" s="93"/>
      <c r="J7469" s="106"/>
      <c r="K7469" s="106"/>
      <c r="L7469" s="109"/>
    </row>
    <row r="7470" spans="1:12">
      <c r="A7470" s="72"/>
      <c r="B7470" s="93"/>
      <c r="C7470" s="106"/>
      <c r="D7470" s="106"/>
      <c r="E7470" s="106"/>
      <c r="F7470" s="106"/>
      <c r="G7470" s="9"/>
      <c r="H7470" s="106"/>
      <c r="I7470" s="106"/>
      <c r="J7470" s="106"/>
      <c r="K7470" s="106"/>
      <c r="L7470" s="109"/>
    </row>
    <row r="7471" spans="1:12">
      <c r="A7471" s="72"/>
      <c r="B7471" s="147"/>
      <c r="C7471" s="111"/>
      <c r="D7471" s="111"/>
      <c r="E7471" s="111"/>
      <c r="F7471" s="111"/>
      <c r="G7471" s="9"/>
      <c r="H7471" s="111"/>
      <c r="I7471" s="111"/>
      <c r="J7471" s="111"/>
      <c r="K7471" s="111"/>
      <c r="L7471" s="114"/>
    </row>
    <row r="7472" spans="1:12">
      <c r="A7472" s="72"/>
      <c r="B7472" s="93"/>
      <c r="C7472" s="106"/>
      <c r="D7472" s="106"/>
      <c r="E7472" s="106"/>
      <c r="F7472" s="106"/>
      <c r="G7472" s="9"/>
      <c r="H7472" s="106"/>
      <c r="I7472" s="106"/>
      <c r="J7472" s="106"/>
      <c r="K7472" s="106"/>
      <c r="L7472" s="109"/>
    </row>
    <row r="7473" spans="1:12">
      <c r="A7473" s="72"/>
      <c r="B7473" s="147"/>
      <c r="C7473" s="111"/>
      <c r="D7473" s="111"/>
      <c r="E7473" s="111"/>
      <c r="F7473" s="111"/>
      <c r="G7473" s="9"/>
      <c r="H7473" s="111"/>
      <c r="I7473" s="111"/>
      <c r="J7473" s="111"/>
      <c r="K7473" s="111"/>
      <c r="L7473" s="114"/>
    </row>
    <row r="7474" spans="1:12">
      <c r="A7474" s="72"/>
      <c r="B7474" s="93"/>
      <c r="C7474" s="106"/>
      <c r="D7474" s="106"/>
      <c r="E7474" s="106"/>
      <c r="F7474" s="106"/>
      <c r="G7474" s="9"/>
      <c r="H7474" s="106"/>
      <c r="I7474" s="106"/>
      <c r="J7474" s="106"/>
      <c r="K7474" s="106"/>
      <c r="L7474" s="109"/>
    </row>
    <row r="7475" spans="1:12">
      <c r="A7475" s="72"/>
      <c r="B7475" s="93"/>
      <c r="C7475" s="106"/>
      <c r="D7475" s="106"/>
      <c r="E7475" s="137"/>
      <c r="F7475" s="106"/>
      <c r="G7475" s="9"/>
      <c r="H7475" s="106"/>
      <c r="I7475" s="106"/>
      <c r="J7475" s="106"/>
      <c r="K7475" s="106"/>
      <c r="L7475" s="109"/>
    </row>
    <row r="7476" spans="1:12">
      <c r="A7476" s="72"/>
      <c r="B7476" s="93"/>
      <c r="C7476" s="106"/>
      <c r="D7476" s="224"/>
      <c r="E7476" s="106"/>
      <c r="F7476" s="106"/>
      <c r="G7476" s="9"/>
      <c r="H7476" s="106"/>
      <c r="I7476" s="106"/>
      <c r="J7476" s="106"/>
      <c r="K7476" s="106"/>
      <c r="L7476" s="109"/>
    </row>
    <row r="7477" spans="1:12">
      <c r="A7477" s="72"/>
      <c r="B7477" s="93"/>
      <c r="C7477" s="106"/>
      <c r="D7477" s="106"/>
      <c r="E7477" s="106"/>
      <c r="F7477" s="106"/>
      <c r="G7477" s="9"/>
      <c r="H7477" s="106"/>
      <c r="I7477" s="106"/>
      <c r="J7477" s="106"/>
      <c r="K7477" s="106"/>
      <c r="L7477" s="109"/>
    </row>
    <row r="7478" spans="1:12">
      <c r="A7478" s="72"/>
      <c r="B7478" s="162"/>
      <c r="C7478" s="131"/>
      <c r="D7478" s="131"/>
      <c r="E7478" s="131"/>
      <c r="F7478" s="131"/>
      <c r="G7478" s="9"/>
      <c r="H7478" s="131"/>
      <c r="I7478" s="131"/>
      <c r="J7478" s="131"/>
      <c r="K7478" s="131"/>
      <c r="L7478" s="184"/>
    </row>
    <row r="7479" spans="1:12">
      <c r="A7479" s="72"/>
      <c r="B7479" s="196"/>
      <c r="C7479" s="157"/>
      <c r="D7479" s="199"/>
      <c r="E7479" s="196"/>
      <c r="F7479" s="159"/>
      <c r="G7479" s="9"/>
      <c r="H7479" s="159"/>
      <c r="I7479" s="159"/>
      <c r="J7479" s="159"/>
      <c r="K7479" s="157"/>
      <c r="L7479" s="160"/>
    </row>
    <row r="7480" spans="1:12">
      <c r="A7480" s="72"/>
      <c r="B7480" s="225"/>
      <c r="C7480" s="164"/>
      <c r="D7480" s="199"/>
      <c r="E7480" s="225"/>
      <c r="F7480" s="166"/>
      <c r="G7480" s="9"/>
      <c r="H7480" s="166"/>
      <c r="I7480" s="166"/>
      <c r="J7480" s="166"/>
      <c r="K7480" s="164"/>
      <c r="L7480" s="167"/>
    </row>
    <row r="7481" spans="1:12">
      <c r="A7481" s="72"/>
      <c r="B7481" s="196"/>
      <c r="C7481" s="157"/>
      <c r="D7481" s="197"/>
      <c r="E7481" s="196"/>
      <c r="F7481" s="159"/>
      <c r="G7481" s="9"/>
      <c r="H7481" s="159"/>
      <c r="I7481" s="159"/>
      <c r="J7481" s="159"/>
      <c r="K7481" s="157"/>
      <c r="L7481" s="160"/>
    </row>
    <row r="7482" spans="1:12">
      <c r="A7482" s="72"/>
      <c r="B7482" s="196"/>
      <c r="C7482" s="157"/>
      <c r="D7482" s="197"/>
      <c r="E7482" s="196"/>
      <c r="F7482" s="159"/>
      <c r="G7482" s="9"/>
      <c r="H7482" s="159"/>
      <c r="I7482" s="159"/>
      <c r="J7482" s="159"/>
      <c r="K7482" s="157"/>
      <c r="L7482" s="160"/>
    </row>
    <row r="7483" spans="1:12">
      <c r="A7483" s="72"/>
      <c r="B7483" s="196"/>
      <c r="C7483" s="157"/>
      <c r="D7483" s="199"/>
      <c r="E7483" s="196"/>
      <c r="F7483" s="159"/>
      <c r="G7483" s="9"/>
      <c r="H7483" s="159"/>
      <c r="I7483" s="159"/>
      <c r="J7483" s="159"/>
      <c r="K7483" s="157"/>
      <c r="L7483" s="160"/>
    </row>
    <row r="7484" spans="1:12">
      <c r="A7484" s="72"/>
      <c r="B7484" s="93"/>
      <c r="C7484" s="106"/>
      <c r="D7484" s="106"/>
      <c r="E7484" s="106"/>
      <c r="F7484" s="106"/>
      <c r="G7484" s="9"/>
      <c r="H7484" s="106"/>
      <c r="I7484" s="106"/>
      <c r="J7484" s="106"/>
      <c r="K7484" s="106"/>
      <c r="L7484" s="109"/>
    </row>
    <row r="7485" spans="1:12">
      <c r="A7485" s="72"/>
      <c r="B7485" s="93"/>
      <c r="C7485" s="106"/>
      <c r="D7485" s="106"/>
      <c r="E7485" s="106"/>
      <c r="F7485" s="106"/>
      <c r="G7485" s="9"/>
      <c r="H7485" s="106"/>
      <c r="I7485" s="106"/>
      <c r="J7485" s="106"/>
      <c r="K7485" s="106"/>
      <c r="L7485" s="109"/>
    </row>
    <row r="7486" spans="1:12">
      <c r="A7486" s="72"/>
      <c r="B7486" s="93"/>
      <c r="C7486" s="106"/>
      <c r="D7486" s="106"/>
      <c r="E7486" s="106"/>
      <c r="F7486" s="106"/>
      <c r="G7486" s="9"/>
      <c r="H7486" s="106"/>
      <c r="I7486" s="106"/>
      <c r="J7486" s="106"/>
      <c r="K7486" s="106"/>
      <c r="L7486" s="109"/>
    </row>
    <row r="7487" spans="1:12">
      <c r="A7487" s="72"/>
      <c r="B7487" s="162"/>
      <c r="C7487" s="131"/>
      <c r="D7487" s="106"/>
      <c r="E7487" s="106"/>
      <c r="F7487" s="106"/>
      <c r="G7487" s="9"/>
      <c r="H7487" s="131"/>
      <c r="I7487" s="131"/>
      <c r="J7487" s="106"/>
      <c r="K7487" s="131"/>
      <c r="L7487" s="109"/>
    </row>
    <row r="7488" spans="1:12">
      <c r="A7488" s="72"/>
      <c r="B7488" s="93"/>
      <c r="C7488" s="106"/>
      <c r="D7488" s="106"/>
      <c r="E7488" s="106"/>
      <c r="F7488" s="180"/>
      <c r="G7488" s="9"/>
      <c r="H7488" s="106"/>
      <c r="I7488" s="106"/>
      <c r="J7488" s="106"/>
      <c r="K7488" s="106"/>
      <c r="L7488" s="109"/>
    </row>
    <row r="7489" spans="1:12">
      <c r="A7489" s="72"/>
      <c r="B7489" s="147"/>
      <c r="C7489" s="111"/>
      <c r="D7489" s="106"/>
      <c r="E7489" s="111"/>
      <c r="F7489" s="52"/>
      <c r="G7489" s="9"/>
      <c r="H7489" s="111"/>
      <c r="I7489" s="111"/>
      <c r="J7489" s="111"/>
      <c r="K7489" s="111"/>
      <c r="L7489" s="114"/>
    </row>
    <row r="7490" spans="1:12">
      <c r="A7490" s="72"/>
      <c r="B7490" s="93"/>
      <c r="C7490" s="106"/>
      <c r="D7490" s="106"/>
      <c r="E7490" s="106"/>
      <c r="F7490" s="180"/>
      <c r="G7490" s="9"/>
      <c r="H7490" s="106"/>
      <c r="I7490" s="106"/>
      <c r="J7490" s="106"/>
      <c r="K7490" s="106"/>
      <c r="L7490" s="109"/>
    </row>
    <row r="7491" spans="1:12">
      <c r="A7491" s="72"/>
      <c r="B7491" s="147"/>
      <c r="C7491" s="111"/>
      <c r="D7491" s="106"/>
      <c r="E7491" s="111"/>
      <c r="F7491" s="52"/>
      <c r="G7491" s="9"/>
      <c r="H7491" s="111"/>
      <c r="I7491" s="111"/>
      <c r="J7491" s="111"/>
      <c r="K7491" s="111"/>
      <c r="L7491" s="114"/>
    </row>
    <row r="7492" spans="1:12">
      <c r="A7492" s="72"/>
      <c r="B7492" s="93"/>
      <c r="C7492" s="106"/>
      <c r="D7492" s="106"/>
      <c r="E7492" s="106"/>
      <c r="F7492" s="180"/>
      <c r="G7492" s="9"/>
      <c r="H7492" s="106"/>
      <c r="I7492" s="106"/>
      <c r="J7492" s="106"/>
      <c r="K7492" s="106"/>
      <c r="L7492" s="109"/>
    </row>
    <row r="7493" spans="1:12">
      <c r="A7493" s="72"/>
      <c r="B7493" s="147"/>
      <c r="C7493" s="111"/>
      <c r="D7493" s="111"/>
      <c r="E7493" s="111"/>
      <c r="F7493" s="52"/>
      <c r="G7493" s="9"/>
      <c r="H7493" s="111"/>
      <c r="I7493" s="111"/>
      <c r="J7493" s="111"/>
      <c r="K7493" s="111"/>
      <c r="L7493" s="114"/>
    </row>
    <row r="7494" spans="1:12">
      <c r="A7494" s="72"/>
      <c r="B7494" s="93"/>
      <c r="C7494" s="106"/>
      <c r="D7494" s="106"/>
      <c r="E7494" s="106"/>
      <c r="F7494" s="180"/>
      <c r="G7494" s="9"/>
      <c r="H7494" s="106"/>
      <c r="I7494" s="106"/>
      <c r="J7494" s="106"/>
      <c r="K7494" s="106"/>
      <c r="L7494" s="109"/>
    </row>
    <row r="7495" spans="1:12">
      <c r="A7495" s="72"/>
      <c r="B7495" s="147"/>
      <c r="C7495" s="111"/>
      <c r="D7495" s="106"/>
      <c r="E7495" s="111"/>
      <c r="F7495" s="52"/>
      <c r="G7495" s="9"/>
      <c r="H7495" s="111"/>
      <c r="I7495" s="111"/>
      <c r="J7495" s="111"/>
      <c r="K7495" s="111"/>
      <c r="L7495" s="114"/>
    </row>
    <row r="7496" spans="1:12">
      <c r="A7496" s="72"/>
      <c r="B7496" s="196"/>
      <c r="C7496" s="157"/>
      <c r="D7496" s="199"/>
      <c r="E7496" s="196"/>
      <c r="F7496" s="159"/>
      <c r="G7496" s="9"/>
      <c r="H7496" s="159"/>
      <c r="I7496" s="159"/>
      <c r="J7496" s="159"/>
      <c r="K7496" s="157"/>
      <c r="L7496" s="160"/>
    </row>
    <row r="7497" spans="1:12">
      <c r="A7497" s="72"/>
      <c r="B7497" s="196"/>
      <c r="C7497" s="157"/>
      <c r="D7497" s="199"/>
      <c r="E7497" s="226"/>
      <c r="F7497" s="159"/>
      <c r="G7497" s="9"/>
      <c r="H7497" s="159"/>
      <c r="I7497" s="159"/>
      <c r="J7497" s="159"/>
      <c r="K7497" s="157"/>
      <c r="L7497" s="193"/>
    </row>
    <row r="7498" spans="1:12">
      <c r="A7498" s="72"/>
      <c r="B7498" s="225"/>
      <c r="C7498" s="164"/>
      <c r="D7498" s="227"/>
      <c r="E7498" s="228"/>
      <c r="F7498" s="166"/>
      <c r="G7498" s="9"/>
      <c r="H7498" s="166"/>
      <c r="I7498" s="166"/>
      <c r="J7498" s="166"/>
      <c r="K7498" s="164"/>
      <c r="L7498" s="229"/>
    </row>
    <row r="7499" spans="1:12">
      <c r="A7499" s="72"/>
      <c r="B7499" s="196"/>
      <c r="C7499" s="157"/>
      <c r="D7499" s="197"/>
      <c r="E7499" s="196"/>
      <c r="F7499" s="159"/>
      <c r="G7499" s="9"/>
      <c r="H7499" s="159"/>
      <c r="I7499" s="159"/>
      <c r="J7499" s="159"/>
      <c r="K7499" s="157"/>
      <c r="L7499" s="160"/>
    </row>
    <row r="7500" spans="1:12">
      <c r="A7500" s="72"/>
      <c r="B7500" s="196"/>
      <c r="C7500" s="157"/>
      <c r="D7500" s="197"/>
      <c r="E7500" s="196"/>
      <c r="F7500" s="159"/>
      <c r="G7500" s="9"/>
      <c r="H7500" s="159"/>
      <c r="I7500" s="159"/>
      <c r="J7500" s="159"/>
      <c r="K7500" s="157"/>
      <c r="L7500" s="160"/>
    </row>
    <row r="7501" spans="1:12">
      <c r="A7501" s="72"/>
      <c r="B7501" s="93"/>
      <c r="C7501" s="106"/>
      <c r="D7501" s="106"/>
      <c r="E7501" s="106"/>
      <c r="F7501" s="106"/>
      <c r="G7501" s="9"/>
      <c r="H7501" s="106"/>
      <c r="I7501" s="106"/>
      <c r="J7501" s="106"/>
      <c r="K7501" s="106"/>
      <c r="L7501" s="109"/>
    </row>
    <row r="7502" spans="1:12">
      <c r="A7502" s="72"/>
      <c r="B7502" s="147"/>
      <c r="C7502" s="111"/>
      <c r="D7502" s="111"/>
      <c r="E7502" s="111"/>
      <c r="F7502" s="111"/>
      <c r="G7502" s="9"/>
      <c r="H7502" s="111"/>
      <c r="I7502" s="111"/>
      <c r="J7502" s="111"/>
      <c r="K7502" s="111"/>
      <c r="L7502" s="114"/>
    </row>
    <row r="7503" spans="1:12">
      <c r="A7503" s="72"/>
      <c r="B7503" s="93"/>
      <c r="C7503" s="106"/>
      <c r="D7503" s="106"/>
      <c r="E7503" s="137"/>
      <c r="F7503" s="106"/>
      <c r="G7503" s="9"/>
      <c r="H7503" s="106"/>
      <c r="I7503" s="106"/>
      <c r="J7503" s="106"/>
      <c r="K7503" s="106"/>
      <c r="L7503" s="109"/>
    </row>
    <row r="7504" spans="1:12">
      <c r="A7504" s="72"/>
      <c r="B7504" s="93"/>
      <c r="C7504" s="106"/>
      <c r="D7504" s="106"/>
      <c r="E7504" s="106"/>
      <c r="F7504" s="106"/>
      <c r="G7504" s="9"/>
      <c r="H7504" s="106"/>
      <c r="I7504" s="106"/>
      <c r="J7504" s="106"/>
      <c r="K7504" s="106"/>
      <c r="L7504" s="109"/>
    </row>
    <row r="7505" spans="1:12">
      <c r="A7505" s="72"/>
      <c r="B7505" s="93"/>
      <c r="C7505" s="106"/>
      <c r="D7505" s="106"/>
      <c r="E7505" s="106"/>
      <c r="F7505" s="106"/>
      <c r="G7505" s="9"/>
      <c r="H7505" s="106"/>
      <c r="I7505" s="106"/>
      <c r="J7505" s="106"/>
      <c r="K7505" s="106"/>
      <c r="L7505" s="109"/>
    </row>
    <row r="7506" spans="1:12">
      <c r="A7506" s="72"/>
      <c r="B7506" s="147"/>
      <c r="C7506" s="111"/>
      <c r="D7506" s="106"/>
      <c r="E7506" s="111"/>
      <c r="F7506" s="111"/>
      <c r="G7506" s="9"/>
      <c r="H7506" s="111"/>
      <c r="I7506" s="111"/>
      <c r="J7506" s="111"/>
      <c r="K7506" s="111"/>
      <c r="L7506" s="114"/>
    </row>
    <row r="7507" spans="1:12">
      <c r="A7507" s="72"/>
      <c r="B7507" s="93"/>
      <c r="C7507" s="106"/>
      <c r="D7507" s="106"/>
      <c r="E7507" s="106"/>
      <c r="F7507" s="106"/>
      <c r="G7507" s="9"/>
      <c r="H7507" s="150"/>
      <c r="I7507" s="162"/>
      <c r="J7507" s="106"/>
      <c r="K7507" s="106"/>
      <c r="L7507" s="109"/>
    </row>
    <row r="7508" spans="1:12">
      <c r="A7508" s="72"/>
      <c r="B7508" s="93"/>
      <c r="C7508" s="106"/>
      <c r="D7508" s="106"/>
      <c r="E7508" s="106"/>
      <c r="F7508" s="106"/>
      <c r="G7508" s="9"/>
      <c r="H7508" s="106"/>
      <c r="I7508" s="131"/>
      <c r="J7508" s="106"/>
      <c r="K7508" s="106"/>
      <c r="L7508" s="109"/>
    </row>
    <row r="7509" spans="1:12">
      <c r="A7509" s="72"/>
      <c r="B7509" s="93"/>
      <c r="C7509" s="106"/>
      <c r="D7509" s="106"/>
      <c r="E7509" s="106"/>
      <c r="F7509" s="106"/>
      <c r="G7509" s="9"/>
      <c r="H7509" s="106"/>
      <c r="I7509" s="131"/>
      <c r="J7509" s="106"/>
      <c r="K7509" s="106"/>
      <c r="L7509" s="109"/>
    </row>
    <row r="7510" spans="1:12">
      <c r="A7510" s="72"/>
      <c r="B7510" s="147"/>
      <c r="C7510" s="111"/>
      <c r="D7510" s="106"/>
      <c r="E7510" s="111"/>
      <c r="F7510" s="111"/>
      <c r="G7510" s="9"/>
      <c r="H7510" s="111"/>
      <c r="I7510" s="131"/>
      <c r="J7510" s="111"/>
      <c r="K7510" s="111"/>
      <c r="L7510" s="114"/>
    </row>
    <row r="7511" spans="1:12">
      <c r="A7511" s="72"/>
      <c r="B7511" s="147"/>
      <c r="C7511" s="111"/>
      <c r="D7511" s="106"/>
      <c r="E7511" s="111"/>
      <c r="F7511" s="111"/>
      <c r="G7511" s="9"/>
      <c r="H7511" s="111"/>
      <c r="I7511" s="131"/>
      <c r="J7511" s="111"/>
      <c r="K7511" s="111"/>
      <c r="L7511" s="114"/>
    </row>
    <row r="7512" spans="1:12">
      <c r="A7512" s="72"/>
      <c r="B7512" s="93"/>
      <c r="C7512" s="106"/>
      <c r="D7512" s="106"/>
      <c r="E7512" s="106"/>
      <c r="F7512" s="106"/>
      <c r="G7512" s="9"/>
      <c r="H7512" s="106"/>
      <c r="I7512" s="131"/>
      <c r="J7512" s="106"/>
      <c r="K7512" s="106"/>
      <c r="L7512" s="109"/>
    </row>
    <row r="7513" spans="1:12">
      <c r="A7513" s="72"/>
      <c r="B7513" s="93"/>
      <c r="C7513" s="106"/>
      <c r="D7513" s="106"/>
      <c r="E7513" s="106"/>
      <c r="F7513" s="106"/>
      <c r="G7513" s="9"/>
      <c r="H7513" s="106"/>
      <c r="I7513" s="131"/>
      <c r="J7513" s="106"/>
      <c r="K7513" s="106"/>
      <c r="L7513" s="109"/>
    </row>
    <row r="7514" spans="1:12">
      <c r="A7514" s="72"/>
      <c r="B7514" s="93"/>
      <c r="C7514" s="106"/>
      <c r="D7514" s="106"/>
      <c r="E7514" s="106"/>
      <c r="F7514" s="106"/>
      <c r="G7514" s="9"/>
      <c r="H7514" s="106"/>
      <c r="I7514" s="131"/>
      <c r="J7514" s="106"/>
      <c r="K7514" s="106"/>
      <c r="L7514" s="109"/>
    </row>
    <row r="7515" spans="1:12">
      <c r="A7515" s="72"/>
      <c r="B7515" s="93"/>
      <c r="C7515" s="106"/>
      <c r="D7515" s="106"/>
      <c r="E7515" s="106"/>
      <c r="F7515" s="106"/>
      <c r="G7515" s="9"/>
      <c r="H7515" s="106"/>
      <c r="I7515" s="131"/>
      <c r="J7515" s="106"/>
      <c r="K7515" s="106"/>
      <c r="L7515" s="109"/>
    </row>
    <row r="7516" spans="1:12">
      <c r="A7516" s="72"/>
      <c r="B7516" s="93"/>
      <c r="C7516" s="106"/>
      <c r="D7516" s="106"/>
      <c r="E7516" s="106"/>
      <c r="F7516" s="106"/>
      <c r="G7516" s="9"/>
      <c r="H7516" s="106"/>
      <c r="I7516" s="131"/>
      <c r="J7516" s="106"/>
      <c r="K7516" s="106"/>
      <c r="L7516" s="109"/>
    </row>
    <row r="7517" spans="1:12">
      <c r="A7517" s="72"/>
      <c r="B7517" s="93"/>
      <c r="C7517" s="106"/>
      <c r="D7517" s="106"/>
      <c r="E7517" s="106"/>
      <c r="F7517" s="106"/>
      <c r="G7517" s="9"/>
      <c r="H7517" s="106"/>
      <c r="I7517" s="106"/>
      <c r="J7517" s="106"/>
      <c r="K7517" s="106"/>
      <c r="L7517" s="149"/>
    </row>
    <row r="7518" spans="1:12">
      <c r="A7518" s="72"/>
      <c r="B7518" s="93"/>
      <c r="C7518" s="106"/>
      <c r="D7518" s="106"/>
      <c r="E7518" s="106"/>
      <c r="F7518" s="106"/>
      <c r="G7518" s="9"/>
      <c r="H7518" s="106"/>
      <c r="I7518" s="106"/>
      <c r="J7518" s="106"/>
      <c r="K7518" s="106"/>
      <c r="L7518" s="109"/>
    </row>
    <row r="7519" spans="1:12">
      <c r="A7519" s="72"/>
      <c r="B7519" s="93"/>
      <c r="C7519" s="106"/>
      <c r="D7519" s="106"/>
      <c r="E7519" s="106"/>
      <c r="F7519" s="185"/>
      <c r="G7519" s="9"/>
      <c r="H7519" s="106"/>
      <c r="I7519" s="106"/>
      <c r="J7519" s="106"/>
      <c r="K7519" s="106"/>
      <c r="L7519" s="109"/>
    </row>
    <row r="7520" spans="1:12">
      <c r="A7520" s="72"/>
      <c r="B7520" s="93"/>
      <c r="C7520" s="106"/>
      <c r="D7520" s="106"/>
      <c r="E7520" s="106"/>
      <c r="F7520" s="106"/>
      <c r="G7520" s="9"/>
      <c r="H7520" s="106"/>
      <c r="I7520" s="106"/>
      <c r="J7520" s="106"/>
      <c r="K7520" s="106"/>
      <c r="L7520" s="109"/>
    </row>
    <row r="7521" spans="1:12">
      <c r="A7521" s="72"/>
      <c r="B7521" s="147"/>
      <c r="C7521" s="111"/>
      <c r="D7521" s="111"/>
      <c r="E7521" s="111"/>
      <c r="F7521" s="111"/>
      <c r="G7521" s="9"/>
      <c r="H7521" s="111"/>
      <c r="I7521" s="111"/>
      <c r="J7521" s="111"/>
      <c r="K7521" s="106"/>
      <c r="L7521" s="114"/>
    </row>
    <row r="7522" spans="1:12">
      <c r="A7522" s="72"/>
      <c r="B7522" s="93"/>
      <c r="C7522" s="106"/>
      <c r="D7522" s="106"/>
      <c r="E7522" s="106"/>
      <c r="F7522" s="106"/>
      <c r="G7522" s="9"/>
      <c r="H7522" s="106"/>
      <c r="I7522" s="106"/>
      <c r="J7522" s="106"/>
      <c r="K7522" s="106"/>
      <c r="L7522" s="109"/>
    </row>
    <row r="7523" spans="1:12">
      <c r="A7523" s="72"/>
      <c r="B7523" s="93"/>
      <c r="C7523" s="106"/>
      <c r="D7523" s="106"/>
      <c r="E7523" s="106"/>
      <c r="F7523" s="106"/>
      <c r="G7523" s="9"/>
      <c r="H7523" s="150"/>
      <c r="I7523" s="93"/>
      <c r="J7523" s="106"/>
      <c r="K7523" s="106"/>
      <c r="L7523" s="134"/>
    </row>
    <row r="7524" spans="1:12">
      <c r="A7524" s="72"/>
      <c r="B7524" s="105"/>
      <c r="C7524" s="106"/>
      <c r="D7524" s="106"/>
      <c r="E7524" s="106"/>
      <c r="F7524" s="106"/>
      <c r="G7524" s="9"/>
      <c r="H7524" s="106"/>
      <c r="I7524" s="106"/>
      <c r="J7524" s="106"/>
      <c r="K7524" s="106"/>
      <c r="L7524" s="109"/>
    </row>
    <row r="7525" spans="1:12">
      <c r="A7525" s="72"/>
      <c r="B7525" s="105"/>
      <c r="C7525" s="106"/>
      <c r="D7525" s="106"/>
      <c r="E7525" s="106"/>
      <c r="F7525" s="106"/>
      <c r="G7525" s="9"/>
      <c r="H7525" s="106"/>
      <c r="I7525" s="106"/>
      <c r="J7525" s="106"/>
      <c r="K7525" s="106"/>
      <c r="L7525" s="109"/>
    </row>
    <row r="7526" spans="1:12">
      <c r="A7526" s="72"/>
      <c r="B7526" s="93"/>
      <c r="C7526" s="106"/>
      <c r="D7526" s="106"/>
      <c r="E7526" s="108"/>
      <c r="F7526" s="106"/>
      <c r="G7526" s="9"/>
      <c r="H7526" s="108"/>
      <c r="I7526" s="106"/>
      <c r="J7526" s="106"/>
      <c r="K7526" s="106"/>
      <c r="L7526" s="134"/>
    </row>
    <row r="7527" spans="1:12">
      <c r="A7527" s="72"/>
      <c r="B7527" s="93"/>
      <c r="C7527" s="106"/>
      <c r="D7527" s="106"/>
      <c r="E7527" s="108"/>
      <c r="F7527" s="106"/>
      <c r="G7527" s="9"/>
      <c r="H7527" s="108"/>
      <c r="I7527" s="106"/>
      <c r="J7527" s="106"/>
      <c r="K7527" s="106"/>
      <c r="L7527" s="134"/>
    </row>
    <row r="7528" spans="1:12">
      <c r="A7528" s="72"/>
      <c r="B7528" s="105"/>
      <c r="C7528" s="106"/>
      <c r="D7528" s="106"/>
      <c r="E7528" s="106"/>
      <c r="F7528" s="106"/>
      <c r="G7528" s="9"/>
      <c r="H7528" s="106"/>
      <c r="I7528" s="106"/>
      <c r="J7528" s="106"/>
      <c r="K7528" s="106"/>
      <c r="L7528" s="109"/>
    </row>
    <row r="7529" spans="1:12">
      <c r="A7529" s="72"/>
      <c r="B7529" s="105"/>
      <c r="C7529" s="106"/>
      <c r="D7529" s="106"/>
      <c r="E7529" s="106"/>
      <c r="F7529" s="106"/>
      <c r="G7529" s="9"/>
      <c r="H7529" s="106"/>
      <c r="I7529" s="106"/>
      <c r="J7529" s="106"/>
      <c r="K7529" s="106"/>
      <c r="L7529" s="109"/>
    </row>
    <row r="7530" spans="1:12">
      <c r="A7530" s="72"/>
      <c r="B7530" s="93"/>
      <c r="C7530" s="106"/>
      <c r="D7530" s="106"/>
      <c r="E7530" s="106"/>
      <c r="F7530" s="106"/>
      <c r="G7530" s="9"/>
      <c r="H7530" s="106"/>
      <c r="I7530" s="106"/>
      <c r="J7530" s="106"/>
      <c r="K7530" s="106"/>
      <c r="L7530" s="134"/>
    </row>
    <row r="7531" spans="1:12">
      <c r="A7531" s="72"/>
      <c r="B7531" s="93"/>
      <c r="C7531" s="106"/>
      <c r="D7531" s="106"/>
      <c r="E7531" s="106"/>
      <c r="F7531" s="106"/>
      <c r="G7531" s="9"/>
      <c r="H7531" s="106"/>
      <c r="I7531" s="106"/>
      <c r="J7531" s="106"/>
      <c r="K7531" s="106"/>
      <c r="L7531" s="109"/>
    </row>
    <row r="7532" spans="1:12">
      <c r="A7532" s="72"/>
      <c r="B7532" s="105"/>
      <c r="C7532" s="106"/>
      <c r="D7532" s="106"/>
      <c r="E7532" s="106"/>
      <c r="F7532" s="106"/>
      <c r="G7532" s="9"/>
      <c r="H7532" s="106"/>
      <c r="I7532" s="131"/>
      <c r="J7532" s="106"/>
      <c r="K7532" s="106"/>
      <c r="L7532" s="132"/>
    </row>
    <row r="7533" spans="1:12">
      <c r="A7533" s="72"/>
      <c r="B7533" s="93"/>
      <c r="C7533" s="106"/>
      <c r="D7533" s="106"/>
      <c r="E7533" s="106"/>
      <c r="F7533" s="106"/>
      <c r="G7533" s="9"/>
      <c r="H7533" s="106"/>
      <c r="I7533" s="106"/>
      <c r="J7533" s="106"/>
      <c r="K7533" s="106"/>
      <c r="L7533" s="149"/>
    </row>
    <row r="7534" spans="1:12">
      <c r="A7534" s="72"/>
      <c r="B7534" s="93"/>
      <c r="C7534" s="106"/>
      <c r="D7534" s="106"/>
      <c r="E7534" s="106"/>
      <c r="F7534" s="106"/>
      <c r="G7534" s="9"/>
      <c r="H7534" s="106"/>
      <c r="I7534" s="106"/>
      <c r="J7534" s="106"/>
      <c r="K7534" s="106"/>
      <c r="L7534" s="149"/>
    </row>
    <row r="7535" spans="1:12">
      <c r="A7535" s="72"/>
      <c r="B7535" s="93"/>
      <c r="C7535" s="106"/>
      <c r="D7535" s="106"/>
      <c r="E7535" s="106"/>
      <c r="F7535" s="150"/>
      <c r="G7535" s="9"/>
      <c r="H7535" s="150"/>
      <c r="I7535" s="93"/>
      <c r="J7535" s="106"/>
      <c r="K7535" s="106"/>
      <c r="L7535" s="149"/>
    </row>
    <row r="7536" spans="1:12">
      <c r="A7536" s="72"/>
      <c r="B7536" s="93"/>
      <c r="C7536" s="106"/>
      <c r="D7536" s="106"/>
      <c r="E7536" s="106"/>
      <c r="F7536" s="106"/>
      <c r="G7536" s="9"/>
      <c r="H7536" s="106"/>
      <c r="I7536" s="106"/>
      <c r="J7536" s="106"/>
      <c r="K7536" s="106"/>
      <c r="L7536" s="134"/>
    </row>
    <row r="7537" spans="1:12">
      <c r="A7537" s="72"/>
      <c r="B7537" s="93"/>
      <c r="C7537" s="106"/>
      <c r="D7537" s="106"/>
      <c r="E7537" s="106"/>
      <c r="F7537" s="106"/>
      <c r="G7537" s="9"/>
      <c r="H7537" s="106"/>
      <c r="I7537" s="106"/>
      <c r="J7537" s="106"/>
      <c r="K7537" s="106"/>
      <c r="L7537" s="109"/>
    </row>
    <row r="7538" spans="1:12">
      <c r="A7538" s="72"/>
      <c r="B7538" s="93"/>
      <c r="C7538" s="106"/>
      <c r="D7538" s="106"/>
      <c r="E7538" s="106"/>
      <c r="F7538" s="106"/>
      <c r="G7538" s="9"/>
      <c r="H7538" s="106"/>
      <c r="I7538" s="106"/>
      <c r="J7538" s="106"/>
      <c r="K7538" s="106"/>
      <c r="L7538" s="152"/>
    </row>
    <row r="7539" spans="1:12">
      <c r="A7539" s="72"/>
      <c r="B7539" s="147"/>
      <c r="C7539" s="111"/>
      <c r="D7539" s="111"/>
      <c r="E7539" s="111"/>
      <c r="F7539" s="111"/>
      <c r="G7539" s="9"/>
      <c r="H7539" s="111"/>
      <c r="I7539" s="111"/>
      <c r="J7539" s="111"/>
      <c r="K7539" s="111"/>
      <c r="L7539" s="230"/>
    </row>
    <row r="7540" spans="1:12">
      <c r="A7540" s="72"/>
      <c r="B7540" s="93"/>
      <c r="C7540" s="106"/>
      <c r="D7540" s="106"/>
      <c r="E7540" s="106"/>
      <c r="F7540" s="106"/>
      <c r="G7540" s="9"/>
      <c r="H7540" s="150"/>
      <c r="I7540" s="93"/>
      <c r="J7540" s="106"/>
      <c r="K7540" s="106"/>
      <c r="L7540" s="109"/>
    </row>
    <row r="7541" spans="1:12">
      <c r="A7541" s="72"/>
      <c r="B7541" s="93"/>
      <c r="C7541" s="106"/>
      <c r="D7541" s="106"/>
      <c r="E7541" s="106"/>
      <c r="F7541" s="106"/>
      <c r="G7541" s="9"/>
      <c r="H7541" s="150"/>
      <c r="I7541" s="93"/>
      <c r="J7541" s="106"/>
      <c r="K7541" s="106"/>
      <c r="L7541" s="109"/>
    </row>
    <row r="7542" spans="1:12">
      <c r="A7542" s="72"/>
      <c r="B7542" s="196"/>
      <c r="C7542" s="159"/>
      <c r="D7542" s="199"/>
      <c r="E7542" s="196"/>
      <c r="F7542" s="159"/>
      <c r="G7542" s="9"/>
      <c r="H7542" s="159"/>
      <c r="I7542" s="159"/>
      <c r="J7542" s="159"/>
      <c r="K7542" s="159"/>
      <c r="L7542" s="193"/>
    </row>
    <row r="7543" spans="1:12">
      <c r="A7543" s="72"/>
      <c r="B7543" s="196"/>
      <c r="C7543" s="159"/>
      <c r="D7543" s="199"/>
      <c r="E7543" s="196"/>
      <c r="F7543" s="159"/>
      <c r="G7543" s="9"/>
      <c r="H7543" s="159"/>
      <c r="I7543" s="159"/>
      <c r="J7543" s="159"/>
      <c r="K7543" s="159"/>
      <c r="L7543" s="193"/>
    </row>
    <row r="7544" spans="1:12">
      <c r="A7544" s="72"/>
      <c r="B7544" s="196"/>
      <c r="C7544" s="159"/>
      <c r="D7544" s="199"/>
      <c r="E7544" s="231"/>
      <c r="F7544" s="196"/>
      <c r="G7544" s="9"/>
      <c r="H7544" s="159"/>
      <c r="I7544" s="159"/>
      <c r="J7544" s="159"/>
      <c r="K7544" s="159"/>
      <c r="L7544" s="193"/>
    </row>
    <row r="7545" spans="1:12">
      <c r="A7545" s="72"/>
      <c r="B7545" s="196"/>
      <c r="C7545" s="159"/>
      <c r="D7545" s="199"/>
      <c r="E7545" s="196"/>
      <c r="F7545" s="159"/>
      <c r="G7545" s="9"/>
      <c r="H7545" s="159"/>
      <c r="I7545" s="159"/>
      <c r="J7545" s="159"/>
      <c r="K7545" s="159"/>
      <c r="L7545" s="193"/>
    </row>
    <row r="7546" spans="1:12">
      <c r="A7546" s="72"/>
      <c r="B7546" s="196"/>
      <c r="C7546" s="159"/>
      <c r="D7546" s="199"/>
      <c r="E7546" s="196"/>
      <c r="F7546" s="159"/>
      <c r="G7546" s="9"/>
      <c r="H7546" s="159"/>
      <c r="I7546" s="159"/>
      <c r="J7546" s="159"/>
      <c r="K7546" s="159"/>
      <c r="L7546" s="193"/>
    </row>
    <row r="7547" spans="1:12">
      <c r="A7547" s="72"/>
      <c r="B7547" s="93"/>
      <c r="C7547" s="106"/>
      <c r="D7547" s="106"/>
      <c r="E7547" s="106"/>
      <c r="F7547" s="180"/>
      <c r="G7547" s="9"/>
      <c r="H7547" s="106"/>
      <c r="I7547" s="106"/>
      <c r="J7547" s="106"/>
      <c r="K7547" s="106"/>
      <c r="L7547" s="134"/>
    </row>
    <row r="7548" spans="1:12">
      <c r="A7548" s="72"/>
      <c r="B7548" s="93"/>
      <c r="C7548" s="106"/>
      <c r="D7548" s="106"/>
      <c r="E7548" s="106"/>
      <c r="F7548" s="180"/>
      <c r="G7548" s="9"/>
      <c r="H7548" s="106"/>
      <c r="I7548" s="106"/>
      <c r="J7548" s="106"/>
      <c r="K7548" s="106"/>
      <c r="L7548" s="134"/>
    </row>
    <row r="7549" spans="1:12">
      <c r="A7549" s="72"/>
      <c r="B7549" s="93"/>
      <c r="C7549" s="106"/>
      <c r="D7549" s="106"/>
      <c r="E7549" s="106"/>
      <c r="F7549" s="92"/>
      <c r="G7549" s="9"/>
      <c r="H7549" s="106"/>
      <c r="I7549" s="106"/>
      <c r="J7549" s="106"/>
      <c r="K7549" s="106"/>
      <c r="L7549" s="132"/>
    </row>
    <row r="7550" spans="1:12">
      <c r="A7550" s="72"/>
      <c r="B7550" s="93"/>
      <c r="C7550" s="106"/>
      <c r="D7550" s="106"/>
      <c r="E7550" s="150"/>
      <c r="F7550" s="93"/>
      <c r="G7550" s="9"/>
      <c r="H7550" s="106"/>
      <c r="I7550" s="106"/>
      <c r="J7550" s="106"/>
      <c r="K7550" s="106"/>
      <c r="L7550" s="109"/>
    </row>
    <row r="7551" spans="1:12">
      <c r="A7551" s="72"/>
      <c r="B7551" s="93"/>
      <c r="C7551" s="106"/>
      <c r="D7551" s="106"/>
      <c r="E7551" s="93"/>
      <c r="F7551" s="93"/>
      <c r="G7551" s="9"/>
      <c r="H7551" s="106"/>
      <c r="I7551" s="106"/>
      <c r="J7551" s="106"/>
      <c r="K7551" s="106"/>
      <c r="L7551" s="109"/>
    </row>
    <row r="7552" spans="1:12">
      <c r="A7552" s="72"/>
      <c r="B7552" s="93"/>
      <c r="C7552" s="106"/>
      <c r="D7552" s="106"/>
      <c r="E7552" s="106"/>
      <c r="F7552" s="150"/>
      <c r="G7552" s="9"/>
      <c r="H7552" s="106"/>
      <c r="I7552" s="106"/>
      <c r="J7552" s="106"/>
      <c r="K7552" s="106"/>
      <c r="L7552" s="149"/>
    </row>
    <row r="7553" spans="1:12">
      <c r="A7553" s="72"/>
      <c r="B7553" s="93"/>
      <c r="C7553" s="106"/>
      <c r="D7553" s="106"/>
      <c r="E7553" s="106"/>
      <c r="F7553" s="106"/>
      <c r="G7553" s="9"/>
      <c r="H7553" s="106"/>
      <c r="I7553" s="106"/>
      <c r="J7553" s="106"/>
      <c r="K7553" s="106"/>
      <c r="L7553" s="134"/>
    </row>
    <row r="7554" spans="1:12">
      <c r="A7554" s="72"/>
      <c r="B7554" s="93"/>
      <c r="C7554" s="106"/>
      <c r="D7554" s="106"/>
      <c r="E7554" s="106"/>
      <c r="F7554" s="106"/>
      <c r="G7554" s="9"/>
      <c r="H7554" s="106"/>
      <c r="I7554" s="106"/>
      <c r="J7554" s="106"/>
      <c r="K7554" s="106"/>
      <c r="L7554" s="134"/>
    </row>
    <row r="7555" spans="1:12">
      <c r="A7555" s="72"/>
      <c r="B7555" s="147"/>
      <c r="C7555" s="111"/>
      <c r="D7555" s="111"/>
      <c r="E7555" s="111"/>
      <c r="F7555" s="150"/>
      <c r="G7555" s="9"/>
      <c r="H7555" s="111"/>
      <c r="I7555" s="111"/>
      <c r="J7555" s="111"/>
      <c r="K7555" s="111"/>
      <c r="L7555" s="109"/>
    </row>
    <row r="7556" spans="1:12">
      <c r="A7556" s="72"/>
      <c r="B7556" s="105"/>
      <c r="C7556" s="106"/>
      <c r="D7556" s="106"/>
      <c r="E7556" s="106"/>
      <c r="F7556" s="106"/>
      <c r="G7556" s="9"/>
      <c r="H7556" s="106"/>
      <c r="I7556" s="106"/>
      <c r="J7556" s="106"/>
      <c r="K7556" s="106"/>
      <c r="L7556" s="109"/>
    </row>
    <row r="7557" spans="1:12">
      <c r="A7557" s="72"/>
      <c r="B7557" s="110"/>
      <c r="C7557" s="111"/>
      <c r="D7557" s="111"/>
      <c r="E7557" s="111"/>
      <c r="F7557" s="111"/>
      <c r="G7557" s="9"/>
      <c r="H7557" s="111"/>
      <c r="I7557" s="111"/>
      <c r="J7557" s="111"/>
      <c r="K7557" s="111"/>
      <c r="L7557" s="114"/>
    </row>
    <row r="7558" spans="1:12">
      <c r="A7558" s="72"/>
      <c r="B7558" s="93"/>
      <c r="C7558" s="106"/>
      <c r="D7558" s="106"/>
      <c r="E7558" s="106"/>
      <c r="F7558" s="106"/>
      <c r="G7558" s="9"/>
      <c r="H7558" s="106"/>
      <c r="I7558" s="106"/>
      <c r="J7558" s="106"/>
      <c r="K7558" s="137"/>
      <c r="L7558" s="109"/>
    </row>
    <row r="7559" spans="1:12">
      <c r="A7559" s="72"/>
      <c r="B7559" s="93"/>
      <c r="C7559" s="106"/>
      <c r="D7559" s="106"/>
      <c r="E7559" s="106"/>
      <c r="F7559" s="106"/>
      <c r="G7559" s="9"/>
      <c r="H7559" s="106"/>
      <c r="I7559" s="106"/>
      <c r="J7559" s="106"/>
      <c r="K7559" s="106"/>
      <c r="L7559" s="109"/>
    </row>
    <row r="7560" spans="1:12">
      <c r="A7560" s="72"/>
      <c r="B7560" s="147"/>
      <c r="C7560" s="111"/>
      <c r="D7560" s="111"/>
      <c r="E7560" s="111"/>
      <c r="F7560" s="111"/>
      <c r="G7560" s="9"/>
      <c r="H7560" s="111"/>
      <c r="I7560" s="111"/>
      <c r="J7560" s="111"/>
      <c r="K7560" s="111"/>
      <c r="L7560" s="114"/>
    </row>
    <row r="7561" spans="1:12">
      <c r="A7561" s="72"/>
      <c r="B7561" s="93"/>
      <c r="C7561" s="106"/>
      <c r="D7561" s="106"/>
      <c r="E7561" s="106"/>
      <c r="F7561" s="106"/>
      <c r="G7561" s="9"/>
      <c r="H7561" s="106"/>
      <c r="I7561" s="106"/>
      <c r="J7561" s="106"/>
      <c r="K7561" s="106"/>
      <c r="L7561" s="109"/>
    </row>
    <row r="7562" spans="1:12">
      <c r="A7562" s="72"/>
      <c r="B7562" s="147"/>
      <c r="C7562" s="111"/>
      <c r="D7562" s="111"/>
      <c r="E7562" s="111"/>
      <c r="F7562" s="111"/>
      <c r="G7562" s="9"/>
      <c r="H7562" s="111"/>
      <c r="I7562" s="111"/>
      <c r="J7562" s="111"/>
      <c r="K7562" s="111"/>
      <c r="L7562" s="114"/>
    </row>
    <row r="7563" spans="1:12">
      <c r="A7563" s="72"/>
      <c r="B7563" s="93"/>
      <c r="C7563" s="106"/>
      <c r="D7563" s="106"/>
      <c r="E7563" s="106"/>
      <c r="F7563" s="106"/>
      <c r="G7563" s="9"/>
      <c r="H7563" s="106"/>
      <c r="I7563" s="106"/>
      <c r="J7563" s="106"/>
      <c r="K7563" s="137"/>
      <c r="L7563" s="109"/>
    </row>
    <row r="7564" spans="1:12">
      <c r="A7564" s="72"/>
      <c r="B7564" s="93"/>
      <c r="C7564" s="106"/>
      <c r="D7564" s="106"/>
      <c r="E7564" s="106"/>
      <c r="F7564" s="106"/>
      <c r="G7564" s="9"/>
      <c r="H7564" s="106"/>
      <c r="I7564" s="106"/>
      <c r="J7564" s="106"/>
      <c r="K7564" s="106"/>
      <c r="L7564" s="109"/>
    </row>
    <row r="7565" spans="1:12">
      <c r="A7565" s="72"/>
      <c r="B7565" s="147"/>
      <c r="C7565" s="111"/>
      <c r="D7565" s="111"/>
      <c r="E7565" s="111"/>
      <c r="F7565" s="111"/>
      <c r="G7565" s="9"/>
      <c r="H7565" s="111"/>
      <c r="I7565" s="106"/>
      <c r="J7565" s="111"/>
      <c r="K7565" s="111"/>
      <c r="L7565" s="232"/>
    </row>
    <row r="7566" spans="1:12">
      <c r="A7566" s="72"/>
      <c r="B7566" s="147"/>
      <c r="C7566" s="111"/>
      <c r="D7566" s="106"/>
      <c r="E7566" s="106"/>
      <c r="F7566" s="106"/>
      <c r="G7566" s="9"/>
      <c r="H7566" s="106"/>
      <c r="I7566" s="106"/>
      <c r="J7566" s="106"/>
      <c r="K7566" s="106"/>
      <c r="L7566" s="109"/>
    </row>
    <row r="7567" spans="1:12">
      <c r="A7567" s="72"/>
      <c r="B7567" s="93"/>
      <c r="C7567" s="106"/>
      <c r="D7567" s="106"/>
      <c r="E7567" s="106"/>
      <c r="F7567" s="106"/>
      <c r="G7567" s="9"/>
      <c r="H7567" s="106"/>
      <c r="I7567" s="106"/>
      <c r="J7567" s="106"/>
      <c r="K7567" s="106"/>
      <c r="L7567" s="109"/>
    </row>
    <row r="7568" spans="1:12">
      <c r="A7568" s="72"/>
      <c r="B7568" s="162"/>
      <c r="C7568" s="131"/>
      <c r="D7568" s="131"/>
      <c r="E7568" s="131"/>
      <c r="F7568" s="131"/>
      <c r="G7568" s="9"/>
      <c r="H7568" s="131"/>
      <c r="I7568" s="131"/>
      <c r="J7568" s="131"/>
      <c r="K7568" s="131"/>
      <c r="L7568" s="184"/>
    </row>
    <row r="7569" spans="1:12">
      <c r="A7569" s="72"/>
      <c r="B7569" s="93"/>
      <c r="C7569" s="106"/>
      <c r="D7569" s="106"/>
      <c r="E7569" s="106"/>
      <c r="F7569" s="106"/>
      <c r="G7569" s="9"/>
      <c r="H7569" s="106"/>
      <c r="I7569" s="106"/>
      <c r="J7569" s="106"/>
      <c r="K7569" s="106"/>
      <c r="L7569" s="109"/>
    </row>
    <row r="7570" spans="1:12">
      <c r="A7570" s="72"/>
      <c r="B7570" s="93"/>
      <c r="C7570" s="106"/>
      <c r="D7570" s="106"/>
      <c r="E7570" s="106"/>
      <c r="F7570" s="106"/>
      <c r="G7570" s="9"/>
      <c r="H7570" s="106"/>
      <c r="I7570" s="131"/>
      <c r="J7570" s="106"/>
      <c r="K7570" s="106"/>
      <c r="L7570" s="132"/>
    </row>
    <row r="7571" spans="1:12">
      <c r="A7571" s="72"/>
      <c r="B7571" s="93"/>
      <c r="C7571" s="106"/>
      <c r="D7571" s="106"/>
      <c r="E7571" s="106"/>
      <c r="F7571" s="106"/>
      <c r="G7571" s="9"/>
      <c r="H7571" s="106"/>
      <c r="I7571" s="131"/>
      <c r="J7571" s="106"/>
      <c r="K7571" s="106"/>
      <c r="L7571" s="132"/>
    </row>
    <row r="7572" spans="1:12">
      <c r="A7572" s="72"/>
      <c r="B7572" s="93"/>
      <c r="C7572" s="106"/>
      <c r="D7572" s="106"/>
      <c r="E7572" s="106"/>
      <c r="F7572" s="106"/>
      <c r="G7572" s="9"/>
      <c r="H7572" s="106"/>
      <c r="I7572" s="131"/>
      <c r="J7572" s="106"/>
      <c r="K7572" s="106"/>
      <c r="L7572" s="132"/>
    </row>
    <row r="7573" spans="1:12">
      <c r="A7573" s="72"/>
      <c r="B7573" s="93"/>
      <c r="C7573" s="106"/>
      <c r="D7573" s="174"/>
      <c r="E7573" s="106"/>
      <c r="F7573" s="106"/>
      <c r="G7573" s="9"/>
      <c r="H7573" s="106"/>
      <c r="I7573" s="174"/>
      <c r="J7573" s="185"/>
      <c r="K7573" s="106"/>
      <c r="L7573" s="109"/>
    </row>
    <row r="7574" spans="1:12">
      <c r="A7574" s="72"/>
      <c r="B7574" s="93"/>
      <c r="C7574" s="106"/>
      <c r="D7574" s="174"/>
      <c r="E7574" s="106"/>
      <c r="F7574" s="106"/>
      <c r="G7574" s="9"/>
      <c r="H7574" s="106"/>
      <c r="I7574" s="174"/>
      <c r="J7574" s="185"/>
      <c r="K7574" s="106"/>
      <c r="L7574" s="109"/>
    </row>
    <row r="7575" spans="1:12">
      <c r="A7575" s="72"/>
      <c r="B7575" s="93"/>
      <c r="C7575" s="106"/>
      <c r="D7575" s="174"/>
      <c r="E7575" s="106"/>
      <c r="F7575" s="106"/>
      <c r="G7575" s="9"/>
      <c r="H7575" s="106"/>
      <c r="I7575" s="174"/>
      <c r="J7575" s="185"/>
      <c r="K7575" s="106"/>
      <c r="L7575" s="233"/>
    </row>
    <row r="7576" spans="1:12">
      <c r="A7576" s="72"/>
      <c r="B7576" s="93"/>
      <c r="C7576" s="106"/>
      <c r="D7576" s="174"/>
      <c r="E7576" s="106"/>
      <c r="F7576" s="106"/>
      <c r="G7576" s="9"/>
      <c r="H7576" s="106"/>
      <c r="I7576" s="106"/>
      <c r="J7576" s="106"/>
      <c r="K7576" s="106"/>
      <c r="L7576" s="109"/>
    </row>
    <row r="7577" spans="1:12">
      <c r="A7577" s="72"/>
      <c r="B7577" s="93"/>
      <c r="C7577" s="106"/>
      <c r="D7577" s="106"/>
      <c r="E7577" s="106"/>
      <c r="F7577" s="105"/>
      <c r="G7577" s="9"/>
      <c r="H7577" s="106"/>
      <c r="I7577" s="106"/>
      <c r="J7577" s="106"/>
      <c r="K7577" s="106"/>
      <c r="L7577" s="109"/>
    </row>
    <row r="7578" spans="1:12">
      <c r="A7578" s="72"/>
      <c r="B7578" s="93"/>
      <c r="C7578" s="106"/>
      <c r="D7578" s="106"/>
      <c r="E7578" s="106"/>
      <c r="F7578" s="106"/>
      <c r="G7578" s="9"/>
      <c r="H7578" s="106"/>
      <c r="I7578" s="106"/>
      <c r="J7578" s="106"/>
      <c r="K7578" s="106"/>
      <c r="L7578" s="234"/>
    </row>
    <row r="7579" spans="1:12">
      <c r="A7579" s="72"/>
      <c r="B7579" s="147"/>
      <c r="C7579" s="111"/>
      <c r="D7579" s="111"/>
      <c r="E7579" s="93"/>
      <c r="F7579" s="93"/>
      <c r="G7579" s="9"/>
      <c r="H7579" s="106"/>
      <c r="I7579" s="111"/>
      <c r="J7579" s="111"/>
      <c r="K7579" s="111"/>
      <c r="L7579" s="234"/>
    </row>
    <row r="7580" spans="1:12">
      <c r="A7580" s="72"/>
      <c r="B7580" s="93"/>
      <c r="C7580" s="106"/>
      <c r="D7580" s="106"/>
      <c r="E7580" s="106"/>
      <c r="F7580" s="106"/>
      <c r="G7580" s="9"/>
      <c r="H7580" s="106"/>
      <c r="I7580" s="106"/>
      <c r="J7580" s="106"/>
      <c r="K7580" s="106"/>
      <c r="L7580" s="212"/>
    </row>
    <row r="7581" spans="1:12">
      <c r="A7581" s="72"/>
      <c r="B7581" s="147"/>
      <c r="C7581" s="111"/>
      <c r="D7581" s="111"/>
      <c r="E7581" s="111"/>
      <c r="F7581" s="111"/>
      <c r="G7581" s="9"/>
      <c r="H7581" s="111"/>
      <c r="I7581" s="111"/>
      <c r="J7581" s="111"/>
      <c r="K7581" s="111"/>
      <c r="L7581" s="235"/>
    </row>
    <row r="7582" spans="1:12">
      <c r="A7582" s="72"/>
      <c r="B7582" s="93"/>
      <c r="C7582" s="175"/>
      <c r="D7582" s="106"/>
      <c r="E7582" s="106"/>
      <c r="F7582" s="106"/>
      <c r="G7582" s="9"/>
      <c r="H7582" s="106"/>
      <c r="I7582" s="131"/>
      <c r="J7582" s="106"/>
      <c r="K7582" s="106"/>
      <c r="L7582" s="132"/>
    </row>
    <row r="7583" spans="1:12">
      <c r="A7583" s="72"/>
      <c r="B7583" s="93"/>
      <c r="C7583" s="106"/>
      <c r="D7583" s="106"/>
      <c r="E7583" s="106"/>
      <c r="F7583" s="106"/>
      <c r="G7583" s="9"/>
      <c r="H7583" s="106"/>
      <c r="I7583" s="106"/>
      <c r="J7583" s="106"/>
      <c r="K7583" s="106"/>
      <c r="L7583" s="109"/>
    </row>
    <row r="7584" spans="1:12">
      <c r="A7584" s="72"/>
      <c r="B7584" s="93"/>
      <c r="C7584" s="106"/>
      <c r="D7584" s="106"/>
      <c r="E7584" s="106"/>
      <c r="F7584" s="157"/>
      <c r="G7584" s="9"/>
      <c r="H7584" s="106"/>
      <c r="I7584" s="106"/>
      <c r="J7584" s="106"/>
      <c r="K7584" s="106"/>
      <c r="L7584" s="109"/>
    </row>
    <row r="7585" spans="1:12">
      <c r="A7585" s="72"/>
      <c r="B7585" s="93"/>
      <c r="C7585" s="106"/>
      <c r="D7585" s="236"/>
      <c r="E7585" s="237"/>
      <c r="F7585" s="237"/>
      <c r="G7585" s="9"/>
      <c r="H7585" s="22"/>
      <c r="I7585" s="22"/>
      <c r="J7585" s="22"/>
      <c r="K7585" s="12"/>
      <c r="L7585" s="238"/>
    </row>
    <row r="7586" spans="1:12">
      <c r="A7586" s="72"/>
      <c r="B7586" s="93"/>
      <c r="C7586" s="106"/>
      <c r="D7586" s="106"/>
      <c r="E7586" s="180"/>
      <c r="F7586" s="180"/>
      <c r="G7586" s="9"/>
      <c r="H7586" s="106"/>
      <c r="I7586" s="106"/>
      <c r="J7586" s="106"/>
      <c r="K7586" s="137"/>
      <c r="L7586" s="212"/>
    </row>
    <row r="7587" spans="1:12">
      <c r="A7587" s="72"/>
      <c r="B7587" s="147"/>
      <c r="C7587" s="111"/>
      <c r="D7587" s="106"/>
      <c r="E7587" s="52"/>
      <c r="F7587" s="52"/>
      <c r="G7587" s="9"/>
      <c r="H7587" s="111"/>
      <c r="I7587" s="111"/>
      <c r="J7587" s="111"/>
      <c r="K7587" s="141"/>
      <c r="L7587" s="235"/>
    </row>
    <row r="7588" spans="1:12">
      <c r="A7588" s="72"/>
      <c r="B7588" s="105"/>
      <c r="C7588" s="106"/>
      <c r="D7588" s="106"/>
      <c r="E7588" s="106"/>
      <c r="F7588" s="106"/>
      <c r="G7588" s="9"/>
      <c r="H7588" s="106"/>
      <c r="I7588" s="106"/>
      <c r="J7588" s="106"/>
      <c r="K7588" s="106"/>
      <c r="L7588" s="109"/>
    </row>
    <row r="7589" spans="1:12">
      <c r="A7589" s="72"/>
      <c r="B7589" s="110"/>
      <c r="C7589" s="111"/>
      <c r="D7589" s="111"/>
      <c r="E7589" s="111"/>
      <c r="F7589" s="111"/>
      <c r="G7589" s="9"/>
      <c r="H7589" s="111"/>
      <c r="I7589" s="111"/>
      <c r="J7589" s="111"/>
      <c r="K7589" s="111"/>
      <c r="L7589" s="114"/>
    </row>
    <row r="7590" spans="1:12">
      <c r="A7590" s="72"/>
      <c r="B7590" s="105"/>
      <c r="C7590" s="106"/>
      <c r="D7590" s="106"/>
      <c r="E7590" s="106"/>
      <c r="F7590" s="106"/>
      <c r="G7590" s="9"/>
      <c r="H7590" s="106"/>
      <c r="I7590" s="106"/>
      <c r="J7590" s="106"/>
      <c r="K7590" s="106"/>
      <c r="L7590" s="109"/>
    </row>
    <row r="7591" spans="1:12">
      <c r="A7591" s="72"/>
      <c r="B7591" s="93"/>
      <c r="C7591" s="106"/>
      <c r="D7591" s="106"/>
      <c r="E7591" s="106"/>
      <c r="F7591" s="106"/>
      <c r="G7591" s="9"/>
      <c r="H7591" s="106"/>
      <c r="I7591" s="106"/>
      <c r="J7591" s="106"/>
      <c r="K7591" s="106"/>
      <c r="L7591" s="109"/>
    </row>
    <row r="7592" spans="1:12">
      <c r="A7592" s="72"/>
      <c r="B7592" s="93"/>
      <c r="C7592" s="106"/>
      <c r="D7592" s="106"/>
      <c r="E7592" s="108"/>
      <c r="F7592" s="106"/>
      <c r="G7592" s="9"/>
      <c r="H7592" s="150"/>
      <c r="I7592" s="93"/>
      <c r="J7592" s="106"/>
      <c r="K7592" s="106"/>
      <c r="L7592" s="109"/>
    </row>
    <row r="7593" spans="1:12">
      <c r="A7593" s="72"/>
      <c r="B7593" s="93"/>
      <c r="C7593" s="106"/>
      <c r="D7593" s="106"/>
      <c r="E7593" s="106"/>
      <c r="F7593" s="106"/>
      <c r="G7593" s="9"/>
      <c r="H7593" s="106"/>
      <c r="I7593" s="106"/>
      <c r="J7593" s="106"/>
      <c r="K7593" s="106"/>
      <c r="L7593" s="217"/>
    </row>
    <row r="7594" spans="1:12">
      <c r="A7594" s="72"/>
      <c r="B7594" s="93"/>
      <c r="C7594" s="106"/>
      <c r="D7594" s="106"/>
      <c r="E7594" s="108"/>
      <c r="F7594" s="108"/>
      <c r="G7594" s="9"/>
      <c r="H7594" s="106"/>
      <c r="I7594" s="106"/>
      <c r="J7594" s="106"/>
      <c r="K7594" s="126"/>
      <c r="L7594" s="217"/>
    </row>
    <row r="7595" spans="1:12">
      <c r="A7595" s="72"/>
      <c r="B7595" s="93"/>
      <c r="C7595" s="106"/>
      <c r="D7595" s="106"/>
      <c r="E7595" s="106"/>
      <c r="F7595" s="180"/>
      <c r="G7595" s="9"/>
      <c r="H7595" s="106"/>
      <c r="I7595" s="106"/>
      <c r="J7595" s="106"/>
      <c r="K7595" s="150"/>
      <c r="L7595" s="134"/>
    </row>
    <row r="7596" spans="1:12">
      <c r="A7596" s="72"/>
      <c r="B7596" s="93"/>
      <c r="C7596" s="106"/>
      <c r="D7596" s="106"/>
      <c r="E7596" s="106"/>
      <c r="F7596" s="180"/>
      <c r="G7596" s="9"/>
      <c r="H7596" s="106"/>
      <c r="I7596" s="106"/>
      <c r="J7596" s="106"/>
      <c r="K7596" s="106"/>
      <c r="L7596" s="109"/>
    </row>
    <row r="7597" spans="1:12">
      <c r="A7597" s="72"/>
      <c r="B7597" s="93"/>
      <c r="C7597" s="106"/>
      <c r="D7597" s="106"/>
      <c r="E7597" s="106"/>
      <c r="F7597" s="180"/>
      <c r="G7597" s="9"/>
      <c r="H7597" s="106"/>
      <c r="I7597" s="106"/>
      <c r="J7597" s="106"/>
      <c r="K7597" s="106"/>
      <c r="L7597" s="109"/>
    </row>
    <row r="7598" spans="1:12">
      <c r="A7598" s="72"/>
      <c r="B7598" s="93"/>
      <c r="C7598" s="106"/>
      <c r="D7598" s="106"/>
      <c r="E7598" s="106"/>
      <c r="F7598" s="180"/>
      <c r="G7598" s="9"/>
      <c r="H7598" s="106"/>
      <c r="I7598" s="106"/>
      <c r="J7598" s="106"/>
      <c r="K7598" s="106"/>
      <c r="L7598" s="109"/>
    </row>
    <row r="7599" spans="1:12">
      <c r="A7599" s="72"/>
      <c r="B7599" s="93"/>
      <c r="C7599" s="106"/>
      <c r="D7599" s="106"/>
      <c r="E7599" s="106"/>
      <c r="F7599" s="106"/>
      <c r="G7599" s="9"/>
      <c r="H7599" s="106"/>
      <c r="I7599" s="106"/>
      <c r="J7599" s="106"/>
      <c r="K7599" s="106"/>
      <c r="L7599" s="106"/>
    </row>
    <row r="7600" spans="1:12">
      <c r="A7600" s="72"/>
      <c r="B7600" s="93"/>
      <c r="C7600" s="106"/>
      <c r="D7600" s="106"/>
      <c r="E7600" s="106"/>
      <c r="F7600" s="180"/>
      <c r="G7600" s="9"/>
      <c r="H7600" s="106"/>
      <c r="I7600" s="106"/>
      <c r="J7600" s="106"/>
      <c r="K7600" s="106"/>
      <c r="L7600" s="109"/>
    </row>
    <row r="7601" spans="1:12">
      <c r="A7601" s="72"/>
      <c r="B7601" s="147"/>
      <c r="C7601" s="111"/>
      <c r="D7601" s="111"/>
      <c r="E7601" s="111"/>
      <c r="F7601" s="52"/>
      <c r="G7601" s="9"/>
      <c r="H7601" s="111"/>
      <c r="I7601" s="111"/>
      <c r="J7601" s="111"/>
      <c r="K7601" s="111"/>
      <c r="L7601" s="114"/>
    </row>
    <row r="7602" spans="1:12">
      <c r="A7602" s="72"/>
      <c r="B7602" s="12"/>
      <c r="C7602" s="12"/>
      <c r="D7602" s="12"/>
      <c r="E7602" s="11"/>
      <c r="F7602" s="11"/>
      <c r="G7602" s="12"/>
      <c r="H7602" s="106"/>
      <c r="I7602" s="131"/>
      <c r="J7602" s="106"/>
      <c r="K7602" s="10"/>
      <c r="L7602" s="239"/>
    </row>
    <row r="7603" spans="1:12">
      <c r="A7603" s="72"/>
      <c r="B7603" s="93"/>
      <c r="C7603" s="106"/>
      <c r="D7603" s="106"/>
      <c r="E7603" s="106"/>
      <c r="F7603" s="180"/>
      <c r="G7603" s="12"/>
      <c r="H7603" s="106"/>
      <c r="I7603" s="131"/>
      <c r="J7603" s="106"/>
      <c r="K7603" s="106"/>
      <c r="L7603" s="109"/>
    </row>
    <row r="7604" spans="1:12">
      <c r="A7604" s="72"/>
      <c r="B7604" s="93"/>
      <c r="C7604" s="106"/>
      <c r="D7604" s="106"/>
      <c r="E7604" s="106"/>
      <c r="F7604" s="106"/>
      <c r="G7604" s="12"/>
      <c r="H7604" s="106"/>
      <c r="I7604" s="106"/>
      <c r="J7604" s="106"/>
      <c r="K7604" s="106"/>
      <c r="L7604" s="109"/>
    </row>
    <row r="7605" spans="1:12">
      <c r="A7605" s="72"/>
      <c r="B7605" s="93"/>
      <c r="C7605" s="106"/>
      <c r="D7605" s="106"/>
      <c r="E7605" s="106"/>
      <c r="F7605" s="106"/>
      <c r="G7605" s="12"/>
      <c r="H7605" s="106"/>
      <c r="I7605" s="106"/>
      <c r="J7605" s="106"/>
      <c r="K7605" s="106"/>
      <c r="L7605" s="109"/>
    </row>
    <row r="7606" spans="1:12">
      <c r="A7606" s="72"/>
      <c r="B7606" s="93"/>
      <c r="C7606" s="106"/>
      <c r="D7606" s="106"/>
      <c r="E7606" s="108"/>
      <c r="F7606" s="108"/>
      <c r="G7606" s="12"/>
      <c r="H7606" s="108"/>
      <c r="I7606" s="106"/>
      <c r="J7606" s="106"/>
      <c r="K7606" s="106"/>
      <c r="L7606" s="152"/>
    </row>
    <row r="7607" spans="1:12">
      <c r="A7607" s="72"/>
      <c r="B7607" s="93"/>
      <c r="C7607" s="106"/>
      <c r="D7607" s="240"/>
      <c r="E7607" s="106"/>
      <c r="F7607" s="106"/>
      <c r="G7607" s="12"/>
      <c r="H7607" s="106"/>
      <c r="I7607" s="106"/>
      <c r="J7607" s="106"/>
      <c r="K7607" s="106"/>
      <c r="L7607" s="109"/>
    </row>
    <row r="7608" spans="1:12">
      <c r="A7608" s="72"/>
      <c r="B7608" s="147"/>
      <c r="C7608" s="111"/>
      <c r="D7608" s="241"/>
      <c r="E7608" s="111"/>
      <c r="F7608" s="111"/>
      <c r="G7608" s="12"/>
      <c r="H7608" s="111"/>
      <c r="I7608" s="111"/>
      <c r="J7608" s="111"/>
      <c r="K7608" s="111"/>
      <c r="L7608" s="114"/>
    </row>
    <row r="7609" spans="1:12">
      <c r="A7609" s="72"/>
      <c r="B7609" s="93"/>
      <c r="C7609" s="106"/>
      <c r="D7609" s="106"/>
      <c r="E7609" s="106"/>
      <c r="F7609" s="106"/>
      <c r="G7609" s="12"/>
      <c r="H7609" s="106"/>
      <c r="I7609" s="106"/>
      <c r="J7609" s="106"/>
      <c r="K7609" s="106"/>
      <c r="L7609" s="109"/>
    </row>
    <row r="7610" spans="1:12">
      <c r="A7610" s="72"/>
      <c r="B7610" s="93"/>
      <c r="C7610" s="106"/>
      <c r="D7610" s="106"/>
      <c r="E7610" s="106"/>
      <c r="F7610" s="180"/>
      <c r="G7610" s="12"/>
      <c r="H7610" s="106"/>
      <c r="I7610" s="106"/>
      <c r="J7610" s="106"/>
      <c r="K7610" s="106"/>
      <c r="L7610" s="109"/>
    </row>
    <row r="7611" spans="1:12">
      <c r="A7611" s="72"/>
      <c r="B7611" s="147"/>
      <c r="C7611" s="111"/>
      <c r="D7611" s="106"/>
      <c r="E7611" s="111"/>
      <c r="F7611" s="52"/>
      <c r="G7611" s="12"/>
      <c r="H7611" s="111"/>
      <c r="I7611" s="111"/>
      <c r="J7611" s="111"/>
      <c r="K7611" s="111"/>
      <c r="L7611" s="114"/>
    </row>
    <row r="7612" spans="1:12">
      <c r="A7612" s="72"/>
      <c r="B7612" s="93"/>
      <c r="C7612" s="106"/>
      <c r="D7612" s="106"/>
      <c r="E7612" s="106"/>
      <c r="F7612" s="106"/>
      <c r="G7612" s="12"/>
      <c r="H7612" s="106"/>
      <c r="I7612" s="106"/>
      <c r="J7612" s="106"/>
      <c r="K7612" s="106"/>
      <c r="L7612" s="242"/>
    </row>
    <row r="7613" spans="1:12">
      <c r="A7613" s="72"/>
      <c r="B7613" s="140"/>
      <c r="C7613" s="137"/>
      <c r="D7613" s="137"/>
      <c r="E7613" s="137"/>
      <c r="F7613" s="36"/>
      <c r="G7613" s="12"/>
      <c r="H7613" s="137"/>
      <c r="I7613" s="137"/>
      <c r="J7613" s="137"/>
      <c r="K7613" s="137"/>
      <c r="L7613" s="146"/>
    </row>
    <row r="7614" spans="1:12">
      <c r="A7614" s="72"/>
      <c r="B7614" s="140"/>
      <c r="C7614" s="137"/>
      <c r="D7614" s="137"/>
      <c r="E7614" s="137"/>
      <c r="F7614" s="137"/>
      <c r="G7614" s="12"/>
      <c r="H7614" s="137"/>
      <c r="I7614" s="137"/>
      <c r="J7614" s="137"/>
      <c r="K7614" s="137"/>
      <c r="L7614" s="146"/>
    </row>
    <row r="7615" spans="1:12">
      <c r="A7615" s="72"/>
      <c r="B7615" s="140"/>
      <c r="C7615" s="137"/>
      <c r="D7615" s="137"/>
      <c r="E7615" s="137"/>
      <c r="F7615" s="137"/>
      <c r="G7615" s="12"/>
      <c r="H7615" s="137"/>
      <c r="I7615" s="137"/>
      <c r="J7615" s="137"/>
      <c r="K7615" s="137"/>
      <c r="L7615" s="146"/>
    </row>
    <row r="7616" spans="1:12">
      <c r="A7616" s="72"/>
      <c r="B7616" s="143"/>
      <c r="C7616" s="141"/>
      <c r="D7616" s="141"/>
      <c r="E7616" s="141"/>
      <c r="F7616" s="141"/>
      <c r="G7616" s="12"/>
      <c r="H7616" s="141"/>
      <c r="I7616" s="141"/>
      <c r="J7616" s="141"/>
      <c r="K7616" s="141"/>
      <c r="L7616" s="148"/>
    </row>
    <row r="7617" spans="1:12">
      <c r="A7617" s="72"/>
      <c r="B7617" s="140"/>
      <c r="C7617" s="137"/>
      <c r="D7617" s="137"/>
      <c r="E7617" s="137"/>
      <c r="F7617" s="137"/>
      <c r="G7617" s="12"/>
      <c r="H7617" s="137"/>
      <c r="I7617" s="137"/>
      <c r="J7617" s="137"/>
      <c r="K7617" s="137"/>
      <c r="L7617" s="146"/>
    </row>
    <row r="7618" spans="1:12">
      <c r="A7618" s="72"/>
      <c r="B7618" s="105"/>
      <c r="C7618" s="106"/>
      <c r="D7618" s="106"/>
      <c r="E7618" s="106"/>
      <c r="F7618" s="106"/>
      <c r="G7618" s="12"/>
      <c r="H7618" s="106"/>
      <c r="I7618" s="106"/>
      <c r="J7618" s="106"/>
      <c r="K7618" s="107"/>
      <c r="L7618" s="109"/>
    </row>
    <row r="7619" spans="1:12">
      <c r="A7619" s="72"/>
      <c r="B7619" s="93"/>
      <c r="C7619" s="106"/>
      <c r="D7619" s="174"/>
      <c r="E7619" s="106"/>
      <c r="F7619" s="106"/>
      <c r="G7619" s="12"/>
      <c r="H7619" s="106"/>
      <c r="I7619" s="174"/>
      <c r="J7619" s="137"/>
      <c r="K7619" s="131"/>
      <c r="L7619" s="109"/>
    </row>
    <row r="7620" spans="1:12">
      <c r="A7620" s="72"/>
      <c r="B7620" s="147"/>
      <c r="C7620" s="111"/>
      <c r="D7620" s="174"/>
      <c r="E7620" s="111"/>
      <c r="F7620" s="111"/>
      <c r="G7620" s="12"/>
      <c r="H7620" s="111"/>
      <c r="I7620" s="206"/>
      <c r="J7620" s="141"/>
      <c r="K7620" s="131"/>
      <c r="L7620" s="114"/>
    </row>
    <row r="7621" spans="1:12">
      <c r="A7621" s="72"/>
      <c r="B7621" s="93"/>
      <c r="C7621" s="106"/>
      <c r="D7621" s="174"/>
      <c r="E7621" s="106"/>
      <c r="F7621" s="106"/>
      <c r="G7621" s="12"/>
      <c r="H7621" s="106"/>
      <c r="I7621" s="106"/>
      <c r="J7621" s="137"/>
      <c r="K7621" s="131"/>
      <c r="L7621" s="243"/>
    </row>
    <row r="7622" spans="1:12">
      <c r="A7622" s="72"/>
      <c r="B7622" s="93"/>
      <c r="C7622" s="106"/>
      <c r="D7622" s="106"/>
      <c r="E7622" s="106"/>
      <c r="F7622" s="106"/>
      <c r="G7622" s="12"/>
      <c r="H7622" s="106"/>
      <c r="I7622" s="131"/>
      <c r="J7622" s="106"/>
      <c r="K7622" s="106"/>
      <c r="L7622" s="132"/>
    </row>
    <row r="7623" spans="1:12">
      <c r="A7623" s="72"/>
      <c r="B7623" s="93"/>
      <c r="C7623" s="106"/>
      <c r="D7623" s="106"/>
      <c r="E7623" s="106"/>
      <c r="F7623" s="106"/>
      <c r="G7623" s="12"/>
      <c r="H7623" s="106"/>
      <c r="I7623" s="106"/>
      <c r="J7623" s="106"/>
      <c r="K7623" s="106"/>
      <c r="L7623" s="132"/>
    </row>
    <row r="7624" spans="1:12">
      <c r="A7624" s="72"/>
      <c r="B7624" s="93"/>
      <c r="C7624" s="106"/>
      <c r="D7624" s="106"/>
      <c r="E7624" s="106"/>
      <c r="F7624" s="106"/>
      <c r="G7624" s="12"/>
      <c r="H7624" s="150"/>
      <c r="I7624" s="93"/>
      <c r="J7624" s="106"/>
      <c r="K7624" s="106"/>
      <c r="L7624" s="134"/>
    </row>
    <row r="7625" spans="1:12">
      <c r="A7625" s="72"/>
      <c r="B7625" s="93"/>
      <c r="C7625" s="106"/>
      <c r="D7625" s="106"/>
      <c r="E7625" s="106"/>
      <c r="F7625" s="106"/>
      <c r="G7625" s="12"/>
      <c r="H7625" s="106"/>
      <c r="I7625" s="106"/>
      <c r="J7625" s="106"/>
      <c r="K7625" s="106"/>
      <c r="L7625" s="134"/>
    </row>
    <row r="7626" spans="1:12">
      <c r="A7626" s="72"/>
      <c r="B7626" s="196"/>
      <c r="C7626" s="159"/>
      <c r="D7626" s="199"/>
      <c r="E7626" s="196"/>
      <c r="F7626" s="159"/>
      <c r="G7626" s="12"/>
      <c r="H7626" s="159"/>
      <c r="I7626" s="159"/>
      <c r="J7626" s="159"/>
      <c r="K7626" s="159"/>
      <c r="L7626" s="193"/>
    </row>
    <row r="7627" spans="1:12">
      <c r="A7627" s="72"/>
      <c r="B7627" s="196"/>
      <c r="C7627" s="159"/>
      <c r="D7627" s="199"/>
      <c r="E7627" s="196"/>
      <c r="F7627" s="159"/>
      <c r="G7627" s="12"/>
      <c r="H7627" s="159"/>
      <c r="I7627" s="159"/>
      <c r="J7627" s="159"/>
      <c r="K7627" s="159"/>
      <c r="L7627" s="193"/>
    </row>
    <row r="7628" spans="1:12">
      <c r="A7628" s="72"/>
      <c r="B7628" s="225"/>
      <c r="C7628" s="166"/>
      <c r="D7628" s="199"/>
      <c r="E7628" s="225"/>
      <c r="F7628" s="166"/>
      <c r="G7628" s="12"/>
      <c r="H7628" s="166"/>
      <c r="I7628" s="166"/>
      <c r="J7628" s="166"/>
      <c r="K7628" s="159"/>
      <c r="L7628" s="229"/>
    </row>
    <row r="7629" spans="1:12">
      <c r="A7629" s="72"/>
      <c r="B7629" s="196"/>
      <c r="C7629" s="159"/>
      <c r="D7629" s="199"/>
      <c r="E7629" s="196"/>
      <c r="F7629" s="159"/>
      <c r="G7629" s="12"/>
      <c r="H7629" s="159"/>
      <c r="I7629" s="159"/>
      <c r="J7629" s="159"/>
      <c r="K7629" s="159"/>
      <c r="L7629" s="193"/>
    </row>
    <row r="7630" spans="1:12">
      <c r="A7630" s="72"/>
      <c r="B7630" s="196"/>
      <c r="C7630" s="159"/>
      <c r="D7630" s="199"/>
      <c r="E7630" s="231"/>
      <c r="F7630" s="196"/>
      <c r="G7630" s="12"/>
      <c r="H7630" s="159"/>
      <c r="I7630" s="159"/>
      <c r="J7630" s="159"/>
      <c r="K7630" s="159"/>
      <c r="L7630" s="193"/>
    </row>
    <row r="7631" spans="1:12">
      <c r="A7631" s="72"/>
      <c r="B7631" s="225"/>
      <c r="C7631" s="166"/>
      <c r="D7631" s="199"/>
      <c r="E7631" s="244"/>
      <c r="F7631" s="225"/>
      <c r="G7631" s="12"/>
      <c r="H7631" s="166"/>
      <c r="I7631" s="166"/>
      <c r="J7631" s="166"/>
      <c r="K7631" s="166"/>
      <c r="L7631" s="229"/>
    </row>
    <row r="7632" spans="1:12">
      <c r="A7632" s="72"/>
      <c r="B7632" s="196"/>
      <c r="C7632" s="159"/>
      <c r="D7632" s="199"/>
      <c r="E7632" s="196"/>
      <c r="F7632" s="159"/>
      <c r="G7632" s="12"/>
      <c r="H7632" s="159"/>
      <c r="I7632" s="159"/>
      <c r="J7632" s="159"/>
      <c r="K7632" s="159"/>
      <c r="L7632" s="193"/>
    </row>
    <row r="7633" spans="1:12">
      <c r="A7633" s="72"/>
      <c r="B7633" s="196"/>
      <c r="C7633" s="159"/>
      <c r="D7633" s="199"/>
      <c r="E7633" s="140"/>
      <c r="F7633" s="159"/>
      <c r="G7633" s="12"/>
      <c r="H7633" s="159"/>
      <c r="I7633" s="159"/>
      <c r="J7633" s="159"/>
      <c r="K7633" s="159"/>
      <c r="L7633" s="193"/>
    </row>
    <row r="7634" spans="1:12">
      <c r="A7634" s="72"/>
      <c r="B7634" s="196"/>
      <c r="C7634" s="159"/>
      <c r="D7634" s="199"/>
      <c r="E7634" s="140"/>
      <c r="F7634" s="159"/>
      <c r="G7634" s="12"/>
      <c r="H7634" s="159"/>
      <c r="I7634" s="159"/>
      <c r="J7634" s="159"/>
      <c r="K7634" s="159"/>
      <c r="L7634" s="193"/>
    </row>
    <row r="7635" spans="1:12">
      <c r="A7635" s="72"/>
      <c r="B7635" s="225"/>
      <c r="C7635" s="166"/>
      <c r="D7635" s="227"/>
      <c r="E7635" s="143"/>
      <c r="F7635" s="166"/>
      <c r="G7635" s="12"/>
      <c r="H7635" s="166"/>
      <c r="I7635" s="166"/>
      <c r="J7635" s="166"/>
      <c r="K7635" s="166"/>
      <c r="L7635" s="229"/>
    </row>
    <row r="7636" spans="1:12">
      <c r="A7636" s="72"/>
      <c r="B7636" s="93"/>
      <c r="C7636" s="106"/>
      <c r="D7636" s="106"/>
      <c r="E7636" s="106"/>
      <c r="F7636" s="106"/>
      <c r="G7636" s="12"/>
      <c r="H7636" s="106"/>
      <c r="I7636" s="106"/>
      <c r="J7636" s="106"/>
      <c r="K7636" s="106"/>
      <c r="L7636" s="109"/>
    </row>
    <row r="7637" spans="1:12">
      <c r="A7637" s="72"/>
      <c r="B7637" s="93"/>
      <c r="C7637" s="106"/>
      <c r="D7637" s="106"/>
      <c r="E7637" s="106"/>
      <c r="F7637" s="106"/>
      <c r="G7637" s="12"/>
      <c r="H7637" s="111"/>
      <c r="I7637" s="106"/>
      <c r="J7637" s="106"/>
      <c r="K7637" s="106"/>
      <c r="L7637" s="109"/>
    </row>
    <row r="7638" spans="1:12">
      <c r="A7638" s="72"/>
      <c r="B7638" s="93"/>
      <c r="C7638" s="106"/>
      <c r="D7638" s="106"/>
      <c r="E7638" s="106"/>
      <c r="F7638" s="150"/>
      <c r="G7638" s="12"/>
      <c r="H7638" s="150"/>
      <c r="I7638" s="93"/>
      <c r="J7638" s="106"/>
      <c r="K7638" s="106"/>
      <c r="L7638" s="134"/>
    </row>
    <row r="7639" spans="1:12">
      <c r="A7639" s="72"/>
      <c r="B7639" s="93"/>
      <c r="C7639" s="106"/>
      <c r="D7639" s="106"/>
      <c r="E7639" s="180"/>
      <c r="F7639" s="180"/>
      <c r="G7639" s="12"/>
      <c r="H7639" s="106"/>
      <c r="I7639" s="106"/>
      <c r="J7639" s="106"/>
      <c r="K7639" s="106"/>
      <c r="L7639" s="109"/>
    </row>
    <row r="7640" spans="1:12">
      <c r="A7640" s="72"/>
      <c r="B7640" s="147"/>
      <c r="C7640" s="111"/>
      <c r="D7640" s="106"/>
      <c r="E7640" s="52"/>
      <c r="F7640" s="52"/>
      <c r="G7640" s="12"/>
      <c r="H7640" s="111"/>
      <c r="I7640" s="111"/>
      <c r="J7640" s="111"/>
      <c r="K7640" s="111"/>
      <c r="L7640" s="114"/>
    </row>
    <row r="7641" spans="1:12">
      <c r="A7641" s="72"/>
      <c r="B7641" s="147"/>
      <c r="C7641" s="111"/>
      <c r="D7641" s="106"/>
      <c r="E7641" s="52"/>
      <c r="F7641" s="52"/>
      <c r="G7641" s="12"/>
      <c r="H7641" s="111"/>
      <c r="I7641" s="111"/>
      <c r="J7641" s="111"/>
      <c r="K7641" s="111"/>
      <c r="L7641" s="114"/>
    </row>
    <row r="7642" spans="1:12">
      <c r="A7642" s="72"/>
      <c r="B7642" s="93"/>
      <c r="C7642" s="106"/>
      <c r="D7642" s="106"/>
      <c r="E7642" s="106"/>
      <c r="F7642" s="106"/>
      <c r="G7642" s="12"/>
      <c r="H7642" s="106"/>
      <c r="I7642" s="106"/>
      <c r="J7642" s="106"/>
      <c r="K7642" s="106"/>
      <c r="L7642" s="109"/>
    </row>
    <row r="7643" spans="1:12">
      <c r="A7643" s="72"/>
      <c r="B7643" s="93"/>
      <c r="C7643" s="106"/>
      <c r="D7643" s="106"/>
      <c r="E7643" s="106"/>
      <c r="F7643" s="106"/>
      <c r="G7643" s="12"/>
      <c r="H7643" s="106"/>
      <c r="I7643" s="106"/>
      <c r="J7643" s="106"/>
      <c r="K7643" s="106"/>
      <c r="L7643" s="134"/>
    </row>
    <row r="7644" spans="1:12">
      <c r="A7644" s="72"/>
      <c r="B7644" s="93"/>
      <c r="C7644" s="106"/>
      <c r="D7644" s="106"/>
      <c r="E7644" s="106"/>
      <c r="F7644" s="106"/>
      <c r="G7644" s="12"/>
      <c r="H7644" s="106"/>
      <c r="I7644" s="106"/>
      <c r="J7644" s="106"/>
      <c r="K7644" s="106"/>
      <c r="L7644" s="132"/>
    </row>
    <row r="7645" spans="1:12">
      <c r="A7645" s="72"/>
      <c r="B7645" s="93"/>
      <c r="C7645" s="106"/>
      <c r="D7645" s="106"/>
      <c r="E7645" s="106"/>
      <c r="F7645" s="106"/>
      <c r="G7645" s="12"/>
      <c r="H7645" s="106"/>
      <c r="I7645" s="106"/>
      <c r="J7645" s="106"/>
      <c r="K7645" s="106"/>
      <c r="L7645" s="134"/>
    </row>
    <row r="7646" spans="1:12">
      <c r="A7646" s="72"/>
      <c r="B7646" s="93"/>
      <c r="C7646" s="106"/>
      <c r="D7646" s="106"/>
      <c r="E7646" s="108"/>
      <c r="F7646" s="108"/>
      <c r="G7646" s="12"/>
      <c r="H7646" s="106"/>
      <c r="I7646" s="106"/>
      <c r="J7646" s="106"/>
      <c r="K7646" s="106"/>
      <c r="L7646" s="149"/>
    </row>
    <row r="7647" spans="1:12">
      <c r="A7647" s="72"/>
      <c r="B7647" s="93"/>
      <c r="C7647" s="106"/>
      <c r="D7647" s="106"/>
      <c r="E7647" s="106"/>
      <c r="F7647" s="106"/>
      <c r="G7647" s="12"/>
      <c r="H7647" s="106"/>
      <c r="I7647" s="131"/>
      <c r="J7647" s="106"/>
      <c r="K7647" s="106"/>
      <c r="L7647" s="132"/>
    </row>
    <row r="7648" spans="1:12">
      <c r="A7648" s="72"/>
      <c r="B7648" s="93"/>
      <c r="C7648" s="106"/>
      <c r="D7648" s="106"/>
      <c r="E7648" s="106"/>
      <c r="F7648" s="106"/>
      <c r="G7648" s="12"/>
      <c r="H7648" s="106"/>
      <c r="I7648" s="106"/>
      <c r="J7648" s="106"/>
      <c r="K7648" s="106"/>
      <c r="L7648" s="134"/>
    </row>
    <row r="7649" spans="1:12">
      <c r="A7649" s="72"/>
      <c r="B7649" s="93"/>
      <c r="C7649" s="106"/>
      <c r="D7649" s="106"/>
      <c r="E7649" s="106"/>
      <c r="F7649" s="106"/>
      <c r="G7649" s="12"/>
      <c r="H7649" s="106"/>
      <c r="I7649" s="106"/>
      <c r="J7649" s="106"/>
      <c r="K7649" s="106"/>
      <c r="L7649" s="134"/>
    </row>
    <row r="7650" spans="1:12">
      <c r="A7650" s="72"/>
      <c r="B7650" s="147"/>
      <c r="C7650" s="111"/>
      <c r="D7650" s="106"/>
      <c r="E7650" s="106"/>
      <c r="F7650" s="106"/>
      <c r="G7650" s="12"/>
      <c r="H7650" s="106"/>
      <c r="I7650" s="106"/>
      <c r="J7650" s="106"/>
      <c r="K7650" s="93"/>
      <c r="L7650" s="109"/>
    </row>
    <row r="7651" spans="1:12">
      <c r="A7651" s="72"/>
      <c r="B7651" s="93"/>
      <c r="C7651" s="106"/>
      <c r="D7651" s="106"/>
      <c r="E7651" s="106"/>
      <c r="F7651" s="106"/>
      <c r="G7651" s="12"/>
      <c r="H7651" s="106"/>
      <c r="I7651" s="106"/>
      <c r="J7651" s="106"/>
      <c r="K7651" s="106"/>
      <c r="L7651" s="109"/>
    </row>
    <row r="7652" spans="1:12">
      <c r="A7652" s="72"/>
      <c r="B7652" s="162"/>
      <c r="C7652" s="131"/>
      <c r="D7652" s="245"/>
      <c r="E7652" s="131"/>
      <c r="F7652" s="131"/>
      <c r="G7652" s="12"/>
      <c r="H7652" s="131"/>
      <c r="I7652" s="131"/>
      <c r="J7652" s="131"/>
      <c r="K7652" s="126"/>
      <c r="L7652" s="134"/>
    </row>
    <row r="7653" spans="1:12">
      <c r="A7653" s="72"/>
      <c r="B7653" s="147"/>
      <c r="C7653" s="111"/>
      <c r="D7653" s="106"/>
      <c r="E7653" s="106"/>
      <c r="F7653" s="106"/>
      <c r="G7653" s="12"/>
      <c r="H7653" s="106"/>
      <c r="I7653" s="106"/>
      <c r="J7653" s="106"/>
      <c r="K7653" s="106"/>
      <c r="L7653" s="109"/>
    </row>
    <row r="7654" spans="1:12">
      <c r="A7654" s="72"/>
      <c r="B7654" s="140"/>
      <c r="C7654" s="137"/>
      <c r="D7654" s="137"/>
      <c r="E7654" s="137"/>
      <c r="F7654" s="159"/>
      <c r="G7654" s="12"/>
      <c r="H7654" s="140"/>
      <c r="I7654" s="140"/>
      <c r="J7654" s="137"/>
      <c r="K7654" s="137"/>
      <c r="L7654" s="134"/>
    </row>
    <row r="7655" spans="1:12">
      <c r="A7655" s="72"/>
      <c r="B7655" s="143"/>
      <c r="C7655" s="141"/>
      <c r="D7655" s="137"/>
      <c r="E7655" s="141"/>
      <c r="F7655" s="166"/>
      <c r="G7655" s="12"/>
      <c r="H7655" s="140"/>
      <c r="I7655" s="143"/>
      <c r="J7655" s="141"/>
      <c r="K7655" s="141"/>
      <c r="L7655" s="134"/>
    </row>
    <row r="7656" spans="1:12">
      <c r="A7656" s="72"/>
      <c r="B7656" s="93"/>
      <c r="C7656" s="106"/>
      <c r="D7656" s="106"/>
      <c r="E7656" s="106"/>
      <c r="F7656" s="180"/>
      <c r="G7656" s="12"/>
      <c r="H7656" s="106"/>
      <c r="I7656" s="247"/>
      <c r="J7656" s="106"/>
      <c r="K7656" s="106"/>
      <c r="L7656" s="149"/>
    </row>
    <row r="7657" spans="1:12">
      <c r="A7657" s="72"/>
      <c r="B7657" s="147"/>
      <c r="C7657" s="111"/>
      <c r="D7657" s="111"/>
      <c r="E7657" s="111"/>
      <c r="F7657" s="52"/>
      <c r="G7657" s="12"/>
      <c r="H7657" s="111"/>
      <c r="I7657" s="248"/>
      <c r="J7657" s="111"/>
      <c r="K7657" s="111"/>
      <c r="L7657" s="149"/>
    </row>
    <row r="7658" spans="1:12">
      <c r="A7658" s="72"/>
      <c r="B7658" s="147"/>
      <c r="C7658" s="111"/>
      <c r="D7658" s="111"/>
      <c r="E7658" s="52"/>
      <c r="F7658" s="52"/>
      <c r="G7658" s="12"/>
      <c r="H7658" s="111"/>
      <c r="I7658" s="249"/>
      <c r="J7658" s="111"/>
      <c r="K7658" s="111"/>
      <c r="L7658" s="149"/>
    </row>
    <row r="7659" spans="1:12">
      <c r="A7659" s="72"/>
      <c r="B7659" s="93"/>
      <c r="C7659" s="106"/>
      <c r="D7659" s="106"/>
      <c r="E7659" s="106"/>
      <c r="F7659" s="92"/>
      <c r="G7659" s="12"/>
      <c r="H7659" s="131"/>
      <c r="I7659" s="247"/>
      <c r="J7659" s="131"/>
      <c r="K7659" s="150"/>
      <c r="L7659" s="109"/>
    </row>
    <row r="7660" spans="1:12">
      <c r="A7660" s="72"/>
      <c r="B7660" s="246"/>
      <c r="C7660" s="240"/>
      <c r="D7660" s="240"/>
      <c r="E7660" s="106"/>
      <c r="F7660" s="106"/>
      <c r="G7660" s="12"/>
      <c r="H7660" s="106"/>
      <c r="I7660" s="247"/>
      <c r="J7660" s="106"/>
      <c r="K7660" s="106"/>
      <c r="L7660" s="149"/>
    </row>
    <row r="7661" spans="1:12">
      <c r="A7661" s="72"/>
      <c r="B7661" s="93"/>
      <c r="C7661" s="106"/>
      <c r="D7661" s="106"/>
      <c r="E7661" s="106"/>
      <c r="F7661" s="93"/>
      <c r="G7661" s="12"/>
      <c r="H7661" s="240"/>
      <c r="I7661" s="106"/>
      <c r="J7661" s="106"/>
      <c r="K7661" s="106"/>
      <c r="L7661" s="149"/>
    </row>
    <row r="7662" spans="1:12">
      <c r="A7662" s="72"/>
      <c r="B7662" s="147"/>
      <c r="C7662" s="111"/>
      <c r="D7662" s="106"/>
      <c r="E7662" s="111"/>
      <c r="F7662" s="93"/>
      <c r="G7662" s="12"/>
      <c r="H7662" s="241"/>
      <c r="I7662" s="111"/>
      <c r="J7662" s="111"/>
      <c r="K7662" s="111"/>
      <c r="L7662" s="149"/>
    </row>
    <row r="7663" spans="1:12">
      <c r="A7663" s="72"/>
      <c r="B7663" s="93"/>
      <c r="C7663" s="106"/>
      <c r="D7663" s="106"/>
      <c r="E7663" s="106"/>
      <c r="F7663" s="106"/>
      <c r="G7663" s="12"/>
      <c r="H7663" s="106"/>
      <c r="I7663" s="131"/>
      <c r="J7663" s="106"/>
      <c r="K7663" s="106"/>
      <c r="L7663" s="109"/>
    </row>
    <row r="7664" spans="1:12">
      <c r="A7664" s="72"/>
      <c r="B7664" s="93"/>
      <c r="C7664" s="106"/>
      <c r="D7664" s="106"/>
      <c r="E7664" s="106"/>
      <c r="F7664" s="106"/>
      <c r="G7664" s="12"/>
      <c r="H7664" s="106"/>
      <c r="I7664" s="131"/>
      <c r="J7664" s="106"/>
      <c r="K7664" s="106"/>
      <c r="L7664" s="109"/>
    </row>
    <row r="7665" spans="1:12">
      <c r="A7665" s="72"/>
      <c r="B7665" s="93"/>
      <c r="C7665" s="106"/>
      <c r="D7665" s="106"/>
      <c r="E7665" s="106"/>
      <c r="F7665" s="106"/>
      <c r="G7665" s="12"/>
      <c r="H7665" s="106"/>
      <c r="I7665" s="131"/>
      <c r="J7665" s="106"/>
      <c r="K7665" s="106"/>
      <c r="L7665" s="109"/>
    </row>
    <row r="7666" spans="1:12">
      <c r="A7666" s="72"/>
      <c r="B7666" s="93"/>
      <c r="C7666" s="106"/>
      <c r="D7666" s="106"/>
      <c r="E7666" s="106"/>
      <c r="F7666" s="106"/>
      <c r="G7666" s="12"/>
      <c r="H7666" s="106"/>
      <c r="I7666" s="131"/>
      <c r="J7666" s="106"/>
      <c r="K7666" s="106"/>
      <c r="L7666" s="109"/>
    </row>
    <row r="7667" spans="1:12">
      <c r="A7667" s="72"/>
      <c r="B7667" s="93"/>
      <c r="C7667" s="106"/>
      <c r="D7667" s="106"/>
      <c r="E7667" s="106"/>
      <c r="F7667" s="106"/>
      <c r="G7667" s="12"/>
      <c r="H7667" s="106"/>
      <c r="I7667" s="131"/>
      <c r="J7667" s="106"/>
      <c r="K7667" s="106"/>
      <c r="L7667" s="109"/>
    </row>
    <row r="7668" spans="1:12">
      <c r="A7668" s="72"/>
      <c r="B7668" s="93"/>
      <c r="C7668" s="106"/>
      <c r="D7668" s="106"/>
      <c r="E7668" s="106"/>
      <c r="F7668" s="106"/>
      <c r="G7668" s="12"/>
      <c r="H7668" s="106"/>
      <c r="I7668" s="131"/>
      <c r="J7668" s="106"/>
      <c r="K7668" s="106"/>
      <c r="L7668" s="109"/>
    </row>
    <row r="7669" spans="1:12">
      <c r="A7669" s="72"/>
      <c r="B7669" s="93"/>
      <c r="C7669" s="106"/>
      <c r="D7669" s="106"/>
      <c r="E7669" s="106"/>
      <c r="F7669" s="106"/>
      <c r="G7669" s="12"/>
      <c r="H7669" s="106"/>
      <c r="I7669" s="131"/>
      <c r="J7669" s="106"/>
      <c r="K7669" s="106"/>
      <c r="L7669" s="109"/>
    </row>
    <row r="7670" spans="1:12">
      <c r="A7670" s="72"/>
      <c r="B7670" s="93"/>
      <c r="C7670" s="106"/>
      <c r="D7670" s="240"/>
      <c r="E7670" s="106"/>
      <c r="F7670" s="106"/>
      <c r="G7670" s="12"/>
      <c r="H7670" s="106"/>
      <c r="I7670" s="106"/>
      <c r="J7670" s="106"/>
      <c r="K7670" s="106"/>
      <c r="L7670" s="132"/>
    </row>
    <row r="7671" spans="1:12">
      <c r="A7671" s="72"/>
      <c r="B7671" s="93"/>
      <c r="C7671" s="106"/>
      <c r="D7671" s="106"/>
      <c r="E7671" s="106"/>
      <c r="F7671" s="106"/>
      <c r="G7671" s="12"/>
      <c r="H7671" s="106"/>
      <c r="I7671" s="106"/>
      <c r="J7671" s="106"/>
      <c r="K7671" s="106"/>
      <c r="L7671" s="106"/>
    </row>
    <row r="7672" spans="1:12">
      <c r="A7672" s="72"/>
      <c r="B7672" s="93"/>
      <c r="C7672" s="106"/>
      <c r="D7672" s="106"/>
      <c r="E7672" s="106"/>
      <c r="F7672" s="106"/>
      <c r="G7672" s="12"/>
      <c r="H7672" s="106"/>
      <c r="I7672" s="106"/>
      <c r="J7672" s="106"/>
      <c r="K7672" s="106"/>
      <c r="L7672" s="109"/>
    </row>
    <row r="7673" spans="1:12">
      <c r="A7673" s="72"/>
      <c r="B7673" s="93"/>
      <c r="C7673" s="106"/>
      <c r="D7673" s="106"/>
      <c r="E7673" s="106"/>
      <c r="F7673" s="106"/>
      <c r="G7673" s="12"/>
      <c r="H7673" s="106"/>
      <c r="I7673" s="106"/>
      <c r="J7673" s="106"/>
      <c r="K7673" s="106"/>
      <c r="L7673" s="109"/>
    </row>
    <row r="7674" spans="1:12">
      <c r="A7674" s="72"/>
      <c r="B7674" s="93"/>
      <c r="C7674" s="106"/>
      <c r="D7674" s="106"/>
      <c r="E7674" s="106"/>
      <c r="F7674" s="106"/>
      <c r="G7674" s="12"/>
      <c r="H7674" s="106"/>
      <c r="I7674" s="106"/>
      <c r="J7674" s="106"/>
      <c r="K7674" s="106"/>
      <c r="L7674" s="250"/>
    </row>
    <row r="7675" spans="1:12">
      <c r="A7675" s="72"/>
      <c r="B7675" s="93"/>
      <c r="C7675" s="106"/>
      <c r="D7675" s="106"/>
      <c r="E7675" s="106"/>
      <c r="F7675" s="106"/>
      <c r="G7675" s="12"/>
      <c r="H7675" s="106"/>
      <c r="I7675" s="106"/>
      <c r="J7675" s="106"/>
      <c r="K7675" s="106"/>
      <c r="L7675" s="109"/>
    </row>
    <row r="7676" spans="1:12">
      <c r="A7676" s="72"/>
      <c r="B7676" s="93"/>
      <c r="C7676" s="106"/>
      <c r="D7676" s="106"/>
      <c r="E7676" s="106"/>
      <c r="F7676" s="106"/>
      <c r="G7676" s="12"/>
      <c r="H7676" s="106"/>
      <c r="I7676" s="106"/>
      <c r="J7676" s="106"/>
      <c r="K7676" s="106"/>
      <c r="L7676" s="109"/>
    </row>
    <row r="7677" spans="1:12">
      <c r="A7677" s="72"/>
      <c r="B7677" s="251"/>
      <c r="C7677" s="106"/>
      <c r="D7677" s="106"/>
      <c r="E7677" s="106"/>
      <c r="F7677" s="106"/>
      <c r="G7677" s="12"/>
      <c r="H7677" s="106"/>
      <c r="I7677" s="106"/>
      <c r="J7677" s="106"/>
      <c r="K7677" s="106"/>
      <c r="L7677" s="109"/>
    </row>
    <row r="7678" spans="1:12">
      <c r="A7678" s="72"/>
      <c r="B7678" s="93"/>
      <c r="C7678" s="106"/>
      <c r="D7678" s="185"/>
      <c r="E7678" s="106"/>
      <c r="F7678" s="106"/>
      <c r="G7678" s="12"/>
      <c r="H7678" s="106"/>
      <c r="I7678" s="106"/>
      <c r="J7678" s="106"/>
      <c r="K7678" s="131"/>
      <c r="L7678" s="243"/>
    </row>
    <row r="7679" spans="1:12">
      <c r="A7679" s="72"/>
      <c r="B7679" s="140"/>
      <c r="C7679" s="137"/>
      <c r="D7679" s="240"/>
      <c r="E7679" s="81"/>
      <c r="F7679" s="93"/>
      <c r="G7679" s="12"/>
      <c r="H7679" s="36"/>
      <c r="I7679" s="121"/>
      <c r="J7679" s="106"/>
      <c r="K7679" s="137"/>
      <c r="L7679" s="109"/>
    </row>
    <row r="7680" spans="1:12">
      <c r="A7680" s="72"/>
      <c r="B7680" s="140"/>
      <c r="C7680" s="137"/>
      <c r="D7680" s="240"/>
      <c r="E7680" s="180"/>
      <c r="F7680" s="106"/>
      <c r="G7680" s="12"/>
      <c r="H7680" s="106"/>
      <c r="I7680" s="138"/>
      <c r="J7680" s="106"/>
      <c r="K7680" s="137"/>
      <c r="L7680" s="109"/>
    </row>
    <row r="7681" spans="1:12">
      <c r="A7681" s="72"/>
      <c r="B7681" s="251"/>
      <c r="C7681" s="175"/>
      <c r="D7681" s="106"/>
      <c r="E7681" s="108"/>
      <c r="F7681" s="106"/>
      <c r="G7681" s="12"/>
      <c r="H7681" s="106"/>
      <c r="I7681" s="106"/>
      <c r="J7681" s="106"/>
      <c r="K7681" s="106"/>
      <c r="L7681" s="109"/>
    </row>
    <row r="7682" spans="1:12">
      <c r="A7682" s="72"/>
      <c r="B7682" s="251"/>
      <c r="C7682" s="106"/>
      <c r="D7682" s="106"/>
      <c r="E7682" s="108"/>
      <c r="F7682" s="106"/>
      <c r="G7682" s="12"/>
      <c r="H7682" s="106"/>
      <c r="I7682" s="106"/>
      <c r="J7682" s="106"/>
      <c r="K7682" s="106"/>
      <c r="L7682" s="109"/>
    </row>
    <row r="7683" spans="1:12">
      <c r="A7683" s="72"/>
      <c r="B7683" s="93"/>
      <c r="C7683" s="106"/>
      <c r="D7683" s="106"/>
      <c r="E7683" s="106"/>
      <c r="F7683" s="106"/>
      <c r="G7683" s="12"/>
      <c r="H7683" s="106"/>
      <c r="I7683" s="106"/>
      <c r="J7683" s="106"/>
      <c r="K7683" s="106"/>
      <c r="L7683" s="109"/>
    </row>
    <row r="7684" spans="1:12">
      <c r="A7684" s="72"/>
      <c r="B7684" s="147"/>
      <c r="C7684" s="111"/>
      <c r="D7684" s="106"/>
      <c r="E7684" s="111"/>
      <c r="F7684" s="111"/>
      <c r="G7684" s="12"/>
      <c r="H7684" s="111"/>
      <c r="I7684" s="111"/>
      <c r="J7684" s="111"/>
      <c r="K7684" s="111"/>
      <c r="L7684" s="114"/>
    </row>
    <row r="7685" spans="1:12">
      <c r="A7685" s="72"/>
      <c r="B7685" s="93"/>
      <c r="C7685" s="106"/>
      <c r="D7685" s="106"/>
      <c r="E7685" s="106"/>
      <c r="F7685" s="106"/>
      <c r="G7685" s="12"/>
      <c r="H7685" s="106"/>
      <c r="I7685" s="106"/>
      <c r="J7685" s="106"/>
      <c r="K7685" s="106"/>
      <c r="L7685" s="109"/>
    </row>
    <row r="7686" spans="1:12">
      <c r="A7686" s="72"/>
      <c r="B7686" s="93"/>
      <c r="C7686" s="106"/>
      <c r="D7686" s="106"/>
      <c r="E7686" s="106"/>
      <c r="F7686" s="106"/>
      <c r="G7686" s="12"/>
      <c r="H7686" s="106"/>
      <c r="I7686" s="106"/>
      <c r="J7686" s="106"/>
      <c r="K7686" s="106"/>
      <c r="L7686" s="109"/>
    </row>
    <row r="7687" spans="1:12">
      <c r="A7687" s="72"/>
      <c r="B7687" s="196"/>
      <c r="C7687" s="159"/>
      <c r="D7687" s="199"/>
      <c r="E7687" s="196"/>
      <c r="F7687" s="159"/>
      <c r="G7687" s="12"/>
      <c r="H7687" s="159"/>
      <c r="I7687" s="159"/>
      <c r="J7687" s="159"/>
      <c r="K7687" s="159"/>
      <c r="L7687" s="193"/>
    </row>
    <row r="7688" spans="1:12">
      <c r="A7688" s="72"/>
      <c r="B7688" s="196"/>
      <c r="C7688" s="159"/>
      <c r="D7688" s="197"/>
      <c r="E7688" s="196"/>
      <c r="F7688" s="159"/>
      <c r="G7688" s="12"/>
      <c r="H7688" s="105"/>
      <c r="I7688" s="196"/>
      <c r="J7688" s="159"/>
      <c r="K7688" s="157"/>
      <c r="L7688" s="160"/>
    </row>
    <row r="7689" spans="1:12">
      <c r="A7689" s="72"/>
      <c r="B7689" s="93"/>
      <c r="C7689" s="106"/>
      <c r="D7689" s="106"/>
      <c r="E7689" s="93"/>
      <c r="F7689" s="81"/>
      <c r="G7689" s="12"/>
      <c r="H7689" s="93"/>
      <c r="I7689" s="93"/>
      <c r="J7689" s="106"/>
      <c r="K7689" s="106"/>
      <c r="L7689" s="109"/>
    </row>
    <row r="7690" spans="1:12">
      <c r="A7690" s="72"/>
      <c r="B7690" s="147"/>
      <c r="C7690" s="111"/>
      <c r="D7690" s="111"/>
      <c r="E7690" s="93"/>
      <c r="F7690" s="130"/>
      <c r="G7690" s="12"/>
      <c r="H7690" s="93"/>
      <c r="I7690" s="147"/>
      <c r="J7690" s="111"/>
      <c r="K7690" s="111"/>
      <c r="L7690" s="114"/>
    </row>
    <row r="7691" spans="1:12">
      <c r="A7691" s="72"/>
      <c r="B7691" s="93"/>
      <c r="C7691" s="106"/>
      <c r="D7691" s="106"/>
      <c r="E7691" s="106"/>
      <c r="F7691" s="106"/>
      <c r="G7691" s="12"/>
      <c r="H7691" s="93"/>
      <c r="I7691" s="93"/>
      <c r="J7691" s="106"/>
      <c r="K7691" s="106"/>
      <c r="L7691" s="109"/>
    </row>
    <row r="7692" spans="1:12">
      <c r="A7692" s="72"/>
      <c r="B7692" s="93"/>
      <c r="C7692" s="106"/>
      <c r="D7692" s="106"/>
      <c r="E7692" s="106"/>
      <c r="F7692" s="93"/>
      <c r="G7692" s="12"/>
      <c r="H7692" s="106"/>
      <c r="I7692" s="106"/>
      <c r="J7692" s="106"/>
      <c r="K7692" s="106"/>
      <c r="L7692" s="109"/>
    </row>
    <row r="7693" spans="1:12">
      <c r="A7693" s="72"/>
      <c r="B7693" s="93"/>
      <c r="C7693" s="106"/>
      <c r="D7693" s="106"/>
      <c r="E7693" s="106"/>
      <c r="F7693" s="106"/>
      <c r="G7693" s="12"/>
      <c r="H7693" s="106"/>
      <c r="I7693" s="106"/>
      <c r="J7693" s="106"/>
      <c r="K7693" s="106"/>
      <c r="L7693" s="109"/>
    </row>
    <row r="7694" spans="1:12">
      <c r="A7694" s="72"/>
      <c r="B7694" s="93"/>
      <c r="C7694" s="106"/>
      <c r="D7694" s="240"/>
      <c r="E7694" s="106"/>
      <c r="F7694" s="106"/>
      <c r="G7694" s="12"/>
      <c r="H7694" s="106"/>
      <c r="I7694" s="106"/>
      <c r="J7694" s="106"/>
      <c r="K7694" s="106"/>
      <c r="L7694" s="109"/>
    </row>
    <row r="7695" spans="1:12">
      <c r="A7695" s="72"/>
      <c r="B7695" s="93"/>
      <c r="C7695" s="106"/>
      <c r="D7695" s="240"/>
      <c r="E7695" s="106"/>
      <c r="F7695" s="106"/>
      <c r="G7695" s="12"/>
      <c r="H7695" s="106"/>
      <c r="I7695" s="106"/>
      <c r="J7695" s="106"/>
      <c r="K7695" s="106"/>
      <c r="L7695" s="109"/>
    </row>
    <row r="7696" spans="1:12">
      <c r="A7696" s="72"/>
      <c r="B7696" s="93"/>
      <c r="C7696" s="106"/>
      <c r="D7696" s="106"/>
      <c r="E7696" s="106"/>
      <c r="F7696" s="106"/>
      <c r="G7696" s="12"/>
      <c r="H7696" s="106"/>
      <c r="I7696" s="106"/>
      <c r="J7696" s="106"/>
      <c r="K7696" s="106"/>
      <c r="L7696" s="109"/>
    </row>
    <row r="7697" spans="1:12">
      <c r="A7697" s="72"/>
      <c r="B7697" s="93"/>
      <c r="C7697" s="106"/>
      <c r="D7697" s="252"/>
      <c r="E7697" s="180"/>
      <c r="F7697" s="106"/>
      <c r="G7697" s="12"/>
      <c r="H7697" s="106"/>
      <c r="I7697" s="107"/>
      <c r="J7697" s="106"/>
      <c r="K7697" s="106"/>
      <c r="L7697" s="109"/>
    </row>
    <row r="7698" spans="1:12">
      <c r="A7698" s="72"/>
      <c r="B7698" s="93"/>
      <c r="C7698" s="106"/>
      <c r="D7698" s="252"/>
      <c r="E7698" s="180"/>
      <c r="F7698" s="106"/>
      <c r="G7698" s="12"/>
      <c r="H7698" s="106"/>
      <c r="I7698" s="107"/>
      <c r="J7698" s="106"/>
      <c r="K7698" s="106"/>
      <c r="L7698" s="109"/>
    </row>
    <row r="7699" spans="1:12">
      <c r="A7699" s="72"/>
      <c r="B7699" s="93"/>
      <c r="C7699" s="106"/>
      <c r="D7699" s="252"/>
      <c r="E7699" s="180"/>
      <c r="F7699" s="106"/>
      <c r="G7699" s="12"/>
      <c r="H7699" s="106"/>
      <c r="I7699" s="107"/>
      <c r="J7699" s="106"/>
      <c r="K7699" s="106"/>
      <c r="L7699" s="109"/>
    </row>
    <row r="7700" spans="1:12">
      <c r="A7700" s="72"/>
      <c r="B7700" s="93"/>
      <c r="C7700" s="106"/>
      <c r="D7700" s="106"/>
      <c r="E7700" s="106"/>
      <c r="F7700" s="106"/>
      <c r="G7700" s="12"/>
      <c r="H7700" s="106"/>
      <c r="I7700" s="106"/>
      <c r="J7700" s="106"/>
      <c r="K7700" s="106"/>
      <c r="L7700" s="132"/>
    </row>
    <row r="7701" spans="1:12">
      <c r="A7701" s="72"/>
      <c r="B7701" s="93"/>
      <c r="C7701" s="106"/>
      <c r="D7701" s="240"/>
      <c r="E7701" s="106"/>
      <c r="F7701" s="106"/>
      <c r="G7701" s="12"/>
      <c r="H7701" s="106"/>
      <c r="I7701" s="106"/>
      <c r="J7701" s="106"/>
      <c r="K7701" s="106"/>
      <c r="L7701" s="132"/>
    </row>
    <row r="7702" spans="1:12">
      <c r="A7702" s="72"/>
      <c r="B7702" s="93"/>
      <c r="C7702" s="106"/>
      <c r="D7702" s="240"/>
      <c r="E7702" s="106"/>
      <c r="F7702" s="106"/>
      <c r="G7702" s="12"/>
      <c r="H7702" s="106"/>
      <c r="I7702" s="106"/>
      <c r="J7702" s="106"/>
      <c r="K7702" s="106"/>
      <c r="L7702" s="132"/>
    </row>
    <row r="7703" spans="1:12">
      <c r="A7703" s="72"/>
      <c r="B7703" s="93"/>
      <c r="C7703" s="106"/>
      <c r="D7703" s="240"/>
      <c r="E7703" s="106"/>
      <c r="F7703" s="106"/>
      <c r="G7703" s="12"/>
      <c r="H7703" s="106"/>
      <c r="I7703" s="106"/>
      <c r="J7703" s="106"/>
      <c r="K7703" s="106"/>
      <c r="L7703" s="132"/>
    </row>
    <row r="7704" spans="1:12">
      <c r="A7704" s="72"/>
      <c r="B7704" s="93"/>
      <c r="C7704" s="106"/>
      <c r="D7704" s="106"/>
      <c r="E7704" s="106"/>
      <c r="F7704" s="106"/>
      <c r="G7704" s="12"/>
      <c r="H7704" s="93"/>
      <c r="I7704" s="131"/>
      <c r="J7704" s="106"/>
      <c r="K7704" s="106"/>
      <c r="L7704" s="132"/>
    </row>
    <row r="7705" spans="1:12">
      <c r="A7705" s="72"/>
      <c r="B7705" s="93"/>
      <c r="C7705" s="106"/>
      <c r="D7705" s="106"/>
      <c r="E7705" s="106"/>
      <c r="F7705" s="106"/>
      <c r="G7705" s="12"/>
      <c r="H7705" s="106"/>
      <c r="I7705" s="131"/>
      <c r="J7705" s="106"/>
      <c r="K7705" s="246"/>
      <c r="L7705" s="132"/>
    </row>
    <row r="7706" spans="1:12">
      <c r="A7706" s="72"/>
      <c r="B7706" s="93"/>
      <c r="C7706" s="106"/>
      <c r="D7706" s="106"/>
      <c r="E7706" s="106"/>
      <c r="F7706" s="106"/>
      <c r="G7706" s="12"/>
      <c r="H7706" s="106"/>
      <c r="I7706" s="131"/>
      <c r="J7706" s="106"/>
      <c r="K7706" s="246"/>
      <c r="L7706" s="132"/>
    </row>
    <row r="7707" spans="1:12">
      <c r="A7707" s="72"/>
      <c r="B7707" s="93"/>
      <c r="C7707" s="106"/>
      <c r="D7707" s="106"/>
      <c r="E7707" s="106"/>
      <c r="F7707" s="106"/>
      <c r="G7707" s="12"/>
      <c r="H7707" s="106"/>
      <c r="I7707" s="131"/>
      <c r="J7707" s="106"/>
      <c r="K7707" s="246"/>
      <c r="L7707" s="132"/>
    </row>
    <row r="7708" spans="1:12">
      <c r="A7708" s="72"/>
      <c r="B7708" s="93"/>
      <c r="C7708" s="106"/>
      <c r="D7708" s="106"/>
      <c r="E7708" s="106"/>
      <c r="F7708" s="106"/>
      <c r="G7708" s="12"/>
      <c r="H7708" s="106"/>
      <c r="I7708" s="131"/>
      <c r="J7708" s="106"/>
      <c r="K7708" s="246"/>
      <c r="L7708" s="132"/>
    </row>
    <row r="7709" spans="1:12">
      <c r="A7709" s="72"/>
      <c r="B7709" s="246"/>
      <c r="C7709" s="240"/>
      <c r="D7709" s="240"/>
      <c r="E7709" s="108"/>
      <c r="F7709" s="106"/>
      <c r="G7709" s="12"/>
      <c r="H7709" s="106"/>
      <c r="I7709" s="106"/>
      <c r="J7709" s="240"/>
      <c r="K7709" s="246"/>
      <c r="L7709" s="134"/>
    </row>
    <row r="7710" spans="1:12">
      <c r="A7710" s="72"/>
      <c r="B7710" s="105"/>
      <c r="C7710" s="108"/>
      <c r="D7710" s="240"/>
      <c r="E7710" s="106"/>
      <c r="F7710" s="106"/>
      <c r="G7710" s="12"/>
      <c r="H7710" s="105"/>
      <c r="I7710" s="93"/>
      <c r="J7710" s="106"/>
      <c r="K7710" s="106"/>
      <c r="L7710" s="152"/>
    </row>
    <row r="7711" spans="1:12">
      <c r="A7711" s="72"/>
      <c r="B7711" s="110"/>
      <c r="C7711" s="113"/>
      <c r="D7711" s="240"/>
      <c r="E7711" s="111"/>
      <c r="F7711" s="111"/>
      <c r="G7711" s="12"/>
      <c r="H7711" s="105"/>
      <c r="I7711" s="147"/>
      <c r="J7711" s="111"/>
      <c r="K7711" s="111"/>
      <c r="L7711" s="230"/>
    </row>
    <row r="7712" spans="1:12">
      <c r="A7712" s="72"/>
      <c r="B7712" s="140"/>
      <c r="C7712" s="137"/>
      <c r="D7712" s="106"/>
      <c r="E7712" s="81"/>
      <c r="F7712" s="93"/>
      <c r="G7712" s="12"/>
      <c r="H7712" s="106"/>
      <c r="I7712" s="106"/>
      <c r="J7712" s="106"/>
      <c r="K7712" s="106"/>
      <c r="L7712" s="109"/>
    </row>
    <row r="7713" spans="1:12">
      <c r="A7713" s="72"/>
      <c r="B7713" s="140"/>
      <c r="C7713" s="137"/>
      <c r="D7713" s="106"/>
      <c r="E7713" s="192"/>
      <c r="F7713" s="108"/>
      <c r="G7713" s="12"/>
      <c r="H7713" s="106"/>
      <c r="I7713" s="106"/>
      <c r="J7713" s="106"/>
      <c r="K7713" s="106"/>
      <c r="L7713" s="109"/>
    </row>
    <row r="7714" spans="1:12">
      <c r="A7714" s="72"/>
      <c r="B7714" s="105"/>
      <c r="C7714" s="108"/>
      <c r="D7714" s="106"/>
      <c r="E7714" s="192"/>
      <c r="F7714" s="108"/>
      <c r="G7714" s="12"/>
      <c r="H7714" s="108"/>
      <c r="I7714" s="107"/>
      <c r="J7714" s="106"/>
      <c r="K7714" s="106"/>
      <c r="L7714" s="109"/>
    </row>
    <row r="7715" spans="1:12">
      <c r="A7715" s="72"/>
      <c r="B7715" s="105"/>
      <c r="C7715" s="108"/>
      <c r="D7715" s="240"/>
      <c r="E7715" s="192"/>
      <c r="F7715" s="108"/>
      <c r="G7715" s="12"/>
      <c r="H7715" s="108"/>
      <c r="I7715" s="107"/>
      <c r="J7715" s="106"/>
      <c r="K7715" s="106"/>
      <c r="L7715" s="132"/>
    </row>
    <row r="7716" spans="1:12">
      <c r="A7716" s="72"/>
      <c r="B7716" s="105"/>
      <c r="C7716" s="108"/>
      <c r="D7716" s="252"/>
      <c r="E7716" s="253"/>
      <c r="F7716" s="81"/>
      <c r="G7716" s="12"/>
      <c r="H7716" s="105"/>
      <c r="I7716" s="96"/>
      <c r="J7716" s="111"/>
      <c r="K7716" s="106"/>
      <c r="L7716" s="149"/>
    </row>
    <row r="7717" spans="1:12">
      <c r="A7717" s="72"/>
      <c r="B7717" s="110"/>
      <c r="C7717" s="113"/>
      <c r="D7717" s="252"/>
      <c r="E7717" s="253"/>
      <c r="F7717" s="81"/>
      <c r="G7717" s="12"/>
      <c r="H7717" s="105"/>
      <c r="I7717" s="254"/>
      <c r="J7717" s="111"/>
      <c r="K7717" s="111"/>
      <c r="L7717" s="132"/>
    </row>
    <row r="7718" spans="1:12">
      <c r="A7718" s="72"/>
      <c r="B7718" s="110"/>
      <c r="C7718" s="113"/>
      <c r="D7718" s="252"/>
      <c r="E7718" s="253"/>
      <c r="F7718" s="81"/>
      <c r="G7718" s="12"/>
      <c r="H7718" s="105"/>
      <c r="I7718" s="96"/>
      <c r="J7718" s="93"/>
      <c r="K7718" s="93"/>
      <c r="L7718" s="217"/>
    </row>
    <row r="7719" spans="1:12">
      <c r="A7719" s="72"/>
      <c r="B7719" s="93"/>
      <c r="C7719" s="106"/>
      <c r="D7719" s="106"/>
      <c r="E7719" s="106"/>
      <c r="F7719" s="106"/>
      <c r="G7719" s="12"/>
      <c r="H7719" s="106"/>
      <c r="I7719" s="106"/>
      <c r="J7719" s="106"/>
      <c r="K7719" s="106"/>
      <c r="L7719" s="109"/>
    </row>
    <row r="7720" spans="1:12">
      <c r="A7720" s="72"/>
      <c r="B7720" s="93"/>
      <c r="C7720" s="106"/>
      <c r="D7720" s="106"/>
      <c r="E7720" s="106"/>
      <c r="F7720" s="106"/>
      <c r="G7720" s="12"/>
      <c r="H7720" s="106"/>
      <c r="I7720" s="106"/>
      <c r="J7720" s="106"/>
      <c r="K7720" s="106"/>
      <c r="L7720" s="109"/>
    </row>
    <row r="7721" spans="1:12">
      <c r="A7721" s="72"/>
      <c r="B7721" s="93"/>
      <c r="C7721" s="106"/>
      <c r="D7721" s="106"/>
      <c r="E7721" s="106"/>
      <c r="F7721" s="106"/>
      <c r="G7721" s="12"/>
      <c r="H7721" s="106"/>
      <c r="I7721" s="106"/>
      <c r="J7721" s="106"/>
      <c r="K7721" s="106"/>
      <c r="L7721" s="109"/>
    </row>
    <row r="7722" spans="1:12">
      <c r="A7722" s="72"/>
      <c r="B7722" s="93"/>
      <c r="C7722" s="106"/>
      <c r="D7722" s="106"/>
      <c r="E7722" s="106"/>
      <c r="F7722" s="106"/>
      <c r="G7722" s="12"/>
      <c r="H7722" s="106"/>
      <c r="I7722" s="106"/>
      <c r="J7722" s="106"/>
      <c r="K7722" s="106"/>
      <c r="L7722" s="109"/>
    </row>
    <row r="7723" spans="1:12">
      <c r="A7723" s="72"/>
      <c r="B7723" s="93"/>
      <c r="C7723" s="106"/>
      <c r="D7723" s="106"/>
      <c r="E7723" s="106"/>
      <c r="F7723" s="106"/>
      <c r="G7723" s="12"/>
      <c r="H7723" s="106"/>
      <c r="I7723" s="106"/>
      <c r="J7723" s="106"/>
      <c r="K7723" s="106"/>
      <c r="L7723" s="109"/>
    </row>
    <row r="7724" spans="1:12">
      <c r="A7724" s="72"/>
      <c r="B7724" s="105"/>
      <c r="C7724" s="106"/>
      <c r="D7724" s="106"/>
      <c r="E7724" s="180"/>
      <c r="F7724" s="106"/>
      <c r="G7724" s="12"/>
      <c r="H7724" s="106"/>
      <c r="I7724" s="106"/>
      <c r="J7724" s="106"/>
      <c r="K7724" s="106"/>
      <c r="L7724" s="109"/>
    </row>
    <row r="7725" spans="1:12">
      <c r="A7725" s="72"/>
      <c r="B7725" s="105"/>
      <c r="C7725" s="106"/>
      <c r="D7725" s="106"/>
      <c r="E7725" s="106"/>
      <c r="F7725" s="106"/>
      <c r="G7725" s="12"/>
      <c r="H7725" s="106"/>
      <c r="I7725" s="106"/>
      <c r="J7725" s="106"/>
      <c r="K7725" s="106"/>
      <c r="L7725" s="109"/>
    </row>
    <row r="7726" spans="1:12">
      <c r="A7726" s="72"/>
      <c r="B7726" s="105"/>
      <c r="C7726" s="106"/>
      <c r="D7726" s="106"/>
      <c r="E7726" s="106"/>
      <c r="F7726" s="106"/>
      <c r="G7726" s="12"/>
      <c r="H7726" s="106"/>
      <c r="I7726" s="106"/>
      <c r="J7726" s="106"/>
      <c r="K7726" s="106"/>
      <c r="L7726" s="109"/>
    </row>
    <row r="7727" spans="1:12">
      <c r="A7727" s="72"/>
      <c r="B7727" s="93"/>
      <c r="C7727" s="106"/>
      <c r="D7727" s="106"/>
      <c r="E7727" s="108"/>
      <c r="F7727" s="108"/>
      <c r="G7727" s="12"/>
      <c r="H7727" s="108"/>
      <c r="I7727" s="106"/>
      <c r="J7727" s="106"/>
      <c r="K7727" s="106"/>
      <c r="L7727" s="149"/>
    </row>
    <row r="7728" spans="1:12">
      <c r="A7728" s="72"/>
      <c r="B7728" s="93"/>
      <c r="C7728" s="106"/>
      <c r="D7728" s="106"/>
      <c r="E7728" s="106"/>
      <c r="F7728" s="106"/>
      <c r="G7728" s="12"/>
      <c r="H7728" s="106"/>
      <c r="I7728" s="106"/>
      <c r="J7728" s="106"/>
      <c r="K7728" s="106"/>
      <c r="L7728" s="109"/>
    </row>
    <row r="7729" spans="1:12">
      <c r="A7729" s="72"/>
      <c r="B7729" s="93"/>
      <c r="C7729" s="106"/>
      <c r="D7729" s="106"/>
      <c r="E7729" s="106"/>
      <c r="F7729" s="106"/>
      <c r="G7729" s="12"/>
      <c r="H7729" s="106"/>
      <c r="I7729" s="106"/>
      <c r="J7729" s="106"/>
      <c r="K7729" s="106"/>
      <c r="L7729" s="109"/>
    </row>
    <row r="7730" spans="1:12">
      <c r="A7730" s="72"/>
      <c r="B7730" s="93"/>
      <c r="C7730" s="106"/>
      <c r="D7730" s="106"/>
      <c r="E7730" s="106"/>
      <c r="F7730" s="106"/>
      <c r="G7730" s="12"/>
      <c r="H7730" s="106"/>
      <c r="I7730" s="106"/>
      <c r="J7730" s="106"/>
      <c r="K7730" s="106"/>
      <c r="L7730" s="109"/>
    </row>
    <row r="7731" spans="1:12">
      <c r="A7731" s="72"/>
      <c r="B7731" s="93"/>
      <c r="C7731" s="106"/>
      <c r="D7731" s="106"/>
      <c r="E7731" s="106"/>
      <c r="F7731" s="106"/>
      <c r="G7731" s="12"/>
      <c r="H7731" s="106"/>
      <c r="I7731" s="106"/>
      <c r="J7731" s="106"/>
      <c r="K7731" s="106"/>
      <c r="L7731" s="109"/>
    </row>
    <row r="7732" spans="1:12">
      <c r="A7732" s="72"/>
      <c r="B7732" s="93"/>
      <c r="C7732" s="106"/>
      <c r="D7732" s="106"/>
      <c r="E7732" s="106"/>
      <c r="F7732" s="106"/>
      <c r="G7732" s="12"/>
      <c r="H7732" s="106"/>
      <c r="I7732" s="106"/>
      <c r="J7732" s="106"/>
      <c r="K7732" s="106"/>
      <c r="L7732" s="109"/>
    </row>
    <row r="7733" spans="1:12">
      <c r="A7733" s="72"/>
      <c r="B7733" s="93"/>
      <c r="C7733" s="106"/>
      <c r="D7733" s="106"/>
      <c r="E7733" s="106"/>
      <c r="F7733" s="106"/>
      <c r="G7733" s="12"/>
      <c r="H7733" s="106"/>
      <c r="I7733" s="106"/>
      <c r="J7733" s="106"/>
      <c r="K7733" s="106"/>
      <c r="L7733" s="132"/>
    </row>
    <row r="7734" spans="1:12">
      <c r="A7734" s="72"/>
      <c r="B7734" s="93"/>
      <c r="C7734" s="106"/>
      <c r="D7734" s="106"/>
      <c r="E7734" s="106"/>
      <c r="F7734" s="106"/>
      <c r="G7734" s="12"/>
      <c r="H7734" s="106"/>
      <c r="I7734" s="106"/>
      <c r="J7734" s="106"/>
      <c r="K7734" s="106"/>
      <c r="L7734" s="132"/>
    </row>
    <row r="7735" spans="1:12">
      <c r="A7735" s="72"/>
      <c r="B7735" s="105"/>
      <c r="C7735" s="106"/>
      <c r="D7735" s="240"/>
      <c r="E7735" s="106"/>
      <c r="F7735" s="106"/>
      <c r="G7735" s="12"/>
      <c r="H7735" s="106"/>
      <c r="I7735" s="106"/>
      <c r="J7735" s="106"/>
      <c r="K7735" s="106"/>
      <c r="L7735" s="132"/>
    </row>
    <row r="7736" spans="1:12">
      <c r="A7736" s="72"/>
      <c r="B7736" s="110"/>
      <c r="C7736" s="111"/>
      <c r="D7736" s="241"/>
      <c r="E7736" s="111"/>
      <c r="F7736" s="111"/>
      <c r="G7736" s="12"/>
      <c r="H7736" s="111"/>
      <c r="I7736" s="111"/>
      <c r="J7736" s="111"/>
      <c r="K7736" s="111"/>
      <c r="L7736" s="133"/>
    </row>
    <row r="7737" spans="1:12">
      <c r="A7737" s="72"/>
      <c r="B7737" s="93"/>
      <c r="C7737" s="106"/>
      <c r="D7737" s="106"/>
      <c r="E7737" s="106"/>
      <c r="F7737" s="106"/>
      <c r="G7737" s="12"/>
      <c r="H7737" s="106"/>
      <c r="I7737" s="106"/>
      <c r="J7737" s="106"/>
      <c r="K7737" s="106"/>
      <c r="L7737" s="132"/>
    </row>
    <row r="7738" spans="1:12">
      <c r="A7738" s="72"/>
      <c r="B7738" s="147"/>
      <c r="C7738" s="111"/>
      <c r="D7738" s="111"/>
      <c r="E7738" s="111"/>
      <c r="F7738" s="111"/>
      <c r="G7738" s="12"/>
      <c r="H7738" s="111"/>
      <c r="I7738" s="111"/>
      <c r="J7738" s="111"/>
      <c r="K7738" s="111"/>
      <c r="L7738" s="133"/>
    </row>
    <row r="7739" spans="1:12">
      <c r="A7739" s="72"/>
      <c r="B7739" s="93"/>
      <c r="C7739" s="106"/>
      <c r="D7739" s="106"/>
      <c r="E7739" s="106"/>
      <c r="F7739" s="106"/>
      <c r="G7739" s="12"/>
      <c r="H7739" s="106"/>
      <c r="I7739" s="106"/>
      <c r="J7739" s="106"/>
      <c r="K7739" s="106"/>
      <c r="L7739" s="132"/>
    </row>
    <row r="7740" spans="1:12">
      <c r="A7740" s="72"/>
      <c r="B7740" s="147"/>
      <c r="C7740" s="111"/>
      <c r="D7740" s="111"/>
      <c r="E7740" s="111"/>
      <c r="F7740" s="111"/>
      <c r="G7740" s="12"/>
      <c r="H7740" s="111"/>
      <c r="I7740" s="111"/>
      <c r="J7740" s="111"/>
      <c r="K7740" s="111"/>
      <c r="L7740" s="133"/>
    </row>
    <row r="7741" spans="1:12">
      <c r="A7741" s="72"/>
      <c r="B7741" s="93"/>
      <c r="C7741" s="106"/>
      <c r="D7741" s="106"/>
      <c r="E7741" s="106"/>
      <c r="F7741" s="106"/>
      <c r="G7741" s="12"/>
      <c r="H7741" s="106"/>
      <c r="I7741" s="106"/>
      <c r="J7741" s="106"/>
      <c r="K7741" s="106"/>
      <c r="L7741" s="132"/>
    </row>
    <row r="7742" spans="1:12">
      <c r="A7742" s="72"/>
      <c r="B7742" s="93"/>
      <c r="C7742" s="106"/>
      <c r="D7742" s="106"/>
      <c r="E7742" s="106"/>
      <c r="F7742" s="106"/>
      <c r="G7742" s="12"/>
      <c r="H7742" s="106"/>
      <c r="I7742" s="106"/>
      <c r="J7742" s="106"/>
      <c r="K7742" s="106"/>
      <c r="L7742" s="132"/>
    </row>
    <row r="7743" spans="1:12">
      <c r="A7743" s="72"/>
      <c r="B7743" s="251"/>
      <c r="C7743" s="106"/>
      <c r="D7743" s="106"/>
      <c r="E7743" s="106"/>
      <c r="F7743" s="106"/>
      <c r="G7743" s="12"/>
      <c r="H7743" s="106"/>
      <c r="I7743" s="106"/>
      <c r="J7743" s="106"/>
      <c r="K7743" s="106"/>
      <c r="L7743" s="109"/>
    </row>
    <row r="7744" spans="1:12">
      <c r="A7744" s="72"/>
      <c r="B7744" s="93"/>
      <c r="C7744" s="106"/>
      <c r="D7744" s="106"/>
      <c r="E7744" s="106"/>
      <c r="F7744" s="150"/>
      <c r="G7744" s="12"/>
      <c r="H7744" s="106"/>
      <c r="I7744" s="106"/>
      <c r="J7744" s="106"/>
      <c r="K7744" s="106"/>
      <c r="L7744" s="109"/>
    </row>
    <row r="7745" spans="1:12">
      <c r="A7745" s="72"/>
      <c r="B7745" s="93"/>
      <c r="C7745" s="106"/>
      <c r="D7745" s="106"/>
      <c r="E7745" s="106"/>
      <c r="F7745" s="106"/>
      <c r="G7745" s="12"/>
      <c r="H7745" s="106"/>
      <c r="I7745" s="106"/>
      <c r="J7745" s="106"/>
      <c r="K7745" s="106"/>
      <c r="L7745" s="109"/>
    </row>
    <row r="7746" spans="1:12">
      <c r="A7746" s="72"/>
      <c r="B7746" s="93"/>
      <c r="C7746" s="106"/>
      <c r="D7746" s="106"/>
      <c r="E7746" s="106"/>
      <c r="F7746" s="106"/>
      <c r="G7746" s="12"/>
      <c r="H7746" s="106"/>
      <c r="I7746" s="106"/>
      <c r="J7746" s="106"/>
      <c r="K7746" s="106"/>
      <c r="L7746" s="109"/>
    </row>
    <row r="7747" spans="1:12">
      <c r="A7747" s="72"/>
      <c r="B7747" s="93"/>
      <c r="C7747" s="106"/>
      <c r="D7747" s="106"/>
      <c r="E7747" s="106"/>
      <c r="F7747" s="106"/>
      <c r="G7747" s="12"/>
      <c r="H7747" s="106"/>
      <c r="I7747" s="106"/>
      <c r="J7747" s="106"/>
      <c r="K7747" s="106"/>
      <c r="L7747" s="109"/>
    </row>
    <row r="7748" spans="1:12">
      <c r="A7748" s="72"/>
      <c r="B7748" s="93"/>
      <c r="C7748" s="106"/>
      <c r="D7748" s="106"/>
      <c r="E7748" s="150"/>
      <c r="F7748" s="93"/>
      <c r="G7748" s="12"/>
      <c r="H7748" s="106"/>
      <c r="I7748" s="106"/>
      <c r="J7748" s="106"/>
      <c r="K7748" s="106"/>
      <c r="L7748" s="109"/>
    </row>
    <row r="7749" spans="1:12">
      <c r="A7749" s="72"/>
      <c r="B7749" s="93"/>
      <c r="C7749" s="106"/>
      <c r="D7749" s="106"/>
      <c r="E7749" s="93"/>
      <c r="F7749" s="105"/>
      <c r="G7749" s="12"/>
      <c r="H7749" s="126"/>
      <c r="I7749" s="93"/>
      <c r="J7749" s="106"/>
      <c r="K7749" s="106"/>
      <c r="L7749" s="132"/>
    </row>
    <row r="7750" spans="1:12">
      <c r="A7750" s="72"/>
      <c r="B7750" s="93"/>
      <c r="C7750" s="106"/>
      <c r="D7750" s="240"/>
      <c r="E7750" s="108"/>
      <c r="F7750" s="105"/>
      <c r="G7750" s="12"/>
      <c r="H7750" s="106"/>
      <c r="I7750" s="106"/>
      <c r="J7750" s="240"/>
      <c r="K7750" s="106"/>
      <c r="L7750" s="152"/>
    </row>
    <row r="7751" spans="1:12">
      <c r="A7751" s="72"/>
      <c r="B7751" s="93"/>
      <c r="C7751" s="106"/>
      <c r="D7751" s="106"/>
      <c r="E7751" s="106"/>
      <c r="F7751" s="106"/>
      <c r="G7751" s="12"/>
      <c r="H7751" s="106"/>
      <c r="I7751" s="106"/>
      <c r="J7751" s="106"/>
      <c r="K7751" s="106"/>
      <c r="L7751" s="109"/>
    </row>
    <row r="7752" spans="1:12">
      <c r="A7752" s="72"/>
      <c r="B7752" s="147"/>
      <c r="C7752" s="111"/>
      <c r="D7752" s="106"/>
      <c r="E7752" s="106"/>
      <c r="F7752" s="111"/>
      <c r="G7752" s="12"/>
      <c r="H7752" s="111"/>
      <c r="I7752" s="111"/>
      <c r="J7752" s="111"/>
      <c r="K7752" s="111"/>
      <c r="L7752" s="114"/>
    </row>
    <row r="7753" spans="1:12">
      <c r="A7753" s="72"/>
      <c r="B7753" s="196"/>
      <c r="C7753" s="159"/>
      <c r="D7753" s="199"/>
      <c r="E7753" s="226"/>
      <c r="F7753" s="159"/>
      <c r="G7753" s="12"/>
      <c r="H7753" s="159"/>
      <c r="I7753" s="137"/>
      <c r="J7753" s="159"/>
      <c r="K7753" s="159"/>
      <c r="L7753" s="193"/>
    </row>
    <row r="7754" spans="1:12">
      <c r="A7754" s="72"/>
      <c r="B7754" s="196"/>
      <c r="C7754" s="159"/>
      <c r="D7754" s="199"/>
      <c r="E7754" s="226"/>
      <c r="F7754" s="159"/>
      <c r="G7754" s="12"/>
      <c r="H7754" s="159"/>
      <c r="I7754" s="137"/>
      <c r="J7754" s="159"/>
      <c r="K7754" s="159"/>
      <c r="L7754" s="193"/>
    </row>
    <row r="7755" spans="1:12">
      <c r="A7755" s="72"/>
      <c r="B7755" s="196"/>
      <c r="C7755" s="159"/>
      <c r="D7755" s="199"/>
      <c r="E7755" s="226"/>
      <c r="F7755" s="159"/>
      <c r="G7755" s="12"/>
      <c r="H7755" s="159"/>
      <c r="I7755" s="137"/>
      <c r="J7755" s="159"/>
      <c r="K7755" s="159"/>
      <c r="L7755" s="193"/>
    </row>
    <row r="7756" spans="1:12">
      <c r="A7756" s="72"/>
      <c r="B7756" s="196"/>
      <c r="C7756" s="159"/>
      <c r="D7756" s="199"/>
      <c r="E7756" s="226"/>
      <c r="F7756" s="159"/>
      <c r="G7756" s="12"/>
      <c r="H7756" s="159"/>
      <c r="I7756" s="137"/>
      <c r="J7756" s="159"/>
      <c r="K7756" s="159"/>
      <c r="L7756" s="193"/>
    </row>
    <row r="7757" spans="1:12">
      <c r="A7757" s="72"/>
      <c r="B7757" s="225"/>
      <c r="C7757" s="166"/>
      <c r="D7757" s="227"/>
      <c r="E7757" s="228"/>
      <c r="F7757" s="166"/>
      <c r="G7757" s="12"/>
      <c r="H7757" s="166"/>
      <c r="I7757" s="141"/>
      <c r="J7757" s="166"/>
      <c r="K7757" s="166"/>
      <c r="L7757" s="229"/>
    </row>
    <row r="7758" spans="1:12">
      <c r="A7758" s="72"/>
      <c r="B7758" s="196"/>
      <c r="C7758" s="159"/>
      <c r="D7758" s="199"/>
      <c r="E7758" s="144"/>
      <c r="F7758" s="255"/>
      <c r="G7758" s="12"/>
      <c r="H7758" s="159"/>
      <c r="I7758" s="137"/>
      <c r="J7758" s="159"/>
      <c r="K7758" s="159"/>
      <c r="L7758" s="193"/>
    </row>
    <row r="7759" spans="1:12">
      <c r="A7759" s="72"/>
      <c r="B7759" s="196"/>
      <c r="C7759" s="159"/>
      <c r="D7759" s="199"/>
      <c r="E7759" s="140"/>
      <c r="F7759" s="255"/>
      <c r="G7759" s="12"/>
      <c r="H7759" s="159"/>
      <c r="I7759" s="137"/>
      <c r="J7759" s="159"/>
      <c r="K7759" s="159"/>
      <c r="L7759" s="193"/>
    </row>
    <row r="7760" spans="1:12">
      <c r="A7760" s="72"/>
      <c r="B7760" s="196"/>
      <c r="C7760" s="159"/>
      <c r="D7760" s="199"/>
      <c r="E7760" s="226"/>
      <c r="F7760" s="159"/>
      <c r="G7760" s="12"/>
      <c r="H7760" s="159"/>
      <c r="I7760" s="137"/>
      <c r="J7760" s="159"/>
      <c r="K7760" s="159"/>
      <c r="L7760" s="193"/>
    </row>
    <row r="7761" spans="1:12">
      <c r="A7761" s="72"/>
      <c r="B7761" s="196"/>
      <c r="C7761" s="159"/>
      <c r="D7761" s="199"/>
      <c r="E7761" s="226"/>
      <c r="F7761" s="159"/>
      <c r="G7761" s="12"/>
      <c r="H7761" s="159"/>
      <c r="I7761" s="137"/>
      <c r="J7761" s="159"/>
      <c r="K7761" s="159"/>
      <c r="L7761" s="193"/>
    </row>
    <row r="7762" spans="1:12">
      <c r="A7762" s="72"/>
      <c r="B7762" s="225"/>
      <c r="C7762" s="166"/>
      <c r="D7762" s="227"/>
      <c r="E7762" s="228"/>
      <c r="F7762" s="166"/>
      <c r="G7762" s="12"/>
      <c r="H7762" s="166"/>
      <c r="I7762" s="141"/>
      <c r="J7762" s="166"/>
      <c r="K7762" s="166"/>
      <c r="L7762" s="229"/>
    </row>
    <row r="7763" spans="1:12">
      <c r="A7763" s="72"/>
      <c r="B7763" s="93"/>
      <c r="C7763" s="106"/>
      <c r="D7763" s="106"/>
      <c r="E7763" s="106"/>
      <c r="F7763" s="106"/>
      <c r="G7763" s="12"/>
      <c r="H7763" s="106"/>
      <c r="I7763" s="106"/>
      <c r="J7763" s="106"/>
      <c r="K7763" s="106"/>
      <c r="L7763" s="109"/>
    </row>
    <row r="7764" spans="1:12">
      <c r="A7764" s="72"/>
      <c r="B7764" s="93"/>
      <c r="C7764" s="106"/>
      <c r="D7764" s="106"/>
      <c r="E7764" s="106"/>
      <c r="F7764" s="106"/>
      <c r="G7764" s="12"/>
      <c r="H7764" s="106"/>
      <c r="I7764" s="106"/>
      <c r="J7764" s="106"/>
      <c r="K7764" s="137"/>
      <c r="L7764" s="109"/>
    </row>
    <row r="7765" spans="1:12">
      <c r="A7765" s="72"/>
      <c r="B7765" s="93"/>
      <c r="C7765" s="106"/>
      <c r="D7765" s="106"/>
      <c r="E7765" s="106"/>
      <c r="F7765" s="106"/>
      <c r="G7765" s="12"/>
      <c r="H7765" s="106"/>
      <c r="I7765" s="106"/>
      <c r="J7765" s="106"/>
      <c r="K7765" s="106"/>
      <c r="L7765" s="109"/>
    </row>
    <row r="7766" spans="1:12">
      <c r="A7766" s="72"/>
      <c r="B7766" s="93"/>
      <c r="C7766" s="106"/>
      <c r="D7766" s="106"/>
      <c r="E7766" s="106"/>
      <c r="F7766" s="106"/>
      <c r="G7766" s="12"/>
      <c r="H7766" s="106"/>
      <c r="I7766" s="106"/>
      <c r="J7766" s="106"/>
      <c r="K7766" s="106"/>
      <c r="L7766" s="109"/>
    </row>
    <row r="7767" spans="1:12">
      <c r="A7767" s="72"/>
      <c r="B7767" s="93"/>
      <c r="C7767" s="106"/>
      <c r="D7767" s="106"/>
      <c r="E7767" s="106"/>
      <c r="F7767" s="106"/>
      <c r="G7767" s="12"/>
      <c r="H7767" s="106"/>
      <c r="I7767" s="106"/>
      <c r="J7767" s="106"/>
      <c r="K7767" s="106"/>
      <c r="L7767" s="109"/>
    </row>
    <row r="7768" spans="1:12">
      <c r="A7768" s="72"/>
      <c r="B7768" s="93"/>
      <c r="C7768" s="93"/>
      <c r="D7768" s="93"/>
      <c r="E7768" s="93"/>
      <c r="F7768" s="93"/>
      <c r="G7768" s="12"/>
      <c r="H7768" s="93"/>
      <c r="I7768" s="93"/>
      <c r="J7768" s="93"/>
      <c r="K7768" s="93"/>
      <c r="L7768" s="152"/>
    </row>
    <row r="7769" spans="1:12">
      <c r="A7769" s="72"/>
      <c r="B7769" s="93"/>
      <c r="C7769" s="93"/>
      <c r="D7769" s="246"/>
      <c r="E7769" s="93"/>
      <c r="F7769" s="93"/>
      <c r="G7769" s="12"/>
      <c r="H7769" s="93"/>
      <c r="I7769" s="93"/>
      <c r="J7769" s="93"/>
      <c r="K7769" s="93"/>
      <c r="L7769" s="152"/>
    </row>
    <row r="7770" spans="1:12">
      <c r="A7770" s="72"/>
      <c r="B7770" s="93"/>
      <c r="C7770" s="106"/>
      <c r="D7770" s="106"/>
      <c r="E7770" s="131"/>
      <c r="F7770" s="126"/>
      <c r="G7770" s="12"/>
      <c r="H7770" s="106"/>
      <c r="I7770" s="106"/>
      <c r="J7770" s="106"/>
      <c r="K7770" s="106"/>
      <c r="L7770" s="109"/>
    </row>
    <row r="7771" spans="1:12">
      <c r="A7771" s="72"/>
      <c r="B7771" s="93"/>
      <c r="C7771" s="106"/>
      <c r="D7771" s="106"/>
      <c r="E7771" s="106"/>
      <c r="F7771" s="106"/>
      <c r="G7771" s="12"/>
      <c r="H7771" s="106"/>
      <c r="I7771" s="106"/>
      <c r="J7771" s="106"/>
      <c r="K7771" s="106"/>
      <c r="L7771" s="134"/>
    </row>
    <row r="7772" spans="1:12">
      <c r="A7772" s="72"/>
      <c r="B7772" s="93"/>
      <c r="C7772" s="175"/>
      <c r="D7772" s="106"/>
      <c r="E7772" s="131"/>
      <c r="F7772" s="126"/>
      <c r="G7772" s="12"/>
      <c r="H7772" s="106"/>
      <c r="I7772" s="106"/>
      <c r="J7772" s="106"/>
      <c r="K7772" s="106"/>
      <c r="L7772" s="109"/>
    </row>
    <row r="7773" spans="1:12">
      <c r="A7773" s="72"/>
      <c r="B7773" s="93"/>
      <c r="C7773" s="93"/>
      <c r="D7773" s="93"/>
      <c r="E7773" s="105"/>
      <c r="F7773" s="105"/>
      <c r="G7773" s="12"/>
      <c r="H7773" s="93"/>
      <c r="I7773" s="93"/>
      <c r="J7773" s="93"/>
      <c r="K7773" s="93"/>
      <c r="L7773" s="149"/>
    </row>
    <row r="7774" spans="1:12">
      <c r="A7774" s="72"/>
      <c r="B7774" s="93"/>
      <c r="C7774" s="93"/>
      <c r="D7774" s="93"/>
      <c r="E7774" s="105"/>
      <c r="F7774" s="105"/>
      <c r="G7774" s="12"/>
      <c r="H7774" s="93"/>
      <c r="I7774" s="93"/>
      <c r="J7774" s="93"/>
      <c r="K7774" s="93"/>
      <c r="L7774" s="152"/>
    </row>
    <row r="7775" spans="1:12">
      <c r="A7775" s="72"/>
      <c r="B7775" s="105"/>
      <c r="C7775" s="108"/>
      <c r="D7775" s="106"/>
      <c r="E7775" s="144"/>
      <c r="F7775" s="93"/>
      <c r="G7775" s="12"/>
      <c r="H7775" s="106"/>
      <c r="I7775" s="106"/>
      <c r="J7775" s="106"/>
      <c r="K7775" s="106"/>
      <c r="L7775" s="109"/>
    </row>
    <row r="7776" spans="1:12">
      <c r="A7776" s="72"/>
      <c r="B7776" s="93"/>
      <c r="C7776" s="106"/>
      <c r="D7776" s="241"/>
      <c r="E7776" s="140"/>
      <c r="F7776" s="111"/>
      <c r="G7776" s="12"/>
      <c r="H7776" s="150"/>
      <c r="I7776" s="93"/>
      <c r="J7776" s="111"/>
      <c r="K7776" s="111"/>
      <c r="L7776" s="114"/>
    </row>
    <row r="7777" spans="1:12">
      <c r="A7777" s="72"/>
      <c r="B7777" s="93"/>
      <c r="C7777" s="106"/>
      <c r="D7777" s="240"/>
      <c r="E7777" s="106"/>
      <c r="F7777" s="93"/>
      <c r="G7777" s="12"/>
      <c r="H7777" s="106"/>
      <c r="I7777" s="106"/>
      <c r="J7777" s="106"/>
      <c r="K7777" s="106"/>
      <c r="L7777" s="149"/>
    </row>
    <row r="7778" spans="1:12">
      <c r="A7778" s="72"/>
      <c r="B7778" s="93"/>
      <c r="C7778" s="106"/>
      <c r="D7778" s="252"/>
      <c r="E7778" s="106"/>
      <c r="F7778" s="106"/>
      <c r="G7778" s="12"/>
      <c r="H7778" s="106"/>
      <c r="I7778" s="106"/>
      <c r="J7778" s="106"/>
      <c r="K7778" s="106"/>
      <c r="L7778" s="109"/>
    </row>
    <row r="7779" spans="1:12">
      <c r="A7779" s="72"/>
      <c r="B7779" s="93"/>
      <c r="C7779" s="106"/>
      <c r="D7779" s="106"/>
      <c r="E7779" s="106"/>
      <c r="F7779" s="106"/>
      <c r="G7779" s="12"/>
      <c r="H7779" s="106"/>
      <c r="I7779" s="106"/>
      <c r="J7779" s="106"/>
      <c r="K7779" s="106"/>
      <c r="L7779" s="109"/>
    </row>
    <row r="7780" spans="1:12">
      <c r="A7780" s="72"/>
      <c r="B7780" s="147"/>
      <c r="C7780" s="111"/>
      <c r="D7780" s="111"/>
      <c r="E7780" s="111"/>
      <c r="F7780" s="111"/>
      <c r="G7780" s="12"/>
      <c r="H7780" s="111"/>
      <c r="I7780" s="111"/>
      <c r="J7780" s="111"/>
      <c r="K7780" s="111"/>
      <c r="L7780" s="114"/>
    </row>
    <row r="7781" spans="1:12">
      <c r="A7781" s="72"/>
      <c r="B7781" s="93"/>
      <c r="C7781" s="106"/>
      <c r="D7781" s="106"/>
      <c r="E7781" s="106"/>
      <c r="F7781" s="106"/>
      <c r="G7781" s="12"/>
      <c r="H7781" s="106"/>
      <c r="I7781" s="106"/>
      <c r="J7781" s="106"/>
      <c r="K7781" s="106"/>
      <c r="L7781" s="109"/>
    </row>
    <row r="7782" spans="1:12">
      <c r="A7782" s="72"/>
      <c r="B7782" s="147"/>
      <c r="C7782" s="111"/>
      <c r="D7782" s="111"/>
      <c r="E7782" s="111"/>
      <c r="F7782" s="111"/>
      <c r="G7782" s="12"/>
      <c r="H7782" s="111"/>
      <c r="I7782" s="111"/>
      <c r="J7782" s="111"/>
      <c r="K7782" s="111"/>
      <c r="L7782" s="114"/>
    </row>
    <row r="7783" spans="1:12">
      <c r="A7783" s="72"/>
      <c r="B7783" s="93"/>
      <c r="C7783" s="106"/>
      <c r="D7783" s="106"/>
      <c r="E7783" s="106"/>
      <c r="F7783" s="106"/>
      <c r="G7783" s="12"/>
      <c r="H7783" s="106"/>
      <c r="I7783" s="131"/>
      <c r="J7783" s="106"/>
      <c r="K7783" s="106"/>
      <c r="L7783" s="109"/>
    </row>
    <row r="7784" spans="1:12">
      <c r="A7784" s="72"/>
      <c r="B7784" s="93"/>
      <c r="C7784" s="106"/>
      <c r="D7784" s="106"/>
      <c r="E7784" s="106"/>
      <c r="F7784" s="106"/>
      <c r="G7784" s="12"/>
      <c r="H7784" s="106"/>
      <c r="I7784" s="131"/>
      <c r="J7784" s="106"/>
      <c r="K7784" s="106"/>
      <c r="L7784" s="109"/>
    </row>
    <row r="7785" spans="1:12">
      <c r="A7785" s="72"/>
      <c r="B7785" s="93"/>
      <c r="C7785" s="93"/>
      <c r="D7785" s="93"/>
      <c r="E7785" s="105"/>
      <c r="F7785" s="81"/>
      <c r="G7785" s="12"/>
      <c r="H7785" s="93"/>
      <c r="I7785" s="93"/>
      <c r="J7785" s="93"/>
      <c r="K7785" s="93"/>
      <c r="L7785" s="134"/>
    </row>
    <row r="7786" spans="1:12">
      <c r="A7786" s="72"/>
      <c r="B7786" s="93"/>
      <c r="C7786" s="93"/>
      <c r="D7786" s="93"/>
      <c r="E7786" s="105"/>
      <c r="F7786" s="81"/>
      <c r="G7786" s="12"/>
      <c r="H7786" s="93"/>
      <c r="I7786" s="93"/>
      <c r="J7786" s="93"/>
      <c r="K7786" s="93"/>
      <c r="L7786" s="152"/>
    </row>
    <row r="7787" spans="1:12">
      <c r="A7787" s="72"/>
      <c r="B7787" s="93"/>
      <c r="C7787" s="106"/>
      <c r="D7787" s="106"/>
      <c r="E7787" s="106"/>
      <c r="F7787" s="106"/>
      <c r="G7787" s="12"/>
      <c r="H7787" s="106"/>
      <c r="I7787" s="106"/>
      <c r="J7787" s="106"/>
      <c r="K7787" s="106"/>
      <c r="L7787" s="109"/>
    </row>
    <row r="7788" spans="1:12">
      <c r="A7788" s="72"/>
      <c r="B7788" s="147"/>
      <c r="C7788" s="111"/>
      <c r="D7788" s="106"/>
      <c r="E7788" s="111"/>
      <c r="F7788" s="111"/>
      <c r="G7788" s="12"/>
      <c r="H7788" s="111"/>
      <c r="I7788" s="111"/>
      <c r="J7788" s="111"/>
      <c r="K7788" s="111"/>
      <c r="L7788" s="114"/>
    </row>
    <row r="7789" spans="1:12">
      <c r="A7789" s="72"/>
      <c r="B7789" s="93"/>
      <c r="C7789" s="106"/>
      <c r="D7789" s="106"/>
      <c r="E7789" s="106"/>
      <c r="F7789" s="106"/>
      <c r="G7789" s="12"/>
      <c r="H7789" s="106"/>
      <c r="I7789" s="106"/>
      <c r="J7789" s="106"/>
      <c r="K7789" s="106"/>
      <c r="L7789" s="109"/>
    </row>
    <row r="7790" spans="1:12">
      <c r="A7790" s="72"/>
      <c r="B7790" s="147"/>
      <c r="C7790" s="111"/>
      <c r="D7790" s="106"/>
      <c r="E7790" s="111"/>
      <c r="F7790" s="111"/>
      <c r="G7790" s="12"/>
      <c r="H7790" s="111"/>
      <c r="I7790" s="111"/>
      <c r="J7790" s="111"/>
      <c r="K7790" s="111"/>
      <c r="L7790" s="114"/>
    </row>
    <row r="7791" spans="1:12">
      <c r="A7791" s="72"/>
      <c r="B7791" s="93"/>
      <c r="C7791" s="106"/>
      <c r="D7791" s="240"/>
      <c r="E7791" s="106"/>
      <c r="F7791" s="180"/>
      <c r="G7791" s="12"/>
      <c r="H7791" s="240"/>
      <c r="I7791" s="106"/>
      <c r="J7791" s="106"/>
      <c r="K7791" s="106"/>
      <c r="L7791" s="109"/>
    </row>
    <row r="7792" spans="1:12">
      <c r="A7792" s="72"/>
      <c r="B7792" s="147"/>
      <c r="C7792" s="111"/>
      <c r="D7792" s="240"/>
      <c r="E7792" s="111"/>
      <c r="F7792" s="52"/>
      <c r="G7792" s="12"/>
      <c r="H7792" s="241"/>
      <c r="I7792" s="111"/>
      <c r="J7792" s="111"/>
      <c r="K7792" s="111"/>
      <c r="L7792" s="114"/>
    </row>
    <row r="7793" spans="1:12">
      <c r="A7793" s="72"/>
      <c r="B7793" s="93"/>
      <c r="C7793" s="106"/>
      <c r="D7793" s="106"/>
      <c r="E7793" s="93"/>
      <c r="F7793" s="93"/>
      <c r="G7793" s="12"/>
      <c r="H7793" s="106"/>
      <c r="I7793" s="106"/>
      <c r="J7793" s="106"/>
      <c r="K7793" s="106"/>
      <c r="L7793" s="149"/>
    </row>
    <row r="7794" spans="1:12">
      <c r="A7794" s="72"/>
      <c r="B7794" s="105"/>
      <c r="C7794" s="256"/>
      <c r="D7794" s="93"/>
      <c r="E7794" s="93"/>
      <c r="F7794" s="93"/>
      <c r="G7794" s="12"/>
      <c r="H7794" s="93"/>
      <c r="I7794" s="93"/>
      <c r="J7794" s="93"/>
      <c r="K7794" s="93"/>
      <c r="L7794" s="152"/>
    </row>
    <row r="7795" spans="1:12">
      <c r="A7795" s="72"/>
      <c r="B7795" s="93"/>
      <c r="C7795" s="93"/>
      <c r="D7795" s="93"/>
      <c r="E7795" s="105"/>
      <c r="F7795" s="105"/>
      <c r="G7795" s="12"/>
      <c r="H7795" s="93"/>
      <c r="I7795" s="93"/>
      <c r="J7795" s="93"/>
      <c r="K7795" s="93"/>
      <c r="L7795" s="152"/>
    </row>
    <row r="7796" spans="1:12">
      <c r="A7796" s="72"/>
      <c r="B7796" s="93"/>
      <c r="C7796" s="93"/>
      <c r="D7796" s="93"/>
      <c r="E7796" s="105"/>
      <c r="F7796" s="105"/>
      <c r="G7796" s="12"/>
      <c r="H7796" s="93"/>
      <c r="I7796" s="93"/>
      <c r="J7796" s="93"/>
      <c r="K7796" s="93"/>
      <c r="L7796" s="152"/>
    </row>
    <row r="7797" spans="1:12">
      <c r="A7797" s="72"/>
      <c r="B7797" s="93"/>
      <c r="C7797" s="93"/>
      <c r="D7797" s="93"/>
      <c r="E7797" s="93"/>
      <c r="F7797" s="93"/>
      <c r="G7797" s="12"/>
      <c r="H7797" s="81"/>
      <c r="I7797" s="93"/>
      <c r="J7797" s="93"/>
      <c r="K7797" s="93"/>
      <c r="L7797" s="152"/>
    </row>
    <row r="7798" spans="1:12">
      <c r="A7798" s="72"/>
      <c r="B7798" s="93"/>
      <c r="C7798" s="93"/>
      <c r="D7798" s="93"/>
      <c r="E7798" s="93"/>
      <c r="F7798" s="93"/>
      <c r="G7798" s="12"/>
      <c r="H7798" s="81"/>
      <c r="I7798" s="93"/>
      <c r="J7798" s="93"/>
      <c r="K7798" s="93"/>
      <c r="L7798" s="152"/>
    </row>
    <row r="7799" spans="1:12">
      <c r="A7799" s="72"/>
      <c r="B7799" s="93"/>
      <c r="C7799" s="93"/>
      <c r="D7799" s="93"/>
      <c r="E7799" s="93"/>
      <c r="F7799" s="81"/>
      <c r="G7799" s="12"/>
      <c r="H7799" s="93"/>
      <c r="I7799" s="93"/>
      <c r="J7799" s="93"/>
      <c r="K7799" s="93"/>
      <c r="L7799" s="152"/>
    </row>
    <row r="7800" spans="1:12">
      <c r="A7800" s="72"/>
      <c r="B7800" s="93"/>
      <c r="C7800" s="93"/>
      <c r="D7800" s="93"/>
      <c r="E7800" s="93"/>
      <c r="F7800" s="81"/>
      <c r="G7800" s="12"/>
      <c r="H7800" s="93"/>
      <c r="I7800" s="93"/>
      <c r="J7800" s="93"/>
      <c r="K7800" s="93"/>
      <c r="L7800" s="152"/>
    </row>
    <row r="7801" spans="1:12">
      <c r="A7801" s="72"/>
      <c r="B7801" s="93"/>
      <c r="C7801" s="93"/>
      <c r="D7801" s="93"/>
      <c r="E7801" s="93"/>
      <c r="F7801" s="81"/>
      <c r="G7801" s="12"/>
      <c r="H7801" s="93"/>
      <c r="I7801" s="93"/>
      <c r="J7801" s="93"/>
      <c r="K7801" s="93"/>
      <c r="L7801" s="152"/>
    </row>
    <row r="7802" spans="1:12">
      <c r="A7802" s="72"/>
      <c r="B7802" s="93"/>
      <c r="C7802" s="93"/>
      <c r="D7802" s="93"/>
      <c r="E7802" s="93"/>
      <c r="F7802" s="93"/>
      <c r="G7802" s="12"/>
      <c r="H7802" s="93"/>
      <c r="I7802" s="93"/>
      <c r="J7802" s="93"/>
      <c r="K7802" s="93"/>
      <c r="L7802" s="152"/>
    </row>
    <row r="7803" spans="1:12">
      <c r="A7803" s="72"/>
      <c r="B7803" s="93"/>
      <c r="C7803" s="93"/>
      <c r="D7803" s="93"/>
      <c r="E7803" s="93"/>
      <c r="F7803" s="93"/>
      <c r="G7803" s="12"/>
      <c r="H7803" s="93"/>
      <c r="I7803" s="93"/>
      <c r="J7803" s="93"/>
      <c r="K7803" s="93"/>
      <c r="L7803" s="152"/>
    </row>
    <row r="7804" spans="1:12">
      <c r="A7804" s="72"/>
      <c r="B7804" s="93"/>
      <c r="C7804" s="93"/>
      <c r="D7804" s="246"/>
      <c r="E7804" s="93"/>
      <c r="F7804" s="81"/>
      <c r="G7804" s="12"/>
      <c r="H7804" s="92"/>
      <c r="I7804" s="257"/>
      <c r="J7804" s="93"/>
      <c r="K7804" s="93"/>
      <c r="L7804" s="217"/>
    </row>
    <row r="7805" spans="1:12">
      <c r="A7805" s="72"/>
      <c r="B7805" s="93"/>
      <c r="C7805" s="93"/>
      <c r="D7805" s="93"/>
      <c r="E7805" s="93"/>
      <c r="F7805" s="93"/>
      <c r="G7805" s="12"/>
      <c r="H7805" s="93"/>
      <c r="I7805" s="93"/>
      <c r="J7805" s="93"/>
      <c r="K7805" s="93"/>
      <c r="L7805" s="258"/>
    </row>
    <row r="7806" spans="1:12">
      <c r="A7806" s="72"/>
      <c r="B7806" s="93"/>
      <c r="C7806" s="93"/>
      <c r="D7806" s="93"/>
      <c r="E7806" s="105"/>
      <c r="F7806" s="105"/>
      <c r="G7806" s="12"/>
      <c r="H7806" s="93"/>
      <c r="I7806" s="93"/>
      <c r="J7806" s="93"/>
      <c r="K7806" s="93"/>
      <c r="L7806" s="152"/>
    </row>
    <row r="7807" spans="1:12">
      <c r="A7807" s="72"/>
      <c r="B7807" s="93"/>
      <c r="C7807" s="93"/>
      <c r="D7807" s="93"/>
      <c r="E7807" s="105"/>
      <c r="F7807" s="93"/>
      <c r="G7807" s="12"/>
      <c r="H7807" s="93"/>
      <c r="I7807" s="93"/>
      <c r="J7807" s="93"/>
      <c r="K7807" s="93"/>
      <c r="L7807" s="152"/>
    </row>
    <row r="7808" spans="1:12">
      <c r="A7808" s="72"/>
      <c r="B7808" s="93"/>
      <c r="C7808" s="93"/>
      <c r="D7808" s="93"/>
      <c r="E7808" s="105"/>
      <c r="F7808" s="105"/>
      <c r="G7808" s="12"/>
      <c r="H7808" s="105"/>
      <c r="I7808" s="93"/>
      <c r="J7808" s="93"/>
      <c r="K7808" s="93"/>
      <c r="L7808" s="258"/>
    </row>
    <row r="7809" spans="1:12">
      <c r="A7809" s="72"/>
      <c r="B7809" s="93"/>
      <c r="C7809" s="93"/>
      <c r="D7809" s="93"/>
      <c r="E7809" s="105"/>
      <c r="F7809" s="105"/>
      <c r="G7809" s="12"/>
      <c r="H7809" s="93"/>
      <c r="I7809" s="93"/>
      <c r="J7809" s="93"/>
      <c r="K7809" s="93"/>
      <c r="L7809" s="152"/>
    </row>
    <row r="7810" spans="1:12">
      <c r="A7810" s="72"/>
      <c r="B7810" s="93"/>
      <c r="C7810" s="93"/>
      <c r="D7810" s="93"/>
      <c r="E7810" s="93"/>
      <c r="F7810" s="105"/>
      <c r="G7810" s="12"/>
      <c r="H7810" s="93"/>
      <c r="I7810" s="93"/>
      <c r="J7810" s="93"/>
      <c r="K7810" s="93"/>
      <c r="L7810" s="152"/>
    </row>
    <row r="7811" spans="1:12">
      <c r="A7811" s="72"/>
      <c r="B7811" s="93"/>
      <c r="C7811" s="93"/>
      <c r="D7811" s="93"/>
      <c r="E7811" s="93"/>
      <c r="F7811" s="105"/>
      <c r="G7811" s="12"/>
      <c r="H7811" s="126"/>
      <c r="I7811" s="93"/>
      <c r="J7811" s="93"/>
      <c r="K7811" s="93"/>
      <c r="L7811" s="152"/>
    </row>
    <row r="7812" spans="1:12">
      <c r="A7812" s="72"/>
      <c r="B7812" s="93"/>
      <c r="C7812" s="93"/>
      <c r="D7812" s="93"/>
      <c r="E7812" s="93"/>
      <c r="F7812" s="93"/>
      <c r="G7812" s="12"/>
      <c r="H7812" s="150"/>
      <c r="I7812" s="93"/>
      <c r="J7812" s="93"/>
      <c r="K7812" s="150"/>
      <c r="L7812" s="134"/>
    </row>
    <row r="7813" spans="1:12">
      <c r="A7813" s="72"/>
      <c r="B7813" s="93"/>
      <c r="C7813" s="93"/>
      <c r="D7813" s="246"/>
      <c r="E7813" s="93"/>
      <c r="F7813" s="81"/>
      <c r="G7813" s="12"/>
      <c r="H7813" s="93"/>
      <c r="I7813" s="93"/>
      <c r="J7813" s="93"/>
      <c r="K7813" s="93"/>
      <c r="L7813" s="134"/>
    </row>
    <row r="7814" spans="1:12">
      <c r="A7814" s="72"/>
      <c r="B7814" s="93"/>
      <c r="C7814" s="93"/>
      <c r="D7814" s="246"/>
      <c r="E7814" s="93"/>
      <c r="F7814" s="93"/>
      <c r="G7814" s="12"/>
      <c r="H7814" s="93"/>
      <c r="I7814" s="93"/>
      <c r="J7814" s="93"/>
      <c r="K7814" s="93"/>
      <c r="L7814" s="259"/>
    </row>
    <row r="7815" spans="1:12">
      <c r="A7815" s="72"/>
      <c r="B7815" s="93"/>
      <c r="C7815" s="93"/>
      <c r="D7815" s="246"/>
      <c r="E7815" s="93"/>
      <c r="F7815" s="93"/>
      <c r="G7815" s="12"/>
      <c r="H7815" s="93"/>
      <c r="I7815" s="93"/>
      <c r="J7815" s="93"/>
      <c r="K7815" s="93"/>
      <c r="L7815" s="134"/>
    </row>
    <row r="7816" spans="1:12">
      <c r="A7816" s="72"/>
      <c r="B7816" s="93"/>
      <c r="C7816" s="93"/>
      <c r="D7816" s="246"/>
      <c r="E7816" s="93"/>
      <c r="F7816" s="93"/>
      <c r="G7816" s="12"/>
      <c r="H7816" s="93"/>
      <c r="I7816" s="93"/>
      <c r="J7816" s="93"/>
      <c r="K7816" s="93"/>
      <c r="L7816" s="134"/>
    </row>
    <row r="7817" spans="1:12">
      <c r="A7817" s="72"/>
      <c r="B7817" s="93"/>
      <c r="C7817" s="93"/>
      <c r="D7817" s="246"/>
      <c r="E7817" s="93"/>
      <c r="F7817" s="93"/>
      <c r="G7817" s="12"/>
      <c r="H7817" s="93"/>
      <c r="I7817" s="257"/>
      <c r="J7817" s="93"/>
      <c r="K7817" s="93"/>
      <c r="L7817" s="149"/>
    </row>
    <row r="7818" spans="1:12">
      <c r="A7818" s="72"/>
      <c r="B7818" s="246"/>
      <c r="C7818" s="246"/>
      <c r="D7818" s="246"/>
      <c r="E7818" s="246"/>
      <c r="F7818" s="105"/>
      <c r="G7818" s="12"/>
      <c r="H7818" s="246"/>
      <c r="I7818" s="257"/>
      <c r="J7818" s="246"/>
      <c r="K7818" s="152"/>
      <c r="L7818" s="134"/>
    </row>
    <row r="7819" spans="1:12">
      <c r="A7819" s="72"/>
      <c r="B7819" s="93"/>
      <c r="C7819" s="93"/>
      <c r="D7819" s="93"/>
      <c r="E7819" s="93"/>
      <c r="F7819" s="93"/>
      <c r="G7819" s="12"/>
      <c r="H7819" s="93"/>
      <c r="I7819" s="93"/>
      <c r="J7819" s="93"/>
      <c r="K7819" s="93"/>
      <c r="L7819" s="134"/>
    </row>
    <row r="7820" spans="1:12">
      <c r="A7820" s="72"/>
      <c r="B7820" s="143"/>
      <c r="C7820" s="156"/>
      <c r="D7820" s="156"/>
      <c r="E7820" s="196"/>
      <c r="F7820" s="159"/>
      <c r="G7820" s="12"/>
      <c r="H7820" s="196"/>
      <c r="I7820" s="196"/>
      <c r="J7820" s="196"/>
      <c r="K7820" s="156"/>
      <c r="L7820" s="260"/>
    </row>
    <row r="7821" spans="1:12">
      <c r="A7821" s="72"/>
      <c r="B7821" s="143"/>
      <c r="C7821" s="156"/>
      <c r="D7821" s="156"/>
      <c r="E7821" s="196"/>
      <c r="F7821" s="159"/>
      <c r="G7821" s="12"/>
      <c r="H7821" s="196"/>
      <c r="I7821" s="196"/>
      <c r="J7821" s="196"/>
      <c r="K7821" s="156"/>
      <c r="L7821" s="260"/>
    </row>
    <row r="7822" spans="1:12">
      <c r="A7822" s="72"/>
      <c r="B7822" s="143"/>
      <c r="C7822" s="141"/>
      <c r="D7822" s="156"/>
      <c r="E7822" s="196"/>
      <c r="F7822" s="159"/>
      <c r="G7822" s="12"/>
      <c r="H7822" s="196"/>
      <c r="I7822" s="196"/>
      <c r="J7822" s="196"/>
      <c r="K7822" s="156"/>
      <c r="L7822" s="260"/>
    </row>
    <row r="7823" spans="1:12">
      <c r="A7823" s="72"/>
      <c r="B7823" s="143"/>
      <c r="C7823" s="156"/>
      <c r="D7823" s="156"/>
      <c r="E7823" s="196"/>
      <c r="F7823" s="159"/>
      <c r="G7823" s="12"/>
      <c r="H7823" s="196"/>
      <c r="I7823" s="196"/>
      <c r="J7823" s="196"/>
      <c r="K7823" s="156"/>
      <c r="L7823" s="260"/>
    </row>
    <row r="7824" spans="1:12">
      <c r="A7824" s="72"/>
      <c r="B7824" s="143"/>
      <c r="C7824" s="156"/>
      <c r="D7824" s="156"/>
      <c r="E7824" s="196"/>
      <c r="F7824" s="159"/>
      <c r="G7824" s="12"/>
      <c r="H7824" s="196"/>
      <c r="I7824" s="196"/>
      <c r="J7824" s="196"/>
      <c r="K7824" s="156"/>
      <c r="L7824" s="260"/>
    </row>
    <row r="7825" spans="1:12">
      <c r="A7825" s="72"/>
      <c r="B7825" s="93"/>
      <c r="C7825" s="93"/>
      <c r="D7825" s="93"/>
      <c r="E7825" s="93"/>
      <c r="F7825" s="93"/>
      <c r="G7825" s="96"/>
      <c r="H7825" s="93"/>
      <c r="I7825" s="93"/>
      <c r="J7825" s="93"/>
      <c r="K7825" s="93"/>
      <c r="L7825" s="217"/>
    </row>
    <row r="7826" spans="1:12">
      <c r="A7826" s="72"/>
      <c r="B7826" s="93"/>
      <c r="C7826" s="93"/>
      <c r="D7826" s="93"/>
      <c r="E7826" s="93"/>
      <c r="F7826" s="93"/>
      <c r="G7826" s="93"/>
      <c r="H7826" s="93"/>
      <c r="I7826" s="93"/>
      <c r="J7826" s="93"/>
      <c r="K7826" s="93"/>
      <c r="L7826" s="217"/>
    </row>
    <row r="7827" spans="1:12">
      <c r="A7827" s="72"/>
      <c r="B7827" s="93"/>
      <c r="C7827" s="93"/>
      <c r="D7827" s="246"/>
      <c r="E7827" s="93"/>
      <c r="F7827" s="93"/>
      <c r="G7827" s="12"/>
      <c r="H7827" s="93"/>
      <c r="I7827" s="93"/>
      <c r="J7827" s="93"/>
      <c r="K7827" s="93"/>
      <c r="L7827" s="217"/>
    </row>
    <row r="7828" spans="1:12">
      <c r="A7828" s="72"/>
      <c r="B7828" s="93"/>
      <c r="C7828" s="93"/>
      <c r="D7828" s="246"/>
      <c r="E7828" s="93"/>
      <c r="F7828" s="150"/>
      <c r="G7828" s="12"/>
      <c r="H7828" s="93"/>
      <c r="I7828" s="93"/>
      <c r="J7828" s="93"/>
      <c r="K7828" s="111"/>
      <c r="L7828" s="134"/>
    </row>
    <row r="7829" spans="1:12">
      <c r="A7829" s="72"/>
      <c r="B7829" s="93"/>
      <c r="C7829" s="93"/>
      <c r="D7829" s="246"/>
      <c r="E7829" s="93"/>
      <c r="F7829" s="105"/>
      <c r="G7829" s="12"/>
      <c r="H7829" s="93"/>
      <c r="I7829" s="93"/>
      <c r="J7829" s="93"/>
      <c r="K7829" s="93"/>
      <c r="L7829" s="152"/>
    </row>
    <row r="7830" spans="1:12">
      <c r="A7830" s="72"/>
      <c r="B7830" s="93"/>
      <c r="C7830" s="93"/>
      <c r="D7830" s="246"/>
      <c r="E7830" s="111"/>
      <c r="F7830" s="93"/>
      <c r="G7830" s="12"/>
      <c r="H7830" s="93"/>
      <c r="I7830" s="93"/>
      <c r="J7830" s="93"/>
      <c r="K7830" s="93"/>
      <c r="L7830" s="134"/>
    </row>
    <row r="7831" spans="1:12">
      <c r="A7831" s="72"/>
      <c r="B7831" s="93"/>
      <c r="C7831" s="93"/>
      <c r="D7831" s="93"/>
      <c r="E7831" s="93"/>
      <c r="F7831" s="93"/>
      <c r="G7831" s="12"/>
      <c r="H7831" s="93"/>
      <c r="I7831" s="131"/>
      <c r="J7831" s="93"/>
      <c r="K7831" s="93"/>
      <c r="L7831" s="217"/>
    </row>
    <row r="7832" spans="1:12">
      <c r="A7832" s="72"/>
      <c r="B7832" s="93"/>
      <c r="C7832" s="93"/>
      <c r="D7832" s="93"/>
      <c r="E7832" s="93"/>
      <c r="F7832" s="93"/>
      <c r="G7832" s="12"/>
      <c r="H7832" s="93"/>
      <c r="I7832" s="131"/>
      <c r="J7832" s="93"/>
      <c r="K7832" s="93"/>
      <c r="L7832" s="217"/>
    </row>
    <row r="7833" spans="1:12">
      <c r="A7833" s="72"/>
      <c r="B7833" s="93"/>
      <c r="C7833" s="93"/>
      <c r="D7833" s="93"/>
      <c r="E7833" s="93"/>
      <c r="F7833" s="93"/>
      <c r="G7833" s="12"/>
      <c r="H7833" s="93"/>
      <c r="I7833" s="131"/>
      <c r="J7833" s="93"/>
      <c r="K7833" s="93"/>
      <c r="L7833" s="217"/>
    </row>
    <row r="7834" spans="1:12">
      <c r="A7834" s="72"/>
      <c r="B7834" s="93"/>
      <c r="C7834" s="93"/>
      <c r="D7834" s="93"/>
      <c r="E7834" s="93"/>
      <c r="F7834" s="93"/>
      <c r="G7834" s="12"/>
      <c r="H7834" s="93"/>
      <c r="I7834" s="131"/>
      <c r="J7834" s="93"/>
      <c r="K7834" s="93"/>
      <c r="L7834" s="217"/>
    </row>
    <row r="7835" spans="1:12">
      <c r="A7835" s="72"/>
      <c r="B7835" s="93"/>
      <c r="C7835" s="93"/>
      <c r="D7835" s="93"/>
      <c r="E7835" s="93"/>
      <c r="F7835" s="93"/>
      <c r="G7835" s="12"/>
      <c r="H7835" s="93"/>
      <c r="I7835" s="131"/>
      <c r="J7835" s="93"/>
      <c r="K7835" s="93"/>
      <c r="L7835" s="217"/>
    </row>
    <row r="7836" spans="1:12">
      <c r="A7836" s="72"/>
      <c r="B7836" s="93"/>
      <c r="C7836" s="93"/>
      <c r="D7836" s="93"/>
      <c r="E7836" s="93"/>
      <c r="F7836" s="93"/>
      <c r="G7836" s="12"/>
      <c r="H7836" s="93"/>
      <c r="I7836" s="131"/>
      <c r="J7836" s="93"/>
      <c r="K7836" s="93"/>
      <c r="L7836" s="217"/>
    </row>
    <row r="7837" spans="1:12">
      <c r="A7837" s="72"/>
      <c r="B7837" s="93"/>
      <c r="C7837" s="93"/>
      <c r="D7837" s="93"/>
      <c r="E7837" s="93"/>
      <c r="F7837" s="93"/>
      <c r="G7837" s="12"/>
      <c r="H7837" s="93"/>
      <c r="I7837" s="131"/>
      <c r="J7837" s="93"/>
      <c r="K7837" s="93"/>
      <c r="L7837" s="217"/>
    </row>
    <row r="7838" spans="1:12">
      <c r="A7838" s="72"/>
      <c r="B7838" s="93"/>
      <c r="C7838" s="140"/>
      <c r="D7838" s="93"/>
      <c r="E7838" s="93"/>
      <c r="F7838" s="93"/>
      <c r="G7838" s="12"/>
      <c r="H7838" s="93"/>
      <c r="I7838" s="93"/>
      <c r="J7838" s="93"/>
      <c r="K7838" s="93"/>
      <c r="L7838" s="152"/>
    </row>
    <row r="7839" spans="1:12">
      <c r="A7839" s="72"/>
      <c r="B7839" s="93"/>
      <c r="C7839" s="140"/>
      <c r="D7839" s="93"/>
      <c r="E7839" s="93"/>
      <c r="F7839" s="81"/>
      <c r="G7839" s="12"/>
      <c r="H7839" s="93"/>
      <c r="I7839" s="93"/>
      <c r="J7839" s="93"/>
      <c r="K7839" s="93"/>
      <c r="L7839" s="152"/>
    </row>
    <row r="7840" spans="1:12">
      <c r="A7840" s="72"/>
      <c r="B7840" s="93"/>
      <c r="C7840" s="140"/>
      <c r="D7840" s="93"/>
      <c r="E7840" s="93"/>
      <c r="F7840" s="81"/>
      <c r="G7840" s="12"/>
      <c r="H7840" s="93"/>
      <c r="I7840" s="93"/>
      <c r="J7840" s="93"/>
      <c r="K7840" s="93"/>
      <c r="L7840" s="152"/>
    </row>
    <row r="7841" spans="1:12">
      <c r="A7841" s="72"/>
      <c r="B7841" s="93"/>
      <c r="C7841" s="140"/>
      <c r="D7841" s="93"/>
      <c r="E7841" s="93"/>
      <c r="F7841" s="81"/>
      <c r="G7841" s="12"/>
      <c r="H7841" s="93"/>
      <c r="I7841" s="93"/>
      <c r="J7841" s="93"/>
      <c r="K7841" s="93"/>
      <c r="L7841" s="152"/>
    </row>
    <row r="7842" spans="1:12">
      <c r="A7842" s="72"/>
      <c r="B7842" s="93"/>
      <c r="C7842" s="140"/>
      <c r="D7842" s="93"/>
      <c r="E7842" s="93"/>
      <c r="F7842" s="81"/>
      <c r="G7842" s="12"/>
      <c r="H7842" s="93"/>
      <c r="I7842" s="93"/>
      <c r="J7842" s="93"/>
      <c r="K7842" s="93"/>
      <c r="L7842" s="152"/>
    </row>
    <row r="7843" spans="1:12">
      <c r="A7843" s="72"/>
      <c r="B7843" s="93"/>
      <c r="C7843" s="140"/>
      <c r="D7843" s="93"/>
      <c r="E7843" s="93"/>
      <c r="F7843" s="81"/>
      <c r="G7843" s="12"/>
      <c r="H7843" s="93"/>
      <c r="I7843" s="93"/>
      <c r="J7843" s="93"/>
      <c r="K7843" s="93"/>
      <c r="L7843" s="152"/>
    </row>
    <row r="7844" spans="1:12">
      <c r="A7844" s="72"/>
      <c r="B7844" s="93"/>
      <c r="C7844" s="140"/>
      <c r="D7844" s="93"/>
      <c r="E7844" s="93"/>
      <c r="F7844" s="93"/>
      <c r="G7844" s="12"/>
      <c r="H7844" s="93"/>
      <c r="I7844" s="93"/>
      <c r="J7844" s="93"/>
      <c r="K7844" s="93"/>
      <c r="L7844" s="152"/>
    </row>
    <row r="7845" spans="1:12">
      <c r="A7845" s="72"/>
      <c r="B7845" s="93"/>
      <c r="C7845" s="140"/>
      <c r="D7845" s="93"/>
      <c r="E7845" s="93"/>
      <c r="F7845" s="93"/>
      <c r="G7845" s="12"/>
      <c r="H7845" s="93"/>
      <c r="I7845" s="93"/>
      <c r="J7845" s="93"/>
      <c r="K7845" s="93"/>
      <c r="L7845" s="152"/>
    </row>
    <row r="7846" spans="1:12">
      <c r="A7846" s="72"/>
      <c r="B7846" s="93"/>
      <c r="C7846" s="93"/>
      <c r="D7846" s="93"/>
      <c r="E7846" s="93"/>
      <c r="F7846" s="93"/>
      <c r="G7846" s="12"/>
      <c r="H7846" s="93"/>
      <c r="I7846" s="93"/>
      <c r="J7846" s="93"/>
      <c r="K7846" s="93"/>
      <c r="L7846" s="93"/>
    </row>
    <row r="7847" spans="1:12">
      <c r="A7847" s="72"/>
      <c r="B7847" s="93"/>
      <c r="C7847" s="93"/>
      <c r="D7847" s="93"/>
      <c r="E7847" s="93"/>
      <c r="F7847" s="93"/>
      <c r="G7847" s="12"/>
      <c r="H7847" s="93"/>
      <c r="I7847" s="93"/>
      <c r="J7847" s="93"/>
      <c r="K7847" s="93"/>
      <c r="L7847" s="93"/>
    </row>
    <row r="7848" spans="1:12">
      <c r="A7848" s="72"/>
      <c r="B7848" s="93"/>
      <c r="C7848" s="93"/>
      <c r="D7848" s="93"/>
      <c r="E7848" s="93"/>
      <c r="F7848" s="93"/>
      <c r="G7848" s="12"/>
      <c r="H7848" s="93"/>
      <c r="I7848" s="93"/>
      <c r="J7848" s="93"/>
      <c r="K7848" s="93"/>
      <c r="L7848" s="93"/>
    </row>
    <row r="7849" spans="1:12">
      <c r="A7849" s="72"/>
      <c r="B7849" s="93"/>
      <c r="C7849" s="93"/>
      <c r="D7849" s="246"/>
      <c r="E7849" s="93"/>
      <c r="F7849" s="93"/>
      <c r="G7849" s="12"/>
      <c r="H7849" s="93"/>
      <c r="I7849" s="93"/>
      <c r="J7849" s="93"/>
      <c r="K7849" s="93"/>
      <c r="L7849" s="152"/>
    </row>
    <row r="7850" spans="1:12">
      <c r="A7850" s="72"/>
      <c r="B7850" s="93"/>
      <c r="C7850" s="93"/>
      <c r="D7850" s="93"/>
      <c r="E7850" s="93"/>
      <c r="F7850" s="93"/>
      <c r="G7850" s="12"/>
      <c r="H7850" s="93"/>
      <c r="I7850" s="93"/>
      <c r="J7850" s="93"/>
      <c r="K7850" s="93"/>
      <c r="L7850" s="152"/>
    </row>
    <row r="7851" spans="1:12">
      <c r="A7851" s="72"/>
      <c r="B7851" s="93"/>
      <c r="C7851" s="93"/>
      <c r="D7851" s="93"/>
      <c r="E7851" s="93"/>
      <c r="F7851" s="93"/>
      <c r="G7851" s="12"/>
      <c r="H7851" s="93"/>
      <c r="I7851" s="93"/>
      <c r="J7851" s="93"/>
      <c r="K7851" s="93"/>
      <c r="L7851" s="152"/>
    </row>
    <row r="7852" spans="1:12">
      <c r="A7852" s="72"/>
      <c r="B7852" s="93"/>
      <c r="C7852" s="93"/>
      <c r="D7852" s="261"/>
      <c r="E7852" s="93"/>
      <c r="F7852" s="93"/>
      <c r="G7852" s="12"/>
      <c r="H7852" s="93"/>
      <c r="I7852" s="93"/>
      <c r="J7852" s="93"/>
      <c r="K7852" s="93"/>
      <c r="L7852" s="152"/>
    </row>
    <row r="7853" spans="1:12">
      <c r="A7853" s="72"/>
      <c r="B7853" s="93"/>
      <c r="C7853" s="93"/>
      <c r="D7853" s="261"/>
      <c r="E7853" s="93"/>
      <c r="F7853" s="93"/>
      <c r="G7853" s="12"/>
      <c r="H7853" s="93"/>
      <c r="I7853" s="93"/>
      <c r="J7853" s="93"/>
      <c r="K7853" s="93"/>
      <c r="L7853" s="152"/>
    </row>
    <row r="7854" spans="1:12">
      <c r="A7854" s="72"/>
      <c r="B7854" s="93"/>
      <c r="C7854" s="93"/>
      <c r="D7854" s="246"/>
      <c r="E7854" s="93"/>
      <c r="F7854" s="93"/>
      <c r="G7854" s="12"/>
      <c r="H7854" s="150"/>
      <c r="I7854" s="93"/>
      <c r="J7854" s="93"/>
      <c r="K7854" s="150"/>
      <c r="L7854" s="134"/>
    </row>
    <row r="7855" spans="1:12">
      <c r="A7855" s="72"/>
      <c r="B7855" s="96"/>
      <c r="C7855" s="93"/>
      <c r="D7855" s="93"/>
      <c r="E7855" s="93"/>
      <c r="F7855" s="93"/>
      <c r="G7855" s="12"/>
      <c r="H7855" s="93"/>
      <c r="I7855" s="93"/>
      <c r="J7855" s="93"/>
      <c r="K7855" s="93"/>
      <c r="L7855" s="152"/>
    </row>
    <row r="7856" spans="1:12">
      <c r="A7856" s="72"/>
      <c r="B7856" s="93"/>
      <c r="C7856" s="93"/>
      <c r="D7856" s="93"/>
      <c r="E7856" s="93"/>
      <c r="F7856" s="93"/>
      <c r="G7856" s="12"/>
      <c r="H7856" s="93"/>
      <c r="I7856" s="93"/>
      <c r="J7856" s="93"/>
      <c r="K7856" s="93"/>
      <c r="L7856" s="152"/>
    </row>
    <row r="7857" spans="1:12">
      <c r="A7857" s="72"/>
      <c r="B7857" s="93"/>
      <c r="C7857" s="93"/>
      <c r="D7857" s="93"/>
      <c r="E7857" s="93"/>
      <c r="F7857" s="93"/>
      <c r="G7857" s="12"/>
      <c r="H7857" s="93"/>
      <c r="I7857" s="93"/>
      <c r="J7857" s="93"/>
      <c r="K7857" s="93"/>
      <c r="L7857" s="152"/>
    </row>
    <row r="7858" spans="1:12">
      <c r="A7858" s="72"/>
      <c r="B7858" s="93"/>
      <c r="C7858" s="93"/>
      <c r="D7858" s="93"/>
      <c r="E7858" s="93"/>
      <c r="F7858" s="93"/>
      <c r="G7858" s="12"/>
      <c r="H7858" s="93"/>
      <c r="I7858" s="93"/>
      <c r="J7858" s="93"/>
      <c r="K7858" s="93"/>
      <c r="L7858" s="152"/>
    </row>
    <row r="7859" spans="1:12">
      <c r="A7859" s="72"/>
      <c r="B7859" s="93"/>
      <c r="C7859" s="93"/>
      <c r="D7859" s="93"/>
      <c r="E7859" s="93"/>
      <c r="F7859" s="93"/>
      <c r="G7859" s="12"/>
      <c r="H7859" s="93"/>
      <c r="I7859" s="93"/>
      <c r="J7859" s="93"/>
      <c r="K7859" s="93"/>
      <c r="L7859" s="152"/>
    </row>
    <row r="7860" spans="1:12">
      <c r="A7860" s="72"/>
      <c r="B7860" s="93"/>
      <c r="C7860" s="93"/>
      <c r="D7860" s="93"/>
      <c r="E7860" s="93"/>
      <c r="F7860" s="93"/>
      <c r="G7860" s="12"/>
      <c r="H7860" s="93"/>
      <c r="I7860" s="93"/>
      <c r="J7860" s="93"/>
      <c r="K7860" s="93"/>
      <c r="L7860" s="152"/>
    </row>
    <row r="7861" spans="1:12">
      <c r="A7861" s="72"/>
      <c r="B7861" s="263"/>
      <c r="C7861" s="170"/>
      <c r="D7861" s="170"/>
      <c r="E7861" s="170"/>
      <c r="F7861" s="170"/>
      <c r="G7861" s="12"/>
      <c r="H7861" s="170"/>
      <c r="I7861" s="170"/>
      <c r="J7861" s="170"/>
      <c r="K7861" s="170"/>
      <c r="L7861" s="264"/>
    </row>
    <row r="7862" spans="1:12">
      <c r="A7862" s="72"/>
      <c r="B7862" s="93"/>
      <c r="C7862" s="93"/>
      <c r="D7862" s="93"/>
      <c r="E7862" s="93"/>
      <c r="F7862" s="93"/>
      <c r="G7862" s="12"/>
      <c r="H7862" s="93"/>
      <c r="I7862" s="93"/>
      <c r="J7862" s="93"/>
      <c r="K7862" s="93"/>
      <c r="L7862" s="152"/>
    </row>
    <row r="7863" spans="1:12">
      <c r="A7863" s="72"/>
      <c r="B7863" s="162"/>
      <c r="C7863" s="131"/>
      <c r="D7863" s="245"/>
      <c r="E7863" s="131"/>
      <c r="F7863" s="131"/>
      <c r="G7863" s="12"/>
      <c r="H7863" s="131"/>
      <c r="I7863" s="131"/>
      <c r="J7863" s="131"/>
      <c r="K7863" s="131"/>
      <c r="L7863" s="152"/>
    </row>
    <row r="7864" spans="1:12">
      <c r="A7864" s="72"/>
      <c r="B7864" s="162"/>
      <c r="C7864" s="131"/>
      <c r="D7864" s="245"/>
      <c r="E7864" s="182"/>
      <c r="F7864" s="182"/>
      <c r="G7864" s="12"/>
      <c r="H7864" s="150"/>
      <c r="I7864" s="162"/>
      <c r="J7864" s="131"/>
      <c r="K7864" s="131"/>
      <c r="L7864" s="152"/>
    </row>
    <row r="7865" spans="1:12">
      <c r="A7865" s="72"/>
      <c r="B7865" s="93"/>
      <c r="C7865" s="93"/>
      <c r="D7865" s="93"/>
      <c r="E7865" s="105"/>
      <c r="F7865" s="105"/>
      <c r="G7865" s="12"/>
      <c r="H7865" s="105"/>
      <c r="I7865" s="93"/>
      <c r="J7865" s="93"/>
      <c r="K7865" s="105"/>
      <c r="L7865" s="217"/>
    </row>
    <row r="7866" spans="1:12">
      <c r="A7866" s="72"/>
      <c r="B7866" s="93"/>
      <c r="C7866" s="93"/>
      <c r="D7866" s="93"/>
      <c r="E7866" s="105"/>
      <c r="F7866" s="126"/>
      <c r="G7866" s="12"/>
      <c r="H7866" s="105"/>
      <c r="I7866" s="93"/>
      <c r="J7866" s="93"/>
      <c r="K7866" s="105"/>
      <c r="L7866" s="265"/>
    </row>
    <row r="7867" spans="1:12">
      <c r="A7867" s="72"/>
      <c r="B7867" s="93"/>
      <c r="C7867" s="93"/>
      <c r="D7867" s="93"/>
      <c r="E7867" s="93"/>
      <c r="F7867" s="93"/>
      <c r="G7867" s="12"/>
      <c r="H7867" s="93"/>
      <c r="I7867" s="93"/>
      <c r="J7867" s="93"/>
      <c r="K7867" s="93"/>
      <c r="L7867" s="134"/>
    </row>
    <row r="7868" spans="1:12">
      <c r="A7868" s="72"/>
      <c r="B7868" s="93"/>
      <c r="C7868" s="93"/>
      <c r="D7868" s="93"/>
      <c r="E7868" s="93"/>
      <c r="F7868" s="81"/>
      <c r="G7868" s="12"/>
      <c r="H7868" s="93"/>
      <c r="I7868" s="93"/>
      <c r="J7868" s="93"/>
      <c r="K7868" s="93"/>
      <c r="L7868" s="134"/>
    </row>
    <row r="7869" spans="1:12">
      <c r="A7869" s="72"/>
      <c r="B7869" s="93"/>
      <c r="C7869" s="93"/>
      <c r="D7869" s="93"/>
      <c r="E7869" s="93"/>
      <c r="F7869" s="93"/>
      <c r="G7869" s="12"/>
      <c r="H7869" s="93"/>
      <c r="I7869" s="93"/>
      <c r="J7869" s="93"/>
      <c r="K7869" s="93"/>
      <c r="L7869" s="152"/>
    </row>
    <row r="7870" spans="1:12">
      <c r="A7870" s="72"/>
      <c r="B7870" s="93"/>
      <c r="C7870" s="93"/>
      <c r="D7870" s="93"/>
      <c r="E7870" s="93"/>
      <c r="F7870" s="93"/>
      <c r="G7870" s="12"/>
      <c r="H7870" s="93"/>
      <c r="I7870" s="93"/>
      <c r="J7870" s="93"/>
      <c r="K7870" s="93"/>
      <c r="L7870" s="152"/>
    </row>
    <row r="7871" spans="1:12">
      <c r="A7871" s="72"/>
      <c r="B7871" s="93"/>
      <c r="C7871" s="93"/>
      <c r="D7871" s="93"/>
      <c r="E7871" s="93"/>
      <c r="F7871" s="93"/>
      <c r="G7871" s="12"/>
      <c r="H7871" s="93"/>
      <c r="I7871" s="93"/>
      <c r="J7871" s="93"/>
      <c r="K7871" s="93"/>
      <c r="L7871" s="134"/>
    </row>
    <row r="7872" spans="1:12">
      <c r="A7872" s="72"/>
      <c r="B7872" s="93"/>
      <c r="C7872" s="93"/>
      <c r="D7872" s="93"/>
      <c r="E7872" s="93"/>
      <c r="F7872" s="93"/>
      <c r="G7872" s="12"/>
      <c r="H7872" s="93"/>
      <c r="I7872" s="93"/>
      <c r="J7872" s="93"/>
      <c r="K7872" s="93"/>
      <c r="L7872" s="152"/>
    </row>
    <row r="7873" spans="1:12">
      <c r="A7873" s="72"/>
      <c r="B7873" s="93"/>
      <c r="C7873" s="93"/>
      <c r="D7873" s="93"/>
      <c r="E7873" s="93"/>
      <c r="F7873" s="93"/>
      <c r="G7873" s="12"/>
      <c r="H7873" s="93"/>
      <c r="I7873" s="93"/>
      <c r="J7873" s="93"/>
      <c r="K7873" s="93"/>
      <c r="L7873" s="152"/>
    </row>
    <row r="7874" spans="1:12">
      <c r="A7874" s="72"/>
      <c r="B7874" s="93"/>
      <c r="C7874" s="93"/>
      <c r="D7874" s="93"/>
      <c r="E7874" s="93"/>
      <c r="F7874" s="93"/>
      <c r="G7874" s="12"/>
      <c r="H7874" s="93"/>
      <c r="I7874" s="93"/>
      <c r="J7874" s="93"/>
      <c r="K7874" s="93"/>
      <c r="L7874" s="149"/>
    </row>
    <row r="7875" spans="1:12">
      <c r="A7875" s="72"/>
      <c r="B7875" s="93"/>
      <c r="C7875" s="93"/>
      <c r="D7875" s="246"/>
      <c r="E7875" s="93"/>
      <c r="F7875" s="93"/>
      <c r="G7875" s="12"/>
      <c r="H7875" s="93"/>
      <c r="I7875" s="93"/>
      <c r="J7875" s="93"/>
      <c r="K7875" s="106"/>
      <c r="L7875" s="152"/>
    </row>
    <row r="7876" spans="1:12">
      <c r="A7876" s="72"/>
      <c r="B7876" s="93"/>
      <c r="C7876" s="93"/>
      <c r="D7876" s="246"/>
      <c r="E7876" s="93"/>
      <c r="F7876" s="93"/>
      <c r="G7876" s="12"/>
      <c r="H7876" s="93"/>
      <c r="I7876" s="93"/>
      <c r="J7876" s="93"/>
      <c r="K7876" s="93"/>
      <c r="L7876" s="134"/>
    </row>
    <row r="7877" spans="1:12">
      <c r="A7877" s="72"/>
      <c r="B7877" s="93"/>
      <c r="C7877" s="93"/>
      <c r="D7877" s="246"/>
      <c r="E7877" s="93"/>
      <c r="F7877" s="93"/>
      <c r="G7877" s="12"/>
      <c r="H7877" s="93"/>
      <c r="I7877" s="93"/>
      <c r="J7877" s="93"/>
      <c r="K7877" s="93"/>
      <c r="L7877" s="152"/>
    </row>
    <row r="7878" spans="1:12">
      <c r="A7878" s="72"/>
      <c r="B7878" s="93"/>
      <c r="C7878" s="93"/>
      <c r="D7878" s="246"/>
      <c r="E7878" s="93"/>
      <c r="F7878" s="93"/>
      <c r="G7878" s="12"/>
      <c r="H7878" s="93"/>
      <c r="I7878" s="93"/>
      <c r="J7878" s="93"/>
      <c r="K7878" s="93"/>
      <c r="L7878" s="217"/>
    </row>
    <row r="7879" spans="1:12">
      <c r="A7879" s="72"/>
      <c r="B7879" s="93"/>
      <c r="C7879" s="93"/>
      <c r="D7879" s="246"/>
      <c r="E7879" s="93"/>
      <c r="F7879" s="81"/>
      <c r="G7879" s="12"/>
      <c r="H7879" s="93"/>
      <c r="I7879" s="93"/>
      <c r="J7879" s="93"/>
      <c r="K7879" s="93"/>
      <c r="L7879" s="242"/>
    </row>
    <row r="7880" spans="1:12">
      <c r="A7880" s="72"/>
      <c r="B7880" s="93"/>
      <c r="C7880" s="93"/>
      <c r="D7880" s="246"/>
      <c r="E7880" s="93"/>
      <c r="F7880" s="81"/>
      <c r="G7880" s="12"/>
      <c r="H7880" s="93"/>
      <c r="I7880" s="93"/>
      <c r="J7880" s="93"/>
      <c r="K7880" s="93"/>
      <c r="L7880" s="266"/>
    </row>
    <row r="7881" spans="1:12">
      <c r="A7881" s="72"/>
      <c r="B7881" s="93"/>
      <c r="C7881" s="93"/>
      <c r="D7881" s="246"/>
      <c r="E7881" s="93"/>
      <c r="F7881" s="81"/>
      <c r="G7881" s="12"/>
      <c r="H7881" s="93"/>
      <c r="I7881" s="93"/>
      <c r="J7881" s="93"/>
      <c r="K7881" s="93"/>
      <c r="L7881" s="242"/>
    </row>
    <row r="7882" spans="1:12">
      <c r="A7882" s="72"/>
      <c r="B7882" s="93"/>
      <c r="C7882" s="93"/>
      <c r="D7882" s="93"/>
      <c r="E7882" s="93"/>
      <c r="F7882" s="93"/>
      <c r="G7882" s="12"/>
      <c r="H7882" s="93"/>
      <c r="I7882" s="93"/>
      <c r="J7882" s="93"/>
      <c r="K7882" s="93"/>
      <c r="L7882" s="152"/>
    </row>
    <row r="7883" spans="1:12">
      <c r="A7883" s="72"/>
      <c r="B7883" s="93"/>
      <c r="C7883" s="93"/>
      <c r="D7883" s="93"/>
      <c r="E7883" s="93"/>
      <c r="F7883" s="93"/>
      <c r="G7883" s="12"/>
      <c r="H7883" s="93"/>
      <c r="I7883" s="93"/>
      <c r="J7883" s="93"/>
      <c r="K7883" s="93"/>
      <c r="L7883" s="152"/>
    </row>
    <row r="7884" spans="1:12">
      <c r="A7884" s="72"/>
      <c r="B7884" s="143"/>
      <c r="C7884" s="141"/>
      <c r="D7884" s="196"/>
      <c r="E7884" s="93"/>
      <c r="F7884" s="196"/>
      <c r="G7884" s="12"/>
      <c r="H7884" s="196"/>
      <c r="I7884" s="196"/>
      <c r="J7884" s="196"/>
      <c r="K7884" s="196"/>
      <c r="L7884" s="267"/>
    </row>
    <row r="7885" spans="1:12">
      <c r="A7885" s="72"/>
      <c r="B7885" s="143"/>
      <c r="C7885" s="156"/>
      <c r="D7885" s="156"/>
      <c r="E7885" s="196"/>
      <c r="F7885" s="159"/>
      <c r="G7885" s="12"/>
      <c r="H7885" s="196"/>
      <c r="I7885" s="196"/>
      <c r="J7885" s="196"/>
      <c r="K7885" s="156"/>
      <c r="L7885" s="260"/>
    </row>
    <row r="7886" spans="1:12">
      <c r="A7886" s="72"/>
      <c r="B7886" s="143"/>
      <c r="C7886" s="156"/>
      <c r="D7886" s="156"/>
      <c r="E7886" s="196"/>
      <c r="F7886" s="159"/>
      <c r="G7886" s="12"/>
      <c r="H7886" s="196"/>
      <c r="I7886" s="196"/>
      <c r="J7886" s="196"/>
      <c r="K7886" s="156"/>
      <c r="L7886" s="260"/>
    </row>
    <row r="7887" spans="1:12">
      <c r="A7887" s="72"/>
      <c r="B7887" s="143"/>
      <c r="C7887" s="156"/>
      <c r="D7887" s="156"/>
      <c r="E7887" s="196"/>
      <c r="F7887" s="159"/>
      <c r="G7887" s="12"/>
      <c r="H7887" s="196"/>
      <c r="I7887" s="196"/>
      <c r="J7887" s="196"/>
      <c r="K7887" s="156"/>
      <c r="L7887" s="260"/>
    </row>
    <row r="7888" spans="1:12">
      <c r="A7888" s="72"/>
      <c r="B7888" s="143"/>
      <c r="C7888" s="156"/>
      <c r="D7888" s="156"/>
      <c r="E7888" s="93"/>
      <c r="F7888" s="196"/>
      <c r="G7888" s="12"/>
      <c r="H7888" s="196"/>
      <c r="I7888" s="196"/>
      <c r="J7888" s="196"/>
      <c r="K7888" s="156"/>
      <c r="L7888" s="260"/>
    </row>
    <row r="7889" spans="1:12">
      <c r="A7889" s="72"/>
      <c r="B7889" s="93"/>
      <c r="C7889" s="93"/>
      <c r="D7889" s="93"/>
      <c r="E7889" s="93"/>
      <c r="F7889" s="81"/>
      <c r="G7889" s="12"/>
      <c r="H7889" s="93"/>
      <c r="I7889" s="93"/>
      <c r="J7889" s="93"/>
      <c r="K7889" s="93"/>
      <c r="L7889" s="152"/>
    </row>
    <row r="7890" spans="1:12">
      <c r="A7890" s="72"/>
      <c r="B7890" s="93"/>
      <c r="C7890" s="93"/>
      <c r="D7890" s="93"/>
      <c r="E7890" s="93"/>
      <c r="F7890" s="81"/>
      <c r="G7890" s="12"/>
      <c r="H7890" s="93"/>
      <c r="I7890" s="93"/>
      <c r="J7890" s="93"/>
      <c r="K7890" s="93"/>
      <c r="L7890" s="152"/>
    </row>
    <row r="7891" spans="1:12">
      <c r="A7891" s="72"/>
      <c r="B7891" s="93"/>
      <c r="C7891" s="93"/>
      <c r="D7891" s="246"/>
      <c r="E7891" s="93"/>
      <c r="F7891" s="93"/>
      <c r="G7891" s="12"/>
      <c r="H7891" s="93"/>
      <c r="I7891" s="93"/>
      <c r="J7891" s="93"/>
      <c r="K7891" s="93"/>
      <c r="L7891" s="152"/>
    </row>
    <row r="7892" spans="1:12">
      <c r="A7892" s="72"/>
      <c r="B7892" s="93"/>
      <c r="C7892" s="93"/>
      <c r="D7892" s="93"/>
      <c r="E7892" s="93"/>
      <c r="F7892" s="93"/>
      <c r="G7892" s="12"/>
      <c r="H7892" s="93"/>
      <c r="I7892" s="93"/>
      <c r="J7892" s="93"/>
      <c r="K7892" s="93"/>
      <c r="L7892" s="152"/>
    </row>
    <row r="7893" spans="1:12">
      <c r="A7893" s="72"/>
      <c r="B7893" s="93"/>
      <c r="C7893" s="93"/>
      <c r="D7893" s="93"/>
      <c r="E7893" s="93"/>
      <c r="F7893" s="93"/>
      <c r="G7893" s="12"/>
      <c r="H7893" s="93"/>
      <c r="I7893" s="93"/>
      <c r="J7893" s="93"/>
      <c r="K7893" s="93"/>
      <c r="L7893" s="134"/>
    </row>
    <row r="7894" spans="1:12">
      <c r="A7894" s="72"/>
      <c r="B7894" s="93"/>
      <c r="C7894" s="93"/>
      <c r="D7894" s="262"/>
      <c r="E7894" s="93"/>
      <c r="F7894" s="93"/>
      <c r="G7894" s="12"/>
      <c r="H7894" s="93"/>
      <c r="I7894" s="93"/>
      <c r="J7894" s="93"/>
      <c r="K7894" s="93"/>
      <c r="L7894" s="152"/>
    </row>
    <row r="7895" spans="1:12">
      <c r="A7895" s="72"/>
      <c r="B7895" s="93"/>
      <c r="C7895" s="93"/>
      <c r="D7895" s="93"/>
      <c r="E7895" s="93"/>
      <c r="F7895" s="93"/>
      <c r="G7895" s="12"/>
      <c r="H7895" s="93"/>
      <c r="I7895" s="131"/>
      <c r="J7895" s="93"/>
      <c r="K7895" s="93"/>
      <c r="L7895" s="152"/>
    </row>
    <row r="7896" spans="1:12">
      <c r="A7896" s="72"/>
      <c r="B7896" s="93"/>
      <c r="C7896" s="93"/>
      <c r="D7896" s="93"/>
      <c r="E7896" s="93"/>
      <c r="F7896" s="93"/>
      <c r="G7896" s="12"/>
      <c r="H7896" s="93"/>
      <c r="I7896" s="131"/>
      <c r="J7896" s="93"/>
      <c r="K7896" s="93"/>
      <c r="L7896" s="152"/>
    </row>
    <row r="7897" spans="1:12">
      <c r="A7897" s="72"/>
      <c r="B7897" s="93"/>
      <c r="C7897" s="93"/>
      <c r="D7897" s="93"/>
      <c r="E7897" s="93"/>
      <c r="F7897" s="93"/>
      <c r="G7897" s="12"/>
      <c r="H7897" s="93"/>
      <c r="I7897" s="131"/>
      <c r="J7897" s="93"/>
      <c r="K7897" s="93"/>
      <c r="L7897" s="152"/>
    </row>
    <row r="7898" spans="1:12">
      <c r="A7898" s="72"/>
      <c r="B7898" s="93"/>
      <c r="C7898" s="93"/>
      <c r="D7898" s="93"/>
      <c r="E7898" s="93"/>
      <c r="F7898" s="93"/>
      <c r="G7898" s="12"/>
      <c r="H7898" s="93"/>
      <c r="I7898" s="131"/>
      <c r="J7898" s="93"/>
      <c r="K7898" s="93"/>
      <c r="L7898" s="152"/>
    </row>
    <row r="7899" spans="1:12">
      <c r="A7899" s="72"/>
      <c r="B7899" s="93"/>
      <c r="C7899" s="93"/>
      <c r="D7899" s="93"/>
      <c r="E7899" s="93"/>
      <c r="F7899" s="81"/>
      <c r="G7899" s="12"/>
      <c r="H7899" s="93"/>
      <c r="I7899" s="131"/>
      <c r="J7899" s="93"/>
      <c r="K7899" s="93"/>
      <c r="L7899" s="152"/>
    </row>
    <row r="7900" spans="1:12">
      <c r="A7900" s="125"/>
      <c r="B7900" s="93"/>
      <c r="C7900" s="93"/>
      <c r="D7900" s="93"/>
      <c r="E7900" s="93"/>
      <c r="F7900" s="81"/>
      <c r="G7900" s="93"/>
      <c r="H7900" s="93"/>
      <c r="I7900" s="93"/>
      <c r="J7900" s="93"/>
      <c r="K7900" s="93"/>
      <c r="L7900" s="152"/>
    </row>
    <row r="7901" spans="1:12">
      <c r="A7901" s="72"/>
      <c r="B7901" s="93"/>
      <c r="C7901" s="93"/>
      <c r="D7901" s="93"/>
      <c r="E7901" s="93"/>
      <c r="F7901" s="93"/>
      <c r="G7901" s="12"/>
      <c r="H7901" s="93"/>
      <c r="I7901" s="131"/>
      <c r="J7901" s="93"/>
      <c r="K7901" s="93"/>
      <c r="L7901" s="152"/>
    </row>
    <row r="7902" spans="1:12">
      <c r="A7902" s="72"/>
      <c r="B7902" s="93"/>
      <c r="C7902" s="93"/>
      <c r="D7902" s="93"/>
      <c r="E7902" s="93"/>
      <c r="F7902" s="93"/>
      <c r="G7902" s="12"/>
      <c r="H7902" s="93"/>
      <c r="I7902" s="131"/>
      <c r="J7902" s="93"/>
      <c r="K7902" s="93"/>
      <c r="L7902" s="152"/>
    </row>
    <row r="7903" spans="1:12">
      <c r="A7903" s="72"/>
      <c r="B7903" s="93"/>
      <c r="C7903" s="93"/>
      <c r="D7903" s="93"/>
      <c r="E7903" s="93"/>
      <c r="F7903" s="93"/>
      <c r="G7903" s="12"/>
      <c r="H7903" s="93"/>
      <c r="I7903" s="93"/>
      <c r="J7903" s="93"/>
      <c r="K7903" s="93"/>
      <c r="L7903" s="152"/>
    </row>
    <row r="7904" spans="1:12">
      <c r="A7904" s="72"/>
      <c r="B7904" s="93"/>
      <c r="C7904" s="93"/>
      <c r="D7904" s="93"/>
      <c r="E7904" s="93"/>
      <c r="F7904" s="93"/>
      <c r="G7904" s="12"/>
      <c r="H7904" s="93"/>
      <c r="I7904" s="93"/>
      <c r="J7904" s="93"/>
      <c r="K7904" s="93"/>
      <c r="L7904" s="152"/>
    </row>
    <row r="7905" spans="1:12">
      <c r="A7905" s="72"/>
      <c r="B7905" s="93"/>
      <c r="C7905" s="93"/>
      <c r="D7905" s="93"/>
      <c r="E7905" s="93"/>
      <c r="F7905" s="93"/>
      <c r="G7905" s="12"/>
      <c r="H7905" s="93"/>
      <c r="I7905" s="93"/>
      <c r="J7905" s="93"/>
      <c r="K7905" s="93"/>
      <c r="L7905" s="152"/>
    </row>
    <row r="7906" spans="1:12">
      <c r="A7906" s="72"/>
      <c r="B7906" s="93"/>
      <c r="C7906" s="93"/>
      <c r="D7906" s="93"/>
      <c r="E7906" s="93"/>
      <c r="F7906" s="93"/>
      <c r="G7906" s="12"/>
      <c r="H7906" s="93"/>
      <c r="I7906" s="93"/>
      <c r="J7906" s="93"/>
      <c r="K7906" s="93"/>
      <c r="L7906" s="152"/>
    </row>
    <row r="7907" spans="1:12">
      <c r="A7907" s="72"/>
      <c r="B7907" s="93"/>
      <c r="C7907" s="93"/>
      <c r="D7907" s="93"/>
      <c r="E7907" s="93"/>
      <c r="F7907" s="93"/>
      <c r="G7907" s="12"/>
      <c r="H7907" s="93"/>
      <c r="I7907" s="93"/>
      <c r="J7907" s="93"/>
      <c r="K7907" s="93"/>
      <c r="L7907" s="152"/>
    </row>
    <row r="7908" spans="1:12">
      <c r="A7908" s="72"/>
      <c r="B7908" s="93"/>
      <c r="C7908" s="93"/>
      <c r="D7908" s="246"/>
      <c r="E7908" s="105"/>
      <c r="F7908" s="105"/>
      <c r="G7908" s="12"/>
      <c r="H7908" s="105"/>
      <c r="I7908" s="93"/>
      <c r="J7908" s="93"/>
      <c r="K7908" s="150"/>
      <c r="L7908" s="149"/>
    </row>
    <row r="7909" spans="1:12">
      <c r="A7909" s="72"/>
      <c r="B7909" s="93"/>
      <c r="C7909" s="93"/>
      <c r="D7909" s="246"/>
      <c r="E7909" s="105"/>
      <c r="F7909" s="105"/>
      <c r="G7909" s="12"/>
      <c r="H7909" s="105"/>
      <c r="I7909" s="93"/>
      <c r="J7909" s="93"/>
      <c r="K7909" s="93"/>
      <c r="L7909" s="268"/>
    </row>
    <row r="7910" spans="1:12">
      <c r="A7910" s="72"/>
      <c r="B7910" s="93"/>
      <c r="C7910" s="93"/>
      <c r="D7910" s="93"/>
      <c r="E7910" s="105"/>
      <c r="F7910" s="269"/>
      <c r="G7910" s="12"/>
      <c r="H7910" s="270"/>
      <c r="I7910" s="93"/>
      <c r="J7910" s="93"/>
      <c r="K7910" s="93"/>
      <c r="L7910" s="271"/>
    </row>
    <row r="7911" spans="1:12">
      <c r="A7911" s="72"/>
      <c r="B7911" s="93"/>
      <c r="C7911" s="93"/>
      <c r="D7911" s="246"/>
      <c r="E7911" s="93"/>
      <c r="F7911" s="156"/>
      <c r="G7911" s="12"/>
      <c r="H7911" s="93"/>
      <c r="I7911" s="93"/>
      <c r="J7911" s="93"/>
      <c r="K7911" s="93"/>
      <c r="L7911" s="152"/>
    </row>
    <row r="7912" spans="1:12">
      <c r="A7912" s="72"/>
      <c r="B7912" s="93"/>
      <c r="C7912" s="93"/>
      <c r="D7912" s="246"/>
      <c r="E7912" s="272"/>
      <c r="F7912" s="269"/>
      <c r="G7912" s="12"/>
      <c r="H7912" s="93"/>
      <c r="I7912" s="93"/>
      <c r="J7912" s="93"/>
      <c r="K7912" s="93"/>
      <c r="L7912" s="273"/>
    </row>
    <row r="7913" spans="1:12">
      <c r="A7913" s="72"/>
      <c r="B7913" s="93"/>
      <c r="C7913" s="93"/>
      <c r="D7913" s="93"/>
      <c r="E7913" s="93"/>
      <c r="F7913" s="93"/>
      <c r="G7913" s="12"/>
      <c r="H7913" s="93"/>
      <c r="I7913" s="93"/>
      <c r="J7913" s="93"/>
      <c r="K7913" s="93"/>
      <c r="L7913" s="152"/>
    </row>
    <row r="7914" spans="1:12">
      <c r="A7914" s="72"/>
      <c r="B7914" s="93"/>
      <c r="C7914" s="93"/>
      <c r="D7914" s="93"/>
      <c r="E7914" s="93"/>
      <c r="F7914" s="93"/>
      <c r="G7914" s="12"/>
      <c r="H7914" s="93"/>
      <c r="I7914" s="93"/>
      <c r="J7914" s="93"/>
      <c r="K7914" s="93"/>
      <c r="L7914" s="152"/>
    </row>
    <row r="7915" spans="1:12">
      <c r="A7915" s="72"/>
      <c r="B7915" s="93"/>
      <c r="C7915" s="93"/>
      <c r="D7915" s="93"/>
      <c r="E7915" s="93"/>
      <c r="F7915" s="93"/>
      <c r="G7915" s="12"/>
      <c r="H7915" s="93"/>
      <c r="I7915" s="93"/>
      <c r="J7915" s="93"/>
      <c r="K7915" s="93"/>
      <c r="L7915" s="152"/>
    </row>
    <row r="7916" spans="1:12">
      <c r="A7916" s="72"/>
      <c r="B7916" s="93"/>
      <c r="C7916" s="93"/>
      <c r="D7916" s="93"/>
      <c r="E7916" s="93"/>
      <c r="F7916" s="93"/>
      <c r="G7916" s="12"/>
      <c r="H7916" s="93"/>
      <c r="I7916" s="93"/>
      <c r="J7916" s="93"/>
      <c r="K7916" s="93"/>
      <c r="L7916" s="152"/>
    </row>
    <row r="7917" spans="1:12">
      <c r="A7917" s="72"/>
      <c r="B7917" s="93"/>
      <c r="C7917" s="93"/>
      <c r="D7917" s="93"/>
      <c r="E7917" s="93"/>
      <c r="F7917" s="93"/>
      <c r="G7917" s="12"/>
      <c r="H7917" s="93"/>
      <c r="I7917" s="93"/>
      <c r="J7917" s="93"/>
      <c r="K7917" s="93"/>
      <c r="L7917" s="152"/>
    </row>
    <row r="7918" spans="1:12">
      <c r="A7918" s="72"/>
      <c r="B7918" s="93"/>
      <c r="C7918" s="93"/>
      <c r="D7918" s="93"/>
      <c r="E7918" s="93"/>
      <c r="F7918" s="93"/>
      <c r="G7918" s="12"/>
      <c r="H7918" s="93"/>
      <c r="I7918" s="93"/>
      <c r="J7918" s="93"/>
      <c r="K7918" s="93"/>
      <c r="L7918" s="152"/>
    </row>
    <row r="7919" spans="1:12">
      <c r="A7919" s="72"/>
      <c r="B7919" s="93"/>
      <c r="C7919" s="93"/>
      <c r="D7919" s="93"/>
      <c r="E7919" s="93"/>
      <c r="F7919" s="93"/>
      <c r="G7919" s="12"/>
      <c r="H7919" s="93"/>
      <c r="I7919" s="93"/>
      <c r="J7919" s="93"/>
      <c r="K7919" s="93"/>
      <c r="L7919" s="152"/>
    </row>
    <row r="7920" spans="1:12">
      <c r="A7920" s="72"/>
      <c r="B7920" s="93"/>
      <c r="C7920" s="93"/>
      <c r="D7920" s="93"/>
      <c r="E7920" s="93"/>
      <c r="F7920" s="93"/>
      <c r="G7920" s="12"/>
      <c r="H7920" s="93"/>
      <c r="I7920" s="93"/>
      <c r="J7920" s="93"/>
      <c r="K7920" s="93"/>
      <c r="L7920" s="152"/>
    </row>
    <row r="7921" spans="1:12">
      <c r="A7921" s="72"/>
      <c r="B7921" s="93"/>
      <c r="C7921" s="93"/>
      <c r="D7921" s="93"/>
      <c r="E7921" s="93"/>
      <c r="F7921" s="105"/>
      <c r="G7921" s="12"/>
      <c r="H7921" s="93"/>
      <c r="I7921" s="93"/>
      <c r="J7921" s="93"/>
      <c r="K7921" s="93"/>
      <c r="L7921" s="152"/>
    </row>
    <row r="7922" spans="1:12">
      <c r="A7922" s="72"/>
      <c r="B7922" s="93"/>
      <c r="C7922" s="93"/>
      <c r="D7922" s="93"/>
      <c r="E7922" s="93"/>
      <c r="F7922" s="93"/>
      <c r="G7922" s="12"/>
      <c r="H7922" s="93"/>
      <c r="I7922" s="93"/>
      <c r="J7922" s="93"/>
      <c r="K7922" s="93"/>
      <c r="L7922" s="152"/>
    </row>
    <row r="7923" spans="1:12">
      <c r="A7923" s="72"/>
      <c r="B7923" s="93"/>
      <c r="C7923" s="93"/>
      <c r="D7923" s="93"/>
      <c r="E7923" s="93"/>
      <c r="F7923" s="93"/>
      <c r="G7923" s="12"/>
      <c r="H7923" s="93"/>
      <c r="I7923" s="93"/>
      <c r="J7923" s="93"/>
      <c r="K7923" s="93"/>
      <c r="L7923" s="152"/>
    </row>
    <row r="7924" spans="1:12">
      <c r="A7924" s="72"/>
      <c r="B7924" s="93"/>
      <c r="C7924" s="93"/>
      <c r="D7924" s="93"/>
      <c r="E7924" s="93"/>
      <c r="F7924" s="93"/>
      <c r="G7924" s="12"/>
      <c r="H7924" s="93"/>
      <c r="I7924" s="93"/>
      <c r="J7924" s="93"/>
      <c r="K7924" s="93"/>
      <c r="L7924" s="152"/>
    </row>
    <row r="7925" spans="1:12">
      <c r="A7925" s="72"/>
      <c r="B7925" s="251"/>
      <c r="C7925" s="93"/>
      <c r="D7925" s="93"/>
      <c r="E7925" s="93"/>
      <c r="F7925" s="93"/>
      <c r="G7925" s="12"/>
      <c r="H7925" s="93"/>
      <c r="I7925" s="93"/>
      <c r="J7925" s="93"/>
      <c r="K7925" s="93"/>
      <c r="L7925" s="152"/>
    </row>
    <row r="7926" spans="1:12">
      <c r="A7926" s="72"/>
      <c r="B7926" s="251"/>
      <c r="C7926" s="93"/>
      <c r="D7926" s="93"/>
      <c r="E7926" s="93"/>
      <c r="F7926" s="93"/>
      <c r="G7926" s="12"/>
      <c r="H7926" s="93"/>
      <c r="I7926" s="93"/>
      <c r="J7926" s="93"/>
      <c r="K7926" s="93"/>
      <c r="L7926" s="152"/>
    </row>
    <row r="7927" spans="1:12">
      <c r="A7927" s="72"/>
      <c r="B7927" s="143"/>
      <c r="C7927" s="196"/>
      <c r="D7927" s="196"/>
      <c r="E7927" s="196"/>
      <c r="F7927" s="159"/>
      <c r="G7927" s="12"/>
      <c r="H7927" s="196"/>
      <c r="I7927" s="196"/>
      <c r="J7927" s="196"/>
      <c r="K7927" s="196"/>
      <c r="L7927" s="267"/>
    </row>
    <row r="7928" spans="1:12">
      <c r="A7928" s="72"/>
      <c r="B7928" s="143"/>
      <c r="C7928" s="196"/>
      <c r="D7928" s="196"/>
      <c r="E7928" s="196"/>
      <c r="F7928" s="159"/>
      <c r="G7928" s="12"/>
      <c r="H7928" s="196"/>
      <c r="I7928" s="196"/>
      <c r="J7928" s="196"/>
      <c r="K7928" s="196"/>
      <c r="L7928" s="267"/>
    </row>
    <row r="7929" spans="1:12">
      <c r="A7929" s="72"/>
      <c r="B7929" s="143"/>
      <c r="C7929" s="196"/>
      <c r="D7929" s="196"/>
      <c r="E7929" s="196"/>
      <c r="F7929" s="159"/>
      <c r="G7929" s="12"/>
      <c r="H7929" s="196"/>
      <c r="I7929" s="196"/>
      <c r="J7929" s="196"/>
      <c r="K7929" s="196"/>
      <c r="L7929" s="267"/>
    </row>
    <row r="7930" spans="1:12">
      <c r="A7930" s="72"/>
      <c r="B7930" s="196"/>
      <c r="C7930" s="196"/>
      <c r="D7930" s="196"/>
      <c r="E7930" s="196"/>
      <c r="F7930" s="159"/>
      <c r="G7930" s="12"/>
      <c r="H7930" s="196"/>
      <c r="I7930" s="196"/>
      <c r="J7930" s="196"/>
      <c r="K7930" s="196"/>
      <c r="L7930" s="267"/>
    </row>
    <row r="7931" spans="1:12">
      <c r="A7931" s="72"/>
      <c r="B7931" s="143"/>
      <c r="C7931" s="196"/>
      <c r="D7931" s="196"/>
      <c r="E7931" s="196"/>
      <c r="F7931" s="159"/>
      <c r="G7931" s="12"/>
      <c r="H7931" s="196"/>
      <c r="I7931" s="196"/>
      <c r="J7931" s="196"/>
      <c r="K7931" s="196"/>
      <c r="L7931" s="260"/>
    </row>
    <row r="7932" spans="1:12">
      <c r="A7932" s="72"/>
      <c r="B7932" s="93"/>
      <c r="C7932" s="93"/>
      <c r="D7932" s="246"/>
      <c r="E7932" s="156"/>
      <c r="F7932" s="93"/>
      <c r="G7932" s="12"/>
      <c r="H7932" s="156"/>
      <c r="I7932" s="93"/>
      <c r="J7932" s="93"/>
      <c r="K7932" s="93"/>
      <c r="L7932" s="152"/>
    </row>
    <row r="7933" spans="1:12">
      <c r="A7933" s="72"/>
      <c r="B7933" s="93"/>
      <c r="C7933" s="93"/>
      <c r="D7933" s="246"/>
      <c r="E7933" s="93"/>
      <c r="F7933" s="105"/>
      <c r="G7933" s="12"/>
      <c r="H7933" s="93"/>
      <c r="I7933" s="93"/>
      <c r="J7933" s="93"/>
      <c r="K7933" s="140"/>
      <c r="L7933" s="134"/>
    </row>
    <row r="7934" spans="1:12">
      <c r="A7934" s="72"/>
      <c r="B7934" s="93"/>
      <c r="C7934" s="93"/>
      <c r="D7934" s="246"/>
      <c r="E7934" s="93"/>
      <c r="F7934" s="269"/>
      <c r="G7934" s="12"/>
      <c r="H7934" s="93"/>
      <c r="I7934" s="93"/>
      <c r="J7934" s="93"/>
      <c r="K7934" s="106"/>
      <c r="L7934" s="152"/>
    </row>
    <row r="7935" spans="1:12">
      <c r="A7935" s="72"/>
      <c r="B7935" s="140"/>
      <c r="C7935" s="140"/>
      <c r="D7935" s="274"/>
      <c r="E7935" s="140"/>
      <c r="F7935" s="140"/>
      <c r="G7935" s="12"/>
      <c r="H7935" s="196"/>
      <c r="I7935" s="140"/>
      <c r="J7935" s="140"/>
      <c r="K7935" s="140"/>
      <c r="L7935" s="275"/>
    </row>
    <row r="7936" spans="1:12">
      <c r="A7936" s="72"/>
      <c r="B7936" s="93"/>
      <c r="C7936" s="93"/>
      <c r="D7936" s="93"/>
      <c r="E7936" s="93"/>
      <c r="F7936" s="93"/>
      <c r="G7936" s="12"/>
      <c r="H7936" s="93"/>
      <c r="I7936" s="93"/>
      <c r="J7936" s="93"/>
      <c r="K7936" s="140"/>
      <c r="L7936" s="152"/>
    </row>
    <row r="7937" spans="1:12">
      <c r="A7937" s="72"/>
      <c r="B7937" s="93"/>
      <c r="C7937" s="93"/>
      <c r="D7937" s="93"/>
      <c r="E7937" s="276"/>
      <c r="F7937" s="277"/>
      <c r="G7937" s="12"/>
      <c r="H7937" s="93"/>
      <c r="I7937" s="93"/>
      <c r="J7937" s="93"/>
      <c r="K7937" s="93"/>
      <c r="L7937" s="278"/>
    </row>
    <row r="7938" spans="1:12">
      <c r="A7938" s="72"/>
      <c r="B7938" s="93"/>
      <c r="C7938" s="93"/>
      <c r="D7938" s="93"/>
      <c r="E7938" s="93"/>
      <c r="F7938" s="93"/>
      <c r="G7938" s="12"/>
      <c r="H7938" s="93"/>
      <c r="I7938" s="93"/>
      <c r="J7938" s="93"/>
      <c r="K7938" s="93"/>
      <c r="L7938" s="152"/>
    </row>
    <row r="7939" spans="1:12">
      <c r="A7939" s="72"/>
      <c r="B7939" s="93"/>
      <c r="C7939" s="93"/>
      <c r="D7939" s="93"/>
      <c r="E7939" s="93"/>
      <c r="F7939" s="93"/>
      <c r="G7939" s="12"/>
      <c r="H7939" s="93"/>
      <c r="I7939" s="93"/>
      <c r="J7939" s="93"/>
      <c r="K7939" s="93"/>
      <c r="L7939" s="152"/>
    </row>
    <row r="7940" spans="1:12">
      <c r="A7940" s="72"/>
      <c r="B7940" s="93"/>
      <c r="C7940" s="93"/>
      <c r="D7940" s="246"/>
      <c r="E7940" s="93"/>
      <c r="F7940" s="93"/>
      <c r="G7940" s="12"/>
      <c r="H7940" s="246"/>
      <c r="I7940" s="93"/>
      <c r="J7940" s="246"/>
      <c r="K7940" s="93"/>
      <c r="L7940" s="134"/>
    </row>
    <row r="7941" spans="1:12">
      <c r="A7941" s="72"/>
      <c r="B7941" s="93"/>
      <c r="C7941" s="246"/>
      <c r="D7941" s="246"/>
      <c r="E7941" s="93"/>
      <c r="F7941" s="246"/>
      <c r="G7941" s="12"/>
      <c r="H7941" s="150"/>
      <c r="I7941" s="93"/>
      <c r="J7941" s="246"/>
      <c r="K7941" s="150"/>
      <c r="L7941" s="134"/>
    </row>
    <row r="7942" spans="1:12">
      <c r="A7942" s="72"/>
      <c r="B7942" s="93"/>
      <c r="C7942" s="93"/>
      <c r="D7942" s="93"/>
      <c r="E7942" s="93"/>
      <c r="F7942" s="93"/>
      <c r="G7942" s="12"/>
      <c r="H7942" s="93"/>
      <c r="I7942" s="93"/>
      <c r="J7942" s="93"/>
      <c r="K7942" s="93"/>
      <c r="L7942" s="152"/>
    </row>
    <row r="7943" spans="1:12">
      <c r="A7943" s="72"/>
      <c r="B7943" s="93"/>
      <c r="C7943" s="93"/>
      <c r="D7943" s="93"/>
      <c r="E7943" s="93"/>
      <c r="F7943" s="93"/>
      <c r="G7943" s="12"/>
      <c r="H7943" s="93"/>
      <c r="I7943" s="93"/>
      <c r="J7943" s="93"/>
      <c r="K7943" s="93"/>
      <c r="L7943" s="152"/>
    </row>
    <row r="7944" spans="1:12">
      <c r="A7944" s="72"/>
      <c r="B7944" s="93"/>
      <c r="C7944" s="93"/>
      <c r="D7944" s="93"/>
      <c r="E7944" s="93"/>
      <c r="F7944" s="93"/>
      <c r="G7944" s="12"/>
      <c r="H7944" s="93"/>
      <c r="I7944" s="93"/>
      <c r="J7944" s="93"/>
      <c r="K7944" s="131"/>
      <c r="L7944" s="279"/>
    </row>
    <row r="7945" spans="1:12">
      <c r="A7945" s="72"/>
      <c r="B7945" s="93"/>
      <c r="C7945" s="93"/>
      <c r="D7945" s="93"/>
      <c r="E7945" s="93"/>
      <c r="F7945" s="93"/>
      <c r="G7945" s="12"/>
      <c r="H7945" s="93"/>
      <c r="I7945" s="93"/>
      <c r="J7945" s="93"/>
      <c r="K7945" s="93"/>
      <c r="L7945" s="217"/>
    </row>
    <row r="7946" spans="1:12">
      <c r="A7946" s="72"/>
      <c r="B7946" s="93"/>
      <c r="C7946" s="93"/>
      <c r="D7946" s="93"/>
      <c r="E7946" s="93"/>
      <c r="F7946" s="93"/>
      <c r="G7946" s="12"/>
      <c r="H7946" s="93"/>
      <c r="I7946" s="93"/>
      <c r="J7946" s="93"/>
      <c r="K7946" s="93"/>
      <c r="L7946" s="279"/>
    </row>
    <row r="7947" spans="1:12">
      <c r="A7947" s="72"/>
      <c r="B7947" s="93"/>
      <c r="C7947" s="93"/>
      <c r="D7947" s="93"/>
      <c r="E7947" s="93"/>
      <c r="F7947" s="93"/>
      <c r="G7947" s="12"/>
      <c r="H7947" s="93"/>
      <c r="I7947" s="93"/>
      <c r="J7947" s="93"/>
      <c r="K7947" s="93"/>
      <c r="L7947" s="279"/>
    </row>
    <row r="7948" spans="1:12">
      <c r="A7948" s="72"/>
      <c r="B7948" s="93"/>
      <c r="C7948" s="93"/>
      <c r="D7948" s="93"/>
      <c r="E7948" s="93"/>
      <c r="F7948" s="93"/>
      <c r="G7948" s="12"/>
      <c r="H7948" s="93"/>
      <c r="I7948" s="93"/>
      <c r="J7948" s="93"/>
      <c r="K7948" s="93"/>
      <c r="L7948" s="152"/>
    </row>
    <row r="7949" spans="1:12">
      <c r="A7949" s="72"/>
      <c r="B7949" s="93"/>
      <c r="C7949" s="93"/>
      <c r="D7949" s="93"/>
      <c r="E7949" s="93"/>
      <c r="F7949" s="93"/>
      <c r="G7949" s="12"/>
      <c r="H7949" s="93"/>
      <c r="I7949" s="93"/>
      <c r="J7949" s="93"/>
      <c r="K7949" s="93"/>
      <c r="L7949" s="152"/>
    </row>
    <row r="7950" spans="1:12">
      <c r="A7950" s="72"/>
      <c r="B7950" s="93"/>
      <c r="C7950" s="93"/>
      <c r="D7950" s="93"/>
      <c r="E7950" s="93"/>
      <c r="F7950" s="93"/>
      <c r="G7950" s="12"/>
      <c r="H7950" s="93"/>
      <c r="I7950" s="93"/>
      <c r="J7950" s="93"/>
      <c r="K7950" s="93"/>
      <c r="L7950" s="152"/>
    </row>
    <row r="7951" spans="1:12">
      <c r="A7951" s="72"/>
      <c r="B7951" s="93"/>
      <c r="C7951" s="93"/>
      <c r="D7951" s="93"/>
      <c r="E7951" s="93"/>
      <c r="F7951" s="93"/>
      <c r="G7951" s="12"/>
      <c r="H7951" s="93"/>
      <c r="I7951" s="93"/>
      <c r="J7951" s="93"/>
      <c r="K7951" s="93"/>
      <c r="L7951" s="152"/>
    </row>
    <row r="7952" spans="1:12">
      <c r="A7952" s="72"/>
      <c r="B7952" s="93"/>
      <c r="C7952" s="93"/>
      <c r="D7952" s="93"/>
      <c r="E7952" s="93"/>
      <c r="F7952" s="93"/>
      <c r="G7952" s="12"/>
      <c r="H7952" s="93"/>
      <c r="I7952" s="93"/>
      <c r="J7952" s="93"/>
      <c r="K7952" s="93"/>
      <c r="L7952" s="152"/>
    </row>
    <row r="7953" spans="1:12">
      <c r="A7953" s="72"/>
      <c r="B7953" s="93"/>
      <c r="C7953" s="93"/>
      <c r="D7953" s="93"/>
      <c r="E7953" s="93"/>
      <c r="F7953" s="93"/>
      <c r="G7953" s="12"/>
      <c r="H7953" s="93"/>
      <c r="I7953" s="93"/>
      <c r="J7953" s="93"/>
      <c r="K7953" s="93"/>
      <c r="L7953" s="152"/>
    </row>
    <row r="7954" spans="1:12">
      <c r="A7954" s="72"/>
      <c r="B7954" s="93"/>
      <c r="C7954" s="93"/>
      <c r="D7954" s="93"/>
      <c r="E7954" s="93"/>
      <c r="F7954" s="93"/>
      <c r="G7954" s="12"/>
      <c r="H7954" s="93"/>
      <c r="I7954" s="93"/>
      <c r="J7954" s="93"/>
      <c r="K7954" s="93"/>
      <c r="L7954" s="152"/>
    </row>
    <row r="7955" spans="1:12">
      <c r="A7955" s="72"/>
      <c r="B7955" s="93"/>
      <c r="C7955" s="93"/>
      <c r="D7955" s="93"/>
      <c r="E7955" s="93"/>
      <c r="F7955" s="93"/>
      <c r="G7955" s="12"/>
      <c r="H7955" s="93"/>
      <c r="I7955" s="93"/>
      <c r="J7955" s="93"/>
      <c r="K7955" s="93"/>
      <c r="L7955" s="152"/>
    </row>
    <row r="7956" spans="1:12">
      <c r="A7956" s="72"/>
      <c r="B7956" s="246"/>
      <c r="C7956" s="93"/>
      <c r="D7956" s="93"/>
      <c r="E7956" s="93"/>
      <c r="F7956" s="93"/>
      <c r="G7956" s="12"/>
      <c r="H7956" s="93"/>
      <c r="I7956" s="93"/>
      <c r="J7956" s="93"/>
      <c r="K7956" s="93"/>
      <c r="L7956" s="152"/>
    </row>
    <row r="7957" spans="1:12">
      <c r="A7957" s="72"/>
      <c r="B7957" s="251"/>
      <c r="C7957" s="93"/>
      <c r="D7957" s="93"/>
      <c r="E7957" s="93"/>
      <c r="F7957" s="93"/>
      <c r="G7957" s="12"/>
      <c r="H7957" s="93"/>
      <c r="I7957" s="93"/>
      <c r="J7957" s="93"/>
      <c r="K7957" s="93"/>
      <c r="L7957" s="152"/>
    </row>
    <row r="7958" spans="1:12">
      <c r="A7958" s="72"/>
      <c r="B7958" s="93"/>
      <c r="C7958" s="93"/>
      <c r="D7958" s="93"/>
      <c r="E7958" s="93"/>
      <c r="F7958" s="93"/>
      <c r="G7958" s="12"/>
      <c r="H7958" s="93"/>
      <c r="I7958" s="93"/>
      <c r="J7958" s="93"/>
      <c r="K7958" s="93"/>
      <c r="L7958" s="152"/>
    </row>
    <row r="7959" spans="1:12">
      <c r="A7959" s="72"/>
      <c r="B7959" s="93"/>
      <c r="C7959" s="93"/>
      <c r="D7959" s="93"/>
      <c r="E7959" s="93"/>
      <c r="F7959" s="93"/>
      <c r="G7959" s="12"/>
      <c r="H7959" s="93"/>
      <c r="I7959" s="93"/>
      <c r="J7959" s="93"/>
      <c r="K7959" s="93"/>
      <c r="L7959" s="152"/>
    </row>
    <row r="7960" spans="1:12">
      <c r="A7960" s="72"/>
      <c r="B7960" s="93"/>
      <c r="C7960" s="93"/>
      <c r="D7960" s="93"/>
      <c r="E7960" s="93"/>
      <c r="F7960" s="93"/>
      <c r="G7960" s="12"/>
      <c r="H7960" s="93"/>
      <c r="I7960" s="93"/>
      <c r="J7960" s="93"/>
      <c r="K7960" s="93"/>
      <c r="L7960" s="152"/>
    </row>
    <row r="7961" spans="1:12">
      <c r="A7961" s="72"/>
      <c r="B7961" s="93"/>
      <c r="C7961" s="93"/>
      <c r="D7961" s="93"/>
      <c r="E7961" s="93"/>
      <c r="F7961" s="93"/>
      <c r="G7961" s="12"/>
      <c r="H7961" s="93"/>
      <c r="I7961" s="93"/>
      <c r="J7961" s="93"/>
      <c r="K7961" s="93"/>
      <c r="L7961" s="152"/>
    </row>
    <row r="7962" spans="1:12">
      <c r="A7962" s="72"/>
      <c r="B7962" s="93"/>
      <c r="C7962" s="93"/>
      <c r="D7962" s="93"/>
      <c r="E7962" s="93"/>
      <c r="F7962" s="93"/>
      <c r="G7962" s="12"/>
      <c r="H7962" s="93"/>
      <c r="I7962" s="93"/>
      <c r="J7962" s="93"/>
      <c r="K7962" s="93"/>
      <c r="L7962" s="152"/>
    </row>
    <row r="7963" spans="1:12">
      <c r="A7963" s="72"/>
      <c r="B7963" s="93"/>
      <c r="C7963" s="93"/>
      <c r="D7963" s="93"/>
      <c r="E7963" s="93"/>
      <c r="F7963" s="93"/>
      <c r="G7963" s="12"/>
      <c r="H7963" s="93"/>
      <c r="I7963" s="93"/>
      <c r="J7963" s="93"/>
      <c r="K7963" s="93"/>
      <c r="L7963" s="152"/>
    </row>
    <row r="7964" spans="1:12">
      <c r="A7964" s="72"/>
      <c r="B7964" s="93"/>
      <c r="C7964" s="93"/>
      <c r="D7964" s="93"/>
      <c r="E7964" s="93"/>
      <c r="F7964" s="93"/>
      <c r="G7964" s="12"/>
      <c r="H7964" s="93"/>
      <c r="I7964" s="93"/>
      <c r="J7964" s="93"/>
      <c r="K7964" s="93"/>
      <c r="L7964" s="134"/>
    </row>
    <row r="7965" spans="1:12">
      <c r="A7965" s="72"/>
      <c r="B7965" s="93"/>
      <c r="C7965" s="93"/>
      <c r="D7965" s="93"/>
      <c r="E7965" s="93"/>
      <c r="F7965" s="93"/>
      <c r="G7965" s="12"/>
      <c r="H7965" s="93"/>
      <c r="I7965" s="93"/>
      <c r="J7965" s="93"/>
      <c r="K7965" s="93"/>
      <c r="L7965" s="152"/>
    </row>
    <row r="7966" spans="1:12">
      <c r="A7966" s="72"/>
      <c r="B7966" s="93"/>
      <c r="C7966" s="93"/>
      <c r="D7966" s="246"/>
      <c r="E7966" s="93"/>
      <c r="F7966" s="93"/>
      <c r="G7966" s="12"/>
      <c r="H7966" s="156"/>
      <c r="I7966" s="93"/>
      <c r="J7966" s="93"/>
      <c r="K7966" s="93"/>
      <c r="L7966" s="217"/>
    </row>
    <row r="7967" spans="1:12">
      <c r="A7967" s="72"/>
      <c r="B7967" s="93"/>
      <c r="C7967" s="93"/>
      <c r="D7967" s="246"/>
      <c r="E7967" s="190"/>
      <c r="F7967" s="156"/>
      <c r="G7967" s="12"/>
      <c r="H7967" s="156"/>
      <c r="I7967" s="93"/>
      <c r="J7967" s="93"/>
      <c r="K7967" s="93"/>
      <c r="L7967" s="152"/>
    </row>
    <row r="7968" spans="1:12">
      <c r="A7968" s="72"/>
      <c r="B7968" s="93"/>
      <c r="C7968" s="93"/>
      <c r="D7968" s="246"/>
      <c r="E7968" s="93"/>
      <c r="F7968" s="93"/>
      <c r="G7968" s="12"/>
      <c r="H7968" s="93"/>
      <c r="I7968" s="93"/>
      <c r="J7968" s="93"/>
      <c r="K7968" s="93"/>
      <c r="L7968" s="184"/>
    </row>
    <row r="7969" spans="1:12">
      <c r="A7969" s="72"/>
      <c r="B7969" s="93"/>
      <c r="C7969" s="93"/>
      <c r="D7969" s="93"/>
      <c r="E7969" s="93"/>
      <c r="F7969" s="93"/>
      <c r="G7969" s="12"/>
      <c r="H7969" s="93"/>
      <c r="I7969" s="93"/>
      <c r="J7969" s="93"/>
      <c r="K7969" s="140"/>
      <c r="L7969" s="152"/>
    </row>
    <row r="7970" spans="1:12">
      <c r="A7970" s="72"/>
      <c r="B7970" s="93"/>
      <c r="C7970" s="93"/>
      <c r="D7970" s="246"/>
      <c r="E7970" s="93"/>
      <c r="F7970" s="93"/>
      <c r="G7970" s="12"/>
      <c r="H7970" s="156"/>
      <c r="I7970" s="93"/>
      <c r="J7970" s="93"/>
      <c r="K7970" s="93"/>
      <c r="L7970" s="134"/>
    </row>
    <row r="7971" spans="1:12">
      <c r="A7971" s="72"/>
      <c r="B7971" s="93"/>
      <c r="C7971" s="93"/>
      <c r="D7971" s="246"/>
      <c r="E7971" s="105"/>
      <c r="F7971" s="93"/>
      <c r="G7971" s="12"/>
      <c r="H7971" s="93"/>
      <c r="I7971" s="93"/>
      <c r="J7971" s="93"/>
      <c r="K7971" s="93"/>
      <c r="L7971" s="152"/>
    </row>
    <row r="7972" spans="1:12">
      <c r="A7972" s="72"/>
      <c r="B7972" s="93"/>
      <c r="C7972" s="93"/>
      <c r="D7972" s="246"/>
      <c r="E7972" s="93"/>
      <c r="F7972" s="93"/>
      <c r="G7972" s="12"/>
      <c r="H7972" s="93"/>
      <c r="I7972" s="93"/>
      <c r="J7972" s="93"/>
      <c r="K7972" s="106"/>
      <c r="L7972" s="152"/>
    </row>
    <row r="7973" spans="1:12">
      <c r="A7973" s="72"/>
      <c r="B7973" s="93"/>
      <c r="C7973" s="93"/>
      <c r="D7973" s="93"/>
      <c r="E7973" s="93"/>
      <c r="F7973" s="93"/>
      <c r="G7973" s="12"/>
      <c r="H7973" s="93"/>
      <c r="I7973" s="93"/>
      <c r="J7973" s="93"/>
      <c r="K7973" s="93"/>
      <c r="L7973" s="152"/>
    </row>
    <row r="7974" spans="1:12">
      <c r="A7974" s="72"/>
      <c r="B7974" s="93"/>
      <c r="C7974" s="93"/>
      <c r="D7974" s="93"/>
      <c r="E7974" s="93"/>
      <c r="F7974" s="93"/>
      <c r="G7974" s="12"/>
      <c r="H7974" s="93"/>
      <c r="I7974" s="93"/>
      <c r="J7974" s="93"/>
      <c r="K7974" s="93"/>
      <c r="L7974" s="152"/>
    </row>
    <row r="7975" spans="1:12">
      <c r="A7975" s="72"/>
      <c r="B7975" s="93"/>
      <c r="C7975" s="93"/>
      <c r="D7975" s="93"/>
      <c r="E7975" s="93"/>
      <c r="F7975" s="93"/>
      <c r="G7975" s="12"/>
      <c r="H7975" s="93"/>
      <c r="I7975" s="93"/>
      <c r="J7975" s="93"/>
      <c r="K7975" s="93"/>
      <c r="L7975" s="152"/>
    </row>
    <row r="7976" spans="1:12">
      <c r="A7976" s="72"/>
      <c r="B7976" s="93"/>
      <c r="C7976" s="93"/>
      <c r="D7976" s="93"/>
      <c r="E7976" s="93"/>
      <c r="F7976" s="93"/>
      <c r="G7976" s="12"/>
      <c r="H7976" s="93"/>
      <c r="I7976" s="93"/>
      <c r="J7976" s="93"/>
      <c r="K7976" s="93"/>
      <c r="L7976" s="152"/>
    </row>
    <row r="7977" spans="1:12">
      <c r="A7977" s="72"/>
      <c r="B7977" s="93"/>
      <c r="C7977" s="93"/>
      <c r="D7977" s="93"/>
      <c r="E7977" s="93"/>
      <c r="F7977" s="93"/>
      <c r="G7977" s="12"/>
      <c r="H7977" s="93"/>
      <c r="I7977" s="93"/>
      <c r="J7977" s="93"/>
      <c r="K7977" s="93"/>
      <c r="L7977" s="152"/>
    </row>
    <row r="7978" spans="1:12">
      <c r="A7978" s="72"/>
      <c r="B7978" s="93"/>
      <c r="C7978" s="93"/>
      <c r="D7978" s="93"/>
      <c r="E7978" s="93"/>
      <c r="F7978" s="93"/>
      <c r="G7978" s="12"/>
      <c r="H7978" s="93"/>
      <c r="I7978" s="93"/>
      <c r="J7978" s="93"/>
      <c r="K7978" s="93"/>
      <c r="L7978" s="152"/>
    </row>
    <row r="7979" spans="1:12">
      <c r="A7979" s="72"/>
      <c r="B7979" s="143"/>
      <c r="C7979" s="196"/>
      <c r="D7979" s="196"/>
      <c r="E7979" s="196"/>
      <c r="F7979" s="159"/>
      <c r="G7979" s="12"/>
      <c r="H7979" s="196"/>
      <c r="I7979" s="196"/>
      <c r="J7979" s="196"/>
      <c r="K7979" s="196"/>
      <c r="L7979" s="267"/>
    </row>
    <row r="7980" spans="1:12">
      <c r="A7980" s="72"/>
      <c r="B7980" s="143"/>
      <c r="C7980" s="196"/>
      <c r="D7980" s="196"/>
      <c r="E7980" s="196"/>
      <c r="F7980" s="159"/>
      <c r="G7980" s="12"/>
      <c r="H7980" s="196"/>
      <c r="I7980" s="196"/>
      <c r="J7980" s="196"/>
      <c r="K7980" s="196"/>
      <c r="L7980" s="267"/>
    </row>
    <row r="7981" spans="1:12">
      <c r="A7981" s="72"/>
      <c r="B7981" s="143"/>
      <c r="C7981" s="196"/>
      <c r="D7981" s="196"/>
      <c r="E7981" s="196"/>
      <c r="F7981" s="159"/>
      <c r="G7981" s="12"/>
      <c r="H7981" s="196"/>
      <c r="I7981" s="196"/>
      <c r="J7981" s="196"/>
      <c r="K7981" s="196"/>
      <c r="L7981" s="267"/>
    </row>
    <row r="7982" spans="1:12">
      <c r="A7982" s="72"/>
      <c r="B7982" s="143"/>
      <c r="C7982" s="196"/>
      <c r="D7982" s="196"/>
      <c r="E7982" s="196"/>
      <c r="F7982" s="159"/>
      <c r="G7982" s="12"/>
      <c r="H7982" s="196"/>
      <c r="I7982" s="196"/>
      <c r="J7982" s="196"/>
      <c r="K7982" s="196"/>
      <c r="L7982" s="267"/>
    </row>
    <row r="7983" spans="1:12">
      <c r="A7983" s="72"/>
      <c r="B7983" s="143"/>
      <c r="C7983" s="196"/>
      <c r="D7983" s="196"/>
      <c r="E7983" s="196"/>
      <c r="F7983" s="159"/>
      <c r="G7983" s="12"/>
      <c r="H7983" s="196"/>
      <c r="I7983" s="196"/>
      <c r="J7983" s="196"/>
      <c r="K7983" s="196"/>
      <c r="L7983" s="267"/>
    </row>
    <row r="7984" spans="1:12">
      <c r="A7984" s="72"/>
      <c r="B7984" s="93"/>
      <c r="C7984" s="93"/>
      <c r="D7984" s="246"/>
      <c r="E7984" s="105"/>
      <c r="F7984" s="105"/>
      <c r="G7984" s="12"/>
      <c r="H7984" s="246"/>
      <c r="I7984" s="93"/>
      <c r="J7984" s="93"/>
      <c r="K7984" s="93"/>
      <c r="L7984" s="134"/>
    </row>
    <row r="7985" spans="1:12">
      <c r="A7985" s="72"/>
      <c r="B7985" s="93"/>
      <c r="C7985" s="93"/>
      <c r="D7985" s="246"/>
      <c r="E7985" s="93"/>
      <c r="F7985" s="93"/>
      <c r="G7985" s="12"/>
      <c r="H7985" s="105"/>
      <c r="I7985" s="93"/>
      <c r="J7985" s="246"/>
      <c r="K7985" s="150"/>
      <c r="L7985" s="152"/>
    </row>
    <row r="7986" spans="1:12">
      <c r="A7986" s="72"/>
      <c r="B7986" s="93"/>
      <c r="C7986" s="93"/>
      <c r="D7986" s="93"/>
      <c r="E7986" s="105"/>
      <c r="F7986" s="93"/>
      <c r="G7986" s="12"/>
      <c r="H7986" s="105"/>
      <c r="I7986" s="93"/>
      <c r="J7986" s="93"/>
      <c r="K7986" s="105"/>
      <c r="L7986" s="217"/>
    </row>
    <row r="7987" spans="1:12">
      <c r="A7987" s="72"/>
      <c r="B7987" s="246"/>
      <c r="C7987" s="246"/>
      <c r="D7987" s="246"/>
      <c r="E7987" s="93"/>
      <c r="F7987" s="105"/>
      <c r="G7987" s="12"/>
      <c r="H7987" s="93"/>
      <c r="I7987" s="93"/>
      <c r="J7987" s="246"/>
      <c r="K7987" s="93"/>
      <c r="L7987" s="149"/>
    </row>
    <row r="7988" spans="1:12">
      <c r="A7988" s="72"/>
      <c r="B7988" s="93"/>
      <c r="C7988" s="93"/>
      <c r="D7988" s="93"/>
      <c r="E7988" s="93"/>
      <c r="F7988" s="93"/>
      <c r="G7988" s="12"/>
      <c r="H7988" s="93"/>
      <c r="I7988" s="93"/>
      <c r="J7988" s="93"/>
      <c r="K7988" s="93"/>
      <c r="L7988" s="152"/>
    </row>
    <row r="7989" spans="1:12">
      <c r="A7989" s="72"/>
      <c r="B7989" s="93"/>
      <c r="C7989" s="93"/>
      <c r="D7989" s="93"/>
      <c r="E7989" s="93"/>
      <c r="F7989" s="93"/>
      <c r="G7989" s="12"/>
      <c r="H7989" s="93"/>
      <c r="I7989" s="93"/>
      <c r="J7989" s="93"/>
      <c r="K7989" s="93"/>
      <c r="L7989" s="152"/>
    </row>
    <row r="7990" spans="1:12">
      <c r="A7990" s="72"/>
      <c r="B7990" s="93"/>
      <c r="C7990" s="93"/>
      <c r="D7990" s="93"/>
      <c r="E7990" s="93"/>
      <c r="F7990" s="93"/>
      <c r="G7990" s="12"/>
      <c r="H7990" s="93"/>
      <c r="I7990" s="93"/>
      <c r="J7990" s="93"/>
      <c r="K7990" s="93"/>
      <c r="L7990" s="152"/>
    </row>
    <row r="7991" spans="1:12">
      <c r="A7991" s="72"/>
      <c r="B7991" s="93"/>
      <c r="C7991" s="93"/>
      <c r="D7991" s="93"/>
      <c r="E7991" s="93"/>
      <c r="F7991" s="93"/>
      <c r="G7991" s="12"/>
      <c r="H7991" s="93"/>
      <c r="I7991" s="93"/>
      <c r="J7991" s="93"/>
      <c r="K7991" s="93"/>
      <c r="L7991" s="152"/>
    </row>
    <row r="7992" spans="1:12">
      <c r="A7992" s="72"/>
      <c r="B7992" s="93"/>
      <c r="C7992" s="93"/>
      <c r="D7992" s="93"/>
      <c r="E7992" s="93"/>
      <c r="F7992" s="93"/>
      <c r="G7992" s="12"/>
      <c r="H7992" s="93"/>
      <c r="I7992" s="93"/>
      <c r="J7992" s="93"/>
      <c r="K7992" s="93"/>
      <c r="L7992" s="152"/>
    </row>
    <row r="7993" spans="1:12">
      <c r="A7993" s="72"/>
      <c r="B7993" s="93"/>
      <c r="C7993" s="93"/>
      <c r="D7993" s="93"/>
      <c r="E7993" s="93"/>
      <c r="F7993" s="93"/>
      <c r="G7993" s="12"/>
      <c r="H7993" s="93"/>
      <c r="I7993" s="93"/>
      <c r="J7993" s="93"/>
      <c r="K7993" s="93"/>
      <c r="L7993" s="152"/>
    </row>
    <row r="7994" spans="1:12">
      <c r="A7994" s="72"/>
      <c r="B7994" s="93"/>
      <c r="C7994" s="93"/>
      <c r="D7994" s="246"/>
      <c r="E7994" s="93"/>
      <c r="F7994" s="93"/>
      <c r="G7994" s="12"/>
      <c r="H7994" s="156"/>
      <c r="I7994" s="93"/>
      <c r="J7994" s="93"/>
      <c r="K7994" s="93"/>
      <c r="L7994" s="152"/>
    </row>
    <row r="7995" spans="1:12">
      <c r="A7995" s="72"/>
      <c r="B7995" s="93"/>
      <c r="C7995" s="93"/>
      <c r="D7995" s="93"/>
      <c r="E7995" s="93"/>
      <c r="F7995" s="93"/>
      <c r="G7995" s="12"/>
      <c r="H7995" s="93"/>
      <c r="I7995" s="93"/>
      <c r="J7995" s="93"/>
      <c r="K7995" s="93"/>
      <c r="L7995" s="152"/>
    </row>
    <row r="7996" spans="1:12">
      <c r="A7996" s="72"/>
      <c r="B7996" s="93"/>
      <c r="C7996" s="93"/>
      <c r="D7996" s="93"/>
      <c r="E7996" s="93"/>
      <c r="F7996" s="93"/>
      <c r="G7996" s="12"/>
      <c r="H7996" s="93"/>
      <c r="I7996" s="93"/>
      <c r="J7996" s="93"/>
      <c r="K7996" s="81"/>
      <c r="L7996" s="152"/>
    </row>
    <row r="7997" spans="1:12">
      <c r="A7997" s="125"/>
      <c r="B7997" s="93"/>
      <c r="C7997" s="93"/>
      <c r="D7997" s="93"/>
      <c r="E7997" s="93"/>
      <c r="F7997" s="81"/>
      <c r="G7997" s="12"/>
      <c r="H7997" s="93"/>
      <c r="I7997" s="93"/>
      <c r="J7997" s="93"/>
      <c r="K7997" s="81"/>
      <c r="L7997" s="152"/>
    </row>
    <row r="7998" spans="1:12">
      <c r="A7998" s="72"/>
      <c r="B7998" s="93"/>
      <c r="C7998" s="93"/>
      <c r="D7998" s="93"/>
      <c r="E7998" s="93"/>
      <c r="F7998" s="81"/>
      <c r="G7998" s="12"/>
      <c r="H7998" s="93"/>
      <c r="I7998" s="93"/>
      <c r="J7998" s="93"/>
      <c r="K7998" s="81"/>
      <c r="L7998" s="152"/>
    </row>
    <row r="7999" spans="1:12">
      <c r="A7999" s="72"/>
      <c r="B7999" s="93"/>
      <c r="C7999" s="93"/>
      <c r="D7999" s="93"/>
      <c r="E7999" s="93"/>
      <c r="F7999" s="81"/>
      <c r="G7999" s="12"/>
      <c r="H7999" s="280"/>
      <c r="I7999" s="280"/>
      <c r="J7999" s="280"/>
      <c r="K7999" s="81"/>
      <c r="L7999" s="152"/>
    </row>
    <row r="8000" spans="1:12">
      <c r="A8000" s="72"/>
      <c r="B8000" s="93"/>
      <c r="C8000" s="93"/>
      <c r="D8000" s="93"/>
      <c r="E8000" s="93"/>
      <c r="F8000" s="93"/>
      <c r="G8000" s="12"/>
      <c r="H8000" s="93"/>
      <c r="I8000" s="93"/>
      <c r="J8000" s="93"/>
      <c r="K8000" s="93"/>
      <c r="L8000" s="152"/>
    </row>
    <row r="8001" spans="1:12">
      <c r="A8001" s="72"/>
      <c r="B8001" s="93"/>
      <c r="C8001" s="93"/>
      <c r="D8001" s="93"/>
      <c r="E8001" s="93"/>
      <c r="F8001" s="93"/>
      <c r="G8001" s="12"/>
      <c r="H8001" s="93"/>
      <c r="I8001" s="93"/>
      <c r="J8001" s="93"/>
      <c r="K8001" s="93"/>
      <c r="L8001" s="152"/>
    </row>
    <row r="8002" spans="1:12">
      <c r="A8002" s="72"/>
      <c r="B8002" s="93"/>
      <c r="C8002" s="93"/>
      <c r="D8002" s="93"/>
      <c r="E8002" s="93"/>
      <c r="F8002" s="93"/>
      <c r="G8002" s="12"/>
      <c r="H8002" s="93"/>
      <c r="I8002" s="93"/>
      <c r="J8002" s="93"/>
      <c r="K8002" s="93"/>
      <c r="L8002" s="152"/>
    </row>
    <row r="8003" spans="1:12">
      <c r="A8003" s="72"/>
      <c r="B8003" s="93"/>
      <c r="C8003" s="93"/>
      <c r="D8003" s="93"/>
      <c r="E8003" s="93"/>
      <c r="F8003" s="93"/>
      <c r="G8003" s="12"/>
      <c r="H8003" s="93"/>
      <c r="I8003" s="93"/>
      <c r="J8003" s="93"/>
      <c r="K8003" s="93"/>
      <c r="L8003" s="268"/>
    </row>
    <row r="8004" spans="1:12">
      <c r="A8004" s="72"/>
      <c r="B8004" s="93"/>
      <c r="C8004" s="93"/>
      <c r="D8004" s="93"/>
      <c r="E8004" s="93"/>
      <c r="F8004" s="93"/>
      <c r="G8004" s="12"/>
      <c r="H8004" s="93"/>
      <c r="I8004" s="93"/>
      <c r="J8004" s="93"/>
      <c r="K8004" s="93"/>
      <c r="L8004" s="152"/>
    </row>
    <row r="8005" spans="1:12">
      <c r="A8005" s="72"/>
      <c r="B8005" s="93"/>
      <c r="C8005" s="93"/>
      <c r="D8005" s="93"/>
      <c r="E8005" s="93"/>
      <c r="F8005" s="93"/>
      <c r="G8005" s="12"/>
      <c r="H8005" s="93"/>
      <c r="I8005" s="93"/>
      <c r="J8005" s="93"/>
      <c r="K8005" s="93"/>
      <c r="L8005" s="217"/>
    </row>
    <row r="8006" spans="1:12">
      <c r="A8006" s="72"/>
      <c r="B8006" s="93"/>
      <c r="C8006" s="93"/>
      <c r="D8006" s="93"/>
      <c r="E8006" s="93"/>
      <c r="F8006" s="93"/>
      <c r="G8006" s="93"/>
      <c r="H8006" s="93"/>
      <c r="I8006" s="93"/>
      <c r="J8006" s="93"/>
      <c r="K8006" s="93"/>
      <c r="L8006" s="217"/>
    </row>
    <row r="8007" spans="1:12">
      <c r="A8007" s="72"/>
      <c r="B8007" s="93"/>
      <c r="C8007" s="93"/>
      <c r="D8007" s="12"/>
      <c r="E8007" s="93"/>
      <c r="F8007" s="93"/>
      <c r="G8007" s="12"/>
      <c r="H8007" s="93"/>
      <c r="I8007" s="93"/>
      <c r="J8007" s="93"/>
      <c r="K8007" s="93"/>
      <c r="L8007" s="152"/>
    </row>
    <row r="8008" spans="1:12">
      <c r="A8008" s="72"/>
      <c r="B8008" s="93"/>
      <c r="C8008" s="93"/>
      <c r="D8008" s="12"/>
      <c r="E8008" s="93"/>
      <c r="F8008" s="93"/>
      <c r="G8008" s="12"/>
      <c r="H8008" s="93"/>
      <c r="I8008" s="93"/>
      <c r="J8008" s="93"/>
      <c r="K8008" s="93"/>
      <c r="L8008" s="152"/>
    </row>
    <row r="8009" spans="1:12">
      <c r="A8009" s="72"/>
      <c r="B8009" s="93"/>
      <c r="C8009" s="93"/>
      <c r="D8009" s="96"/>
      <c r="E8009" s="93"/>
      <c r="F8009" s="93"/>
      <c r="G8009" s="12"/>
      <c r="H8009" s="93"/>
      <c r="I8009" s="93"/>
      <c r="J8009" s="93"/>
      <c r="K8009" s="93"/>
      <c r="L8009" s="152"/>
    </row>
    <row r="8010" spans="1:12">
      <c r="A8010" s="72"/>
      <c r="B8010" s="93"/>
      <c r="C8010" s="93"/>
      <c r="D8010" s="93"/>
      <c r="E8010" s="93"/>
      <c r="F8010" s="93"/>
      <c r="G8010" s="12"/>
      <c r="H8010" s="93"/>
      <c r="I8010" s="93"/>
      <c r="J8010" s="93"/>
      <c r="K8010" s="93"/>
      <c r="L8010" s="152"/>
    </row>
    <row r="8011" spans="1:12">
      <c r="A8011" s="72"/>
      <c r="B8011" s="93"/>
      <c r="C8011" s="93"/>
      <c r="D8011" s="93"/>
      <c r="E8011" s="93"/>
      <c r="F8011" s="93"/>
      <c r="G8011" s="12"/>
      <c r="H8011" s="93"/>
      <c r="I8011" s="93"/>
      <c r="J8011" s="93"/>
      <c r="K8011" s="93"/>
      <c r="L8011" s="152"/>
    </row>
    <row r="8012" spans="1:12">
      <c r="A8012" s="72"/>
      <c r="B8012" s="93"/>
      <c r="C8012" s="93"/>
      <c r="D8012" s="93"/>
      <c r="E8012" s="93"/>
      <c r="F8012" s="93"/>
      <c r="G8012" s="12"/>
      <c r="H8012" s="93"/>
      <c r="I8012" s="93"/>
      <c r="J8012" s="93"/>
      <c r="K8012" s="93"/>
      <c r="L8012" s="152"/>
    </row>
    <row r="8013" spans="1:12">
      <c r="A8013" s="72"/>
      <c r="B8013" s="93"/>
      <c r="C8013" s="93"/>
      <c r="D8013" s="93"/>
      <c r="E8013" s="93"/>
      <c r="F8013" s="93"/>
      <c r="G8013" s="12"/>
      <c r="H8013" s="93"/>
      <c r="I8013" s="93"/>
      <c r="J8013" s="93"/>
      <c r="K8013" s="93"/>
      <c r="L8013" s="152"/>
    </row>
    <row r="8014" spans="1:12">
      <c r="A8014" s="72"/>
      <c r="B8014" s="93"/>
      <c r="C8014" s="93"/>
      <c r="D8014" s="93"/>
      <c r="E8014" s="93"/>
      <c r="F8014" s="93"/>
      <c r="G8014" s="12"/>
      <c r="H8014" s="93"/>
      <c r="I8014" s="93"/>
      <c r="J8014" s="93"/>
      <c r="K8014" s="93"/>
      <c r="L8014" s="152"/>
    </row>
    <row r="8015" spans="1:12">
      <c r="A8015" s="72"/>
      <c r="B8015" s="93"/>
      <c r="C8015" s="93"/>
      <c r="D8015" s="93"/>
      <c r="E8015" s="93"/>
      <c r="F8015" s="93"/>
      <c r="G8015" s="12"/>
      <c r="H8015" s="93"/>
      <c r="I8015" s="93"/>
      <c r="J8015" s="93"/>
      <c r="K8015" s="93"/>
      <c r="L8015" s="152"/>
    </row>
    <row r="8016" spans="1:12">
      <c r="A8016" s="72"/>
      <c r="B8016" s="93"/>
      <c r="C8016" s="93"/>
      <c r="D8016" s="93"/>
      <c r="E8016" s="93"/>
      <c r="F8016" s="93"/>
      <c r="G8016" s="12"/>
      <c r="H8016" s="93"/>
      <c r="I8016" s="93"/>
      <c r="J8016" s="93"/>
      <c r="K8016" s="93"/>
      <c r="L8016" s="152"/>
    </row>
    <row r="8017" spans="1:12">
      <c r="A8017" s="72"/>
      <c r="B8017" s="93"/>
      <c r="C8017" s="93"/>
      <c r="D8017" s="93"/>
      <c r="E8017" s="93"/>
      <c r="F8017" s="93"/>
      <c r="G8017" s="12"/>
      <c r="H8017" s="93"/>
      <c r="I8017" s="93"/>
      <c r="J8017" s="93"/>
      <c r="K8017" s="93"/>
      <c r="L8017" s="134"/>
    </row>
    <row r="8018" spans="1:12">
      <c r="A8018" s="72"/>
      <c r="B8018" s="93"/>
      <c r="C8018" s="93"/>
      <c r="D8018" s="246"/>
      <c r="E8018" s="93"/>
      <c r="F8018" s="93"/>
      <c r="G8018" s="12"/>
      <c r="H8018" s="93"/>
      <c r="I8018" s="93"/>
      <c r="J8018" s="93"/>
      <c r="K8018" s="93"/>
      <c r="L8018" s="134"/>
    </row>
    <row r="8019" spans="1:12">
      <c r="A8019" s="72"/>
      <c r="B8019" s="93"/>
      <c r="C8019" s="93"/>
      <c r="D8019" s="246"/>
      <c r="E8019" s="93"/>
      <c r="F8019" s="93"/>
      <c r="G8019" s="12"/>
      <c r="H8019" s="150"/>
      <c r="I8019" s="93"/>
      <c r="J8019" s="246"/>
      <c r="K8019" s="93"/>
      <c r="L8019" s="152"/>
    </row>
    <row r="8020" spans="1:12">
      <c r="A8020" s="72"/>
      <c r="B8020" s="143"/>
      <c r="C8020" s="196"/>
      <c r="D8020" s="196"/>
      <c r="E8020" s="196"/>
      <c r="F8020" s="159"/>
      <c r="G8020" s="12"/>
      <c r="H8020" s="196"/>
      <c r="I8020" s="196"/>
      <c r="J8020" s="196"/>
      <c r="K8020" s="196"/>
      <c r="L8020" s="267"/>
    </row>
    <row r="8021" spans="1:12">
      <c r="A8021" s="72"/>
      <c r="B8021" s="143"/>
      <c r="C8021" s="196"/>
      <c r="D8021" s="196"/>
      <c r="E8021" s="196"/>
      <c r="F8021" s="159"/>
      <c r="G8021" s="12"/>
      <c r="H8021" s="196"/>
      <c r="I8021" s="196"/>
      <c r="J8021" s="196"/>
      <c r="K8021" s="196"/>
      <c r="L8021" s="267"/>
    </row>
    <row r="8022" spans="1:12">
      <c r="A8022" s="72"/>
      <c r="B8022" s="143"/>
      <c r="C8022" s="196"/>
      <c r="D8022" s="196"/>
      <c r="E8022" s="196"/>
      <c r="F8022" s="159"/>
      <c r="G8022" s="12"/>
      <c r="H8022" s="196"/>
      <c r="I8022" s="196"/>
      <c r="J8022" s="196"/>
      <c r="K8022" s="196"/>
      <c r="L8022" s="267"/>
    </row>
    <row r="8023" spans="1:12">
      <c r="A8023" s="72"/>
      <c r="B8023" s="143"/>
      <c r="C8023" s="196"/>
      <c r="D8023" s="196"/>
      <c r="E8023" s="196"/>
      <c r="F8023" s="159"/>
      <c r="G8023" s="12"/>
      <c r="H8023" s="196"/>
      <c r="I8023" s="196"/>
      <c r="J8023" s="196"/>
      <c r="K8023" s="196"/>
      <c r="L8023" s="267"/>
    </row>
    <row r="8024" spans="1:12">
      <c r="A8024" s="72"/>
      <c r="B8024" s="143"/>
      <c r="C8024" s="196"/>
      <c r="D8024" s="196"/>
      <c r="E8024" s="196"/>
      <c r="F8024" s="159"/>
      <c r="G8024" s="12"/>
      <c r="H8024" s="196"/>
      <c r="I8024" s="196"/>
      <c r="J8024" s="196"/>
      <c r="K8024" s="196"/>
      <c r="L8024" s="267"/>
    </row>
    <row r="8025" spans="1:12">
      <c r="A8025" s="72"/>
      <c r="B8025" s="93"/>
      <c r="C8025" s="93"/>
      <c r="D8025" s="93"/>
      <c r="E8025" s="93"/>
      <c r="F8025" s="93"/>
      <c r="G8025" s="12"/>
      <c r="H8025" s="93"/>
      <c r="I8025" s="93"/>
      <c r="J8025" s="93"/>
      <c r="K8025" s="93"/>
      <c r="L8025" s="152"/>
    </row>
    <row r="8026" spans="1:12">
      <c r="A8026" s="72"/>
      <c r="B8026" s="93"/>
      <c r="C8026" s="93"/>
      <c r="D8026" s="93"/>
      <c r="E8026" s="93"/>
      <c r="F8026" s="93"/>
      <c r="G8026" s="12"/>
      <c r="H8026" s="93"/>
      <c r="I8026" s="93"/>
      <c r="J8026" s="93"/>
      <c r="K8026" s="93"/>
      <c r="L8026" s="152"/>
    </row>
    <row r="8027" spans="1:12">
      <c r="A8027" s="72"/>
      <c r="B8027" s="93"/>
      <c r="C8027" s="93"/>
      <c r="D8027" s="93"/>
      <c r="E8027" s="93"/>
      <c r="F8027" s="93"/>
      <c r="G8027" s="12"/>
      <c r="H8027" s="93"/>
      <c r="I8027" s="93"/>
      <c r="J8027" s="93"/>
      <c r="K8027" s="93"/>
      <c r="L8027" s="152"/>
    </row>
    <row r="8028" spans="1:12">
      <c r="A8028" s="72"/>
      <c r="B8028" s="93"/>
      <c r="C8028" s="140"/>
      <c r="D8028" s="93"/>
      <c r="E8028" s="93"/>
      <c r="F8028" s="93"/>
      <c r="G8028" s="12"/>
      <c r="H8028" s="93"/>
      <c r="I8028" s="93"/>
      <c r="J8028" s="93"/>
      <c r="K8028" s="93"/>
      <c r="L8028" s="152"/>
    </row>
    <row r="8029" spans="1:12">
      <c r="A8029" s="72"/>
      <c r="B8029" s="93"/>
      <c r="C8029" s="140"/>
      <c r="D8029" s="93"/>
      <c r="E8029" s="93"/>
      <c r="F8029" s="93"/>
      <c r="G8029" s="12"/>
      <c r="H8029" s="93"/>
      <c r="I8029" s="93"/>
      <c r="J8029" s="93"/>
      <c r="K8029" s="93"/>
      <c r="L8029" s="152"/>
    </row>
    <row r="8030" spans="1:12">
      <c r="A8030" s="72"/>
      <c r="B8030" s="93"/>
      <c r="C8030" s="93"/>
      <c r="D8030" s="93"/>
      <c r="E8030" s="93"/>
      <c r="F8030" s="93"/>
      <c r="G8030" s="12"/>
      <c r="H8030" s="93"/>
      <c r="I8030" s="93"/>
      <c r="J8030" s="93"/>
      <c r="K8030" s="93"/>
      <c r="L8030" s="152"/>
    </row>
    <row r="8031" spans="1:12">
      <c r="A8031" s="72"/>
      <c r="B8031" s="93"/>
      <c r="C8031" s="93"/>
      <c r="D8031" s="93"/>
      <c r="E8031" s="93"/>
      <c r="F8031" s="93"/>
      <c r="G8031" s="12"/>
      <c r="H8031" s="93"/>
      <c r="I8031" s="93"/>
      <c r="J8031" s="93"/>
      <c r="K8031" s="93"/>
      <c r="L8031" s="134"/>
    </row>
    <row r="8032" spans="1:12">
      <c r="A8032" s="72"/>
      <c r="B8032" s="105"/>
      <c r="C8032" s="93"/>
      <c r="D8032" s="93"/>
      <c r="E8032" s="93"/>
      <c r="F8032" s="93"/>
      <c r="G8032" s="12"/>
      <c r="H8032" s="93"/>
      <c r="I8032" s="93"/>
      <c r="J8032" s="93"/>
      <c r="K8032" s="93"/>
      <c r="L8032" s="152"/>
    </row>
    <row r="8033" spans="1:12">
      <c r="A8033" s="72"/>
      <c r="B8033" s="251"/>
      <c r="C8033" s="93"/>
      <c r="D8033" s="93"/>
      <c r="E8033" s="93"/>
      <c r="F8033" s="93"/>
      <c r="G8033" s="12"/>
      <c r="H8033" s="93"/>
      <c r="I8033" s="93"/>
      <c r="J8033" s="93"/>
      <c r="K8033" s="93"/>
      <c r="L8033" s="152"/>
    </row>
    <row r="8034" spans="1:12">
      <c r="A8034" s="72"/>
      <c r="B8034" s="251"/>
      <c r="C8034" s="93"/>
      <c r="D8034" s="170"/>
      <c r="E8034" s="170"/>
      <c r="F8034" s="170"/>
      <c r="G8034" s="12"/>
      <c r="H8034" s="93"/>
      <c r="I8034" s="93"/>
      <c r="J8034" s="93"/>
      <c r="K8034" s="93"/>
      <c r="L8034" s="264"/>
    </row>
    <row r="8035" spans="1:12">
      <c r="A8035" s="72"/>
      <c r="B8035" s="251"/>
      <c r="C8035" s="93"/>
      <c r="D8035" s="93"/>
      <c r="E8035" s="93"/>
      <c r="F8035" s="93"/>
      <c r="G8035" s="12"/>
      <c r="H8035" s="93"/>
      <c r="I8035" s="93"/>
      <c r="J8035" s="93"/>
      <c r="K8035" s="93"/>
      <c r="L8035" s="152"/>
    </row>
    <row r="8036" spans="1:12">
      <c r="A8036" s="72"/>
      <c r="B8036" s="251"/>
      <c r="C8036" s="93"/>
      <c r="D8036" s="93"/>
      <c r="E8036" s="93"/>
      <c r="F8036" s="93"/>
      <c r="G8036" s="12"/>
      <c r="H8036" s="93"/>
      <c r="I8036" s="93"/>
      <c r="J8036" s="93"/>
      <c r="K8036" s="93"/>
      <c r="L8036" s="152"/>
    </row>
    <row r="8037" spans="1:12">
      <c r="A8037" s="72"/>
      <c r="B8037" s="162"/>
      <c r="C8037" s="131"/>
      <c r="D8037" s="131"/>
      <c r="E8037" s="131"/>
      <c r="F8037" s="131"/>
      <c r="G8037" s="12"/>
      <c r="H8037" s="187"/>
      <c r="I8037" s="131"/>
      <c r="J8037" s="131"/>
      <c r="K8037" s="131"/>
      <c r="L8037" s="152"/>
    </row>
    <row r="8038" spans="1:12">
      <c r="A8038" s="72"/>
      <c r="B8038" s="93"/>
      <c r="C8038" s="93"/>
      <c r="D8038" s="93"/>
      <c r="E8038" s="93"/>
      <c r="F8038" s="93"/>
      <c r="G8038" s="12"/>
      <c r="H8038" s="150"/>
      <c r="I8038" s="93"/>
      <c r="J8038" s="93"/>
      <c r="K8038" s="93"/>
      <c r="L8038" s="134"/>
    </row>
    <row r="8039" spans="1:12">
      <c r="A8039" s="72"/>
      <c r="B8039" s="93"/>
      <c r="C8039" s="93"/>
      <c r="D8039" s="93"/>
      <c r="E8039" s="93"/>
      <c r="F8039" s="150"/>
      <c r="G8039" s="12"/>
      <c r="H8039" s="156"/>
      <c r="I8039" s="93"/>
      <c r="J8039" s="93"/>
      <c r="K8039" s="93"/>
      <c r="L8039" s="152"/>
    </row>
    <row r="8040" spans="1:12">
      <c r="A8040" s="72"/>
      <c r="B8040" s="93"/>
      <c r="C8040" s="93"/>
      <c r="D8040" s="93"/>
      <c r="E8040" s="93"/>
      <c r="F8040" s="93"/>
      <c r="G8040" s="12"/>
      <c r="H8040" s="93"/>
      <c r="I8040" s="93"/>
      <c r="J8040" s="93"/>
      <c r="K8040" s="93"/>
      <c r="L8040" s="152"/>
    </row>
    <row r="8041" spans="1:12">
      <c r="A8041" s="72"/>
      <c r="B8041" s="93"/>
      <c r="C8041" s="93"/>
      <c r="D8041" s="93"/>
      <c r="E8041" s="93"/>
      <c r="F8041" s="150"/>
      <c r="G8041" s="12"/>
      <c r="H8041" s="93"/>
      <c r="I8041" s="93"/>
      <c r="J8041" s="93"/>
      <c r="K8041" s="93"/>
      <c r="L8041" s="134"/>
    </row>
    <row r="8042" spans="1:12">
      <c r="A8042" s="72"/>
      <c r="B8042" s="93"/>
      <c r="C8042" s="93"/>
      <c r="D8042" s="93"/>
      <c r="E8042" s="93"/>
      <c r="F8042" s="93"/>
      <c r="G8042" s="12"/>
      <c r="H8042" s="93"/>
      <c r="I8042" s="93"/>
      <c r="J8042" s="93"/>
      <c r="K8042" s="93"/>
      <c r="L8042" s="152"/>
    </row>
    <row r="8043" spans="1:12">
      <c r="A8043" s="72"/>
      <c r="B8043" s="93"/>
      <c r="C8043" s="93"/>
      <c r="D8043" s="93"/>
      <c r="E8043" s="93"/>
      <c r="F8043" s="93"/>
      <c r="G8043" s="12"/>
      <c r="H8043" s="93"/>
      <c r="I8043" s="93"/>
      <c r="J8043" s="93"/>
      <c r="K8043" s="93"/>
      <c r="L8043" s="152"/>
    </row>
    <row r="8044" spans="1:12">
      <c r="A8044" s="72"/>
      <c r="B8044" s="93"/>
      <c r="C8044" s="93"/>
      <c r="D8044" s="246"/>
      <c r="E8044" s="93"/>
      <c r="F8044" s="93"/>
      <c r="G8044" s="12"/>
      <c r="H8044" s="93"/>
      <c r="I8044" s="93"/>
      <c r="J8044" s="93"/>
      <c r="K8044" s="93"/>
      <c r="L8044" s="152"/>
    </row>
    <row r="8045" spans="1:12">
      <c r="A8045" s="72"/>
      <c r="B8045" s="93"/>
      <c r="C8045" s="93"/>
      <c r="D8045" s="246"/>
      <c r="E8045" s="93"/>
      <c r="F8045" s="93"/>
      <c r="G8045" s="12"/>
      <c r="H8045" s="93"/>
      <c r="I8045" s="93"/>
      <c r="J8045" s="93"/>
      <c r="K8045" s="93"/>
      <c r="L8045" s="152"/>
    </row>
    <row r="8046" spans="1:12">
      <c r="A8046" s="72"/>
      <c r="B8046" s="93"/>
      <c r="C8046" s="93"/>
      <c r="D8046" s="93"/>
      <c r="E8046" s="93"/>
      <c r="F8046" s="93"/>
      <c r="G8046" s="12"/>
      <c r="H8046" s="93"/>
      <c r="I8046" s="93"/>
      <c r="J8046" s="93"/>
      <c r="K8046" s="93"/>
      <c r="L8046" s="152"/>
    </row>
    <row r="8047" spans="1:12">
      <c r="A8047" s="72"/>
      <c r="B8047" s="93"/>
      <c r="C8047" s="93"/>
      <c r="D8047" s="93"/>
      <c r="E8047" s="93"/>
      <c r="F8047" s="93"/>
      <c r="G8047" s="12"/>
      <c r="H8047" s="93"/>
      <c r="I8047" s="93"/>
      <c r="J8047" s="93"/>
      <c r="K8047" s="93"/>
      <c r="L8047" s="152"/>
    </row>
    <row r="8048" spans="1:12">
      <c r="A8048" s="72"/>
      <c r="B8048" s="93"/>
      <c r="C8048" s="93"/>
      <c r="D8048" s="93"/>
      <c r="E8048" s="93"/>
      <c r="F8048" s="93"/>
      <c r="G8048" s="12"/>
      <c r="H8048" s="93"/>
      <c r="I8048" s="93"/>
      <c r="J8048" s="93"/>
      <c r="K8048" s="93"/>
      <c r="L8048" s="152"/>
    </row>
    <row r="8049" spans="1:12">
      <c r="A8049" s="72"/>
      <c r="B8049" s="93"/>
      <c r="C8049" s="93"/>
      <c r="D8049" s="93"/>
      <c r="E8049" s="93"/>
      <c r="F8049" s="93"/>
      <c r="G8049" s="12"/>
      <c r="H8049" s="93"/>
      <c r="I8049" s="93"/>
      <c r="J8049" s="93"/>
      <c r="K8049" s="93"/>
      <c r="L8049" s="152"/>
    </row>
    <row r="8050" spans="1:12">
      <c r="A8050" s="72"/>
      <c r="B8050" s="93"/>
      <c r="C8050" s="93"/>
      <c r="D8050" s="93"/>
      <c r="E8050" s="93"/>
      <c r="F8050" s="93"/>
      <c r="G8050" s="12"/>
      <c r="H8050" s="93"/>
      <c r="I8050" s="93"/>
      <c r="J8050" s="93"/>
      <c r="K8050" s="93"/>
      <c r="L8050" s="152"/>
    </row>
    <row r="8051" spans="1:12">
      <c r="A8051" s="72"/>
      <c r="B8051" s="93"/>
      <c r="C8051" s="93"/>
      <c r="D8051" s="93"/>
      <c r="E8051" s="93"/>
      <c r="F8051" s="93"/>
      <c r="G8051" s="12"/>
      <c r="H8051" s="93"/>
      <c r="I8051" s="93"/>
      <c r="J8051" s="93"/>
      <c r="K8051" s="93"/>
      <c r="L8051" s="152"/>
    </row>
    <row r="8052" spans="1:12">
      <c r="A8052" s="72"/>
      <c r="B8052" s="93"/>
      <c r="C8052" s="93"/>
      <c r="D8052" s="93"/>
      <c r="E8052" s="93"/>
      <c r="F8052" s="93"/>
      <c r="G8052" s="12"/>
      <c r="H8052" s="93"/>
      <c r="I8052" s="93"/>
      <c r="J8052" s="93"/>
      <c r="K8052" s="93"/>
      <c r="L8052" s="152"/>
    </row>
    <row r="8053" spans="1:12">
      <c r="A8053" s="72"/>
      <c r="B8053" s="93"/>
      <c r="C8053" s="93"/>
      <c r="D8053" s="93"/>
      <c r="E8053" s="93"/>
      <c r="F8053" s="93"/>
      <c r="G8053" s="12"/>
      <c r="H8053" s="93"/>
      <c r="I8053" s="93"/>
      <c r="J8053" s="93"/>
      <c r="K8053" s="93"/>
      <c r="L8053" s="152"/>
    </row>
    <row r="8054" spans="1:12">
      <c r="A8054" s="72"/>
      <c r="B8054" s="93"/>
      <c r="C8054" s="93"/>
      <c r="D8054" s="93"/>
      <c r="E8054" s="93"/>
      <c r="F8054" s="93"/>
      <c r="G8054" s="12"/>
      <c r="H8054" s="93"/>
      <c r="I8054" s="93"/>
      <c r="J8054" s="93"/>
      <c r="K8054" s="93"/>
      <c r="L8054" s="152"/>
    </row>
    <row r="8055" spans="1:12">
      <c r="A8055" s="72"/>
      <c r="B8055" s="93"/>
      <c r="C8055" s="93"/>
      <c r="D8055" s="93"/>
      <c r="E8055" s="93"/>
      <c r="F8055" s="93"/>
      <c r="G8055" s="12"/>
      <c r="H8055" s="93"/>
      <c r="I8055" s="93"/>
      <c r="J8055" s="93"/>
      <c r="K8055" s="144"/>
      <c r="L8055" s="268"/>
    </row>
    <row r="8056" spans="1:12">
      <c r="A8056" s="72"/>
      <c r="B8056" s="93"/>
      <c r="C8056" s="93"/>
      <c r="D8056" s="93"/>
      <c r="E8056" s="93"/>
      <c r="F8056" s="93"/>
      <c r="G8056" s="12"/>
      <c r="H8056" s="93"/>
      <c r="I8056" s="93"/>
      <c r="J8056" s="93"/>
      <c r="K8056" s="93"/>
      <c r="L8056" s="152"/>
    </row>
    <row r="8057" spans="1:12">
      <c r="A8057" s="72"/>
      <c r="B8057" s="93"/>
      <c r="C8057" s="246"/>
      <c r="D8057" s="246"/>
      <c r="E8057" s="246"/>
      <c r="F8057" s="93"/>
      <c r="G8057" s="12"/>
      <c r="H8057" s="93"/>
      <c r="I8057" s="246"/>
      <c r="J8057" s="93"/>
      <c r="K8057" s="93"/>
      <c r="L8057" s="152"/>
    </row>
    <row r="8058" spans="1:12">
      <c r="A8058" s="72"/>
      <c r="B8058" s="162"/>
      <c r="C8058" s="131"/>
      <c r="D8058" s="93"/>
      <c r="E8058" s="251"/>
      <c r="F8058" s="251"/>
      <c r="G8058" s="12"/>
      <c r="H8058" s="93"/>
      <c r="I8058" s="93"/>
      <c r="J8058" s="93"/>
      <c r="K8058" s="131"/>
      <c r="L8058" s="152"/>
    </row>
    <row r="8059" spans="1:12">
      <c r="A8059" s="72"/>
      <c r="B8059" s="93"/>
      <c r="C8059" s="106"/>
      <c r="D8059" s="93"/>
      <c r="E8059" s="93"/>
      <c r="F8059" s="93"/>
      <c r="G8059" s="12"/>
      <c r="H8059" s="93"/>
      <c r="I8059" s="93"/>
      <c r="J8059" s="93"/>
      <c r="K8059" s="93"/>
      <c r="L8059" s="152"/>
    </row>
    <row r="8060" spans="1:12">
      <c r="A8060" s="72"/>
      <c r="B8060" s="251"/>
      <c r="C8060" s="93"/>
      <c r="D8060" s="93"/>
      <c r="E8060" s="93"/>
      <c r="F8060" s="93"/>
      <c r="G8060" s="12"/>
      <c r="H8060" s="93"/>
      <c r="I8060" s="93"/>
      <c r="J8060" s="93"/>
      <c r="K8060" s="93"/>
      <c r="L8060" s="152"/>
    </row>
    <row r="8061" spans="1:12">
      <c r="A8061" s="72"/>
      <c r="B8061" s="251"/>
      <c r="C8061" s="93"/>
      <c r="D8061" s="93"/>
      <c r="E8061" s="93"/>
      <c r="F8061" s="93"/>
      <c r="G8061" s="12"/>
      <c r="H8061" s="93"/>
      <c r="I8061" s="93"/>
      <c r="J8061" s="93"/>
      <c r="K8061" s="93"/>
      <c r="L8061" s="152"/>
    </row>
    <row r="8062" spans="1:12">
      <c r="A8062" s="72"/>
      <c r="B8062" s="143"/>
      <c r="C8062" s="196"/>
      <c r="D8062" s="196"/>
      <c r="E8062" s="196"/>
      <c r="F8062" s="159"/>
      <c r="G8062" s="12"/>
      <c r="H8062" s="196"/>
      <c r="I8062" s="196"/>
      <c r="J8062" s="196"/>
      <c r="K8062" s="196"/>
      <c r="L8062" s="267"/>
    </row>
    <row r="8063" spans="1:12">
      <c r="A8063" s="72"/>
      <c r="B8063" s="93"/>
      <c r="C8063" s="93"/>
      <c r="D8063" s="246"/>
      <c r="E8063" s="281"/>
      <c r="F8063" s="93"/>
      <c r="G8063" s="12"/>
      <c r="H8063" s="93"/>
      <c r="I8063" s="282"/>
      <c r="J8063" s="93"/>
      <c r="K8063" s="93"/>
      <c r="L8063" s="268"/>
    </row>
    <row r="8064" spans="1:12">
      <c r="A8064" s="72"/>
      <c r="B8064" s="93"/>
      <c r="C8064" s="93"/>
      <c r="D8064" s="246"/>
      <c r="E8064" s="105"/>
      <c r="F8064" s="93"/>
      <c r="G8064" s="12"/>
      <c r="H8064" s="150"/>
      <c r="I8064" s="282"/>
      <c r="J8064" s="170"/>
      <c r="K8064" s="170"/>
      <c r="L8064" s="152"/>
    </row>
    <row r="8065" spans="1:12">
      <c r="A8065" s="72"/>
      <c r="B8065" s="93"/>
      <c r="C8065" s="93"/>
      <c r="D8065" s="246"/>
      <c r="E8065" s="93"/>
      <c r="F8065" s="105"/>
      <c r="G8065" s="12"/>
      <c r="H8065" s="105"/>
      <c r="I8065" s="93"/>
      <c r="J8065" s="93"/>
      <c r="K8065" s="93"/>
      <c r="L8065" s="217"/>
    </row>
    <row r="8066" spans="1:12">
      <c r="A8066" s="72"/>
      <c r="B8066" s="93"/>
      <c r="C8066" s="93"/>
      <c r="D8066" s="246"/>
      <c r="E8066" s="105"/>
      <c r="F8066" s="93"/>
      <c r="G8066" s="12"/>
      <c r="H8066" s="93"/>
      <c r="I8066" s="93"/>
      <c r="J8066" s="93"/>
      <c r="K8066" s="93"/>
      <c r="L8066" s="152"/>
    </row>
    <row r="8067" spans="1:12">
      <c r="A8067" s="72"/>
      <c r="B8067" s="93"/>
      <c r="C8067" s="93"/>
      <c r="D8067" s="246"/>
      <c r="E8067" s="105"/>
      <c r="F8067" s="93"/>
      <c r="G8067" s="12"/>
      <c r="H8067" s="93"/>
      <c r="I8067" s="93"/>
      <c r="J8067" s="93"/>
      <c r="K8067" s="93"/>
      <c r="L8067" s="152"/>
    </row>
    <row r="8068" spans="1:12">
      <c r="A8068" s="72"/>
      <c r="B8068" s="93"/>
      <c r="C8068" s="93"/>
      <c r="D8068" s="93"/>
      <c r="E8068" s="93"/>
      <c r="F8068" s="93"/>
      <c r="G8068" s="12"/>
      <c r="H8068" s="93"/>
      <c r="I8068" s="93"/>
      <c r="J8068" s="93"/>
      <c r="K8068" s="93"/>
      <c r="L8068" s="217"/>
    </row>
    <row r="8069" spans="1:12">
      <c r="A8069" s="72"/>
      <c r="B8069" s="93"/>
      <c r="C8069" s="93"/>
      <c r="D8069" s="93"/>
      <c r="E8069" s="93"/>
      <c r="F8069" s="93"/>
      <c r="G8069" s="12"/>
      <c r="H8069" s="93"/>
      <c r="I8069" s="93"/>
      <c r="J8069" s="93"/>
      <c r="K8069" s="93"/>
      <c r="L8069" s="217"/>
    </row>
    <row r="8070" spans="1:12">
      <c r="A8070" s="72"/>
      <c r="B8070" s="93"/>
      <c r="C8070" s="93"/>
      <c r="D8070" s="93"/>
      <c r="E8070" s="93"/>
      <c r="F8070" s="93"/>
      <c r="G8070" s="12"/>
      <c r="H8070" s="93"/>
      <c r="I8070" s="93"/>
      <c r="J8070" s="93"/>
      <c r="K8070" s="93"/>
      <c r="L8070" s="217"/>
    </row>
    <row r="8071" spans="1:12">
      <c r="A8071" s="72"/>
      <c r="B8071" s="93"/>
      <c r="C8071" s="93"/>
      <c r="D8071" s="93"/>
      <c r="E8071" s="93"/>
      <c r="F8071" s="93"/>
      <c r="G8071" s="12"/>
      <c r="H8071" s="93"/>
      <c r="I8071" s="93"/>
      <c r="J8071" s="93"/>
      <c r="K8071" s="93"/>
      <c r="L8071" s="217"/>
    </row>
    <row r="8072" spans="1:12">
      <c r="A8072" s="72"/>
      <c r="B8072" s="93"/>
      <c r="C8072" s="93"/>
      <c r="D8072" s="93"/>
      <c r="E8072" s="93"/>
      <c r="F8072" s="93"/>
      <c r="G8072" s="12"/>
      <c r="H8072" s="93"/>
      <c r="I8072" s="93"/>
      <c r="J8072" s="93"/>
      <c r="K8072" s="93"/>
      <c r="L8072" s="217"/>
    </row>
    <row r="8073" spans="1:12">
      <c r="A8073" s="72"/>
      <c r="B8073" s="93"/>
      <c r="C8073" s="93"/>
      <c r="D8073" s="93"/>
      <c r="E8073" s="93"/>
      <c r="F8073" s="93"/>
      <c r="G8073" s="12"/>
      <c r="H8073" s="93"/>
      <c r="I8073" s="93"/>
      <c r="J8073" s="93"/>
      <c r="K8073" s="93"/>
      <c r="L8073" s="217"/>
    </row>
    <row r="8074" spans="1:12">
      <c r="A8074" s="72"/>
      <c r="B8074" s="93"/>
      <c r="C8074" s="93"/>
      <c r="D8074" s="93"/>
      <c r="E8074" s="93"/>
      <c r="F8074" s="93"/>
      <c r="G8074" s="12"/>
      <c r="H8074" s="126"/>
      <c r="I8074" s="93"/>
      <c r="J8074" s="93"/>
      <c r="K8074" s="140"/>
      <c r="L8074" s="152"/>
    </row>
    <row r="8075" spans="1:12">
      <c r="A8075" s="72"/>
      <c r="B8075" s="143"/>
      <c r="C8075" s="196"/>
      <c r="D8075" s="196"/>
      <c r="E8075" s="196"/>
      <c r="F8075" s="159"/>
      <c r="G8075" s="12"/>
      <c r="H8075" s="196"/>
      <c r="I8075" s="196"/>
      <c r="J8075" s="196"/>
      <c r="K8075" s="196"/>
      <c r="L8075" s="267"/>
    </row>
    <row r="8076" spans="1:12">
      <c r="A8076" s="72"/>
      <c r="B8076" s="143"/>
      <c r="C8076" s="196"/>
      <c r="D8076" s="196"/>
      <c r="E8076" s="196"/>
      <c r="F8076" s="159"/>
      <c r="G8076" s="12"/>
      <c r="H8076" s="196"/>
      <c r="I8076" s="196"/>
      <c r="J8076" s="196"/>
      <c r="K8076" s="196"/>
      <c r="L8076" s="267"/>
    </row>
    <row r="8077" spans="1:12">
      <c r="A8077" s="72"/>
      <c r="B8077" s="143"/>
      <c r="C8077" s="196"/>
      <c r="D8077" s="196"/>
      <c r="E8077" s="196"/>
      <c r="F8077" s="159"/>
      <c r="G8077" s="12"/>
      <c r="H8077" s="196"/>
      <c r="I8077" s="196"/>
      <c r="J8077" s="196"/>
      <c r="K8077" s="196"/>
      <c r="L8077" s="267"/>
    </row>
    <row r="8078" spans="1:12">
      <c r="A8078" s="72"/>
      <c r="B8078" s="93"/>
      <c r="C8078" s="93"/>
      <c r="D8078" s="93"/>
      <c r="E8078" s="93"/>
      <c r="F8078" s="93"/>
      <c r="G8078" s="12"/>
      <c r="H8078" s="93"/>
      <c r="I8078" s="93"/>
      <c r="J8078" s="93"/>
      <c r="K8078" s="93"/>
      <c r="L8078" s="152"/>
    </row>
    <row r="8079" spans="1:12">
      <c r="A8079" s="72"/>
      <c r="B8079" s="93"/>
      <c r="C8079" s="93"/>
      <c r="D8079" s="93"/>
      <c r="E8079" s="93"/>
      <c r="F8079" s="93"/>
      <c r="G8079" s="12"/>
      <c r="H8079" s="93"/>
      <c r="I8079" s="93"/>
      <c r="J8079" s="93"/>
      <c r="K8079" s="93"/>
      <c r="L8079" s="152"/>
    </row>
    <row r="8080" spans="1:12">
      <c r="A8080" s="72"/>
      <c r="B8080" s="93"/>
      <c r="C8080" s="93"/>
      <c r="D8080" s="93"/>
      <c r="E8080" s="93"/>
      <c r="F8080" s="93"/>
      <c r="G8080" s="12"/>
      <c r="H8080" s="93"/>
      <c r="I8080" s="93"/>
      <c r="J8080" s="93"/>
      <c r="K8080" s="93"/>
      <c r="L8080" s="152"/>
    </row>
    <row r="8081" spans="1:12">
      <c r="A8081" s="72"/>
      <c r="B8081" s="93"/>
      <c r="C8081" s="93"/>
      <c r="D8081" s="93"/>
      <c r="E8081" s="93"/>
      <c r="F8081" s="93"/>
      <c r="G8081" s="12"/>
      <c r="H8081" s="93"/>
      <c r="I8081" s="93"/>
      <c r="J8081" s="93"/>
      <c r="K8081" s="93"/>
      <c r="L8081" s="152"/>
    </row>
    <row r="8082" spans="1:12">
      <c r="A8082" s="72"/>
      <c r="B8082" s="93"/>
      <c r="C8082" s="93"/>
      <c r="D8082" s="93"/>
      <c r="E8082" s="93"/>
      <c r="F8082" s="93"/>
      <c r="G8082" s="12"/>
      <c r="H8082" s="93"/>
      <c r="I8082" s="93"/>
      <c r="J8082" s="93"/>
      <c r="K8082" s="93"/>
      <c r="L8082" s="152"/>
    </row>
    <row r="8083" spans="1:12">
      <c r="A8083" s="72"/>
      <c r="B8083" s="93"/>
      <c r="C8083" s="93"/>
      <c r="D8083" s="93"/>
      <c r="E8083" s="93"/>
      <c r="F8083" s="93"/>
      <c r="G8083" s="12"/>
      <c r="H8083" s="93"/>
      <c r="I8083" s="93"/>
      <c r="J8083" s="93"/>
      <c r="K8083" s="93"/>
      <c r="L8083" s="152"/>
    </row>
    <row r="8084" spans="1:12">
      <c r="A8084" s="72"/>
      <c r="B8084" s="93"/>
      <c r="C8084" s="93"/>
      <c r="D8084" s="93"/>
      <c r="E8084" s="93"/>
      <c r="F8084" s="93"/>
      <c r="G8084" s="12"/>
      <c r="H8084" s="93"/>
      <c r="I8084" s="93"/>
      <c r="J8084" s="93"/>
      <c r="K8084" s="93"/>
      <c r="L8084" s="152"/>
    </row>
    <row r="8085" spans="1:12">
      <c r="A8085" s="72"/>
      <c r="B8085" s="93"/>
      <c r="C8085" s="93"/>
      <c r="D8085" s="93"/>
      <c r="E8085" s="93"/>
      <c r="F8085" s="93"/>
      <c r="G8085" s="12"/>
      <c r="H8085" s="93"/>
      <c r="I8085" s="93"/>
      <c r="J8085" s="96"/>
      <c r="K8085" s="93"/>
      <c r="L8085" s="217"/>
    </row>
    <row r="8086" spans="1:12">
      <c r="A8086" s="72"/>
      <c r="B8086" s="143"/>
      <c r="C8086" s="196"/>
      <c r="D8086" s="196"/>
      <c r="E8086" s="196"/>
      <c r="F8086" s="159"/>
      <c r="G8086" s="12"/>
      <c r="H8086" s="196"/>
      <c r="I8086" s="196"/>
      <c r="J8086" s="196"/>
      <c r="K8086" s="196"/>
      <c r="L8086" s="267"/>
    </row>
    <row r="8087" spans="1:12">
      <c r="A8087" s="72"/>
      <c r="B8087" s="143"/>
      <c r="C8087" s="196"/>
      <c r="D8087" s="196"/>
      <c r="E8087" s="196"/>
      <c r="F8087" s="166"/>
      <c r="G8087" s="12"/>
      <c r="H8087" s="196"/>
      <c r="I8087" s="196"/>
      <c r="J8087" s="196"/>
      <c r="K8087" s="196"/>
      <c r="L8087" s="267"/>
    </row>
    <row r="8088" spans="1:12">
      <c r="A8088" s="72"/>
      <c r="B8088" s="251"/>
      <c r="C8088" s="93"/>
      <c r="D8088" s="93"/>
      <c r="E8088" s="93"/>
      <c r="F8088" s="93"/>
      <c r="G8088" s="12"/>
      <c r="H8088" s="93"/>
      <c r="I8088" s="93"/>
      <c r="J8088" s="93"/>
      <c r="K8088" s="93"/>
      <c r="L8088" s="258"/>
    </row>
    <row r="8089" spans="1:12">
      <c r="A8089" s="72"/>
      <c r="B8089" s="251"/>
      <c r="C8089" s="93"/>
      <c r="D8089" s="93"/>
      <c r="E8089" s="93"/>
      <c r="F8089" s="93"/>
      <c r="G8089" s="12"/>
      <c r="H8089" s="93"/>
      <c r="I8089" s="93"/>
      <c r="J8089" s="93"/>
      <c r="K8089" s="93"/>
      <c r="L8089" s="152"/>
    </row>
    <row r="8090" spans="1:12">
      <c r="A8090" s="72"/>
      <c r="B8090" s="246"/>
      <c r="C8090" s="93"/>
      <c r="D8090" s="93"/>
      <c r="E8090" s="93"/>
      <c r="F8090" s="93"/>
      <c r="G8090" s="12"/>
      <c r="H8090" s="93"/>
      <c r="I8090" s="93"/>
      <c r="J8090" s="93"/>
      <c r="K8090" s="93"/>
      <c r="L8090" s="152"/>
    </row>
    <row r="8091" spans="1:12">
      <c r="A8091" s="72"/>
      <c r="B8091" s="93"/>
      <c r="C8091" s="93"/>
      <c r="D8091" s="93"/>
      <c r="E8091" s="93"/>
      <c r="F8091" s="93"/>
      <c r="G8091" s="12"/>
      <c r="H8091" s="93"/>
      <c r="I8091" s="93"/>
      <c r="J8091" s="93"/>
      <c r="K8091" s="93"/>
      <c r="L8091" s="217"/>
    </row>
    <row r="8092" spans="1:12">
      <c r="A8092" s="72"/>
      <c r="B8092" s="93"/>
      <c r="C8092" s="93"/>
      <c r="D8092" s="93"/>
      <c r="E8092" s="93"/>
      <c r="F8092" s="131"/>
      <c r="G8092" s="12"/>
      <c r="H8092" s="131"/>
      <c r="I8092" s="131"/>
      <c r="J8092" s="131"/>
      <c r="K8092" s="131"/>
      <c r="L8092" s="152"/>
    </row>
    <row r="8093" spans="1:12">
      <c r="A8093" s="72"/>
      <c r="B8093" s="93"/>
      <c r="C8093" s="93"/>
      <c r="D8093" s="93"/>
      <c r="E8093" s="93"/>
      <c r="F8093" s="93"/>
      <c r="G8093" s="12"/>
      <c r="H8093" s="93"/>
      <c r="I8093" s="93"/>
      <c r="J8093" s="93"/>
      <c r="K8093" s="106"/>
      <c r="L8093" s="283"/>
    </row>
    <row r="8094" spans="1:12">
      <c r="A8094" s="72"/>
      <c r="B8094" s="93"/>
      <c r="C8094" s="93"/>
      <c r="D8094" s="93"/>
      <c r="E8094" s="93"/>
      <c r="F8094" s="93"/>
      <c r="G8094" s="12"/>
      <c r="H8094" s="93"/>
      <c r="I8094" s="93"/>
      <c r="J8094" s="93"/>
      <c r="K8094" s="93"/>
      <c r="L8094" s="134"/>
    </row>
    <row r="8095" spans="1:12">
      <c r="A8095" s="72"/>
      <c r="B8095" s="93"/>
      <c r="C8095" s="93"/>
      <c r="D8095" s="93"/>
      <c r="E8095" s="93"/>
      <c r="F8095" s="93"/>
      <c r="G8095" s="12"/>
      <c r="H8095" s="93"/>
      <c r="I8095" s="93"/>
      <c r="J8095" s="93"/>
      <c r="K8095" s="93"/>
      <c r="L8095" s="268"/>
    </row>
    <row r="8096" spans="1:12">
      <c r="A8096" s="72"/>
      <c r="B8096" s="93"/>
      <c r="C8096" s="93"/>
      <c r="D8096" s="93"/>
      <c r="E8096" s="93"/>
      <c r="F8096" s="93"/>
      <c r="G8096" s="12"/>
      <c r="H8096" s="93"/>
      <c r="I8096" s="93"/>
      <c r="J8096" s="93"/>
      <c r="K8096" s="93"/>
      <c r="L8096" s="152"/>
    </row>
    <row r="8097" spans="1:12">
      <c r="A8097" s="72"/>
      <c r="B8097" s="93"/>
      <c r="C8097" s="93"/>
      <c r="D8097" s="93"/>
      <c r="E8097" s="93"/>
      <c r="F8097" s="93"/>
      <c r="G8097" s="12"/>
      <c r="H8097" s="93"/>
      <c r="I8097" s="93"/>
      <c r="J8097" s="93"/>
      <c r="K8097" s="93"/>
      <c r="L8097" s="152"/>
    </row>
    <row r="8098" spans="1:12">
      <c r="A8098" s="72"/>
      <c r="B8098" s="93"/>
      <c r="C8098" s="93"/>
      <c r="D8098" s="93"/>
      <c r="E8098" s="93"/>
      <c r="F8098" s="93"/>
      <c r="G8098" s="12"/>
      <c r="H8098" s="93"/>
      <c r="I8098" s="93"/>
      <c r="J8098" s="93"/>
      <c r="K8098" s="93"/>
      <c r="L8098" s="152"/>
    </row>
    <row r="8099" spans="1:12">
      <c r="A8099" s="72"/>
      <c r="B8099" s="93"/>
      <c r="C8099" s="93"/>
      <c r="D8099" s="93"/>
      <c r="E8099" s="93"/>
      <c r="F8099" s="93"/>
      <c r="G8099" s="12"/>
      <c r="H8099" s="93"/>
      <c r="I8099" s="93"/>
      <c r="J8099" s="93"/>
      <c r="K8099" s="93"/>
      <c r="L8099" s="152"/>
    </row>
    <row r="8100" spans="1:12">
      <c r="A8100" s="72"/>
      <c r="B8100" s="93"/>
      <c r="C8100" s="93"/>
      <c r="D8100" s="93"/>
      <c r="E8100" s="93"/>
      <c r="F8100" s="93"/>
      <c r="G8100" s="12"/>
      <c r="H8100" s="93"/>
      <c r="I8100" s="93"/>
      <c r="J8100" s="93"/>
      <c r="K8100" s="93"/>
      <c r="L8100" s="152"/>
    </row>
    <row r="8101" spans="1:12">
      <c r="A8101" s="72"/>
      <c r="B8101" s="93"/>
      <c r="C8101" s="93"/>
      <c r="D8101" s="93"/>
      <c r="E8101" s="93"/>
      <c r="F8101" s="93"/>
      <c r="G8101" s="12"/>
      <c r="H8101" s="93"/>
      <c r="I8101" s="93"/>
      <c r="J8101" s="93"/>
      <c r="K8101" s="93"/>
      <c r="L8101" s="152"/>
    </row>
    <row r="8102" spans="1:12">
      <c r="A8102" s="72"/>
      <c r="B8102" s="93"/>
      <c r="C8102" s="93"/>
      <c r="D8102" s="93"/>
      <c r="E8102" s="93"/>
      <c r="F8102" s="93"/>
      <c r="G8102" s="12"/>
      <c r="H8102" s="93"/>
      <c r="I8102" s="93"/>
      <c r="J8102" s="93"/>
      <c r="K8102" s="93"/>
      <c r="L8102" s="152"/>
    </row>
    <row r="8103" spans="1:12">
      <c r="A8103" s="72"/>
      <c r="B8103" s="93"/>
      <c r="C8103" s="93"/>
      <c r="D8103" s="93"/>
      <c r="E8103" s="93"/>
      <c r="F8103" s="93"/>
      <c r="G8103" s="12"/>
      <c r="H8103" s="93"/>
      <c r="I8103" s="93"/>
      <c r="J8103" s="93"/>
      <c r="K8103" s="93"/>
      <c r="L8103" s="152"/>
    </row>
    <row r="8104" spans="1:12">
      <c r="A8104" s="72"/>
      <c r="B8104" s="93"/>
      <c r="C8104" s="93"/>
      <c r="D8104" s="93"/>
      <c r="E8104" s="93"/>
      <c r="F8104" s="93"/>
      <c r="G8104" s="12"/>
      <c r="H8104" s="93"/>
      <c r="I8104" s="93"/>
      <c r="J8104" s="93"/>
      <c r="K8104" s="93"/>
      <c r="L8104" s="152"/>
    </row>
    <row r="8105" spans="1:12">
      <c r="A8105" s="72"/>
      <c r="B8105" s="93"/>
      <c r="C8105" s="93"/>
      <c r="D8105" s="93"/>
      <c r="E8105" s="93"/>
      <c r="F8105" s="93"/>
      <c r="G8105" s="12"/>
      <c r="H8105" s="93"/>
      <c r="I8105" s="93"/>
      <c r="J8105" s="93"/>
      <c r="K8105" s="93"/>
      <c r="L8105" s="152"/>
    </row>
    <row r="8106" spans="1:12">
      <c r="A8106" s="72"/>
      <c r="B8106" s="93"/>
      <c r="C8106" s="93"/>
      <c r="D8106" s="93"/>
      <c r="E8106" s="93"/>
      <c r="F8106" s="93"/>
      <c r="G8106" s="12"/>
      <c r="H8106" s="93"/>
      <c r="I8106" s="93"/>
      <c r="J8106" s="93"/>
      <c r="K8106" s="93"/>
      <c r="L8106" s="152"/>
    </row>
    <row r="8107" spans="1:12">
      <c r="A8107" s="72"/>
      <c r="B8107" s="93"/>
      <c r="C8107" s="93"/>
      <c r="D8107" s="93"/>
      <c r="E8107" s="93"/>
      <c r="F8107" s="93"/>
      <c r="G8107" s="12"/>
      <c r="H8107" s="93"/>
      <c r="I8107" s="93"/>
      <c r="J8107" s="93"/>
      <c r="K8107" s="93"/>
      <c r="L8107" s="152"/>
    </row>
    <row r="8108" spans="1:12">
      <c r="A8108" s="72"/>
      <c r="B8108" s="93"/>
      <c r="C8108" s="93"/>
      <c r="D8108" s="93"/>
      <c r="E8108" s="93"/>
      <c r="F8108" s="93"/>
      <c r="G8108" s="12"/>
      <c r="H8108" s="93"/>
      <c r="I8108" s="93"/>
      <c r="J8108" s="93"/>
      <c r="K8108" s="93"/>
      <c r="L8108" s="217"/>
    </row>
    <row r="8109" spans="1:12">
      <c r="A8109" s="284"/>
      <c r="B8109" s="236"/>
      <c r="C8109" s="236"/>
      <c r="D8109" s="236"/>
      <c r="E8109" s="285"/>
      <c r="F8109" s="285"/>
      <c r="G8109" s="287"/>
      <c r="H8109" s="236"/>
      <c r="I8109" s="236"/>
      <c r="J8109" s="286"/>
      <c r="K8109" s="236"/>
      <c r="L8109" s="288"/>
    </row>
    <row r="8110" spans="1:12">
      <c r="A8110" s="284"/>
      <c r="B8110" s="236"/>
      <c r="C8110" s="236"/>
      <c r="D8110" s="236"/>
      <c r="E8110" s="285"/>
      <c r="F8110" s="285"/>
      <c r="G8110" s="287"/>
      <c r="H8110" s="236"/>
      <c r="I8110" s="236"/>
      <c r="J8110" s="286"/>
      <c r="K8110" s="236"/>
      <c r="L8110" s="288"/>
    </row>
    <row r="8111" spans="1:12">
      <c r="A8111" s="284"/>
      <c r="B8111" s="236"/>
      <c r="C8111" s="236"/>
      <c r="D8111" s="236"/>
      <c r="E8111" s="285"/>
      <c r="F8111" s="285"/>
      <c r="G8111" s="287"/>
      <c r="H8111" s="236"/>
      <c r="I8111" s="236"/>
      <c r="J8111" s="286"/>
      <c r="K8111" s="236"/>
      <c r="L8111" s="288"/>
    </row>
    <row r="8112" spans="1:12">
      <c r="A8112" s="284"/>
      <c r="B8112" s="236"/>
      <c r="C8112" s="236"/>
      <c r="D8112" s="236"/>
      <c r="E8112" s="285"/>
      <c r="F8112" s="285"/>
      <c r="G8112" s="287"/>
      <c r="H8112" s="236"/>
      <c r="I8112" s="236"/>
      <c r="J8112" s="286"/>
      <c r="K8112" s="236"/>
      <c r="L8112" s="288"/>
    </row>
  </sheetData>
  <autoFilter ref="A4:L8112"/>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admin</cp:lastModifiedBy>
  <dcterms:created xsi:type="dcterms:W3CDTF">2026-02-10T07:53:05Z</dcterms:created>
  <dcterms:modified xsi:type="dcterms:W3CDTF">2026-05-05T11:50:04Z</dcterms:modified>
</cp:coreProperties>
</file>